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7.xml" ContentType="application/vnd.ms-office.chartstyle+xml"/>
  <Override PartName="/xl/charts/colors7.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neve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E3B99854-88EF-49F4-9641-71A5D2D0ED50}" xr6:coauthVersionLast="47" xr6:coauthVersionMax="47" xr10:uidLastSave="{00000000-0000-0000-0000-000000000000}"/>
  <bookViews>
    <workbookView xWindow="-120" yWindow="-120" windowWidth="38640" windowHeight="21240" firstSheet="1" activeTab="14"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 r="J56" i="29"/>
  <c r="I56" i="29"/>
  <c r="H56" i="29"/>
  <c r="G56" i="29"/>
  <c r="F56" i="29"/>
  <c r="E56" i="29"/>
  <c r="C56" i="29"/>
  <c r="B56" i="29"/>
  <c r="I55" i="29"/>
  <c r="H55" i="29"/>
  <c r="G55" i="29"/>
  <c r="F55" i="29"/>
  <c r="E55" i="29"/>
  <c r="D55" i="29"/>
  <c r="C55" i="29"/>
  <c r="B55" i="29"/>
  <c r="J54" i="29"/>
  <c r="I54" i="29"/>
  <c r="H54" i="29"/>
  <c r="G54" i="29"/>
  <c r="F54" i="29"/>
  <c r="E54" i="29"/>
  <c r="D54" i="29"/>
  <c r="C54" i="29"/>
  <c r="B54" i="29"/>
  <c r="J53" i="29"/>
  <c r="I53" i="29"/>
  <c r="H53" i="29"/>
  <c r="G53" i="29"/>
  <c r="F53" i="29"/>
  <c r="E53" i="29"/>
  <c r="D53" i="29"/>
  <c r="C53" i="29"/>
  <c r="B53" i="29"/>
  <c r="AO52" i="29" a="1"/>
  <c r="AO52" i="29"/>
  <c r="AN52" i="29" a="1"/>
  <c r="AN52" i="29"/>
  <c r="AM52" i="29" a="1"/>
  <c r="AM52" i="29"/>
  <c r="AL52" i="29" a="1"/>
  <c r="AL52" i="29"/>
  <c r="AK52" i="29" a="1"/>
  <c r="AK52" i="29"/>
  <c r="AJ52" i="29" a="1"/>
  <c r="AJ52" i="29"/>
  <c r="AI52" i="29" a="1"/>
  <c r="AI52" i="29"/>
  <c r="AH52" i="29" a="1"/>
  <c r="AH52" i="29"/>
  <c r="AG52" i="29" a="1"/>
  <c r="AG52" i="29"/>
  <c r="AF52" i="29" a="1"/>
  <c r="AF52" i="29"/>
  <c r="AE52" i="29" a="1"/>
  <c r="AE52" i="29"/>
  <c r="AD52" i="29" a="1"/>
  <c r="AD52" i="29"/>
  <c r="AC52" i="29" a="1"/>
  <c r="AC52" i="29"/>
  <c r="AB52" i="29" a="1"/>
  <c r="AB52" i="29"/>
  <c r="AA52" i="29" a="1"/>
  <c r="AA52" i="29"/>
  <c r="Z52" i="29" a="1"/>
  <c r="Z52" i="29"/>
  <c r="Y52" i="29" a="1"/>
  <c r="Y52" i="29"/>
  <c r="X52" i="29" a="1"/>
  <c r="X52" i="29"/>
  <c r="W52" i="29" a="1"/>
  <c r="W52" i="29"/>
  <c r="V52" i="29" a="1"/>
  <c r="V52" i="29"/>
  <c r="U52" i="29" a="1"/>
  <c r="U52" i="29"/>
  <c r="T52" i="29" a="1"/>
  <c r="T52" i="29"/>
  <c r="S52" i="29" a="1"/>
  <c r="S52" i="29"/>
  <c r="R52" i="29" a="1"/>
  <c r="R52" i="29"/>
  <c r="Q52" i="29" a="1"/>
  <c r="Q52" i="29"/>
  <c r="P52" i="29" a="1"/>
  <c r="P52" i="29"/>
  <c r="O52" i="29" a="1"/>
  <c r="O52" i="29"/>
  <c r="N52" i="29" a="1"/>
  <c r="N52" i="29"/>
  <c r="M52" i="29" a="1"/>
  <c r="M52" i="29"/>
  <c r="L52" i="29" a="1"/>
  <c r="L52" i="29"/>
  <c r="K52" i="29" a="1"/>
  <c r="K52" i="29"/>
  <c r="J52" i="29"/>
  <c r="I52" i="29"/>
  <c r="H52" i="29"/>
  <c r="G52" i="29"/>
  <c r="F52" i="29"/>
  <c r="E52" i="29"/>
  <c r="C52" i="29"/>
  <c r="B52"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K44" i="29" a="1"/>
  <c r="K44" i="29"/>
  <c r="J44" i="29" a="1"/>
  <c r="J44" i="29"/>
  <c r="I44" i="29" a="1"/>
  <c r="I44" i="29"/>
  <c r="H44" i="29" a="1"/>
  <c r="H44" i="29"/>
  <c r="G44" i="29" a="1"/>
  <c r="G44" i="29"/>
  <c r="F44" i="29" a="1"/>
  <c r="F44" i="29"/>
  <c r="E44" i="29" a="1"/>
  <c r="E44" i="29"/>
  <c r="D44" i="29" a="1"/>
  <c r="D44" i="29"/>
  <c r="C44" i="29" a="1"/>
  <c r="C44" i="29"/>
  <c r="L41" i="29"/>
  <c r="J41" i="29"/>
  <c r="E41" i="29"/>
  <c r="T38" i="29"/>
  <c r="S38" i="29"/>
  <c r="R38" i="29"/>
  <c r="Q38" i="29"/>
  <c r="P38" i="29"/>
  <c r="O38" i="29"/>
  <c r="N38" i="29"/>
  <c r="M38" i="29"/>
  <c r="L38" i="29"/>
  <c r="K38" i="29"/>
  <c r="J38" i="29"/>
  <c r="E38" i="29"/>
  <c r="N33" i="29" a="1"/>
  <c r="N33" i="29" s="1"/>
  <c r="M33" i="29" a="1"/>
  <c r="M33" i="29" s="1"/>
  <c r="L33" i="29" a="1"/>
  <c r="L33" i="29" s="1"/>
  <c r="K33" i="29" a="1"/>
  <c r="K33" i="29" s="1"/>
  <c r="J33" i="29" a="1"/>
  <c r="J33" i="29" s="1"/>
  <c r="D33" i="29"/>
  <c r="J29" i="29"/>
  <c r="E29" i="29"/>
  <c r="J28" i="29"/>
  <c r="E28" i="29"/>
  <c r="J27" i="29"/>
  <c r="E27" i="29"/>
  <c r="J23" i="29"/>
  <c r="J22" i="29"/>
  <c r="J21" i="29"/>
  <c r="H21" i="29"/>
  <c r="G21" i="29"/>
  <c r="F21" i="29"/>
  <c r="E21" i="29"/>
  <c r="D21" i="29"/>
  <c r="H19" i="29"/>
  <c r="G19" i="29"/>
  <c r="F19" i="29"/>
  <c r="E19" i="29"/>
  <c r="D19" i="29"/>
  <c r="AM16" i="29"/>
  <c r="AL16" i="29"/>
  <c r="AK16" i="29"/>
  <c r="AG16" i="29"/>
  <c r="T16" i="29"/>
  <c r="S16" i="29"/>
  <c r="R16" i="29"/>
  <c r="Q16" i="29"/>
  <c r="P16" i="29"/>
  <c r="O16" i="29"/>
  <c r="N16" i="29"/>
  <c r="M16" i="29"/>
  <c r="L16" i="29"/>
  <c r="K16" i="29"/>
  <c r="J16" i="29"/>
  <c r="H16" i="29"/>
  <c r="G16" i="29"/>
  <c r="F16" i="29"/>
  <c r="E16" i="29"/>
  <c r="AM15" i="29"/>
  <c r="AL15" i="29"/>
  <c r="AK15" i="29"/>
  <c r="AG15" i="29"/>
  <c r="T15" i="29"/>
  <c r="S15" i="29"/>
  <c r="J15" i="29"/>
  <c r="H15" i="29"/>
  <c r="G15" i="29"/>
  <c r="F15" i="29"/>
  <c r="E15" i="29"/>
  <c r="T14" i="29"/>
  <c r="S14" i="29"/>
  <c r="J14" i="29"/>
  <c r="H14" i="29"/>
  <c r="G14" i="29"/>
  <c r="F14" i="29"/>
  <c r="E14" i="29"/>
  <c r="AM12" i="29"/>
  <c r="AK12" i="29"/>
  <c r="AI12" i="29"/>
  <c r="AM11" i="29"/>
  <c r="AK11" i="29"/>
  <c r="AI11" i="29"/>
  <c r="H7" i="29"/>
  <c r="G7" i="29"/>
  <c r="F7" i="29"/>
  <c r="E7" i="29"/>
  <c r="D7" i="29"/>
  <c r="N5" i="29" a="1"/>
  <c r="N5" i="29" s="1"/>
  <c r="M5" i="29" a="1"/>
  <c r="M5" i="29" s="1"/>
  <c r="L5" i="29" a="1"/>
  <c r="L5" i="29" s="1"/>
  <c r="K5" i="29" a="1"/>
  <c r="K5" i="29" s="1"/>
  <c r="J5" i="29" a="1"/>
  <c r="J5" i="29" s="1"/>
  <c r="D5" i="29"/>
  <c r="T3" i="29"/>
  <c r="S3" i="29"/>
  <c r="R3" i="29"/>
  <c r="Q3" i="29"/>
  <c r="P3" i="29"/>
  <c r="O3" i="29"/>
  <c r="N3" i="29"/>
  <c r="M3" i="29"/>
  <c r="L3" i="29"/>
  <c r="K3" i="29"/>
  <c r="J3" i="29"/>
  <c r="U265" i="57" a="1"/>
  <c r="U265" i="57" s="1"/>
  <c r="T265" i="57" s="1" a="1"/>
  <c r="T265" i="57" s="1"/>
  <c r="S265" i="57" s="1" a="1"/>
  <c r="S265" i="57" s="1"/>
  <c r="R265" i="57" s="1" a="1"/>
  <c r="R265" i="57" s="1"/>
  <c r="N265" i="57"/>
  <c r="M265" i="57"/>
  <c r="K265" i="57"/>
  <c r="U264" i="57" a="1"/>
  <c r="U264" i="57" s="1"/>
  <c r="T264" i="57" s="1" a="1"/>
  <c r="T264" i="57" s="1"/>
  <c r="S264" i="57" s="1" a="1"/>
  <c r="S264" i="57" s="1"/>
  <c r="N264" i="57"/>
  <c r="M264" i="57"/>
  <c r="K264" i="57"/>
  <c r="U263" i="57" a="1"/>
  <c r="U263" i="57" s="1"/>
  <c r="T263" i="57" s="1" a="1"/>
  <c r="T263" i="57" s="1"/>
  <c r="S263" i="57" s="1" a="1"/>
  <c r="S263" i="57" s="1"/>
  <c r="N263" i="57"/>
  <c r="M263" i="57"/>
  <c r="K263" i="57"/>
  <c r="U262" i="57" a="1"/>
  <c r="U262" i="57" s="1"/>
  <c r="T262" i="57" s="1" a="1"/>
  <c r="T262" i="57" s="1"/>
  <c r="S262" i="57" s="1" a="1"/>
  <c r="S262" i="57" s="1"/>
  <c r="N262" i="57"/>
  <c r="U261" i="57" a="1"/>
  <c r="U261" i="57" s="1"/>
  <c r="T261" i="57" s="1" a="1"/>
  <c r="T261" i="57" s="1"/>
  <c r="S261" i="57" s="1" a="1"/>
  <c r="S261" i="57" s="1"/>
  <c r="N261" i="57"/>
  <c r="U260" i="57" a="1"/>
  <c r="U260" i="57" s="1"/>
  <c r="T260" i="57" s="1" a="1"/>
  <c r="T260" i="57" s="1"/>
  <c r="S260" i="57" s="1" a="1"/>
  <c r="S260" i="57" s="1"/>
  <c r="N260" i="57"/>
  <c r="BN259" i="57"/>
  <c r="BM259" i="57"/>
  <c r="BL259" i="57"/>
  <c r="BK259" i="57"/>
  <c r="BJ259" i="57"/>
  <c r="BI259" i="57"/>
  <c r="BH259" i="57"/>
  <c r="BG259" i="57"/>
  <c r="BF259" i="57"/>
  <c r="BE259" i="57"/>
  <c r="BD259" i="57"/>
  <c r="BC259" i="57"/>
  <c r="BB259" i="57"/>
  <c r="BA259" i="57"/>
  <c r="AZ259" i="57"/>
  <c r="AY259" i="57"/>
  <c r="AX259" i="57"/>
  <c r="AW259" i="57"/>
  <c r="AV259" i="57"/>
  <c r="AU259" i="57"/>
  <c r="AT259" i="57"/>
  <c r="AS259" i="57"/>
  <c r="AR259" i="57"/>
  <c r="AQ259" i="57"/>
  <c r="AP259" i="57"/>
  <c r="AO259" i="57"/>
  <c r="AN259" i="57"/>
  <c r="AM259" i="57"/>
  <c r="AL259" i="57"/>
  <c r="AK259" i="57"/>
  <c r="AJ259" i="57"/>
  <c r="AI259" i="57"/>
  <c r="AH259" i="57"/>
  <c r="AG259" i="57"/>
  <c r="AF259" i="57"/>
  <c r="AE259" i="57"/>
  <c r="AD259" i="57"/>
  <c r="AC259" i="57"/>
  <c r="AB259" i="57"/>
  <c r="AA259" i="57"/>
  <c r="Z259" i="57"/>
  <c r="Y259" i="57"/>
  <c r="X259" i="57"/>
  <c r="W259" i="57"/>
  <c r="V259" i="57"/>
  <c r="U259" i="57"/>
  <c r="T259" i="57"/>
  <c r="S259" i="57"/>
  <c r="R259" i="57"/>
  <c r="Q259" i="57"/>
  <c r="P259" i="57"/>
  <c r="O259" i="57"/>
  <c r="N259" i="57"/>
  <c r="I258" i="57"/>
  <c r="H258" i="57"/>
  <c r="F258" i="57"/>
  <c r="I257" i="57"/>
  <c r="H257" i="57"/>
  <c r="F257" i="57"/>
  <c r="I256" i="57"/>
  <c r="H256" i="57"/>
  <c r="F256" i="57"/>
  <c r="I255" i="57"/>
  <c r="H255" i="57"/>
  <c r="I254" i="57"/>
  <c r="H254" i="57"/>
  <c r="I253" i="57"/>
  <c r="H253" i="57"/>
  <c r="BR252" i="57"/>
  <c r="BQ252" i="57"/>
  <c r="BP252" i="57"/>
  <c r="BO252" i="57"/>
  <c r="BN252" i="57"/>
  <c r="BM252" i="57"/>
  <c r="BL252" i="57"/>
  <c r="BK252" i="57"/>
  <c r="BJ252" i="57"/>
  <c r="BI252" i="57"/>
  <c r="BH252" i="57"/>
  <c r="BG252" i="57"/>
  <c r="BF252" i="57"/>
  <c r="BE252" i="57"/>
  <c r="BD252" i="57"/>
  <c r="BC252" i="57"/>
  <c r="BB252" i="57"/>
  <c r="BA252" i="57"/>
  <c r="AZ252" i="57"/>
  <c r="AY252" i="57"/>
  <c r="AX252" i="57"/>
  <c r="AW252" i="57"/>
  <c r="AV252" i="57"/>
  <c r="AU252" i="57"/>
  <c r="AT252" i="57"/>
  <c r="AS252" i="57"/>
  <c r="AR252" i="57"/>
  <c r="AQ252" i="57"/>
  <c r="AP252" i="57"/>
  <c r="AO252" i="57"/>
  <c r="AN252" i="57"/>
  <c r="AM252" i="57"/>
  <c r="AL252" i="57"/>
  <c r="AK252" i="57"/>
  <c r="AJ252" i="57"/>
  <c r="AI252" i="57"/>
  <c r="AH252" i="57"/>
  <c r="AG252" i="57"/>
  <c r="AF252" i="57"/>
  <c r="AE252" i="57"/>
  <c r="AD252" i="57"/>
  <c r="AC252" i="57"/>
  <c r="AB252" i="57"/>
  <c r="AA252" i="57"/>
  <c r="Z252" i="57"/>
  <c r="Y252" i="57"/>
  <c r="X252" i="57"/>
  <c r="W252" i="57"/>
  <c r="V252" i="57"/>
  <c r="U252" i="57"/>
  <c r="T252" i="57"/>
  <c r="S252" i="57"/>
  <c r="R252" i="57"/>
  <c r="Q252" i="57"/>
  <c r="P252" i="57"/>
  <c r="BR251" i="57"/>
  <c r="BQ251" i="57"/>
  <c r="BP251" i="57"/>
  <c r="BO251" i="57"/>
  <c r="BN251" i="57"/>
  <c r="BM251" i="57"/>
  <c r="BL251" i="57"/>
  <c r="BK251" i="57"/>
  <c r="BJ251" i="57"/>
  <c r="BI251" i="57"/>
  <c r="BH251" i="57"/>
  <c r="BG251" i="57"/>
  <c r="BF251" i="57"/>
  <c r="BE251" i="57"/>
  <c r="BD251" i="57"/>
  <c r="BC251" i="57"/>
  <c r="BB251" i="57"/>
  <c r="BA251" i="57"/>
  <c r="AZ251" i="57"/>
  <c r="AY251" i="57"/>
  <c r="AX251" i="57"/>
  <c r="AW251" i="57"/>
  <c r="AV251" i="57"/>
  <c r="AU251" i="57"/>
  <c r="AT251" i="57"/>
  <c r="AS251" i="57"/>
  <c r="AR251" i="57"/>
  <c r="AQ251" i="57"/>
  <c r="AP251" i="57"/>
  <c r="AO251" i="57"/>
  <c r="AN251" i="57"/>
  <c r="AM251" i="57"/>
  <c r="AL251" i="57"/>
  <c r="AK251" i="57"/>
  <c r="AJ251" i="57"/>
  <c r="AI251" i="57"/>
  <c r="AH251" i="57"/>
  <c r="AG251" i="57"/>
  <c r="AF251" i="57"/>
  <c r="AE251" i="57"/>
  <c r="AD251" i="57"/>
  <c r="AC251" i="57"/>
  <c r="AB251" i="57"/>
  <c r="AA251" i="57"/>
  <c r="Z251" i="57"/>
  <c r="Y251" i="57"/>
  <c r="X251" i="57"/>
  <c r="W251" i="57"/>
  <c r="V251" i="57"/>
  <c r="U251" i="57"/>
  <c r="T251" i="57"/>
  <c r="S251" i="57"/>
  <c r="R251" i="57"/>
  <c r="Q251" i="57"/>
  <c r="P251" i="57"/>
  <c r="I251" i="57"/>
  <c r="H251" i="57"/>
  <c r="G251" i="57"/>
  <c r="BR250" i="57"/>
  <c r="BQ250" i="57"/>
  <c r="BP250" i="57"/>
  <c r="BO250" i="57"/>
  <c r="BN250" i="57"/>
  <c r="BM250" i="57"/>
  <c r="BL250" i="57"/>
  <c r="BK250" i="57"/>
  <c r="BJ250" i="57"/>
  <c r="BI250" i="57"/>
  <c r="BH250" i="57"/>
  <c r="BG250" i="57"/>
  <c r="BF250" i="57"/>
  <c r="BE250" i="57"/>
  <c r="BD250" i="57"/>
  <c r="BC250" i="57"/>
  <c r="BB250" i="57"/>
  <c r="BA250" i="57"/>
  <c r="AZ250" i="57"/>
  <c r="AY250" i="57"/>
  <c r="AX250" i="57"/>
  <c r="AW250" i="57"/>
  <c r="AV250" i="57"/>
  <c r="AU250" i="57"/>
  <c r="AT250" i="57"/>
  <c r="AS250" i="57"/>
  <c r="AR250" i="57"/>
  <c r="AQ250" i="57"/>
  <c r="AP250" i="57"/>
  <c r="AO250" i="57"/>
  <c r="AN250" i="57"/>
  <c r="AM250" i="57"/>
  <c r="AL250" i="57"/>
  <c r="AK250" i="57"/>
  <c r="AJ250" i="57"/>
  <c r="AI250" i="57"/>
  <c r="AH250" i="57"/>
  <c r="AG250" i="57"/>
  <c r="AF250" i="57"/>
  <c r="AE250" i="57"/>
  <c r="AD250" i="57"/>
  <c r="AC250" i="57"/>
  <c r="AB250" i="57"/>
  <c r="AA250" i="57"/>
  <c r="Z250" i="57"/>
  <c r="Y250" i="57"/>
  <c r="X250" i="57"/>
  <c r="W250" i="57"/>
  <c r="V250" i="57"/>
  <c r="U250" i="57"/>
  <c r="T250" i="57"/>
  <c r="S250" i="57"/>
  <c r="R250" i="57"/>
  <c r="Q250" i="57"/>
  <c r="P250" i="57"/>
  <c r="N250" i="57"/>
  <c r="M250" i="57"/>
  <c r="L250" i="57"/>
  <c r="K250" i="57"/>
  <c r="J250" i="57"/>
  <c r="I250" i="57"/>
  <c r="H250" i="57"/>
  <c r="G250" i="57"/>
  <c r="BR249" i="57"/>
  <c r="BQ249" i="57"/>
  <c r="BP249" i="57"/>
  <c r="BO249" i="57"/>
  <c r="BN249" i="57"/>
  <c r="BM249" i="57"/>
  <c r="BL249" i="57"/>
  <c r="BK249" i="57"/>
  <c r="BJ249" i="57"/>
  <c r="BI249" i="57"/>
  <c r="BH249" i="57"/>
  <c r="BG249" i="57"/>
  <c r="BF249" i="57"/>
  <c r="BE249" i="57"/>
  <c r="BD249" i="57"/>
  <c r="BC249" i="57"/>
  <c r="BB249" i="57"/>
  <c r="BA249" i="57"/>
  <c r="AZ249" i="57"/>
  <c r="AY249" i="57"/>
  <c r="AX249" i="57"/>
  <c r="AW249" i="57"/>
  <c r="AV249" i="57"/>
  <c r="AU249" i="57"/>
  <c r="AT249" i="57"/>
  <c r="AS249" i="57"/>
  <c r="AR249" i="57"/>
  <c r="AQ249" i="57"/>
  <c r="AP249" i="57"/>
  <c r="AO249" i="57"/>
  <c r="AN249" i="57"/>
  <c r="AM249" i="57"/>
  <c r="AL249" i="57"/>
  <c r="AK249" i="57"/>
  <c r="AJ249" i="57"/>
  <c r="AI249" i="57"/>
  <c r="AH249" i="57"/>
  <c r="AG249" i="57"/>
  <c r="AF249" i="57"/>
  <c r="AE249" i="57"/>
  <c r="AD249" i="57"/>
  <c r="AC249" i="57"/>
  <c r="AB249" i="57"/>
  <c r="AA249" i="57"/>
  <c r="Z249" i="57"/>
  <c r="Y249" i="57"/>
  <c r="X249" i="57"/>
  <c r="W249" i="57"/>
  <c r="V249" i="57"/>
  <c r="U249" i="57"/>
  <c r="T249" i="57"/>
  <c r="S249" i="57"/>
  <c r="R249" i="57"/>
  <c r="Q249" i="57"/>
  <c r="P249" i="57"/>
  <c r="O249" i="57"/>
  <c r="N249" i="57"/>
  <c r="M249" i="57"/>
  <c r="L249" i="57"/>
  <c r="K249" i="57"/>
  <c r="I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H232" i="57"/>
  <c r="BG232" i="57"/>
  <c r="BF232" i="57"/>
  <c r="BE232" i="57"/>
  <c r="BD232" i="57"/>
  <c r="BC232" i="57"/>
  <c r="BB232" i="57"/>
  <c r="BA232" i="57"/>
  <c r="AZ232" i="57"/>
  <c r="AY232" i="57"/>
  <c r="AX232" i="57"/>
  <c r="AW232" i="57"/>
  <c r="AV232" i="57"/>
  <c r="AU232" i="57"/>
  <c r="AT232" i="57"/>
  <c r="AS232" i="57"/>
  <c r="AR232" i="57"/>
  <c r="AQ232" i="57"/>
  <c r="AP232" i="57"/>
  <c r="AO232" i="57"/>
  <c r="AN232" i="57"/>
  <c r="AM232" i="57"/>
  <c r="AL232" i="57"/>
  <c r="AK232" i="57"/>
  <c r="AJ232" i="57"/>
  <c r="AI232" i="57"/>
  <c r="AH232" i="57"/>
  <c r="AG232" i="57"/>
  <c r="AF232" i="57"/>
  <c r="AE232" i="57"/>
  <c r="AD232" i="57"/>
  <c r="AC232" i="57"/>
  <c r="AB232" i="57"/>
  <c r="AA232" i="57"/>
  <c r="Z232" i="57"/>
  <c r="Y232" i="57"/>
  <c r="X232" i="57"/>
  <c r="W232" i="57"/>
  <c r="V232" i="57"/>
  <c r="BK231" i="57"/>
  <c r="BJ231" i="57"/>
  <c r="BI231" i="57"/>
  <c r="BH231" i="57"/>
  <c r="BG231" i="57"/>
  <c r="BF231" i="57"/>
  <c r="BE231" i="57"/>
  <c r="BD231" i="57"/>
  <c r="BC231" i="57"/>
  <c r="BB231" i="57"/>
  <c r="BA231" i="57"/>
  <c r="AZ231" i="57"/>
  <c r="AY231" i="57"/>
  <c r="AX231" i="57"/>
  <c r="AW231" i="57"/>
  <c r="AV231" i="57"/>
  <c r="AU231" i="57"/>
  <c r="AT231" i="57"/>
  <c r="AS231" i="57"/>
  <c r="AR231" i="57"/>
  <c r="AQ231" i="57"/>
  <c r="AP231" i="57"/>
  <c r="AO231" i="57"/>
  <c r="AN231" i="57"/>
  <c r="AM231" i="57"/>
  <c r="AL231" i="57"/>
  <c r="AK231" i="57"/>
  <c r="AJ231" i="57"/>
  <c r="AI231" i="57"/>
  <c r="AH231" i="57"/>
  <c r="AG231" i="57"/>
  <c r="AF231" i="57"/>
  <c r="AE231" i="57"/>
  <c r="AD231" i="57"/>
  <c r="AC231" i="57"/>
  <c r="AB231" i="57"/>
  <c r="AA231" i="57"/>
  <c r="Z231" i="57"/>
  <c r="Y231" i="57"/>
  <c r="X231" i="57"/>
  <c r="W231" i="57"/>
  <c r="V231" i="57"/>
  <c r="U231" i="57"/>
  <c r="BK230" i="57"/>
  <c r="BJ230" i="57"/>
  <c r="BI230" i="57"/>
  <c r="BH230" i="57"/>
  <c r="BG230" i="57"/>
  <c r="BF230" i="57"/>
  <c r="BE230" i="57"/>
  <c r="BD230" i="57"/>
  <c r="BC230" i="57"/>
  <c r="BB230" i="57"/>
  <c r="BA230" i="57"/>
  <c r="AZ230" i="57"/>
  <c r="AY230" i="57"/>
  <c r="AX230" i="57"/>
  <c r="AW230" i="57"/>
  <c r="AV230" i="57"/>
  <c r="AU230" i="57"/>
  <c r="AT230" i="57"/>
  <c r="AS230" i="57"/>
  <c r="AR230" i="57"/>
  <c r="AQ230" i="57"/>
  <c r="AP230" i="57"/>
  <c r="AO230" i="57"/>
  <c r="AN230" i="57"/>
  <c r="AM230" i="57"/>
  <c r="AL230" i="57"/>
  <c r="AK230" i="57"/>
  <c r="AJ230" i="57"/>
  <c r="AI230" i="57"/>
  <c r="AH230" i="57"/>
  <c r="AG230" i="57"/>
  <c r="AF230" i="57"/>
  <c r="AE230" i="57"/>
  <c r="AD230" i="57"/>
  <c r="AC230" i="57"/>
  <c r="AB230" i="57"/>
  <c r="AA230" i="57"/>
  <c r="Z230" i="57"/>
  <c r="Y230" i="57"/>
  <c r="X230" i="57"/>
  <c r="W230" i="57"/>
  <c r="V230" i="57"/>
  <c r="U230" i="57"/>
  <c r="BK229" i="57"/>
  <c r="BJ229" i="57"/>
  <c r="BI229" i="57"/>
  <c r="BH229" i="57"/>
  <c r="BG229" i="57"/>
  <c r="BF229" i="57"/>
  <c r="BE229" i="57"/>
  <c r="BD229" i="57"/>
  <c r="BC229" i="57"/>
  <c r="BB229" i="57"/>
  <c r="BA229" i="57"/>
  <c r="AZ229" i="57"/>
  <c r="AY229" i="57"/>
  <c r="AX229" i="57"/>
  <c r="AW229" i="57"/>
  <c r="AV229" i="57"/>
  <c r="AU229" i="57"/>
  <c r="AT229" i="57"/>
  <c r="AS229" i="57"/>
  <c r="AR229" i="57"/>
  <c r="AQ229" i="57"/>
  <c r="AP229" i="57"/>
  <c r="AO229" i="57"/>
  <c r="AN229" i="57"/>
  <c r="AM229" i="57"/>
  <c r="AL229" i="57"/>
  <c r="AK229" i="57"/>
  <c r="AJ229" i="57"/>
  <c r="AI229" i="57"/>
  <c r="AH229" i="57"/>
  <c r="AG229" i="57"/>
  <c r="AF229" i="57"/>
  <c r="AE229" i="57"/>
  <c r="AD229" i="57"/>
  <c r="AC229" i="57"/>
  <c r="AB229" i="57"/>
  <c r="AA229" i="57"/>
  <c r="Z229" i="57"/>
  <c r="Y229" i="57"/>
  <c r="X229" i="57"/>
  <c r="W229" i="57"/>
  <c r="V229" i="57"/>
  <c r="U229" i="57"/>
  <c r="M229" i="57" a="1"/>
  <c r="M229" i="57"/>
  <c r="L229" i="57" a="1"/>
  <c r="L229" i="57"/>
  <c r="K229" i="57" a="1"/>
  <c r="K229" i="57"/>
  <c r="J229" i="57" a="1"/>
  <c r="J229" i="57"/>
  <c r="I229" i="57" a="1"/>
  <c r="I229" i="57"/>
  <c r="H229" i="57" a="1"/>
  <c r="H229" i="57"/>
  <c r="BK228" i="57"/>
  <c r="BJ228" i="57"/>
  <c r="BI228" i="57"/>
  <c r="BH228" i="57"/>
  <c r="BG228" i="57"/>
  <c r="BF228" i="57"/>
  <c r="BE228" i="57"/>
  <c r="BD228" i="57"/>
  <c r="BC228" i="57"/>
  <c r="BB228" i="57"/>
  <c r="BA228" i="57"/>
  <c r="AZ228" i="57"/>
  <c r="AY228" i="57"/>
  <c r="AX228" i="57"/>
  <c r="AW228" i="57"/>
  <c r="AV228" i="57"/>
  <c r="AU228" i="57"/>
  <c r="AT228" i="57"/>
  <c r="AS228" i="57"/>
  <c r="AR228" i="57"/>
  <c r="AQ228" i="57"/>
  <c r="AP228" i="57"/>
  <c r="AO228" i="57"/>
  <c r="AN228" i="57"/>
  <c r="AM228" i="57"/>
  <c r="AL228" i="57"/>
  <c r="AK228" i="57"/>
  <c r="AJ228" i="57"/>
  <c r="AI228" i="57"/>
  <c r="AH228" i="57"/>
  <c r="AG228" i="57"/>
  <c r="AF228" i="57"/>
  <c r="AE228" i="57"/>
  <c r="AD228" i="57"/>
  <c r="AC228" i="57"/>
  <c r="AB228" i="57"/>
  <c r="AA228" i="57"/>
  <c r="Z228" i="57"/>
  <c r="Y228" i="57"/>
  <c r="X228" i="57"/>
  <c r="W228" i="57"/>
  <c r="V228" i="57"/>
  <c r="U228" i="57"/>
  <c r="I228" i="57"/>
  <c r="N226" i="57" a="1"/>
  <c r="N226" i="57" s="1"/>
  <c r="G105" i="47" s="1"/>
  <c r="M226" i="57"/>
  <c r="L226" i="57"/>
  <c r="K226" i="57"/>
  <c r="J226" i="57"/>
  <c r="I226" i="57"/>
  <c r="H226" i="57"/>
  <c r="G226" i="57"/>
  <c r="F226" i="57"/>
  <c r="N225" i="57" a="1"/>
  <c r="N225" i="57" s="1"/>
  <c r="G107" i="47" s="1"/>
  <c r="M225" i="57"/>
  <c r="L225" i="57"/>
  <c r="K225" i="57"/>
  <c r="J225" i="57"/>
  <c r="I225" i="57"/>
  <c r="H225" i="57"/>
  <c r="G225" i="57"/>
  <c r="F225" i="57"/>
  <c r="N224" i="57" a="1"/>
  <c r="N224" i="57" s="1"/>
  <c r="M224" i="57"/>
  <c r="L224" i="57"/>
  <c r="K224" i="57"/>
  <c r="J224" i="57"/>
  <c r="I224" i="57"/>
  <c r="H224" i="57"/>
  <c r="G224" i="57"/>
  <c r="F224" i="57"/>
  <c r="N223" i="57" a="1"/>
  <c r="N223" i="57" s="1"/>
  <c r="M223" i="57"/>
  <c r="L223" i="57"/>
  <c r="K223" i="57"/>
  <c r="J223" i="57"/>
  <c r="I223" i="57"/>
  <c r="H223" i="57"/>
  <c r="G223" i="57"/>
  <c r="F223" i="57"/>
  <c r="N222" i="57" a="1"/>
  <c r="N222" i="57" s="1"/>
  <c r="G104" i="47" s="1"/>
  <c r="M222" i="57"/>
  <c r="L222" i="57"/>
  <c r="K222" i="57"/>
  <c r="J222" i="57"/>
  <c r="I222" i="57"/>
  <c r="H222" i="57"/>
  <c r="G222" i="57"/>
  <c r="F222" i="57"/>
  <c r="N221" i="57" a="1"/>
  <c r="N221" i="57" s="1"/>
  <c r="G101" i="47" s="1"/>
  <c r="M221" i="57"/>
  <c r="L221" i="57"/>
  <c r="K221" i="57"/>
  <c r="J221" i="57"/>
  <c r="I221" i="57"/>
  <c r="H221" i="57"/>
  <c r="G221" i="57"/>
  <c r="F221" i="57"/>
  <c r="N220" i="57" a="1"/>
  <c r="N220" i="57" s="1"/>
  <c r="M220" i="57"/>
  <c r="L220" i="57"/>
  <c r="K220" i="57"/>
  <c r="J220" i="57"/>
  <c r="I220" i="57"/>
  <c r="H220" i="57"/>
  <c r="G220" i="57"/>
  <c r="F220" i="57"/>
  <c r="N219" i="57" a="1"/>
  <c r="N219" i="57" s="1"/>
  <c r="M219" i="57"/>
  <c r="L219" i="57"/>
  <c r="K219" i="57"/>
  <c r="J219" i="57"/>
  <c r="I219" i="57"/>
  <c r="H219" i="57"/>
  <c r="G219" i="57"/>
  <c r="F219" i="57"/>
  <c r="AU218" i="57"/>
  <c r="AT218" i="57"/>
  <c r="AS218" i="57"/>
  <c r="AR218" i="57"/>
  <c r="AQ218" i="57"/>
  <c r="AP218" i="57"/>
  <c r="AO218" i="57"/>
  <c r="AN218" i="57"/>
  <c r="AM218" i="57"/>
  <c r="AL218" i="57"/>
  <c r="AK218" i="57"/>
  <c r="AJ218" i="57"/>
  <c r="AI218" i="57"/>
  <c r="AH218" i="57"/>
  <c r="AG218" i="57"/>
  <c r="AF218" i="57"/>
  <c r="AE218" i="57"/>
  <c r="AD218" i="57"/>
  <c r="AC218" i="57"/>
  <c r="AB218" i="57"/>
  <c r="AA218" i="57"/>
  <c r="Z218" i="57"/>
  <c r="Y218" i="57"/>
  <c r="X218" i="57"/>
  <c r="W218" i="57"/>
  <c r="V218" i="57"/>
  <c r="U218" i="57"/>
  <c r="T218" i="57"/>
  <c r="S218" i="57"/>
  <c r="R218" i="57"/>
  <c r="Q218" i="57"/>
  <c r="P218" i="57"/>
  <c r="O218" i="57"/>
  <c r="N218" i="57"/>
  <c r="AU217" i="57"/>
  <c r="AT217" i="57"/>
  <c r="AS217" i="57"/>
  <c r="AR217" i="57"/>
  <c r="AQ217" i="57"/>
  <c r="AP217" i="57"/>
  <c r="AO217" i="57"/>
  <c r="AN217" i="57"/>
  <c r="AM217" i="57"/>
  <c r="AL217" i="57"/>
  <c r="AK217" i="57"/>
  <c r="AJ217" i="57"/>
  <c r="AI217" i="57"/>
  <c r="AH217" i="57"/>
  <c r="AG217" i="57"/>
  <c r="AF217" i="57"/>
  <c r="AE217" i="57"/>
  <c r="AD217" i="57"/>
  <c r="AC217" i="57"/>
  <c r="AB217" i="57"/>
  <c r="AA217" i="57"/>
  <c r="Z217" i="57"/>
  <c r="Y217" i="57"/>
  <c r="X217" i="57"/>
  <c r="W217" i="57"/>
  <c r="V217" i="57"/>
  <c r="U217" i="57"/>
  <c r="T217" i="57"/>
  <c r="S217" i="57"/>
  <c r="R217" i="57"/>
  <c r="Q217" i="57"/>
  <c r="P217" i="57"/>
  <c r="O217" i="57"/>
  <c r="N217" i="57"/>
  <c r="AU216" i="57"/>
  <c r="AT216" i="57"/>
  <c r="AS216" i="57"/>
  <c r="AR216" i="57"/>
  <c r="AQ216" i="57"/>
  <c r="AP216" i="57"/>
  <c r="AO216" i="57"/>
  <c r="AN216" i="57"/>
  <c r="AM216" i="57"/>
  <c r="AL216" i="57"/>
  <c r="AK216" i="57"/>
  <c r="AJ216" i="57"/>
  <c r="AI216" i="57"/>
  <c r="AH216" i="57"/>
  <c r="AG216" i="57"/>
  <c r="AF216" i="57"/>
  <c r="AE216" i="57"/>
  <c r="AD216" i="57"/>
  <c r="AC216" i="57"/>
  <c r="AB216" i="57"/>
  <c r="AA216" i="57"/>
  <c r="Z216" i="57"/>
  <c r="Y216" i="57"/>
  <c r="X216" i="57"/>
  <c r="W216" i="57"/>
  <c r="V216" i="57"/>
  <c r="U216" i="57"/>
  <c r="T216" i="57"/>
  <c r="S216" i="57"/>
  <c r="R216" i="57"/>
  <c r="Q216" i="57"/>
  <c r="P216" i="57"/>
  <c r="O216" i="57"/>
  <c r="N216" i="57"/>
  <c r="AU215" i="57"/>
  <c r="AT215" i="57"/>
  <c r="AS215" i="57"/>
  <c r="AR215" i="57"/>
  <c r="AQ215" i="57"/>
  <c r="AP215" i="57"/>
  <c r="AO215" i="57"/>
  <c r="AN215" i="57"/>
  <c r="AM215" i="57"/>
  <c r="AL215" i="57"/>
  <c r="AK215" i="57"/>
  <c r="AJ215" i="57"/>
  <c r="AI215" i="57"/>
  <c r="AH215" i="57"/>
  <c r="AG215" i="57"/>
  <c r="AF215" i="57"/>
  <c r="AE215" i="57"/>
  <c r="AD215" i="57"/>
  <c r="AC215" i="57"/>
  <c r="AB215" i="57"/>
  <c r="AA215" i="57"/>
  <c r="Z215" i="57"/>
  <c r="Y215" i="57"/>
  <c r="X215" i="57"/>
  <c r="W215" i="57"/>
  <c r="V215" i="57"/>
  <c r="U215" i="57"/>
  <c r="T215" i="57"/>
  <c r="S215" i="57"/>
  <c r="R215" i="57"/>
  <c r="Q215" i="57"/>
  <c r="P215" i="57"/>
  <c r="O215" i="57"/>
  <c r="N215" i="57"/>
  <c r="AQ214" i="57"/>
  <c r="AP214" i="57"/>
  <c r="AO214" i="57"/>
  <c r="AN214" i="57"/>
  <c r="AM214" i="57"/>
  <c r="AL214" i="57"/>
  <c r="AK214" i="57"/>
  <c r="AJ214" i="57"/>
  <c r="AI214" i="57"/>
  <c r="AH214" i="57"/>
  <c r="AG214" i="57"/>
  <c r="AF214" i="57"/>
  <c r="AE214" i="57"/>
  <c r="AD214" i="57"/>
  <c r="AC214" i="57"/>
  <c r="AB214" i="57"/>
  <c r="AA214" i="57"/>
  <c r="Z214" i="57"/>
  <c r="Y214" i="57"/>
  <c r="X214" i="57"/>
  <c r="W214" i="57"/>
  <c r="V214" i="57"/>
  <c r="U214" i="57"/>
  <c r="T214" i="57"/>
  <c r="S214" i="57"/>
  <c r="R214" i="57"/>
  <c r="Q214" i="57"/>
  <c r="P214" i="57"/>
  <c r="O214" i="57"/>
  <c r="O211" i="57" a="1"/>
  <c r="O211" i="57"/>
  <c r="N211" i="57" a="1"/>
  <c r="N211" i="57"/>
  <c r="M211" i="57" a="1"/>
  <c r="M211" i="57"/>
  <c r="L211" i="57" a="1"/>
  <c r="L211" i="57"/>
  <c r="K211" i="57" a="1"/>
  <c r="K211" i="57"/>
  <c r="J211" i="57" a="1"/>
  <c r="J211" i="57"/>
  <c r="I211" i="57" a="1"/>
  <c r="I211" i="57"/>
  <c r="H211" i="57" a="1"/>
  <c r="H211" i="57"/>
  <c r="G211" i="57" a="1"/>
  <c r="G211" i="57"/>
  <c r="Q207" i="57"/>
  <c r="N207" i="57"/>
  <c r="M207" i="57"/>
  <c r="L207" i="57"/>
  <c r="J207" i="57"/>
  <c r="G207" i="57"/>
  <c r="F207" i="57"/>
  <c r="Q206" i="57"/>
  <c r="N206" i="57"/>
  <c r="M206" i="57"/>
  <c r="L206" i="57"/>
  <c r="J206" i="57"/>
  <c r="G206" i="57"/>
  <c r="F206" i="57"/>
  <c r="Q205" i="57"/>
  <c r="N205" i="57"/>
  <c r="M205" i="57"/>
  <c r="L205" i="57"/>
  <c r="J205" i="57"/>
  <c r="G205" i="57"/>
  <c r="F205" i="57"/>
  <c r="Q204" i="57"/>
  <c r="N204" i="57"/>
  <c r="M204" i="57"/>
  <c r="L204" i="57"/>
  <c r="J204" i="57"/>
  <c r="G204" i="57"/>
  <c r="F204" i="57"/>
  <c r="Q203" i="57"/>
  <c r="N203" i="57"/>
  <c r="M203" i="57"/>
  <c r="L203" i="57"/>
  <c r="J203" i="57"/>
  <c r="G203" i="57"/>
  <c r="F203" i="57"/>
  <c r="Q202" i="57"/>
  <c r="N202" i="57"/>
  <c r="M202" i="57"/>
  <c r="L202" i="57"/>
  <c r="J202" i="57"/>
  <c r="G202" i="57"/>
  <c r="F202" i="57"/>
  <c r="Q201" i="57"/>
  <c r="N201" i="57"/>
  <c r="M201" i="57"/>
  <c r="L201" i="57"/>
  <c r="J201" i="57"/>
  <c r="G201" i="57"/>
  <c r="F201" i="57"/>
  <c r="Q200" i="57"/>
  <c r="N200" i="57"/>
  <c r="M200" i="57"/>
  <c r="L200" i="57"/>
  <c r="J200" i="57"/>
  <c r="G200" i="57"/>
  <c r="F200" i="57"/>
  <c r="AX199" i="57"/>
  <c r="AW199" i="57"/>
  <c r="AV199" i="57"/>
  <c r="AU199" i="57"/>
  <c r="AT199" i="57"/>
  <c r="AS199" i="57"/>
  <c r="AR199" i="57"/>
  <c r="AQ199" i="57"/>
  <c r="AP199" i="57"/>
  <c r="AO199" i="57"/>
  <c r="AN199" i="57"/>
  <c r="AM199" i="57"/>
  <c r="AL199" i="57"/>
  <c r="AK199" i="57"/>
  <c r="AJ199" i="57"/>
  <c r="AI199" i="57"/>
  <c r="AH199" i="57"/>
  <c r="AG199" i="57"/>
  <c r="AF199" i="57"/>
  <c r="AE199" i="57"/>
  <c r="AD199" i="57"/>
  <c r="AC199" i="57"/>
  <c r="AB199" i="57"/>
  <c r="AA199" i="57"/>
  <c r="Z199" i="57"/>
  <c r="Y199" i="57"/>
  <c r="X199" i="57"/>
  <c r="W199" i="57"/>
  <c r="V199" i="57"/>
  <c r="U199" i="57"/>
  <c r="T199" i="57"/>
  <c r="S199" i="57"/>
  <c r="R199" i="57"/>
  <c r="Q199" i="57"/>
  <c r="AX198" i="57"/>
  <c r="AW198" i="57"/>
  <c r="AV198" i="57"/>
  <c r="AU198" i="57"/>
  <c r="AT198" i="57"/>
  <c r="AS198" i="57"/>
  <c r="AR198" i="57"/>
  <c r="AQ198" i="57"/>
  <c r="AP198" i="57"/>
  <c r="AO198" i="57"/>
  <c r="AN198" i="57"/>
  <c r="AM198" i="57"/>
  <c r="AL198" i="57"/>
  <c r="AK198" i="57"/>
  <c r="AJ198" i="57"/>
  <c r="AI198" i="57"/>
  <c r="AH198" i="57"/>
  <c r="AG198" i="57"/>
  <c r="AF198" i="57"/>
  <c r="AE198" i="57"/>
  <c r="AD198" i="57"/>
  <c r="AC198" i="57"/>
  <c r="AB198" i="57"/>
  <c r="AA198" i="57"/>
  <c r="Z198" i="57"/>
  <c r="Y198" i="57"/>
  <c r="X198" i="57"/>
  <c r="W198" i="57"/>
  <c r="V198" i="57"/>
  <c r="U198" i="57"/>
  <c r="T198" i="57"/>
  <c r="S198" i="57"/>
  <c r="R198" i="57"/>
  <c r="Q198" i="57"/>
  <c r="AX197" i="57"/>
  <c r="AW197" i="57"/>
  <c r="AV197" i="57"/>
  <c r="AU197" i="57"/>
  <c r="AT197" i="57"/>
  <c r="AS197" i="57"/>
  <c r="AR197" i="57"/>
  <c r="AQ197" i="57"/>
  <c r="AP197" i="57"/>
  <c r="AO197" i="57"/>
  <c r="AN197" i="57"/>
  <c r="AM197" i="57"/>
  <c r="AL197" i="57"/>
  <c r="AK197" i="57"/>
  <c r="AJ197" i="57"/>
  <c r="AI197" i="57"/>
  <c r="AH197" i="57"/>
  <c r="AG197" i="57"/>
  <c r="AF197" i="57"/>
  <c r="AE197" i="57"/>
  <c r="AD197" i="57"/>
  <c r="AC197" i="57"/>
  <c r="AB197" i="57"/>
  <c r="AA197" i="57"/>
  <c r="Z197" i="57"/>
  <c r="Y197" i="57"/>
  <c r="X197" i="57"/>
  <c r="W197" i="57"/>
  <c r="V197" i="57"/>
  <c r="U197" i="57"/>
  <c r="T197" i="57"/>
  <c r="S197" i="57"/>
  <c r="R197" i="57"/>
  <c r="Q197" i="57"/>
  <c r="P197" i="57" a="1"/>
  <c r="P197" i="57"/>
  <c r="O197" i="57" a="1"/>
  <c r="O197" i="57"/>
  <c r="N197" i="57" a="1"/>
  <c r="N197" i="57"/>
  <c r="M197" i="57" a="1"/>
  <c r="M197" i="57"/>
  <c r="L197" i="57" a="1"/>
  <c r="L197" i="57"/>
  <c r="K197" i="57" a="1"/>
  <c r="K197" i="57"/>
  <c r="J197" i="57" a="1"/>
  <c r="J197" i="57"/>
  <c r="I197" i="57" a="1"/>
  <c r="I197" i="57"/>
  <c r="H197" i="57" a="1"/>
  <c r="H197" i="57"/>
  <c r="AX196" i="57"/>
  <c r="AW196" i="57"/>
  <c r="AV196" i="57"/>
  <c r="AU196" i="57"/>
  <c r="AT196" i="57"/>
  <c r="AS196" i="57"/>
  <c r="AR196" i="57"/>
  <c r="AQ196" i="57"/>
  <c r="AP196" i="57"/>
  <c r="AO196" i="57"/>
  <c r="AN196" i="57"/>
  <c r="AM196" i="57"/>
  <c r="AL196" i="57"/>
  <c r="AK196" i="57"/>
  <c r="AJ196" i="57"/>
  <c r="AI196" i="57"/>
  <c r="AH196" i="57"/>
  <c r="AG196" i="57"/>
  <c r="AF196" i="57"/>
  <c r="AE196" i="57"/>
  <c r="AD196" i="57"/>
  <c r="AC196" i="57"/>
  <c r="AB196" i="57"/>
  <c r="AA196" i="57"/>
  <c r="Z196" i="57"/>
  <c r="Y196" i="57"/>
  <c r="X196" i="57"/>
  <c r="W196" i="57"/>
  <c r="V196" i="57"/>
  <c r="U196" i="57"/>
  <c r="T196" i="57"/>
  <c r="S196" i="57"/>
  <c r="R196" i="57"/>
  <c r="Q196" i="57"/>
  <c r="AT195" i="57"/>
  <c r="AS195" i="57"/>
  <c r="AR195" i="57"/>
  <c r="AQ195" i="57"/>
  <c r="AP195" i="57"/>
  <c r="AO195" i="57"/>
  <c r="AN195" i="57"/>
  <c r="AM195" i="57"/>
  <c r="AL195" i="57"/>
  <c r="AK195" i="57"/>
  <c r="AJ195" i="57"/>
  <c r="AI195" i="57"/>
  <c r="AH195" i="57"/>
  <c r="AG195" i="57"/>
  <c r="AF195" i="57"/>
  <c r="AE195" i="57"/>
  <c r="AD195" i="57"/>
  <c r="AC195" i="57"/>
  <c r="AB195" i="57"/>
  <c r="AA195" i="57"/>
  <c r="Z195" i="57"/>
  <c r="Y195" i="57"/>
  <c r="X195" i="57"/>
  <c r="W195" i="57"/>
  <c r="V195" i="57"/>
  <c r="U195" i="57"/>
  <c r="T195" i="57"/>
  <c r="S195" i="57"/>
  <c r="R195" i="57"/>
  <c r="E193" i="57"/>
  <c r="C193" i="57"/>
  <c r="B193" i="57"/>
  <c r="E192" i="57"/>
  <c r="C192" i="57"/>
  <c r="B192" i="57"/>
  <c r="E191" i="57"/>
  <c r="C191" i="57"/>
  <c r="B191" i="57"/>
  <c r="E190" i="57"/>
  <c r="C190" i="57"/>
  <c r="B190" i="57"/>
  <c r="E189" i="57"/>
  <c r="C189" i="57"/>
  <c r="B189" i="57"/>
  <c r="E188" i="57"/>
  <c r="C188" i="57"/>
  <c r="B188" i="57"/>
  <c r="E187" i="57"/>
  <c r="C187" i="57"/>
  <c r="B187" i="57"/>
  <c r="E186" i="57"/>
  <c r="C186" i="57"/>
  <c r="B186" i="57"/>
  <c r="H185" i="57"/>
  <c r="G185" i="57"/>
  <c r="F185" i="57"/>
  <c r="E185" i="57"/>
  <c r="C179" i="57"/>
  <c r="B179" i="57"/>
  <c r="C178" i="57"/>
  <c r="B178" i="57"/>
  <c r="C177" i="57"/>
  <c r="B177" i="57"/>
  <c r="C176" i="57"/>
  <c r="B176" i="57"/>
  <c r="C175" i="57"/>
  <c r="B175" i="57"/>
  <c r="C174" i="57"/>
  <c r="B174" i="57"/>
  <c r="C173" i="57"/>
  <c r="B173" i="57"/>
  <c r="N172" i="57"/>
  <c r="C172" i="57"/>
  <c r="B172" i="57"/>
  <c r="AG171" i="57"/>
  <c r="AF171" i="57"/>
  <c r="AE171" i="57"/>
  <c r="AD171" i="57"/>
  <c r="AC171" i="57"/>
  <c r="AB171" i="57"/>
  <c r="AA171" i="57"/>
  <c r="Z171" i="57"/>
  <c r="Y171" i="57"/>
  <c r="W171" i="57"/>
  <c r="V171" i="57"/>
  <c r="U171" i="57"/>
  <c r="T171" i="57"/>
  <c r="S171" i="57"/>
  <c r="R171" i="57"/>
  <c r="Q171" i="57"/>
  <c r="P171" i="57"/>
  <c r="O171" i="57"/>
  <c r="H171" i="57"/>
  <c r="G171" i="57"/>
  <c r="F171" i="57"/>
  <c r="E171" i="57"/>
  <c r="N168" i="57"/>
  <c r="N167" i="57"/>
  <c r="D167" i="57"/>
  <c r="N166" i="57"/>
  <c r="N165" i="57"/>
  <c r="N164" i="57"/>
  <c r="N163" i="57"/>
  <c r="AW162" i="57"/>
  <c r="AV162" i="57"/>
  <c r="AU162" i="57"/>
  <c r="AS162" i="57"/>
  <c r="AR162" i="57"/>
  <c r="AQ162" i="57"/>
  <c r="AO162" i="57"/>
  <c r="AN162" i="57"/>
  <c r="AM162" i="57"/>
  <c r="AL162" i="57"/>
  <c r="AK162" i="57"/>
  <c r="N162" i="57"/>
  <c r="AV161" i="57"/>
  <c r="AR161" i="57"/>
  <c r="AQ161" i="57"/>
  <c r="AL161" i="57"/>
  <c r="N161" i="57"/>
  <c r="AG160" i="57"/>
  <c r="AF160" i="57"/>
  <c r="AE160" i="57"/>
  <c r="AD160" i="57"/>
  <c r="AC160" i="57"/>
  <c r="AB160" i="57"/>
  <c r="AA160" i="57"/>
  <c r="Z160" i="57"/>
  <c r="Y160" i="57"/>
  <c r="W160" i="57"/>
  <c r="V160" i="57"/>
  <c r="U160" i="57"/>
  <c r="T160" i="57"/>
  <c r="S160" i="57"/>
  <c r="R160" i="57"/>
  <c r="Q160" i="57"/>
  <c r="P160" i="57"/>
  <c r="O160" i="57"/>
  <c r="M160" i="57"/>
  <c r="L160" i="57"/>
  <c r="K160" i="57"/>
  <c r="J160" i="57"/>
  <c r="I160" i="57"/>
  <c r="H160" i="57"/>
  <c r="G160" i="57"/>
  <c r="F160" i="57"/>
  <c r="E160" i="57"/>
  <c r="N156" i="57"/>
  <c r="E156" i="57"/>
  <c r="N155" i="57"/>
  <c r="E155" i="57"/>
  <c r="D155" i="57"/>
  <c r="N154" i="57"/>
  <c r="E154" i="57"/>
  <c r="N153" i="57"/>
  <c r="E153" i="57"/>
  <c r="N152" i="57"/>
  <c r="E152" i="57"/>
  <c r="N151" i="57"/>
  <c r="E151" i="57"/>
  <c r="N150" i="57"/>
  <c r="E150" i="57"/>
  <c r="N149" i="57"/>
  <c r="E149" i="57"/>
  <c r="AG148" i="57"/>
  <c r="AF148" i="57"/>
  <c r="AE148" i="57"/>
  <c r="AD148" i="57"/>
  <c r="AC148" i="57"/>
  <c r="AB148" i="57"/>
  <c r="AA148" i="57"/>
  <c r="Z148" i="57"/>
  <c r="Y148" i="57"/>
  <c r="W148" i="57"/>
  <c r="V148" i="57"/>
  <c r="U148" i="57"/>
  <c r="T148" i="57"/>
  <c r="S148" i="57"/>
  <c r="R148" i="57"/>
  <c r="Q148" i="57"/>
  <c r="P148" i="57"/>
  <c r="O148" i="57"/>
  <c r="M148" i="57"/>
  <c r="L148" i="57"/>
  <c r="K148" i="57"/>
  <c r="J148" i="57"/>
  <c r="I148" i="57"/>
  <c r="H148" i="57"/>
  <c r="G148" i="57"/>
  <c r="F148" i="57"/>
  <c r="E148" i="57"/>
  <c r="Y147" i="57"/>
  <c r="O147" i="57"/>
  <c r="AB144" i="57"/>
  <c r="AA144" i="57"/>
  <c r="Z144" i="57"/>
  <c r="Y144" i="57"/>
  <c r="W144" i="57"/>
  <c r="V144" i="57"/>
  <c r="U144" i="57"/>
  <c r="T144" i="57"/>
  <c r="S144" i="57"/>
  <c r="R144" i="57"/>
  <c r="Q144" i="57"/>
  <c r="P144" i="57"/>
  <c r="O144" i="57"/>
  <c r="AG143" i="57"/>
  <c r="AF143" i="57"/>
  <c r="AE143" i="57"/>
  <c r="AD143" i="57"/>
  <c r="AC143" i="57"/>
  <c r="AB143" i="57"/>
  <c r="AA143" i="57"/>
  <c r="Z143" i="57"/>
  <c r="Y143" i="57"/>
  <c r="W143" i="57"/>
  <c r="V143" i="57"/>
  <c r="U143" i="57"/>
  <c r="T143" i="57"/>
  <c r="S143" i="57"/>
  <c r="R143" i="57"/>
  <c r="Q143" i="57"/>
  <c r="P143" i="57"/>
  <c r="O143" i="57"/>
  <c r="AB142" i="57"/>
  <c r="AA142" i="57"/>
  <c r="Z142" i="57"/>
  <c r="Y142" i="57"/>
  <c r="W142" i="57"/>
  <c r="V142" i="57"/>
  <c r="U142" i="57"/>
  <c r="T142" i="57"/>
  <c r="S142" i="57"/>
  <c r="R142" i="57"/>
  <c r="Q142" i="57"/>
  <c r="P142" i="57"/>
  <c r="O142" i="57"/>
  <c r="AG139" i="57"/>
  <c r="AF139" i="57"/>
  <c r="AE139" i="57"/>
  <c r="AB139" i="57"/>
  <c r="AA139" i="57"/>
  <c r="Z139" i="57"/>
  <c r="Y139" i="57"/>
  <c r="W139" i="57"/>
  <c r="V139" i="57"/>
  <c r="U139" i="57"/>
  <c r="T139" i="57"/>
  <c r="S139" i="57"/>
  <c r="R139" i="57"/>
  <c r="Q139" i="57"/>
  <c r="P139" i="57"/>
  <c r="O139" i="57"/>
  <c r="AG138" i="57"/>
  <c r="AF138" i="57"/>
  <c r="AE138" i="57"/>
  <c r="AD138" i="57"/>
  <c r="AC138" i="57"/>
  <c r="AB138" i="57"/>
  <c r="AA138" i="57"/>
  <c r="Z138" i="57"/>
  <c r="Y138" i="57"/>
  <c r="W138" i="57"/>
  <c r="V138" i="57"/>
  <c r="U138" i="57"/>
  <c r="T138" i="57"/>
  <c r="S138" i="57"/>
  <c r="R138" i="57"/>
  <c r="Q138" i="57"/>
  <c r="P138" i="57"/>
  <c r="O138" i="57"/>
  <c r="AG137" i="57"/>
  <c r="AF137" i="57"/>
  <c r="AE137" i="57"/>
  <c r="AD137" i="57"/>
  <c r="AC137" i="57"/>
  <c r="AB137" i="57"/>
  <c r="AA137" i="57"/>
  <c r="Z137" i="57"/>
  <c r="Y137" i="57"/>
  <c r="W137" i="57"/>
  <c r="V137" i="57"/>
  <c r="U137" i="57"/>
  <c r="T137" i="57"/>
  <c r="S137" i="57"/>
  <c r="R137" i="57"/>
  <c r="Q137" i="57"/>
  <c r="P137" i="57"/>
  <c r="O137" i="57"/>
  <c r="AG134" i="57"/>
  <c r="AF134" i="57"/>
  <c r="AE134" i="57"/>
  <c r="AD134" i="57"/>
  <c r="AC134" i="57"/>
  <c r="AB134" i="57"/>
  <c r="AA134" i="57"/>
  <c r="Z134" i="57"/>
  <c r="Y134" i="57"/>
  <c r="W134" i="57"/>
  <c r="V134" i="57"/>
  <c r="U134" i="57"/>
  <c r="T134" i="57"/>
  <c r="S134" i="57"/>
  <c r="R134" i="57"/>
  <c r="Q134" i="57"/>
  <c r="P134" i="57"/>
  <c r="O134" i="57"/>
  <c r="AG133" i="57"/>
  <c r="AF133" i="57"/>
  <c r="AE133" i="57"/>
  <c r="AB133" i="57"/>
  <c r="AA133" i="57"/>
  <c r="Z133" i="57"/>
  <c r="Y133" i="57"/>
  <c r="W133" i="57"/>
  <c r="V133" i="57"/>
  <c r="U133" i="57"/>
  <c r="T133" i="57"/>
  <c r="S133" i="57"/>
  <c r="R133" i="57"/>
  <c r="Q133" i="57"/>
  <c r="P133" i="57"/>
  <c r="O133" i="57"/>
  <c r="AG132" i="57"/>
  <c r="AF132" i="57"/>
  <c r="AE132" i="57"/>
  <c r="AD132" i="57"/>
  <c r="AC132" i="57"/>
  <c r="AB132" i="57"/>
  <c r="AA132" i="57"/>
  <c r="Z132" i="57"/>
  <c r="Y132" i="57"/>
  <c r="W132" i="57"/>
  <c r="V132" i="57"/>
  <c r="U132" i="57"/>
  <c r="T132" i="57"/>
  <c r="S132" i="57"/>
  <c r="R132" i="57"/>
  <c r="Q132" i="57"/>
  <c r="P132" i="57"/>
  <c r="O132" i="57"/>
  <c r="E132" i="57"/>
  <c r="W131" i="57"/>
  <c r="V131" i="57"/>
  <c r="U131" i="57"/>
  <c r="T131" i="57"/>
  <c r="S131" i="57"/>
  <c r="R131" i="57"/>
  <c r="Q131" i="57"/>
  <c r="P131" i="57"/>
  <c r="O131" i="57"/>
  <c r="M131" i="57"/>
  <c r="L131" i="57"/>
  <c r="K131" i="57"/>
  <c r="J131" i="57"/>
  <c r="I131" i="57"/>
  <c r="H131" i="57"/>
  <c r="G131" i="57"/>
  <c r="F131" i="57"/>
  <c r="E131" i="57"/>
  <c r="C129" i="57"/>
  <c r="C128" i="57"/>
  <c r="C127" i="57"/>
  <c r="C125" i="57"/>
  <c r="C124" i="57"/>
  <c r="C123" i="57"/>
  <c r="C122" i="57"/>
  <c r="C121" i="57"/>
  <c r="C120" i="57"/>
  <c r="C119" i="57"/>
  <c r="C118" i="57"/>
  <c r="C114" i="57"/>
  <c r="W113" i="57"/>
  <c r="V113" i="57"/>
  <c r="U113" i="57"/>
  <c r="T113" i="57"/>
  <c r="S113" i="57"/>
  <c r="R113" i="57"/>
  <c r="Q113" i="57"/>
  <c r="P113" i="57"/>
  <c r="O113" i="57"/>
  <c r="M113" i="57"/>
  <c r="L113" i="57"/>
  <c r="K113" i="57"/>
  <c r="J113" i="57"/>
  <c r="I113" i="57"/>
  <c r="H113" i="57"/>
  <c r="G113" i="57"/>
  <c r="F113" i="57"/>
  <c r="E113" i="57"/>
  <c r="E112" i="57"/>
  <c r="Y110" i="57"/>
  <c r="O110" i="57"/>
  <c r="C110" i="57"/>
  <c r="C109" i="57"/>
  <c r="C108" i="57"/>
  <c r="C107" i="57"/>
  <c r="AG104" i="57"/>
  <c r="AF104" i="57"/>
  <c r="AE104" i="57"/>
  <c r="AD104" i="57"/>
  <c r="AC104" i="57"/>
  <c r="AB104" i="57"/>
  <c r="AA104" i="57"/>
  <c r="Z104" i="57"/>
  <c r="Y104" i="57"/>
  <c r="W104" i="57"/>
  <c r="V104" i="57"/>
  <c r="U104" i="57"/>
  <c r="T104" i="57"/>
  <c r="S104" i="57"/>
  <c r="R104" i="57"/>
  <c r="Q104" i="57"/>
  <c r="P104" i="57"/>
  <c r="O104" i="57"/>
  <c r="E104" i="57"/>
  <c r="C104" i="57"/>
  <c r="AB103" i="57"/>
  <c r="AA103" i="57"/>
  <c r="Z103" i="57"/>
  <c r="Y103" i="57"/>
  <c r="W103" i="57"/>
  <c r="V103" i="57"/>
  <c r="U103" i="57"/>
  <c r="T103" i="57"/>
  <c r="S103" i="57"/>
  <c r="R103" i="57"/>
  <c r="P103" i="57"/>
  <c r="O103" i="57"/>
  <c r="C103" i="57"/>
  <c r="AG102" i="57"/>
  <c r="AF102" i="57"/>
  <c r="AE102" i="57"/>
  <c r="AD102" i="57"/>
  <c r="AC102" i="57"/>
  <c r="AB102" i="57"/>
  <c r="AA102" i="57"/>
  <c r="Z102" i="57"/>
  <c r="Y102" i="57"/>
  <c r="W102" i="57"/>
  <c r="V102" i="57"/>
  <c r="U102" i="57"/>
  <c r="T102" i="57"/>
  <c r="S102" i="57"/>
  <c r="R102" i="57"/>
  <c r="Q102" i="57"/>
  <c r="O102" i="57"/>
  <c r="C102" i="57"/>
  <c r="C101" i="57"/>
  <c r="AG100" i="57"/>
  <c r="AF100" i="57"/>
  <c r="AE100" i="57"/>
  <c r="AD100" i="57"/>
  <c r="AC100" i="57"/>
  <c r="AB100" i="57"/>
  <c r="AA100" i="57"/>
  <c r="Z100" i="57"/>
  <c r="Y100" i="57"/>
  <c r="W100" i="57"/>
  <c r="V100" i="57"/>
  <c r="U100" i="57"/>
  <c r="T100" i="57"/>
  <c r="S100" i="57"/>
  <c r="R100" i="57"/>
  <c r="Q100" i="57"/>
  <c r="P100" i="57"/>
  <c r="O100" i="57"/>
  <c r="E100" i="57"/>
  <c r="C100" i="57"/>
  <c r="AB99" i="57"/>
  <c r="AA99" i="57"/>
  <c r="Z99" i="57"/>
  <c r="Y99" i="57"/>
  <c r="W99" i="57"/>
  <c r="V99" i="57"/>
  <c r="U99" i="57"/>
  <c r="T99" i="57"/>
  <c r="S99" i="57"/>
  <c r="R99" i="57"/>
  <c r="Q99" i="57"/>
  <c r="P99" i="57"/>
  <c r="O99" i="57"/>
  <c r="C99" i="57"/>
  <c r="AG98" i="57"/>
  <c r="AF98" i="57"/>
  <c r="AE98" i="57"/>
  <c r="AD98" i="57"/>
  <c r="AC98" i="57"/>
  <c r="AB98" i="57"/>
  <c r="AA98" i="57"/>
  <c r="Z98" i="57"/>
  <c r="Y98" i="57"/>
  <c r="W98" i="57"/>
  <c r="V98" i="57"/>
  <c r="U98" i="57"/>
  <c r="T98" i="57"/>
  <c r="S98" i="57"/>
  <c r="R98" i="57"/>
  <c r="Q98" i="57"/>
  <c r="O98" i="57"/>
  <c r="C98" i="57"/>
  <c r="C97" i="57"/>
  <c r="AG96" i="57"/>
  <c r="AF96" i="57"/>
  <c r="AE96" i="57"/>
  <c r="AD96" i="57"/>
  <c r="AC96" i="57"/>
  <c r="AB96" i="57"/>
  <c r="AA96" i="57"/>
  <c r="Z96" i="57"/>
  <c r="Y96" i="57"/>
  <c r="W96" i="57"/>
  <c r="V96" i="57"/>
  <c r="U96" i="57"/>
  <c r="T96" i="57"/>
  <c r="S96" i="57"/>
  <c r="R96" i="57"/>
  <c r="Q96" i="57"/>
  <c r="P96" i="57"/>
  <c r="O96" i="57"/>
  <c r="E96" i="57"/>
  <c r="AB95" i="57"/>
  <c r="AA95" i="57"/>
  <c r="Z95" i="57"/>
  <c r="Y95" i="57"/>
  <c r="W95" i="57"/>
  <c r="V95" i="57"/>
  <c r="U95" i="57"/>
  <c r="T95" i="57"/>
  <c r="S95" i="57"/>
  <c r="R95" i="57"/>
  <c r="Q95" i="57"/>
  <c r="P95" i="57"/>
  <c r="O95" i="57"/>
  <c r="AG94" i="57"/>
  <c r="AF94" i="57"/>
  <c r="AE94" i="57"/>
  <c r="AD94" i="57"/>
  <c r="AC94" i="57"/>
  <c r="AB94" i="57"/>
  <c r="AA94" i="57"/>
  <c r="Z94" i="57"/>
  <c r="Y94" i="57"/>
  <c r="W94" i="57"/>
  <c r="V94" i="57"/>
  <c r="U94" i="57"/>
  <c r="T94" i="57"/>
  <c r="S94" i="57"/>
  <c r="R94" i="57"/>
  <c r="Q94" i="57"/>
  <c r="O94" i="57"/>
  <c r="C93" i="57"/>
  <c r="Z90" i="57"/>
  <c r="Y90" i="57"/>
  <c r="P90" i="57"/>
  <c r="O90" i="57"/>
  <c r="C90" i="57"/>
  <c r="AB89" i="57"/>
  <c r="AA89" i="57"/>
  <c r="Z89" i="57"/>
  <c r="Y89" i="57"/>
  <c r="O89" i="57"/>
  <c r="C89" i="57"/>
  <c r="AG88" i="57"/>
  <c r="AF88" i="57"/>
  <c r="AE88" i="57"/>
  <c r="AD88" i="57"/>
  <c r="AC88" i="57"/>
  <c r="AB88" i="57"/>
  <c r="AA88" i="57"/>
  <c r="Z88" i="57"/>
  <c r="Y88" i="57"/>
  <c r="W88" i="57"/>
  <c r="V88" i="57"/>
  <c r="U88" i="57"/>
  <c r="T88" i="57"/>
  <c r="S88" i="57"/>
  <c r="R88" i="57"/>
  <c r="O88" i="57"/>
  <c r="C88" i="57"/>
  <c r="Z87" i="57"/>
  <c r="Y87" i="57"/>
  <c r="P87" i="57"/>
  <c r="O87" i="57"/>
  <c r="C87" i="57"/>
  <c r="C86" i="57"/>
  <c r="AB85" i="57"/>
  <c r="AA85" i="57"/>
  <c r="Z85" i="57"/>
  <c r="Y85" i="57"/>
  <c r="W85" i="57"/>
  <c r="V85" i="57"/>
  <c r="U85" i="57"/>
  <c r="T85" i="57"/>
  <c r="S85" i="57"/>
  <c r="R85" i="57"/>
  <c r="Q85" i="57"/>
  <c r="P85" i="57"/>
  <c r="O85" i="57"/>
  <c r="C85" i="57"/>
  <c r="AB84" i="57"/>
  <c r="AA84" i="57"/>
  <c r="Z84" i="57"/>
  <c r="Y84" i="57"/>
  <c r="W84" i="57"/>
  <c r="V84" i="57"/>
  <c r="U84" i="57"/>
  <c r="T84" i="57"/>
  <c r="S84" i="57"/>
  <c r="R84" i="57"/>
  <c r="Q84" i="57"/>
  <c r="P84" i="57"/>
  <c r="O84" i="57"/>
  <c r="C84" i="57"/>
  <c r="AG83" i="57"/>
  <c r="AF83" i="57"/>
  <c r="AE83" i="57"/>
  <c r="AD83" i="57"/>
  <c r="AC83" i="57"/>
  <c r="AB83" i="57"/>
  <c r="AA83" i="57"/>
  <c r="Z83" i="57"/>
  <c r="Y83" i="57"/>
  <c r="W83" i="57"/>
  <c r="V83" i="57"/>
  <c r="U83" i="57"/>
  <c r="T83" i="57"/>
  <c r="S83" i="57"/>
  <c r="R83" i="57"/>
  <c r="Q83" i="57"/>
  <c r="P83" i="57"/>
  <c r="O83" i="57"/>
  <c r="C83" i="57"/>
  <c r="AB82" i="57"/>
  <c r="AA82" i="57"/>
  <c r="Z82" i="57"/>
  <c r="Y82" i="57"/>
  <c r="W82" i="57"/>
  <c r="V82" i="57"/>
  <c r="U82" i="57"/>
  <c r="T82" i="57"/>
  <c r="S82" i="57"/>
  <c r="R82" i="57"/>
  <c r="Q82" i="57"/>
  <c r="P82" i="57"/>
  <c r="O82" i="57"/>
  <c r="C82" i="57"/>
  <c r="C81" i="57"/>
  <c r="AB80" i="57"/>
  <c r="AA80" i="57"/>
  <c r="Z80" i="57"/>
  <c r="Y80" i="57"/>
  <c r="W80" i="57"/>
  <c r="V80" i="57"/>
  <c r="U80" i="57"/>
  <c r="T80" i="57"/>
  <c r="S80" i="57"/>
  <c r="R80" i="57"/>
  <c r="Q80" i="57"/>
  <c r="P80" i="57"/>
  <c r="O80" i="57"/>
  <c r="AB79" i="57"/>
  <c r="AA79" i="57"/>
  <c r="Z79" i="57"/>
  <c r="Y79" i="57"/>
  <c r="O79" i="57"/>
  <c r="AG78" i="57"/>
  <c r="AF78" i="57"/>
  <c r="AE78" i="57"/>
  <c r="AD78" i="57"/>
  <c r="AC78" i="57"/>
  <c r="AB78" i="57"/>
  <c r="AA78" i="57"/>
  <c r="Z78" i="57"/>
  <c r="Y78" i="57"/>
  <c r="W78" i="57"/>
  <c r="V78" i="57"/>
  <c r="U78" i="57"/>
  <c r="T78" i="57"/>
  <c r="S78" i="57"/>
  <c r="R78" i="57"/>
  <c r="Q78" i="57"/>
  <c r="P78" i="57"/>
  <c r="O78" i="57"/>
  <c r="AB77" i="57"/>
  <c r="AA77" i="57"/>
  <c r="Z77" i="57"/>
  <c r="Y77" i="57"/>
  <c r="W77" i="57"/>
  <c r="V77" i="57"/>
  <c r="U77" i="57"/>
  <c r="T77" i="57"/>
  <c r="S77" i="57"/>
  <c r="R77" i="57"/>
  <c r="Q77" i="57"/>
  <c r="P77" i="57"/>
  <c r="O77" i="57"/>
  <c r="AG76" i="57"/>
  <c r="AF76" i="57"/>
  <c r="AE76" i="57"/>
  <c r="AD76" i="57"/>
  <c r="AC76" i="57"/>
  <c r="AB76" i="57"/>
  <c r="AA76" i="57"/>
  <c r="Z76" i="57"/>
  <c r="Y76" i="57"/>
  <c r="W76" i="57"/>
  <c r="V76" i="57"/>
  <c r="U76" i="57"/>
  <c r="T76" i="57"/>
  <c r="S76" i="57"/>
  <c r="R76" i="57"/>
  <c r="Q76" i="57"/>
  <c r="P76" i="57"/>
  <c r="O76" i="57"/>
  <c r="C75" i="57"/>
  <c r="Z73" i="57"/>
  <c r="Y73" i="57"/>
  <c r="P73" i="57"/>
  <c r="O73" i="57"/>
  <c r="W72" i="57"/>
  <c r="V72" i="57"/>
  <c r="U72" i="57"/>
  <c r="T72" i="57"/>
  <c r="S72" i="57"/>
  <c r="R72" i="57"/>
  <c r="Q72" i="57"/>
  <c r="P72" i="57"/>
  <c r="O72" i="57"/>
  <c r="AG70" i="57"/>
  <c r="AF70" i="57"/>
  <c r="AE70" i="57"/>
  <c r="AD70" i="57"/>
  <c r="AC70" i="57"/>
  <c r="AB70" i="57"/>
  <c r="AA70" i="57"/>
  <c r="Z70" i="57"/>
  <c r="Y70" i="57"/>
  <c r="W70" i="57"/>
  <c r="V70" i="57"/>
  <c r="U70" i="57"/>
  <c r="T70" i="57"/>
  <c r="S70" i="57"/>
  <c r="R70" i="57"/>
  <c r="Q70" i="57"/>
  <c r="P70" i="57"/>
  <c r="AG69" i="57"/>
  <c r="AF69" i="57"/>
  <c r="AE69" i="57"/>
  <c r="AD69" i="57"/>
  <c r="AC69" i="57"/>
  <c r="AB69" i="57"/>
  <c r="AA69" i="57"/>
  <c r="Z69" i="57"/>
  <c r="Y69" i="57"/>
  <c r="W69" i="57"/>
  <c r="V69" i="57"/>
  <c r="U69" i="57"/>
  <c r="T69" i="57"/>
  <c r="S69" i="57"/>
  <c r="R69" i="57"/>
  <c r="Q69" i="57"/>
  <c r="P69" i="57"/>
  <c r="O69" i="57"/>
  <c r="E69" i="57"/>
  <c r="AG68" i="57"/>
  <c r="AF68" i="57"/>
  <c r="AE68" i="57"/>
  <c r="AD68" i="57"/>
  <c r="AC68" i="57"/>
  <c r="AB68" i="57"/>
  <c r="AA68" i="57"/>
  <c r="Z68" i="57"/>
  <c r="Y68" i="57"/>
  <c r="W68" i="57"/>
  <c r="V68" i="57"/>
  <c r="U68" i="57"/>
  <c r="T68" i="57"/>
  <c r="S68" i="57"/>
  <c r="R68" i="57"/>
  <c r="Q68" i="57"/>
  <c r="P68" i="57"/>
  <c r="O68" i="57"/>
  <c r="E68" i="57"/>
  <c r="AG67" i="57"/>
  <c r="AF67" i="57"/>
  <c r="AE67" i="57"/>
  <c r="AD67" i="57"/>
  <c r="AC67" i="57"/>
  <c r="AB67" i="57"/>
  <c r="AA67" i="57"/>
  <c r="Z67" i="57"/>
  <c r="Y67" i="57"/>
  <c r="W67" i="57"/>
  <c r="V67" i="57"/>
  <c r="U67" i="57"/>
  <c r="T67" i="57"/>
  <c r="S67" i="57"/>
  <c r="R67" i="57"/>
  <c r="Q67" i="57"/>
  <c r="P67" i="57"/>
  <c r="O67" i="57"/>
  <c r="W66" i="57"/>
  <c r="V66" i="57"/>
  <c r="U66" i="57"/>
  <c r="T66" i="57"/>
  <c r="S66" i="57"/>
  <c r="R66" i="57"/>
  <c r="Q66" i="57"/>
  <c r="P66" i="57"/>
  <c r="O66" i="57"/>
  <c r="AG64" i="57"/>
  <c r="AF64" i="57"/>
  <c r="AE64" i="57"/>
  <c r="AD64" i="57"/>
  <c r="AC64" i="57"/>
  <c r="AB64" i="57"/>
  <c r="AA64" i="57"/>
  <c r="Z64" i="57"/>
  <c r="Y64" i="57"/>
  <c r="W64" i="57"/>
  <c r="V64" i="57"/>
  <c r="U64" i="57"/>
  <c r="T64" i="57"/>
  <c r="S64" i="57"/>
  <c r="R64" i="57"/>
  <c r="Q64" i="57"/>
  <c r="P64" i="57"/>
  <c r="O64" i="57"/>
  <c r="AG63" i="57"/>
  <c r="AF63" i="57"/>
  <c r="AE63" i="57"/>
  <c r="AD63" i="57"/>
  <c r="AC63" i="57"/>
  <c r="AB63" i="57"/>
  <c r="AA63" i="57"/>
  <c r="Z63" i="57"/>
  <c r="Y63" i="57"/>
  <c r="W63" i="57"/>
  <c r="V63" i="57"/>
  <c r="U63" i="57"/>
  <c r="T63" i="57"/>
  <c r="S63" i="57"/>
  <c r="R63" i="57"/>
  <c r="Q63" i="57"/>
  <c r="P63" i="57"/>
  <c r="O63" i="57"/>
  <c r="M63" i="57"/>
  <c r="L63" i="57"/>
  <c r="K63" i="57"/>
  <c r="J63" i="57"/>
  <c r="I63" i="57"/>
  <c r="H63" i="57"/>
  <c r="G63" i="57"/>
  <c r="F63" i="57"/>
  <c r="E63" i="57"/>
  <c r="Y57" i="57"/>
  <c r="O57" i="57"/>
  <c r="C56" i="57"/>
  <c r="C55" i="57"/>
  <c r="C54" i="57"/>
  <c r="AG53" i="57"/>
  <c r="AF53" i="57"/>
  <c r="AE53" i="57"/>
  <c r="AD53" i="57"/>
  <c r="AC53" i="57"/>
  <c r="AB53" i="57"/>
  <c r="AA53" i="57"/>
  <c r="Z53" i="57"/>
  <c r="Y53" i="57"/>
  <c r="W53" i="57"/>
  <c r="V53" i="57"/>
  <c r="U53" i="57"/>
  <c r="T53" i="57"/>
  <c r="S53" i="57"/>
  <c r="R53" i="57"/>
  <c r="Q53" i="57"/>
  <c r="P53" i="57"/>
  <c r="O53" i="57"/>
  <c r="M53" i="57"/>
  <c r="L53" i="57"/>
  <c r="K53" i="57"/>
  <c r="J53" i="57"/>
  <c r="I53" i="57"/>
  <c r="H53" i="57"/>
  <c r="G53" i="57"/>
  <c r="F53" i="57"/>
  <c r="E53" i="57"/>
  <c r="Y51" i="57"/>
  <c r="O51" i="57"/>
  <c r="Y50" i="57"/>
  <c r="O50" i="57"/>
  <c r="Y49" i="57"/>
  <c r="O49" i="57"/>
  <c r="Z48" i="57"/>
  <c r="Y48" i="57"/>
  <c r="P48" i="57"/>
  <c r="O48" i="57"/>
  <c r="G47" i="57"/>
  <c r="Q47" i="57" s="1"/>
  <c r="F47" i="57"/>
  <c r="P47" i="57" s="1"/>
  <c r="E47" i="57"/>
  <c r="AB44" i="57"/>
  <c r="AA44" i="57"/>
  <c r="Z44" i="57"/>
  <c r="Y44" i="57"/>
  <c r="W44" i="57"/>
  <c r="V44" i="57"/>
  <c r="U44" i="57"/>
  <c r="T44" i="57"/>
  <c r="S44" i="57"/>
  <c r="R44" i="57"/>
  <c r="Q44" i="57"/>
  <c r="P44" i="57"/>
  <c r="O44" i="57"/>
  <c r="AB43" i="57"/>
  <c r="AA43" i="57"/>
  <c r="Z43" i="57"/>
  <c r="Y43" i="57"/>
  <c r="W43" i="57"/>
  <c r="V43" i="57"/>
  <c r="U43" i="57"/>
  <c r="T43" i="57"/>
  <c r="S43" i="57"/>
  <c r="R43" i="57"/>
  <c r="Q43" i="57"/>
  <c r="P43" i="57"/>
  <c r="O43" i="57"/>
  <c r="C43" i="57"/>
  <c r="AB42" i="57"/>
  <c r="AA42" i="57"/>
  <c r="Z42" i="57"/>
  <c r="Y42" i="57"/>
  <c r="W42" i="57"/>
  <c r="V42" i="57"/>
  <c r="U42" i="57"/>
  <c r="T42" i="57"/>
  <c r="S42" i="57"/>
  <c r="R42" i="57"/>
  <c r="Q42" i="57"/>
  <c r="P42" i="57"/>
  <c r="O42" i="57"/>
  <c r="C42" i="57"/>
  <c r="AB41" i="57"/>
  <c r="AA41" i="57"/>
  <c r="Z41" i="57"/>
  <c r="Y41" i="57"/>
  <c r="W41" i="57"/>
  <c r="V41" i="57"/>
  <c r="U41" i="57"/>
  <c r="T41" i="57"/>
  <c r="S41" i="57"/>
  <c r="R41" i="57"/>
  <c r="Q41" i="57"/>
  <c r="P41" i="57"/>
  <c r="O41" i="57"/>
  <c r="C41" i="57"/>
  <c r="AG40" i="57"/>
  <c r="AF40" i="57"/>
  <c r="AE40" i="57"/>
  <c r="AD40" i="57"/>
  <c r="AC40" i="57"/>
  <c r="AB40" i="57"/>
  <c r="AA40" i="57"/>
  <c r="Z40" i="57"/>
  <c r="Y40" i="57"/>
  <c r="W40" i="57"/>
  <c r="V40" i="57"/>
  <c r="U40" i="57"/>
  <c r="T40" i="57"/>
  <c r="S40" i="57"/>
  <c r="R40" i="57"/>
  <c r="Q40" i="57"/>
  <c r="P40" i="57"/>
  <c r="O40" i="57"/>
  <c r="H40" i="57"/>
  <c r="G40" i="57"/>
  <c r="F40" i="57"/>
  <c r="E40" i="57"/>
  <c r="AB38" i="57"/>
  <c r="AA38" i="57"/>
  <c r="Z38" i="57"/>
  <c r="Y38" i="57"/>
  <c r="W38" i="57"/>
  <c r="V38" i="57"/>
  <c r="U38" i="57"/>
  <c r="T38" i="57"/>
  <c r="S38" i="57"/>
  <c r="R38" i="57"/>
  <c r="Q38" i="57"/>
  <c r="P38" i="57"/>
  <c r="O38" i="57"/>
  <c r="AB37" i="57"/>
  <c r="AA37" i="57"/>
  <c r="Z37" i="57"/>
  <c r="Y37" i="57"/>
  <c r="W37" i="57"/>
  <c r="V37" i="57"/>
  <c r="U37" i="57"/>
  <c r="T37" i="57"/>
  <c r="S37" i="57"/>
  <c r="R37" i="57"/>
  <c r="Q37" i="57"/>
  <c r="P37" i="57"/>
  <c r="O37" i="57"/>
  <c r="C37" i="57"/>
  <c r="AB36" i="57"/>
  <c r="AA36" i="57"/>
  <c r="Z36" i="57"/>
  <c r="Y36" i="57"/>
  <c r="W36" i="57"/>
  <c r="V36" i="57"/>
  <c r="U36" i="57"/>
  <c r="T36" i="57"/>
  <c r="S36" i="57"/>
  <c r="R36" i="57"/>
  <c r="Q36" i="57"/>
  <c r="P36" i="57"/>
  <c r="O36" i="57"/>
  <c r="C36" i="57"/>
  <c r="AB35" i="57"/>
  <c r="AA35" i="57"/>
  <c r="Z35" i="57"/>
  <c r="Y35" i="57"/>
  <c r="W35" i="57"/>
  <c r="V35" i="57"/>
  <c r="U35" i="57"/>
  <c r="T35" i="57"/>
  <c r="S35" i="57"/>
  <c r="R35" i="57"/>
  <c r="Q35" i="57"/>
  <c r="P35" i="57"/>
  <c r="O35" i="57"/>
  <c r="C35" i="57"/>
  <c r="AG34" i="57"/>
  <c r="AF34" i="57"/>
  <c r="AE34" i="57"/>
  <c r="AD34" i="57"/>
  <c r="AC34" i="57"/>
  <c r="AB34" i="57"/>
  <c r="AA34" i="57"/>
  <c r="Z34" i="57"/>
  <c r="Y34" i="57"/>
  <c r="W34" i="57"/>
  <c r="V34" i="57"/>
  <c r="U34" i="57"/>
  <c r="T34" i="57"/>
  <c r="S34" i="57"/>
  <c r="R34" i="57"/>
  <c r="Q34" i="57"/>
  <c r="P34" i="57"/>
  <c r="O34" i="57"/>
  <c r="H34" i="57"/>
  <c r="G34" i="57"/>
  <c r="F34" i="57"/>
  <c r="E34" i="57"/>
  <c r="Z32" i="57"/>
  <c r="Y32" i="57"/>
  <c r="P32" i="57"/>
  <c r="O32" i="57"/>
  <c r="C32" i="57"/>
  <c r="AB31" i="57"/>
  <c r="AA31" i="57"/>
  <c r="Z31" i="57"/>
  <c r="Y31" i="57"/>
  <c r="W31" i="57"/>
  <c r="V31" i="57"/>
  <c r="U31" i="57"/>
  <c r="T31" i="57"/>
  <c r="S31" i="57"/>
  <c r="R31" i="57"/>
  <c r="Q31" i="57"/>
  <c r="P31" i="57"/>
  <c r="O31" i="57"/>
  <c r="C31" i="57"/>
  <c r="AB30" i="57"/>
  <c r="AA30" i="57"/>
  <c r="Z30" i="57"/>
  <c r="Y30" i="57"/>
  <c r="W30" i="57"/>
  <c r="V30" i="57"/>
  <c r="U30" i="57"/>
  <c r="T30" i="57"/>
  <c r="S30" i="57"/>
  <c r="R30" i="57"/>
  <c r="Q30" i="57"/>
  <c r="P30" i="57"/>
  <c r="O30" i="57"/>
  <c r="C30" i="57"/>
  <c r="AG29" i="57"/>
  <c r="AF29" i="57"/>
  <c r="AE29" i="57"/>
  <c r="AD29" i="57"/>
  <c r="AC29" i="57"/>
  <c r="AB29" i="57"/>
  <c r="AA29" i="57"/>
  <c r="Z29" i="57"/>
  <c r="Y29" i="57"/>
  <c r="W29" i="57"/>
  <c r="V29" i="57"/>
  <c r="U29" i="57"/>
  <c r="T29" i="57"/>
  <c r="S29" i="57"/>
  <c r="R29" i="57"/>
  <c r="Q29" i="57"/>
  <c r="P29" i="57"/>
  <c r="O29" i="57"/>
  <c r="H29" i="57"/>
  <c r="G29" i="57"/>
  <c r="F29" i="57"/>
  <c r="E29" i="57"/>
  <c r="AB27" i="57"/>
  <c r="AA27" i="57"/>
  <c r="Z27" i="57"/>
  <c r="Y27" i="57"/>
  <c r="W27" i="57"/>
  <c r="V27" i="57"/>
  <c r="U27" i="57"/>
  <c r="T27" i="57"/>
  <c r="S27" i="57"/>
  <c r="R27" i="57"/>
  <c r="Q27" i="57"/>
  <c r="P27" i="57"/>
  <c r="O27" i="57"/>
  <c r="C27" i="57"/>
  <c r="AB26" i="57"/>
  <c r="AA26" i="57"/>
  <c r="Z26" i="57"/>
  <c r="Y26" i="57"/>
  <c r="W26" i="57"/>
  <c r="V26" i="57"/>
  <c r="U26" i="57"/>
  <c r="T26" i="57"/>
  <c r="S26" i="57"/>
  <c r="R26" i="57"/>
  <c r="Q26" i="57"/>
  <c r="P26" i="57"/>
  <c r="O26" i="57"/>
  <c r="C26" i="57"/>
  <c r="AG25" i="57"/>
  <c r="AF25" i="57"/>
  <c r="AE25" i="57"/>
  <c r="AD25" i="57"/>
  <c r="AC25" i="57"/>
  <c r="AB25" i="57"/>
  <c r="AA25" i="57"/>
  <c r="Z25" i="57"/>
  <c r="Y25" i="57"/>
  <c r="W25" i="57"/>
  <c r="V25" i="57"/>
  <c r="U25" i="57"/>
  <c r="T25" i="57"/>
  <c r="S25" i="57"/>
  <c r="R25" i="57"/>
  <c r="Q25" i="57"/>
  <c r="P25" i="57"/>
  <c r="O25" i="57"/>
  <c r="C25" i="57"/>
  <c r="AG24" i="57"/>
  <c r="AF24" i="57"/>
  <c r="AE24" i="57"/>
  <c r="AD24" i="57"/>
  <c r="AC24" i="57"/>
  <c r="AB24" i="57"/>
  <c r="AA24" i="57"/>
  <c r="Z24" i="57"/>
  <c r="Y24" i="57"/>
  <c r="W24" i="57"/>
  <c r="V24" i="57"/>
  <c r="U24" i="57"/>
  <c r="T24" i="57"/>
  <c r="S24" i="57"/>
  <c r="R24" i="57"/>
  <c r="Q24" i="57"/>
  <c r="P24" i="57"/>
  <c r="O24" i="57"/>
  <c r="M24" i="57"/>
  <c r="L24" i="57"/>
  <c r="K24" i="57"/>
  <c r="J24" i="57"/>
  <c r="I24" i="57"/>
  <c r="H24" i="57"/>
  <c r="G24" i="57"/>
  <c r="F24" i="57"/>
  <c r="E24" i="57"/>
  <c r="W21" i="57"/>
  <c r="V21" i="57"/>
  <c r="U21" i="57"/>
  <c r="T21" i="57"/>
  <c r="S21" i="57"/>
  <c r="M20" i="57"/>
  <c r="L20" i="57"/>
  <c r="K20" i="57"/>
  <c r="J20" i="57"/>
  <c r="I20" i="57"/>
  <c r="H20" i="57"/>
  <c r="G20" i="57"/>
  <c r="F20" i="57"/>
  <c r="E20" i="57"/>
  <c r="M19" i="57"/>
  <c r="L19" i="57"/>
  <c r="K19" i="57"/>
  <c r="J19" i="57"/>
  <c r="I19" i="57"/>
  <c r="H19" i="57"/>
  <c r="G19" i="57"/>
  <c r="F19" i="57"/>
  <c r="E19" i="57"/>
  <c r="W18" i="57"/>
  <c r="V18" i="57"/>
  <c r="U18" i="57"/>
  <c r="T18" i="57"/>
  <c r="S18" i="57"/>
  <c r="R18" i="57"/>
  <c r="Q18" i="57"/>
  <c r="P18" i="57"/>
  <c r="O18" i="57"/>
  <c r="H18" i="57"/>
  <c r="G18" i="57"/>
  <c r="F18" i="57"/>
  <c r="E18" i="57"/>
  <c r="G15" i="57" a="1"/>
  <c r="G15" i="57" s="1"/>
  <c r="F15" i="57" a="1"/>
  <c r="F15" i="57" s="1"/>
  <c r="E15" i="57" a="1"/>
  <c r="E15" i="57" s="1"/>
  <c r="Y15" i="57" s="1"/>
  <c r="Y56" i="57" s="1"/>
  <c r="G14" i="57" a="1"/>
  <c r="G14" i="57" s="1"/>
  <c r="F14" i="57" a="1"/>
  <c r="F14" i="57" s="1"/>
  <c r="Z14" i="57" s="1"/>
  <c r="Z55" i="57" s="1"/>
  <c r="E14" i="57" a="1"/>
  <c r="E14" i="57" s="1"/>
  <c r="G13" i="57" a="1"/>
  <c r="G13" i="57" s="1"/>
  <c r="AA13" i="57" s="1"/>
  <c r="F13" i="57" a="1"/>
  <c r="F13" i="57" s="1"/>
  <c r="P13" i="57" s="1"/>
  <c r="E13" i="57" a="1"/>
  <c r="E13" i="57" s="1"/>
  <c r="Y13" i="57" s="1"/>
  <c r="AG12" i="57"/>
  <c r="AF12" i="57"/>
  <c r="AD12" i="57"/>
  <c r="AC12" i="57"/>
  <c r="AB12" i="57"/>
  <c r="AA12" i="57"/>
  <c r="Z12" i="57"/>
  <c r="Y12" i="57"/>
  <c r="R12" i="57"/>
  <c r="Q12" i="57"/>
  <c r="P12" i="57"/>
  <c r="O12" i="57"/>
  <c r="M12" i="57"/>
  <c r="L12" i="57"/>
  <c r="K12" i="57"/>
  <c r="J12" i="57"/>
  <c r="I12" i="57"/>
  <c r="H12" i="57"/>
  <c r="G12" i="57"/>
  <c r="F12" i="57"/>
  <c r="E12" i="57"/>
  <c r="M11" i="57"/>
  <c r="L11" i="57"/>
  <c r="K11" i="57"/>
  <c r="J11" i="57"/>
  <c r="I11" i="57"/>
  <c r="H11" i="57"/>
  <c r="G11" i="57"/>
  <c r="F11" i="57"/>
  <c r="E11" i="57"/>
  <c r="D3" i="57"/>
  <c r="C3" i="57" s="1"/>
  <c r="D1" i="57"/>
  <c r="A1" i="57"/>
  <c r="Q188" i="56"/>
  <c r="P188" i="56"/>
  <c r="O188" i="56"/>
  <c r="N188" i="56"/>
  <c r="M188" i="56"/>
  <c r="L188" i="56"/>
  <c r="K188" i="56"/>
  <c r="J188" i="56"/>
  <c r="Q187" i="56"/>
  <c r="P187" i="56"/>
  <c r="O187" i="56"/>
  <c r="N187" i="56"/>
  <c r="M187" i="56"/>
  <c r="L187" i="56"/>
  <c r="K187" i="56"/>
  <c r="J187" i="56"/>
  <c r="Q186" i="56"/>
  <c r="P186" i="56"/>
  <c r="O186" i="56"/>
  <c r="N186" i="56"/>
  <c r="M186" i="56"/>
  <c r="L186" i="56"/>
  <c r="K186" i="56"/>
  <c r="J186" i="56"/>
  <c r="R185" i="56" a="1"/>
  <c r="R185" i="56" s="1"/>
  <c r="Q185" i="56" a="1"/>
  <c r="Q185" i="56" s="1"/>
  <c r="P185" i="56" a="1"/>
  <c r="P185" i="56" s="1"/>
  <c r="O185" i="56" a="1"/>
  <c r="O185" i="56" s="1"/>
  <c r="N185" i="56" a="1"/>
  <c r="N185" i="56" s="1"/>
  <c r="M185" i="56" a="1"/>
  <c r="M185" i="56" s="1"/>
  <c r="L185" i="56" a="1"/>
  <c r="L185" i="56" s="1"/>
  <c r="K185" i="56"/>
  <c r="J185" i="56"/>
  <c r="R184" i="56" a="1"/>
  <c r="R184" i="56" s="1"/>
  <c r="Q184" i="56" a="1"/>
  <c r="Q184" i="56" s="1"/>
  <c r="P184" i="56" a="1"/>
  <c r="P184" i="56" s="1"/>
  <c r="O184" i="56" a="1"/>
  <c r="O184" i="56" s="1"/>
  <c r="N184" i="56" a="1"/>
  <c r="N184" i="56" s="1"/>
  <c r="M184" i="56" a="1"/>
  <c r="M184" i="56" s="1"/>
  <c r="L184" i="56" a="1"/>
  <c r="L184" i="56" s="1"/>
  <c r="K184" i="56"/>
  <c r="J184" i="56"/>
  <c r="I184" i="56"/>
  <c r="G184" i="56"/>
  <c r="F184" i="56"/>
  <c r="E184" i="56"/>
  <c r="C184" i="56"/>
  <c r="B184" i="56"/>
  <c r="R183" i="56" a="1"/>
  <c r="R183" i="56" s="1"/>
  <c r="Q183" i="56" a="1"/>
  <c r="Q183" i="56" s="1"/>
  <c r="P183" i="56" a="1"/>
  <c r="P183" i="56" s="1"/>
  <c r="O183" i="56" a="1"/>
  <c r="O183" i="56" s="1"/>
  <c r="N183" i="56" a="1"/>
  <c r="N183" i="56" s="1"/>
  <c r="M183" i="56" a="1"/>
  <c r="M183" i="56" s="1"/>
  <c r="L183" i="56" a="1"/>
  <c r="L183" i="56" s="1"/>
  <c r="K183" i="56"/>
  <c r="J183" i="56"/>
  <c r="I183" i="56"/>
  <c r="G183" i="56"/>
  <c r="F183" i="56"/>
  <c r="E183" i="56"/>
  <c r="C183" i="56"/>
  <c r="B183" i="56"/>
  <c r="R182" i="56" a="1"/>
  <c r="R182" i="56" s="1"/>
  <c r="Q182" i="56" a="1"/>
  <c r="Q182" i="56" s="1"/>
  <c r="P182" i="56" a="1"/>
  <c r="P182" i="56" s="1"/>
  <c r="O182" i="56" a="1"/>
  <c r="O182" i="56" s="1"/>
  <c r="N182" i="56" a="1"/>
  <c r="N182" i="56" s="1"/>
  <c r="M182" i="56" a="1"/>
  <c r="M182" i="56" s="1"/>
  <c r="L182" i="56" a="1"/>
  <c r="L182" i="56" s="1"/>
  <c r="K182" i="56"/>
  <c r="J182" i="56"/>
  <c r="I182" i="56"/>
  <c r="G182" i="56"/>
  <c r="F182" i="56"/>
  <c r="E182" i="56"/>
  <c r="C182" i="56"/>
  <c r="B182" i="56"/>
  <c r="R181" i="56" a="1"/>
  <c r="R181" i="56" s="1"/>
  <c r="Q181" i="56" a="1"/>
  <c r="Q181" i="56" s="1"/>
  <c r="P181" i="56" a="1"/>
  <c r="P181" i="56" s="1"/>
  <c r="O181" i="56" a="1"/>
  <c r="O181" i="56" s="1"/>
  <c r="N181" i="56" a="1"/>
  <c r="N181" i="56" s="1"/>
  <c r="M181" i="56" a="1"/>
  <c r="M181" i="56" s="1"/>
  <c r="L181" i="56" a="1"/>
  <c r="L181" i="56" s="1"/>
  <c r="K181" i="56"/>
  <c r="J181" i="56"/>
  <c r="I181" i="56"/>
  <c r="G181" i="56"/>
  <c r="F181" i="56"/>
  <c r="E181" i="56"/>
  <c r="C181" i="56"/>
  <c r="B181" i="56"/>
  <c r="R180" i="56" a="1"/>
  <c r="R180" i="56" s="1"/>
  <c r="Q180" i="56" a="1"/>
  <c r="Q180" i="56" s="1"/>
  <c r="P180" i="56" a="1"/>
  <c r="P180" i="56" s="1"/>
  <c r="O180" i="56" a="1"/>
  <c r="O180" i="56" s="1"/>
  <c r="N180" i="56" a="1"/>
  <c r="N180" i="56" s="1"/>
  <c r="M180" i="56" a="1"/>
  <c r="M180" i="56" s="1"/>
  <c r="L180" i="56" a="1"/>
  <c r="L180" i="56" s="1"/>
  <c r="K180" i="56"/>
  <c r="J180" i="56"/>
  <c r="I180" i="56"/>
  <c r="G180" i="56"/>
  <c r="F180" i="56"/>
  <c r="E180" i="56"/>
  <c r="C180" i="56"/>
  <c r="B180" i="56"/>
  <c r="R179" i="56" a="1"/>
  <c r="R179" i="56" s="1"/>
  <c r="Q179" i="56" a="1"/>
  <c r="Q179" i="56" s="1"/>
  <c r="P179" i="56" a="1"/>
  <c r="P179" i="56" s="1"/>
  <c r="O179" i="56" a="1"/>
  <c r="O179" i="56" s="1"/>
  <c r="N179" i="56" a="1"/>
  <c r="N179" i="56" s="1"/>
  <c r="M179" i="56" a="1"/>
  <c r="M179" i="56" s="1"/>
  <c r="L179" i="56" a="1"/>
  <c r="L179" i="56" s="1"/>
  <c r="K179" i="56"/>
  <c r="J179" i="56"/>
  <c r="I179" i="56"/>
  <c r="G179" i="56"/>
  <c r="F179" i="56"/>
  <c r="E179" i="56"/>
  <c r="C179" i="56"/>
  <c r="B179" i="56"/>
  <c r="R178" i="56" a="1"/>
  <c r="R178" i="56" s="1"/>
  <c r="Q178" i="56" a="1"/>
  <c r="Q178" i="56" s="1"/>
  <c r="P178" i="56" a="1"/>
  <c r="P178" i="56" s="1"/>
  <c r="O178" i="56" a="1"/>
  <c r="O178" i="56" s="1"/>
  <c r="N178" i="56" a="1"/>
  <c r="N178" i="56" s="1"/>
  <c r="M178" i="56" a="1"/>
  <c r="M178" i="56" s="1"/>
  <c r="L178" i="56" a="1"/>
  <c r="L178" i="56" s="1"/>
  <c r="K178" i="56"/>
  <c r="J178" i="56"/>
  <c r="I178" i="56"/>
  <c r="G178" i="56"/>
  <c r="F178" i="56"/>
  <c r="E178" i="56"/>
  <c r="C178" i="56"/>
  <c r="B178" i="56"/>
  <c r="R177" i="56" a="1"/>
  <c r="R177" i="56" s="1"/>
  <c r="Q177" i="56" a="1"/>
  <c r="Q177" i="56" s="1"/>
  <c r="P177" i="56" a="1"/>
  <c r="P177" i="56" s="1"/>
  <c r="O177" i="56" a="1"/>
  <c r="O177" i="56" s="1"/>
  <c r="N177" i="56" a="1"/>
  <c r="N177" i="56" s="1"/>
  <c r="M177" i="56" a="1"/>
  <c r="M177" i="56" s="1"/>
  <c r="L177" i="56" a="1"/>
  <c r="L177" i="56" s="1"/>
  <c r="K177" i="56"/>
  <c r="J177" i="56"/>
  <c r="I177" i="56"/>
  <c r="G177" i="56"/>
  <c r="F177" i="56"/>
  <c r="E177" i="56"/>
  <c r="C177" i="56"/>
  <c r="B177" i="56"/>
  <c r="R176" i="56" a="1"/>
  <c r="R176" i="56" s="1"/>
  <c r="Q176" i="56" a="1"/>
  <c r="Q176" i="56" s="1"/>
  <c r="P176" i="56" a="1"/>
  <c r="P176" i="56" s="1"/>
  <c r="O176" i="56" a="1"/>
  <c r="O176" i="56" s="1"/>
  <c r="N176" i="56" a="1"/>
  <c r="N176" i="56" s="1"/>
  <c r="M176" i="56" a="1"/>
  <c r="M176" i="56" s="1"/>
  <c r="L176" i="56" a="1"/>
  <c r="L176" i="56" s="1"/>
  <c r="K176" i="56"/>
  <c r="J176" i="56"/>
  <c r="I176" i="56"/>
  <c r="G176" i="56"/>
  <c r="F176" i="56"/>
  <c r="E176" i="56"/>
  <c r="C176" i="56"/>
  <c r="B176" i="56"/>
  <c r="AW175" i="56"/>
  <c r="AV175" i="56"/>
  <c r="AU175" i="56"/>
  <c r="AT175" i="56"/>
  <c r="AS175" i="56"/>
  <c r="AR175"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W174" i="56"/>
  <c r="AV174" i="56"/>
  <c r="AU174" i="56"/>
  <c r="AT174" i="56"/>
  <c r="AS174" i="56"/>
  <c r="AR174" i="56"/>
  <c r="AQ174" i="56"/>
  <c r="AP174" i="56"/>
  <c r="AO174" i="56"/>
  <c r="AN174"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AW173" i="56"/>
  <c r="AV173" i="56"/>
  <c r="AU173" i="56"/>
  <c r="AT173" i="56"/>
  <c r="AS173" i="56"/>
  <c r="AR173" i="56"/>
  <c r="AQ173" i="56"/>
  <c r="AP173" i="56"/>
  <c r="AO173" i="56"/>
  <c r="AN173" i="56"/>
  <c r="AM173" i="56"/>
  <c r="AL173" i="56"/>
  <c r="AK173" i="56"/>
  <c r="AJ173" i="56"/>
  <c r="AI173" i="56"/>
  <c r="AH173" i="56"/>
  <c r="AG173" i="56"/>
  <c r="AF173" i="56"/>
  <c r="AE173" i="56"/>
  <c r="AD173" i="56"/>
  <c r="AC173" i="56"/>
  <c r="AB173" i="56"/>
  <c r="AA173" i="56"/>
  <c r="Z173" i="56"/>
  <c r="Y173" i="56"/>
  <c r="X173" i="56"/>
  <c r="W173" i="56"/>
  <c r="V173" i="56"/>
  <c r="U173" i="56"/>
  <c r="T173" i="56"/>
  <c r="S173" i="56"/>
  <c r="R173" i="56"/>
  <c r="Q173" i="56"/>
  <c r="P173" i="56"/>
  <c r="O173" i="56"/>
  <c r="N173" i="56"/>
  <c r="M173" i="56"/>
  <c r="L173" i="56"/>
  <c r="K173" i="56"/>
  <c r="AW172" i="56"/>
  <c r="AV172" i="56"/>
  <c r="AU172" i="56"/>
  <c r="AT172" i="56"/>
  <c r="AS172" i="56"/>
  <c r="AR172"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a="1"/>
  <c r="J172" i="56"/>
  <c r="I172" i="56" a="1"/>
  <c r="I172" i="56"/>
  <c r="G172" i="56" a="1"/>
  <c r="G172" i="56"/>
  <c r="F172" i="56" a="1"/>
  <c r="F172" i="56"/>
  <c r="E172" i="56" a="1"/>
  <c r="E172" i="56"/>
  <c r="D172" i="56" a="1"/>
  <c r="D172" i="56"/>
  <c r="AW171" i="56"/>
  <c r="AV171" i="56"/>
  <c r="AU171" i="56"/>
  <c r="AT171" i="56"/>
  <c r="AS171" i="56"/>
  <c r="AR171"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O136" i="56"/>
  <c r="AN136" i="56"/>
  <c r="AM136" i="56"/>
  <c r="AL136" i="56"/>
  <c r="AK136" i="56"/>
  <c r="AJ136" i="56"/>
  <c r="AI136" i="56"/>
  <c r="AH136"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AO135" i="56"/>
  <c r="AN135" i="56"/>
  <c r="AM135" i="56"/>
  <c r="AL135" i="56"/>
  <c r="AK135" i="56"/>
  <c r="AJ135" i="56"/>
  <c r="AI135" i="56"/>
  <c r="AH135" i="56"/>
  <c r="AG135" i="56"/>
  <c r="AF135" i="56"/>
  <c r="AE135" i="56"/>
  <c r="AD135" i="56"/>
  <c r="AC135" i="56"/>
  <c r="AB135" i="56"/>
  <c r="AA135" i="56"/>
  <c r="Z135" i="56"/>
  <c r="Y135" i="56"/>
  <c r="X135" i="56"/>
  <c r="W135" i="56"/>
  <c r="V135" i="56"/>
  <c r="U135" i="56"/>
  <c r="T135" i="56"/>
  <c r="S135" i="56"/>
  <c r="R135" i="56"/>
  <c r="Q135" i="56"/>
  <c r="P135" i="56"/>
  <c r="O135" i="56"/>
  <c r="N135" i="56"/>
  <c r="M135" i="56"/>
  <c r="L135" i="56"/>
  <c r="K135" i="56"/>
  <c r="J135"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K129" i="56" a="1"/>
  <c r="K129" i="56"/>
  <c r="J129" i="56" a="1"/>
  <c r="J129" i="56"/>
  <c r="I129" i="56" a="1"/>
  <c r="I129" i="56"/>
  <c r="H129" i="56" a="1"/>
  <c r="H129" i="56"/>
  <c r="G129" i="56" a="1"/>
  <c r="G129" i="56"/>
  <c r="F129" i="56" a="1"/>
  <c r="F129" i="56"/>
  <c r="E129" i="56" a="1"/>
  <c r="E129" i="56"/>
  <c r="D129" i="56" a="1"/>
  <c r="D129" i="56"/>
  <c r="C129" i="56" a="1"/>
  <c r="C129" i="56"/>
  <c r="M123" i="56" a="1"/>
  <c r="M123" i="56" s="1"/>
  <c r="J149" i="56" s="1"/>
  <c r="R188" i="56" s="1"/>
  <c r="L123" i="56"/>
  <c r="K123" i="56"/>
  <c r="J123" i="56"/>
  <c r="H123" i="56"/>
  <c r="E123" i="56"/>
  <c r="C123" i="56"/>
  <c r="B123" i="56"/>
  <c r="M122" i="56" a="1"/>
  <c r="M122" i="56" s="1"/>
  <c r="J148" i="56" s="1"/>
  <c r="R187" i="56" s="1"/>
  <c r="L122" i="56"/>
  <c r="K122" i="56"/>
  <c r="J122" i="56"/>
  <c r="H122" i="56"/>
  <c r="E122" i="56"/>
  <c r="C122" i="56"/>
  <c r="B122" i="56"/>
  <c r="M121" i="56" a="1"/>
  <c r="M121" i="56" s="1"/>
  <c r="J147" i="56" s="1"/>
  <c r="R186" i="56" s="1"/>
  <c r="L121" i="56"/>
  <c r="K121" i="56"/>
  <c r="J121" i="56"/>
  <c r="H121" i="56"/>
  <c r="E121" i="56"/>
  <c r="C121" i="56"/>
  <c r="B121" i="56"/>
  <c r="M120" i="56" a="1"/>
  <c r="M120" i="56" s="1"/>
  <c r="J146" i="56" s="1"/>
  <c r="G96" i="47" s="1"/>
  <c r="L120" i="56"/>
  <c r="K120" i="56"/>
  <c r="J120" i="56"/>
  <c r="H120" i="56"/>
  <c r="E120" i="56"/>
  <c r="C120" i="56"/>
  <c r="B120" i="56"/>
  <c r="M119" i="56" a="1"/>
  <c r="M119" i="56" s="1"/>
  <c r="J145" i="56" s="1"/>
  <c r="L119" i="56"/>
  <c r="K119" i="56"/>
  <c r="J119" i="56"/>
  <c r="H119" i="56"/>
  <c r="E119" i="56"/>
  <c r="C119" i="56"/>
  <c r="B119" i="56"/>
  <c r="M118" i="56" a="1"/>
  <c r="M118" i="56" s="1"/>
  <c r="J144" i="56" s="1"/>
  <c r="L118" i="56"/>
  <c r="K118" i="56"/>
  <c r="J118" i="56"/>
  <c r="H118" i="56"/>
  <c r="E118" i="56"/>
  <c r="C118" i="56"/>
  <c r="B118" i="56"/>
  <c r="M117" i="56" a="1"/>
  <c r="M117" i="56" s="1"/>
  <c r="J143" i="56" s="1"/>
  <c r="G93" i="47" s="1"/>
  <c r="L117" i="56"/>
  <c r="K117" i="56"/>
  <c r="J117" i="56"/>
  <c r="H117" i="56"/>
  <c r="E117" i="56"/>
  <c r="C117" i="56"/>
  <c r="B117" i="56"/>
  <c r="M116" i="56" a="1"/>
  <c r="M116" i="56" s="1"/>
  <c r="J142" i="56" s="1"/>
  <c r="G92" i="47" s="1"/>
  <c r="L116" i="56"/>
  <c r="K116" i="56"/>
  <c r="J116" i="56"/>
  <c r="H116" i="56"/>
  <c r="E116" i="56"/>
  <c r="C116" i="56"/>
  <c r="B116" i="56"/>
  <c r="M115" i="56" a="1"/>
  <c r="M115" i="56" s="1"/>
  <c r="J141" i="56" s="1"/>
  <c r="G91" i="47" s="1"/>
  <c r="L115" i="56"/>
  <c r="K115" i="56"/>
  <c r="J115" i="56"/>
  <c r="H115" i="56"/>
  <c r="E115" i="56"/>
  <c r="C115" i="56"/>
  <c r="B115" i="56"/>
  <c r="M114" i="56" a="1"/>
  <c r="M114" i="56" s="1"/>
  <c r="J140" i="56" s="1"/>
  <c r="G90" i="47" s="1"/>
  <c r="L114" i="56"/>
  <c r="K114" i="56"/>
  <c r="J114" i="56"/>
  <c r="H114" i="56"/>
  <c r="E114" i="56"/>
  <c r="C114" i="56"/>
  <c r="B114" i="56"/>
  <c r="M113" i="56" a="1"/>
  <c r="M113" i="56" s="1"/>
  <c r="J139" i="56" s="1"/>
  <c r="L113" i="56"/>
  <c r="K113" i="56"/>
  <c r="J113" i="56"/>
  <c r="H113" i="56"/>
  <c r="E113" i="56"/>
  <c r="C113" i="56"/>
  <c r="B113" i="56"/>
  <c r="M112" i="56" a="1"/>
  <c r="M112" i="56" s="1"/>
  <c r="J138" i="56" s="1"/>
  <c r="G88" i="47" s="1"/>
  <c r="L112" i="56"/>
  <c r="K112" i="56"/>
  <c r="J112" i="56"/>
  <c r="H112" i="56"/>
  <c r="E112" i="56"/>
  <c r="C112" i="56"/>
  <c r="B112" i="56"/>
  <c r="M111" i="56" a="1"/>
  <c r="M111" i="56" s="1"/>
  <c r="J137" i="56" s="1"/>
  <c r="G87" i="47" s="1"/>
  <c r="L111" i="56"/>
  <c r="K111" i="56"/>
  <c r="J111" i="56"/>
  <c r="H111" i="56"/>
  <c r="E111" i="56"/>
  <c r="C111" i="56"/>
  <c r="B111" i="56"/>
  <c r="AZ110" i="56"/>
  <c r="AY110" i="56"/>
  <c r="AX110" i="56"/>
  <c r="AW110" i="56"/>
  <c r="AV110" i="56"/>
  <c r="AU110" i="56"/>
  <c r="AT110" i="56"/>
  <c r="AS110" i="56"/>
  <c r="AR110" i="56"/>
  <c r="AQ110" i="56"/>
  <c r="AP110" i="56"/>
  <c r="AO110" i="56"/>
  <c r="AN110" i="56"/>
  <c r="AM110" i="56"/>
  <c r="AL110" i="56"/>
  <c r="AK110" i="56"/>
  <c r="AJ110" i="56"/>
  <c r="AI110" i="56"/>
  <c r="AH110" i="56"/>
  <c r="AG110" i="56"/>
  <c r="AF110" i="56"/>
  <c r="AE110" i="56"/>
  <c r="AD110" i="56"/>
  <c r="AC110" i="56"/>
  <c r="AB110" i="56"/>
  <c r="AA110" i="56"/>
  <c r="Z110" i="56"/>
  <c r="Y110" i="56"/>
  <c r="X110" i="56"/>
  <c r="W110" i="56"/>
  <c r="V110" i="56"/>
  <c r="U110" i="56"/>
  <c r="T110" i="56"/>
  <c r="S110" i="56"/>
  <c r="R110" i="56"/>
  <c r="Q110" i="56"/>
  <c r="P110" i="56"/>
  <c r="O110" i="56"/>
  <c r="N110" i="56"/>
  <c r="M110" i="56"/>
  <c r="AZ109" i="56"/>
  <c r="AY109" i="56"/>
  <c r="AX109" i="56"/>
  <c r="AW109" i="56"/>
  <c r="AV109" i="56"/>
  <c r="AU109" i="56"/>
  <c r="AT109" i="56"/>
  <c r="AS109" i="56"/>
  <c r="AR109" i="56"/>
  <c r="AQ109" i="56"/>
  <c r="AP109" i="56"/>
  <c r="AO109" i="56"/>
  <c r="AN109" i="56"/>
  <c r="AM109" i="56"/>
  <c r="AL109" i="56"/>
  <c r="AK109" i="56"/>
  <c r="AJ109" i="56"/>
  <c r="AI109" i="56"/>
  <c r="AH109" i="56"/>
  <c r="AG109" i="56"/>
  <c r="AF109" i="56"/>
  <c r="AE109" i="56"/>
  <c r="AD109" i="56"/>
  <c r="AC109" i="56"/>
  <c r="AB109" i="56"/>
  <c r="AA109" i="56"/>
  <c r="Z109" i="56"/>
  <c r="Y109" i="56"/>
  <c r="X109" i="56"/>
  <c r="W109" i="56"/>
  <c r="V109" i="56"/>
  <c r="U109" i="56"/>
  <c r="T109" i="56"/>
  <c r="S109" i="56"/>
  <c r="R109" i="56"/>
  <c r="Q109" i="56"/>
  <c r="P109" i="56"/>
  <c r="O109" i="56"/>
  <c r="N109" i="56"/>
  <c r="M109" i="56"/>
  <c r="AZ108" i="56"/>
  <c r="AY108" i="56"/>
  <c r="AX108" i="56"/>
  <c r="AW108" i="56"/>
  <c r="AV108" i="56"/>
  <c r="AU108" i="56"/>
  <c r="AT108" i="56"/>
  <c r="AS108" i="56"/>
  <c r="AR108" i="56"/>
  <c r="AQ108" i="56"/>
  <c r="AP108" i="56"/>
  <c r="AO108" i="56"/>
  <c r="AN108" i="56"/>
  <c r="AM108" i="56"/>
  <c r="AL108" i="56"/>
  <c r="AK108" i="56"/>
  <c r="AJ108" i="56"/>
  <c r="AI108" i="56"/>
  <c r="AH108" i="56"/>
  <c r="AG108" i="56"/>
  <c r="AF108" i="56"/>
  <c r="AE108" i="56"/>
  <c r="AD108" i="56"/>
  <c r="AC108" i="56"/>
  <c r="AB108" i="56"/>
  <c r="AA108" i="56"/>
  <c r="Z108" i="56"/>
  <c r="Y108" i="56"/>
  <c r="X108" i="56"/>
  <c r="W108" i="56"/>
  <c r="V108" i="56"/>
  <c r="U108" i="56"/>
  <c r="T108" i="56"/>
  <c r="S108" i="56"/>
  <c r="R108" i="56"/>
  <c r="Q108" i="56"/>
  <c r="P108" i="56"/>
  <c r="O108" i="56"/>
  <c r="N108" i="56"/>
  <c r="M108" i="56"/>
  <c r="L108" i="56" a="1"/>
  <c r="L108" i="56"/>
  <c r="K108" i="56" a="1"/>
  <c r="K108" i="56"/>
  <c r="J108" i="56" a="1"/>
  <c r="J108" i="56"/>
  <c r="I108" i="56" a="1"/>
  <c r="I108" i="56"/>
  <c r="H108" i="56" a="1"/>
  <c r="H108" i="56"/>
  <c r="G108" i="56" a="1"/>
  <c r="G108" i="56"/>
  <c r="F108" i="56" a="1"/>
  <c r="F108" i="56"/>
  <c r="E108" i="56" a="1"/>
  <c r="E108" i="56"/>
  <c r="D108" i="56" a="1"/>
  <c r="D108" i="56"/>
  <c r="AZ107" i="56"/>
  <c r="AY107" i="56"/>
  <c r="AX107" i="56"/>
  <c r="AW107" i="56"/>
  <c r="AV107" i="56"/>
  <c r="AU107" i="56"/>
  <c r="AT107" i="56"/>
  <c r="AS107" i="56"/>
  <c r="AR107" i="56"/>
  <c r="AQ107" i="56"/>
  <c r="AP107" i="56"/>
  <c r="AO107" i="56"/>
  <c r="AN107" i="56"/>
  <c r="AM107" i="56"/>
  <c r="AL107" i="56"/>
  <c r="AK107" i="56"/>
  <c r="AJ107" i="56"/>
  <c r="AI107" i="56"/>
  <c r="AH107" i="56"/>
  <c r="AG107" i="56"/>
  <c r="AF107" i="56"/>
  <c r="AE107" i="56"/>
  <c r="AD107" i="56"/>
  <c r="AC107" i="56"/>
  <c r="AB107" i="56"/>
  <c r="AA107" i="56"/>
  <c r="Z107" i="56"/>
  <c r="Y107" i="56"/>
  <c r="X107" i="56"/>
  <c r="W107" i="56"/>
  <c r="V107" i="56"/>
  <c r="U107" i="56"/>
  <c r="T107" i="56"/>
  <c r="S107" i="56"/>
  <c r="R107" i="56"/>
  <c r="Q107" i="56"/>
  <c r="P107" i="56"/>
  <c r="O107" i="56"/>
  <c r="N107" i="56"/>
  <c r="M107" i="56"/>
  <c r="AX106" i="56"/>
  <c r="AW106" i="56"/>
  <c r="AV106" i="56"/>
  <c r="AU106" i="56"/>
  <c r="AT106" i="56"/>
  <c r="AS106" i="56"/>
  <c r="AR106" i="56"/>
  <c r="AQ106" i="56"/>
  <c r="AP106" i="56"/>
  <c r="AO106" i="56"/>
  <c r="AN106" i="56"/>
  <c r="AM106" i="56"/>
  <c r="AL106" i="56"/>
  <c r="AK106" i="56"/>
  <c r="AJ106" i="56"/>
  <c r="AI106" i="56"/>
  <c r="AH106" i="56"/>
  <c r="AG106" i="56"/>
  <c r="AF106" i="56"/>
  <c r="AE106" i="56"/>
  <c r="AD106" i="56"/>
  <c r="AC106" i="56"/>
  <c r="AB106" i="56"/>
  <c r="AA106" i="56"/>
  <c r="Z106" i="56"/>
  <c r="Y106" i="56"/>
  <c r="X106" i="56"/>
  <c r="W106" i="56"/>
  <c r="V106" i="56"/>
  <c r="U106" i="56"/>
  <c r="T106" i="56"/>
  <c r="S106" i="56"/>
  <c r="R106" i="56"/>
  <c r="Q106" i="56"/>
  <c r="P106" i="56"/>
  <c r="O106" i="56"/>
  <c r="N106" i="56"/>
  <c r="F104" i="56"/>
  <c r="F103" i="56"/>
  <c r="F102" i="56"/>
  <c r="Z101" i="56"/>
  <c r="P101" i="56"/>
  <c r="F101" i="56"/>
  <c r="Z100" i="56"/>
  <c r="P100" i="56"/>
  <c r="F100" i="56"/>
  <c r="Z99" i="56"/>
  <c r="P99" i="56"/>
  <c r="F99" i="56"/>
  <c r="Z98" i="56"/>
  <c r="P98" i="56"/>
  <c r="F98" i="56"/>
  <c r="Z97" i="56"/>
  <c r="P97" i="56"/>
  <c r="F97" i="56"/>
  <c r="Z96" i="56"/>
  <c r="P96" i="56"/>
  <c r="F96" i="56"/>
  <c r="Z95" i="56"/>
  <c r="P95" i="56"/>
  <c r="F95" i="56"/>
  <c r="Z94" i="56"/>
  <c r="P94" i="56"/>
  <c r="F94" i="56"/>
  <c r="Z93" i="56"/>
  <c r="P93" i="56"/>
  <c r="F93" i="56"/>
  <c r="Z92" i="56"/>
  <c r="P92" i="56"/>
  <c r="F92" i="56"/>
  <c r="AH91" i="56"/>
  <c r="AG91" i="56"/>
  <c r="AF91" i="56"/>
  <c r="AE91" i="56"/>
  <c r="AD91" i="56"/>
  <c r="AC91" i="56"/>
  <c r="AB91" i="56"/>
  <c r="AA91" i="56"/>
  <c r="Z91" i="56"/>
  <c r="X91" i="56"/>
  <c r="W91" i="56"/>
  <c r="V91" i="56"/>
  <c r="U91" i="56"/>
  <c r="T91" i="56"/>
  <c r="S91" i="56"/>
  <c r="R91" i="56"/>
  <c r="Q91" i="56"/>
  <c r="P91" i="56"/>
  <c r="N91" i="56"/>
  <c r="M91" i="56"/>
  <c r="L91" i="56"/>
  <c r="K91" i="56"/>
  <c r="J91" i="56"/>
  <c r="I91" i="56"/>
  <c r="H91" i="56"/>
  <c r="G91" i="56"/>
  <c r="F91" i="56"/>
  <c r="Z89" i="56"/>
  <c r="P89" i="56"/>
  <c r="F89" i="56"/>
  <c r="Z88" i="56"/>
  <c r="P88" i="56"/>
  <c r="F88" i="56"/>
  <c r="Z87" i="56"/>
  <c r="P87" i="56"/>
  <c r="F87" i="56"/>
  <c r="Z86" i="56"/>
  <c r="P86" i="56"/>
  <c r="F86" i="56"/>
  <c r="Z85" i="56"/>
  <c r="P85" i="56"/>
  <c r="F85" i="56"/>
  <c r="Z84" i="56"/>
  <c r="P84" i="56"/>
  <c r="F84" i="56"/>
  <c r="Z83" i="56"/>
  <c r="P83" i="56"/>
  <c r="F83" i="56"/>
  <c r="Z82" i="56"/>
  <c r="P82" i="56"/>
  <c r="F82" i="56"/>
  <c r="AT81" i="56"/>
  <c r="AN81" i="56"/>
  <c r="Z81" i="56"/>
  <c r="P81" i="56"/>
  <c r="F81" i="56"/>
  <c r="AT80" i="56"/>
  <c r="AN80" i="56"/>
  <c r="Z80" i="56"/>
  <c r="P80" i="56"/>
  <c r="F80" i="56"/>
  <c r="Z79" i="56"/>
  <c r="P79" i="56"/>
  <c r="F79" i="56"/>
  <c r="AT78" i="56"/>
  <c r="AN78" i="56"/>
  <c r="Z78" i="56"/>
  <c r="P78" i="56"/>
  <c r="F78" i="56"/>
  <c r="AT77" i="56"/>
  <c r="AN77" i="56"/>
  <c r="Z77" i="56"/>
  <c r="P77" i="56"/>
  <c r="F77" i="56"/>
  <c r="AX76" i="56"/>
  <c r="AW76" i="56"/>
  <c r="AV76" i="56"/>
  <c r="AU76" i="56"/>
  <c r="AT76" i="56"/>
  <c r="AR76" i="56"/>
  <c r="AQ76" i="56"/>
  <c r="AP76" i="56"/>
  <c r="AO76" i="56"/>
  <c r="AN76" i="56"/>
  <c r="Z76" i="56"/>
  <c r="P76" i="56"/>
  <c r="F76" i="56"/>
  <c r="AN75" i="56"/>
  <c r="AH75" i="56"/>
  <c r="AG75" i="56"/>
  <c r="AF75" i="56"/>
  <c r="AE75" i="56"/>
  <c r="AD75" i="56"/>
  <c r="AC75" i="56"/>
  <c r="AB75" i="56"/>
  <c r="AA75" i="56"/>
  <c r="Z75" i="56"/>
  <c r="Y75" i="56"/>
  <c r="X75" i="56"/>
  <c r="W75" i="56"/>
  <c r="V75" i="56"/>
  <c r="U75" i="56"/>
  <c r="T75" i="56"/>
  <c r="S75" i="56"/>
  <c r="R75" i="56"/>
  <c r="Q75" i="56"/>
  <c r="P75" i="56"/>
  <c r="N75" i="56"/>
  <c r="M75" i="56"/>
  <c r="L75" i="56"/>
  <c r="K75" i="56"/>
  <c r="J75" i="56"/>
  <c r="I75" i="56"/>
  <c r="H75" i="56"/>
  <c r="G75" i="56"/>
  <c r="F75" i="56"/>
  <c r="P73" i="56"/>
  <c r="AH72" i="56"/>
  <c r="AG72" i="56"/>
  <c r="AF72" i="56"/>
  <c r="AE72" i="56"/>
  <c r="AD72" i="56"/>
  <c r="AC72" i="56"/>
  <c r="AB72" i="56"/>
  <c r="AA72" i="56"/>
  <c r="Z72" i="56"/>
  <c r="X72" i="56"/>
  <c r="W72" i="56"/>
  <c r="V72" i="56"/>
  <c r="U72" i="56"/>
  <c r="T72" i="56"/>
  <c r="S72" i="56"/>
  <c r="R72" i="56"/>
  <c r="Q72" i="56"/>
  <c r="P72" i="56"/>
  <c r="G72" i="56"/>
  <c r="AH71" i="56"/>
  <c r="AG71" i="56"/>
  <c r="AF71" i="56"/>
  <c r="AE71" i="56"/>
  <c r="AD71" i="56"/>
  <c r="AC71" i="56"/>
  <c r="AB71" i="56"/>
  <c r="AA71" i="56"/>
  <c r="Z71" i="56"/>
  <c r="X71" i="56"/>
  <c r="W71" i="56"/>
  <c r="V71" i="56"/>
  <c r="U71" i="56"/>
  <c r="T71" i="56"/>
  <c r="S71" i="56"/>
  <c r="R71" i="56"/>
  <c r="Q71" i="56"/>
  <c r="P71" i="56"/>
  <c r="G71" i="56"/>
  <c r="AH70" i="56"/>
  <c r="AG70" i="56"/>
  <c r="AF70" i="56"/>
  <c r="AE70" i="56"/>
  <c r="AD70" i="56"/>
  <c r="AC70" i="56"/>
  <c r="AB70" i="56"/>
  <c r="AA70" i="56"/>
  <c r="Z70" i="56"/>
  <c r="X70" i="56"/>
  <c r="W70" i="56"/>
  <c r="V70" i="56"/>
  <c r="U70" i="56"/>
  <c r="T70" i="56"/>
  <c r="S70" i="56"/>
  <c r="R70" i="56"/>
  <c r="Q70" i="56"/>
  <c r="P70" i="56"/>
  <c r="G70" i="56"/>
  <c r="AH69" i="56"/>
  <c r="AG69" i="56"/>
  <c r="AF69" i="56"/>
  <c r="AE69" i="56"/>
  <c r="AD69" i="56"/>
  <c r="AC69" i="56"/>
  <c r="AB69" i="56"/>
  <c r="AA69" i="56"/>
  <c r="Z69" i="56"/>
  <c r="X69" i="56"/>
  <c r="W69" i="56"/>
  <c r="V69" i="56"/>
  <c r="U69" i="56"/>
  <c r="T69" i="56"/>
  <c r="S69" i="56"/>
  <c r="R69" i="56"/>
  <c r="Q69" i="56"/>
  <c r="P69" i="56"/>
  <c r="AH68" i="56"/>
  <c r="AG68" i="56"/>
  <c r="AF68" i="56"/>
  <c r="AE68" i="56"/>
  <c r="AD68" i="56"/>
  <c r="AC68" i="56"/>
  <c r="AB68" i="56"/>
  <c r="AA68" i="56"/>
  <c r="Z68" i="56"/>
  <c r="X68" i="56"/>
  <c r="W68" i="56"/>
  <c r="V68" i="56"/>
  <c r="U68" i="56"/>
  <c r="T68" i="56"/>
  <c r="S68" i="56"/>
  <c r="R68" i="56"/>
  <c r="Q68" i="56"/>
  <c r="P68" i="56"/>
  <c r="G68" i="56"/>
  <c r="AH67" i="56"/>
  <c r="AG67" i="56"/>
  <c r="AF67" i="56"/>
  <c r="AE67" i="56"/>
  <c r="AD67" i="56"/>
  <c r="AC67" i="56"/>
  <c r="AB67" i="56"/>
  <c r="AA67" i="56"/>
  <c r="Z67" i="56"/>
  <c r="X67" i="56"/>
  <c r="W67" i="56"/>
  <c r="V67" i="56"/>
  <c r="U67" i="56"/>
  <c r="T67" i="56"/>
  <c r="S67" i="56"/>
  <c r="R67" i="56"/>
  <c r="Q67" i="56"/>
  <c r="P67" i="56"/>
  <c r="G67" i="56"/>
  <c r="AH66" i="56"/>
  <c r="AG66" i="56"/>
  <c r="AF66" i="56"/>
  <c r="AE66" i="56"/>
  <c r="AD66" i="56"/>
  <c r="AC66" i="56"/>
  <c r="AB66" i="56"/>
  <c r="AA66" i="56"/>
  <c r="Z66" i="56"/>
  <c r="X66" i="56"/>
  <c r="W66" i="56"/>
  <c r="V66" i="56"/>
  <c r="U66" i="56"/>
  <c r="T66" i="56"/>
  <c r="S66" i="56"/>
  <c r="R66" i="56"/>
  <c r="Q66" i="56"/>
  <c r="P66" i="56"/>
  <c r="G66" i="56"/>
  <c r="AH65" i="56"/>
  <c r="AG65" i="56"/>
  <c r="AF65" i="56"/>
  <c r="AE65" i="56"/>
  <c r="AD65" i="56"/>
  <c r="AC65" i="56"/>
  <c r="AB65" i="56"/>
  <c r="AA65" i="56"/>
  <c r="Z65" i="56"/>
  <c r="X65" i="56"/>
  <c r="W65" i="56"/>
  <c r="V65" i="56"/>
  <c r="U65" i="56"/>
  <c r="T65" i="56"/>
  <c r="S65" i="56"/>
  <c r="R65" i="56"/>
  <c r="Q65" i="56"/>
  <c r="P65" i="56"/>
  <c r="G65" i="56"/>
  <c r="AH64" i="56"/>
  <c r="AG64" i="56"/>
  <c r="AF64" i="56"/>
  <c r="AE64" i="56"/>
  <c r="AD64" i="56"/>
  <c r="AC64" i="56"/>
  <c r="AB64" i="56"/>
  <c r="AA64" i="56"/>
  <c r="Z64" i="56"/>
  <c r="X64" i="56"/>
  <c r="W64" i="56"/>
  <c r="V64" i="56"/>
  <c r="U64" i="56"/>
  <c r="T64" i="56"/>
  <c r="S64" i="56"/>
  <c r="R64" i="56"/>
  <c r="Q64" i="56"/>
  <c r="P64" i="56"/>
  <c r="G64" i="56"/>
  <c r="AH63" i="56"/>
  <c r="AG63" i="56"/>
  <c r="AF63" i="56"/>
  <c r="AE63" i="56"/>
  <c r="AD63" i="56"/>
  <c r="AC63" i="56"/>
  <c r="AB63" i="56"/>
  <c r="AA63" i="56"/>
  <c r="Z63" i="56"/>
  <c r="X63" i="56"/>
  <c r="W63" i="56"/>
  <c r="V63" i="56"/>
  <c r="U63" i="56"/>
  <c r="T63" i="56"/>
  <c r="S63" i="56"/>
  <c r="R63" i="56"/>
  <c r="Q63" i="56"/>
  <c r="P63" i="56"/>
  <c r="G63" i="56"/>
  <c r="Z60" i="56"/>
  <c r="P60" i="56"/>
  <c r="F60" i="56"/>
  <c r="Z59" i="56"/>
  <c r="P59" i="56"/>
  <c r="F59" i="56"/>
  <c r="Z58" i="56"/>
  <c r="P58" i="56"/>
  <c r="F58" i="56"/>
  <c r="Z57" i="56"/>
  <c r="P57" i="56"/>
  <c r="F57" i="56"/>
  <c r="Z56" i="56"/>
  <c r="P56" i="56"/>
  <c r="F56" i="56"/>
  <c r="Z55" i="56"/>
  <c r="P55" i="56"/>
  <c r="F55" i="56"/>
  <c r="Z54" i="56"/>
  <c r="P54" i="56"/>
  <c r="F54" i="56"/>
  <c r="Z53" i="56"/>
  <c r="P53" i="56"/>
  <c r="F53" i="56"/>
  <c r="Z52" i="56"/>
  <c r="P52" i="56"/>
  <c r="F52" i="56"/>
  <c r="Z51" i="56"/>
  <c r="P51" i="56"/>
  <c r="F51" i="56"/>
  <c r="Z48" i="56"/>
  <c r="P48" i="56"/>
  <c r="F48" i="56"/>
  <c r="Z47" i="56"/>
  <c r="P47" i="56"/>
  <c r="F47" i="56"/>
  <c r="Z46" i="56"/>
  <c r="P46" i="56"/>
  <c r="F46" i="56"/>
  <c r="Z43" i="56"/>
  <c r="P43" i="56"/>
  <c r="F43" i="56"/>
  <c r="AH40" i="56"/>
  <c r="AG40" i="56"/>
  <c r="AF40" i="56"/>
  <c r="AE40" i="56"/>
  <c r="AD40" i="56"/>
  <c r="AC40" i="56"/>
  <c r="AB40" i="56"/>
  <c r="AA40" i="56"/>
  <c r="Z40" i="56"/>
  <c r="X40" i="56"/>
  <c r="W40" i="56"/>
  <c r="V40" i="56"/>
  <c r="U40" i="56"/>
  <c r="T40" i="56"/>
  <c r="S40" i="56"/>
  <c r="R40" i="56"/>
  <c r="Q40" i="56"/>
  <c r="P40" i="56"/>
  <c r="J40" i="56"/>
  <c r="I40" i="56"/>
  <c r="H40" i="56"/>
  <c r="G40" i="56"/>
  <c r="F40" i="56"/>
  <c r="AH39" i="56"/>
  <c r="AG39" i="56"/>
  <c r="AF39" i="56"/>
  <c r="AE39" i="56"/>
  <c r="AD39" i="56"/>
  <c r="AC39" i="56"/>
  <c r="AB39" i="56"/>
  <c r="AA39" i="56"/>
  <c r="Z39" i="56"/>
  <c r="X39" i="56"/>
  <c r="W39" i="56"/>
  <c r="V39" i="56"/>
  <c r="U39" i="56"/>
  <c r="T39" i="56"/>
  <c r="S39" i="56"/>
  <c r="R39" i="56"/>
  <c r="Q39" i="56"/>
  <c r="P39" i="56"/>
  <c r="I39" i="56"/>
  <c r="H39" i="56"/>
  <c r="F39" i="56"/>
  <c r="AH36" i="56"/>
  <c r="AG36" i="56"/>
  <c r="AF36" i="56"/>
  <c r="AE36" i="56"/>
  <c r="AD36" i="56"/>
  <c r="AC36" i="56"/>
  <c r="AB36" i="56"/>
  <c r="AA36" i="56"/>
  <c r="Z36" i="56"/>
  <c r="X36" i="56"/>
  <c r="W36" i="56"/>
  <c r="V36" i="56"/>
  <c r="U36" i="56"/>
  <c r="T36" i="56"/>
  <c r="S36" i="56"/>
  <c r="R36" i="56"/>
  <c r="Q36" i="56"/>
  <c r="P36" i="56"/>
  <c r="I36" i="56"/>
  <c r="H36" i="56"/>
  <c r="G36" i="56"/>
  <c r="F36" i="56"/>
  <c r="AH35" i="56"/>
  <c r="AG35" i="56"/>
  <c r="AF35" i="56"/>
  <c r="AE35" i="56"/>
  <c r="AD35" i="56"/>
  <c r="AC35" i="56"/>
  <c r="AB35" i="56"/>
  <c r="AA35" i="56"/>
  <c r="Z35" i="56"/>
  <c r="X35" i="56"/>
  <c r="W35" i="56"/>
  <c r="V35" i="56"/>
  <c r="U35" i="56"/>
  <c r="T35" i="56"/>
  <c r="S35" i="56"/>
  <c r="R35" i="56"/>
  <c r="Q35" i="56"/>
  <c r="P35" i="56"/>
  <c r="I35" i="56"/>
  <c r="H35" i="56"/>
  <c r="G35" i="56"/>
  <c r="F35" i="56"/>
  <c r="AH34" i="56"/>
  <c r="AG34" i="56"/>
  <c r="AF34" i="56"/>
  <c r="AE34" i="56"/>
  <c r="AD34" i="56"/>
  <c r="AC34" i="56"/>
  <c r="AB34" i="56"/>
  <c r="AA34" i="56"/>
  <c r="Z34" i="56"/>
  <c r="X34" i="56"/>
  <c r="W34" i="56"/>
  <c r="V34" i="56"/>
  <c r="U34" i="56"/>
  <c r="T34" i="56"/>
  <c r="S34" i="56"/>
  <c r="R34" i="56"/>
  <c r="Q34" i="56"/>
  <c r="P34" i="56"/>
  <c r="I34" i="56"/>
  <c r="H34" i="56"/>
  <c r="G34" i="56"/>
  <c r="F34" i="56"/>
  <c r="AH33" i="56"/>
  <c r="AG33" i="56"/>
  <c r="AF33" i="56"/>
  <c r="AE33" i="56"/>
  <c r="AD33" i="56"/>
  <c r="AC33" i="56"/>
  <c r="AB33" i="56"/>
  <c r="AA33" i="56"/>
  <c r="Z33" i="56"/>
  <c r="X33" i="56"/>
  <c r="W33" i="56"/>
  <c r="V33" i="56"/>
  <c r="U33" i="56"/>
  <c r="T33" i="56"/>
  <c r="S33" i="56"/>
  <c r="R33" i="56"/>
  <c r="Q33" i="56"/>
  <c r="P33" i="56"/>
  <c r="I33" i="56"/>
  <c r="H33" i="56"/>
  <c r="G33" i="56"/>
  <c r="F33" i="56"/>
  <c r="AH32" i="56"/>
  <c r="AG32" i="56"/>
  <c r="AF32" i="56"/>
  <c r="AE32" i="56"/>
  <c r="AD32" i="56"/>
  <c r="AC32" i="56"/>
  <c r="AB32" i="56"/>
  <c r="AA32" i="56"/>
  <c r="Z32" i="56"/>
  <c r="X32" i="56"/>
  <c r="W32" i="56"/>
  <c r="V32" i="56"/>
  <c r="U32" i="56"/>
  <c r="T32" i="56"/>
  <c r="S32" i="56"/>
  <c r="R32" i="56"/>
  <c r="Q32" i="56"/>
  <c r="P32" i="56"/>
  <c r="J32" i="56"/>
  <c r="F32" i="56"/>
  <c r="AH31" i="56"/>
  <c r="AG31" i="56"/>
  <c r="AF31" i="56"/>
  <c r="AE31" i="56"/>
  <c r="AD31" i="56"/>
  <c r="AC31" i="56"/>
  <c r="AB31" i="56"/>
  <c r="AA31" i="56"/>
  <c r="Z31" i="56"/>
  <c r="X31" i="56"/>
  <c r="W31" i="56"/>
  <c r="V31" i="56"/>
  <c r="U31" i="56"/>
  <c r="T31" i="56"/>
  <c r="S31" i="56"/>
  <c r="R31" i="56"/>
  <c r="Q31" i="56"/>
  <c r="P31" i="56"/>
  <c r="I31" i="56"/>
  <c r="H31" i="56"/>
  <c r="G31" i="56"/>
  <c r="F31" i="56"/>
  <c r="AH30" i="56"/>
  <c r="AG30" i="56"/>
  <c r="AF30" i="56"/>
  <c r="AE30" i="56"/>
  <c r="AD30" i="56"/>
  <c r="AC30" i="56"/>
  <c r="AB30" i="56"/>
  <c r="AA30" i="56"/>
  <c r="Z30" i="56"/>
  <c r="X30" i="56"/>
  <c r="W30" i="56"/>
  <c r="V30" i="56"/>
  <c r="U30" i="56"/>
  <c r="T30" i="56"/>
  <c r="S30" i="56"/>
  <c r="R30" i="56"/>
  <c r="Q30" i="56"/>
  <c r="P30" i="56"/>
  <c r="I30" i="56"/>
  <c r="H30" i="56"/>
  <c r="G30" i="56"/>
  <c r="F30" i="56"/>
  <c r="AH29" i="56"/>
  <c r="AG29" i="56"/>
  <c r="AF29" i="56"/>
  <c r="AE29" i="56"/>
  <c r="AD29" i="56"/>
  <c r="AC29" i="56"/>
  <c r="AB29" i="56"/>
  <c r="AA29" i="56"/>
  <c r="Z29" i="56"/>
  <c r="X29" i="56"/>
  <c r="W29" i="56"/>
  <c r="V29" i="56"/>
  <c r="U29" i="56"/>
  <c r="T29" i="56"/>
  <c r="S29" i="56"/>
  <c r="R29" i="56"/>
  <c r="Q29" i="56"/>
  <c r="P29" i="56"/>
  <c r="I29" i="56"/>
  <c r="H29" i="56"/>
  <c r="G29" i="56"/>
  <c r="F29" i="56"/>
  <c r="AH28" i="56"/>
  <c r="AG28" i="56"/>
  <c r="AF28" i="56"/>
  <c r="AE28" i="56"/>
  <c r="AD28" i="56"/>
  <c r="AC28" i="56"/>
  <c r="AB28" i="56"/>
  <c r="AA28" i="56"/>
  <c r="Z28" i="56"/>
  <c r="X28" i="56"/>
  <c r="W28" i="56"/>
  <c r="V28" i="56"/>
  <c r="U28" i="56"/>
  <c r="T28" i="56"/>
  <c r="S28" i="56"/>
  <c r="R28" i="56"/>
  <c r="Q28" i="56"/>
  <c r="P28" i="56"/>
  <c r="I28" i="56"/>
  <c r="H28" i="56"/>
  <c r="G28" i="56"/>
  <c r="F28" i="56"/>
  <c r="AH25" i="56"/>
  <c r="AG25" i="56"/>
  <c r="AF25" i="56"/>
  <c r="AE25" i="56"/>
  <c r="AD25" i="56"/>
  <c r="AC25" i="56"/>
  <c r="AB25" i="56"/>
  <c r="AA25" i="56"/>
  <c r="Z25" i="56"/>
  <c r="X25" i="56"/>
  <c r="W25" i="56"/>
  <c r="V25" i="56"/>
  <c r="U25" i="56"/>
  <c r="T25" i="56"/>
  <c r="S25" i="56"/>
  <c r="R25" i="56"/>
  <c r="Q25" i="56"/>
  <c r="P25" i="56"/>
  <c r="H25" i="56"/>
  <c r="G25" i="56"/>
  <c r="AH24" i="56"/>
  <c r="AG24" i="56"/>
  <c r="AF24" i="56"/>
  <c r="AD24" i="56"/>
  <c r="AC24" i="56"/>
  <c r="AB24" i="56"/>
  <c r="AA24" i="56"/>
  <c r="Z24" i="56"/>
  <c r="X24" i="56"/>
  <c r="W24" i="56"/>
  <c r="V24" i="56"/>
  <c r="T24" i="56"/>
  <c r="S24" i="56"/>
  <c r="R24" i="56"/>
  <c r="Q24" i="56"/>
  <c r="P24" i="56"/>
  <c r="AH23" i="56"/>
  <c r="AG23" i="56"/>
  <c r="AF23" i="56"/>
  <c r="AE23" i="56"/>
  <c r="AD23" i="56"/>
  <c r="AC23" i="56"/>
  <c r="AB23" i="56"/>
  <c r="AA23" i="56"/>
  <c r="Z23" i="56"/>
  <c r="X23" i="56"/>
  <c r="W23" i="56"/>
  <c r="V23" i="56"/>
  <c r="U23" i="56"/>
  <c r="T23" i="56"/>
  <c r="S23" i="56"/>
  <c r="R23" i="56"/>
  <c r="Q23" i="56"/>
  <c r="P23" i="56"/>
  <c r="I23" i="56"/>
  <c r="H23" i="56"/>
  <c r="G23" i="56"/>
  <c r="F23" i="56"/>
  <c r="AH22" i="56"/>
  <c r="AG22" i="56"/>
  <c r="AF22" i="56"/>
  <c r="AE22" i="56"/>
  <c r="AD22" i="56"/>
  <c r="AC22" i="56"/>
  <c r="AB22" i="56"/>
  <c r="AA22" i="56"/>
  <c r="Z22" i="56"/>
  <c r="X22" i="56"/>
  <c r="W22" i="56"/>
  <c r="V22" i="56"/>
  <c r="U22" i="56"/>
  <c r="T22" i="56"/>
  <c r="S22" i="56"/>
  <c r="R22" i="56"/>
  <c r="Q22" i="56"/>
  <c r="P22" i="56"/>
  <c r="I22" i="56"/>
  <c r="H22" i="56"/>
  <c r="G22" i="56"/>
  <c r="F22" i="56"/>
  <c r="AH21" i="56"/>
  <c r="AG21" i="56"/>
  <c r="AF21" i="56"/>
  <c r="AE21" i="56"/>
  <c r="AD21" i="56"/>
  <c r="AC21" i="56"/>
  <c r="AB21" i="56"/>
  <c r="AA21" i="56"/>
  <c r="Z21" i="56"/>
  <c r="X21" i="56"/>
  <c r="W21" i="56"/>
  <c r="V21" i="56"/>
  <c r="U21" i="56"/>
  <c r="T21" i="56"/>
  <c r="S21" i="56"/>
  <c r="R21" i="56"/>
  <c r="Q21" i="56"/>
  <c r="P21" i="56"/>
  <c r="I21" i="56"/>
  <c r="H21" i="56"/>
  <c r="G21" i="56"/>
  <c r="F21" i="56"/>
  <c r="AH20" i="56"/>
  <c r="AG20" i="56"/>
  <c r="AF20" i="56"/>
  <c r="AE20" i="56"/>
  <c r="AD20" i="56"/>
  <c r="AC20" i="56"/>
  <c r="AB20" i="56"/>
  <c r="AA20" i="56"/>
  <c r="Z20" i="56"/>
  <c r="X20" i="56"/>
  <c r="W20" i="56"/>
  <c r="V20" i="56"/>
  <c r="U20" i="56"/>
  <c r="T20" i="56"/>
  <c r="S20" i="56"/>
  <c r="R20" i="56"/>
  <c r="Q20" i="56"/>
  <c r="P20" i="56"/>
  <c r="I20" i="56"/>
  <c r="H20" i="56"/>
  <c r="G20" i="56"/>
  <c r="F20" i="56"/>
  <c r="AH19" i="56"/>
  <c r="AG19" i="56"/>
  <c r="AF19" i="56"/>
  <c r="AE19" i="56"/>
  <c r="AD19" i="56"/>
  <c r="AC19" i="56"/>
  <c r="AB19" i="56"/>
  <c r="AA19" i="56"/>
  <c r="Z19" i="56"/>
  <c r="X19" i="56"/>
  <c r="W19" i="56"/>
  <c r="V19" i="56"/>
  <c r="U19" i="56"/>
  <c r="T19" i="56"/>
  <c r="S19" i="56"/>
  <c r="R19" i="56"/>
  <c r="Q19" i="56"/>
  <c r="P19" i="56"/>
  <c r="I19" i="56"/>
  <c r="H19" i="56"/>
  <c r="G19" i="56"/>
  <c r="F19" i="56"/>
  <c r="AH18" i="56"/>
  <c r="AG18" i="56"/>
  <c r="AF18" i="56"/>
  <c r="AE18" i="56"/>
  <c r="AD18" i="56"/>
  <c r="AC18" i="56"/>
  <c r="AB18" i="56"/>
  <c r="AA18" i="56"/>
  <c r="Z18" i="56"/>
  <c r="X18" i="56"/>
  <c r="W18" i="56"/>
  <c r="V18" i="56"/>
  <c r="U18" i="56"/>
  <c r="T18" i="56"/>
  <c r="S18" i="56"/>
  <c r="R18" i="56"/>
  <c r="Q18" i="56"/>
  <c r="P18" i="56"/>
  <c r="I18" i="56"/>
  <c r="H18" i="56"/>
  <c r="G18" i="56"/>
  <c r="F18" i="56"/>
  <c r="AH17" i="56"/>
  <c r="AG17" i="56"/>
  <c r="AF17" i="56"/>
  <c r="AE17" i="56"/>
  <c r="AD17" i="56"/>
  <c r="AC17" i="56"/>
  <c r="AB17" i="56"/>
  <c r="AA17" i="56"/>
  <c r="Z17" i="56"/>
  <c r="X17" i="56"/>
  <c r="W17" i="56"/>
  <c r="V17" i="56"/>
  <c r="U17" i="56"/>
  <c r="T17" i="56"/>
  <c r="S17" i="56"/>
  <c r="R17" i="56"/>
  <c r="Q17" i="56"/>
  <c r="P17" i="56"/>
  <c r="I17" i="56"/>
  <c r="H17" i="56"/>
  <c r="G17" i="56"/>
  <c r="F17" i="56"/>
  <c r="AH16" i="56"/>
  <c r="AG16" i="56"/>
  <c r="AF16" i="56"/>
  <c r="AE16" i="56"/>
  <c r="AD16" i="56"/>
  <c r="AC16" i="56"/>
  <c r="AB16" i="56"/>
  <c r="AA16" i="56"/>
  <c r="Z16" i="56"/>
  <c r="X16" i="56"/>
  <c r="W16" i="56"/>
  <c r="V16" i="56"/>
  <c r="U16" i="56"/>
  <c r="T16" i="56"/>
  <c r="S16" i="56"/>
  <c r="R16" i="56"/>
  <c r="Q16" i="56"/>
  <c r="P16" i="56"/>
  <c r="I16" i="56"/>
  <c r="H16" i="56"/>
  <c r="G16" i="56"/>
  <c r="F16" i="56"/>
  <c r="AH15" i="56"/>
  <c r="AG15" i="56"/>
  <c r="AF15" i="56"/>
  <c r="AE15" i="56"/>
  <c r="AD15" i="56"/>
  <c r="AC15" i="56"/>
  <c r="AB15" i="56"/>
  <c r="AA15" i="56"/>
  <c r="Z15" i="56"/>
  <c r="X15" i="56"/>
  <c r="W15" i="56"/>
  <c r="V15" i="56"/>
  <c r="U15" i="56"/>
  <c r="T15" i="56"/>
  <c r="S15" i="56"/>
  <c r="R15" i="56"/>
  <c r="Q15" i="56"/>
  <c r="P15" i="56"/>
  <c r="I15" i="56"/>
  <c r="H15" i="56"/>
  <c r="G15" i="56"/>
  <c r="F15" i="56"/>
  <c r="AH14" i="56"/>
  <c r="AG14" i="56"/>
  <c r="AF14" i="56"/>
  <c r="AE14" i="56"/>
  <c r="AD14" i="56"/>
  <c r="AC14" i="56"/>
  <c r="AB14" i="56"/>
  <c r="AA14" i="56"/>
  <c r="Z14" i="56"/>
  <c r="X14" i="56"/>
  <c r="W14" i="56"/>
  <c r="V14" i="56"/>
  <c r="U14" i="56"/>
  <c r="T14" i="56"/>
  <c r="S14" i="56"/>
  <c r="R14" i="56"/>
  <c r="Q14" i="56"/>
  <c r="P14" i="56"/>
  <c r="I14" i="56"/>
  <c r="H14" i="56"/>
  <c r="G14" i="56"/>
  <c r="F14" i="56"/>
  <c r="AH13" i="56"/>
  <c r="AG13" i="56"/>
  <c r="AF13" i="56"/>
  <c r="AE13" i="56"/>
  <c r="AD13" i="56"/>
  <c r="AC13" i="56"/>
  <c r="AB13" i="56"/>
  <c r="AA13" i="56"/>
  <c r="Z13" i="56"/>
  <c r="X13" i="56"/>
  <c r="W13" i="56"/>
  <c r="V13" i="56"/>
  <c r="U13" i="56"/>
  <c r="T13" i="56"/>
  <c r="S13" i="56"/>
  <c r="R13" i="56"/>
  <c r="Q13" i="56"/>
  <c r="P13" i="56"/>
  <c r="I13" i="56"/>
  <c r="H13" i="56"/>
  <c r="G13" i="56"/>
  <c r="AH12" i="56"/>
  <c r="AG12" i="56"/>
  <c r="AF12" i="56"/>
  <c r="AE12" i="56"/>
  <c r="AD12" i="56"/>
  <c r="AC12" i="56"/>
  <c r="AB12" i="56"/>
  <c r="AA12" i="56"/>
  <c r="Z12" i="56"/>
  <c r="X12" i="56"/>
  <c r="W12" i="56"/>
  <c r="V12" i="56"/>
  <c r="U12" i="56"/>
  <c r="T12" i="56"/>
  <c r="S12" i="56"/>
  <c r="R12" i="56"/>
  <c r="Q12" i="56"/>
  <c r="P12" i="56"/>
  <c r="N12" i="56"/>
  <c r="M12" i="56"/>
  <c r="L12" i="56"/>
  <c r="K12" i="56"/>
  <c r="J12" i="56"/>
  <c r="I12" i="56"/>
  <c r="H12" i="56"/>
  <c r="G12" i="56"/>
  <c r="F12" i="56"/>
  <c r="H9" i="56" a="1"/>
  <c r="H9" i="56" s="1"/>
  <c r="R9" i="56" s="1"/>
  <c r="AB9" i="56" s="1"/>
  <c r="G9" i="56" a="1"/>
  <c r="G9" i="56" s="1"/>
  <c r="Q9" i="56" s="1"/>
  <c r="AA9" i="56" s="1"/>
  <c r="F9" i="56" a="1"/>
  <c r="F9" i="56" s="1"/>
  <c r="P9" i="56" s="1"/>
  <c r="Z9" i="56" s="1"/>
  <c r="H8" i="56" a="1"/>
  <c r="H8" i="56" s="1"/>
  <c r="R8" i="56" s="1"/>
  <c r="AB8" i="56" s="1"/>
  <c r="G8" i="56" a="1"/>
  <c r="G8" i="56" s="1"/>
  <c r="F8" i="56" a="1"/>
  <c r="F8" i="56" s="1"/>
  <c r="P8" i="56" s="1"/>
  <c r="Z8" i="56" s="1"/>
  <c r="H7" i="56" a="1"/>
  <c r="H7" i="56" s="1"/>
  <c r="R7" i="56" s="1"/>
  <c r="AB7" i="56" s="1"/>
  <c r="G7" i="56" a="1"/>
  <c r="G7" i="56" s="1"/>
  <c r="F7" i="56" a="1"/>
  <c r="F7" i="56" s="1"/>
  <c r="P7" i="56" s="1"/>
  <c r="Z7" i="56" s="1"/>
  <c r="AH4" i="56"/>
  <c r="AG4" i="56"/>
  <c r="AF4" i="56"/>
  <c r="AE4" i="56"/>
  <c r="AD4" i="56"/>
  <c r="AC4" i="56"/>
  <c r="AB4" i="56"/>
  <c r="Z4" i="56"/>
  <c r="N3" i="56"/>
  <c r="M3" i="56"/>
  <c r="L3" i="56"/>
  <c r="K3" i="56"/>
  <c r="J3" i="56"/>
  <c r="I3" i="56"/>
  <c r="H3" i="56"/>
  <c r="G3" i="56"/>
  <c r="F3" i="56"/>
  <c r="D3" i="56"/>
  <c r="C3" i="56" s="1"/>
  <c r="D1" i="56"/>
  <c r="A1" i="56"/>
  <c r="I266" i="58"/>
  <c r="H266" i="58"/>
  <c r="G266" i="58"/>
  <c r="F266" i="58"/>
  <c r="E266" i="58"/>
  <c r="D266" i="58"/>
  <c r="C266" i="58"/>
  <c r="B266" i="58"/>
  <c r="I265" i="58"/>
  <c r="H265" i="58"/>
  <c r="G265" i="58"/>
  <c r="F265" i="58"/>
  <c r="E265" i="58"/>
  <c r="D265" i="58"/>
  <c r="C265" i="58"/>
  <c r="B265" i="58"/>
  <c r="I264" i="58"/>
  <c r="H264" i="58"/>
  <c r="G264" i="58"/>
  <c r="F264" i="58"/>
  <c r="E264" i="58"/>
  <c r="D264" i="58"/>
  <c r="C264" i="58"/>
  <c r="B264" i="58"/>
  <c r="I263" i="58"/>
  <c r="H263" i="58"/>
  <c r="G263" i="58"/>
  <c r="F263" i="58"/>
  <c r="E263" i="58"/>
  <c r="D263" i="58"/>
  <c r="C263" i="58"/>
  <c r="B263" i="58"/>
  <c r="I262" i="58"/>
  <c r="H262" i="58"/>
  <c r="G262" i="58"/>
  <c r="F262" i="58"/>
  <c r="E262" i="58"/>
  <c r="D262" i="58"/>
  <c r="C262" i="58"/>
  <c r="B262" i="58"/>
  <c r="I261" i="58"/>
  <c r="H261" i="58"/>
  <c r="G261" i="58"/>
  <c r="F261" i="58"/>
  <c r="E261" i="58"/>
  <c r="D261" i="58"/>
  <c r="C261" i="58"/>
  <c r="B261" i="58"/>
  <c r="I260" i="58"/>
  <c r="H260" i="58"/>
  <c r="G260" i="58"/>
  <c r="F260" i="58"/>
  <c r="E260" i="58"/>
  <c r="D260" i="58"/>
  <c r="C260" i="58"/>
  <c r="B260" i="58"/>
  <c r="I259" i="58"/>
  <c r="H259" i="58"/>
  <c r="G259" i="58"/>
  <c r="F259" i="58"/>
  <c r="E259" i="58"/>
  <c r="D259" i="58"/>
  <c r="C259" i="58"/>
  <c r="B259" i="58"/>
  <c r="I258" i="58"/>
  <c r="H258" i="58"/>
  <c r="G258" i="58"/>
  <c r="F258" i="58"/>
  <c r="E258" i="58"/>
  <c r="D258" i="58"/>
  <c r="C258" i="58"/>
  <c r="B258" i="58"/>
  <c r="I257" i="58"/>
  <c r="H257" i="58"/>
  <c r="F257" i="58"/>
  <c r="E257" i="58"/>
  <c r="C257" i="58"/>
  <c r="I256" i="58"/>
  <c r="H256" i="58"/>
  <c r="G256" i="58"/>
  <c r="F256" i="58"/>
  <c r="E256" i="58"/>
  <c r="D256" i="58"/>
  <c r="C256" i="58"/>
  <c r="B256" i="58"/>
  <c r="I255" i="58"/>
  <c r="H255" i="58"/>
  <c r="G255" i="58"/>
  <c r="F255" i="58"/>
  <c r="E255" i="58"/>
  <c r="D255" i="58"/>
  <c r="C255" i="58"/>
  <c r="B255" i="58"/>
  <c r="I254" i="58"/>
  <c r="H254" i="58"/>
  <c r="G254" i="58"/>
  <c r="F254" i="58"/>
  <c r="E254" i="58"/>
  <c r="D254" i="58"/>
  <c r="C254" i="58"/>
  <c r="B254" i="58"/>
  <c r="I253" i="58"/>
  <c r="H253" i="58"/>
  <c r="G253" i="58"/>
  <c r="F253" i="58"/>
  <c r="E253" i="58"/>
  <c r="D253" i="58"/>
  <c r="C253" i="58"/>
  <c r="B253" i="58"/>
  <c r="I252" i="58"/>
  <c r="H252" i="58"/>
  <c r="G252" i="58"/>
  <c r="F252" i="58"/>
  <c r="E252" i="58"/>
  <c r="D252" i="58"/>
  <c r="C252" i="58"/>
  <c r="B252" i="58"/>
  <c r="I251" i="58"/>
  <c r="H251" i="58"/>
  <c r="G251" i="58"/>
  <c r="F251" i="58"/>
  <c r="E251" i="58"/>
  <c r="D251" i="58"/>
  <c r="C251" i="58"/>
  <c r="B251" i="58"/>
  <c r="I250" i="58"/>
  <c r="H250" i="58"/>
  <c r="G250" i="58"/>
  <c r="F250" i="58"/>
  <c r="E250" i="58"/>
  <c r="D250" i="58"/>
  <c r="C250" i="58"/>
  <c r="B250" i="58"/>
  <c r="I249" i="58"/>
  <c r="H249" i="58"/>
  <c r="G249" i="58"/>
  <c r="F249" i="58"/>
  <c r="E249" i="58"/>
  <c r="D249" i="58"/>
  <c r="C249" i="58"/>
  <c r="B249" i="58"/>
  <c r="I248" i="58"/>
  <c r="H248" i="58"/>
  <c r="G248" i="58"/>
  <c r="F248" i="58"/>
  <c r="E248" i="58"/>
  <c r="D248" i="58"/>
  <c r="C248" i="58"/>
  <c r="B248" i="58"/>
  <c r="C241" i="58"/>
  <c r="B241" i="58"/>
  <c r="C240" i="58"/>
  <c r="B240" i="58"/>
  <c r="C239" i="58"/>
  <c r="B239" i="58"/>
  <c r="C238" i="58"/>
  <c r="B238" i="58"/>
  <c r="C237" i="58"/>
  <c r="B237" i="58"/>
  <c r="C236" i="58"/>
  <c r="B236" i="58"/>
  <c r="C235" i="58"/>
  <c r="B235" i="58"/>
  <c r="C234" i="58"/>
  <c r="B234" i="58"/>
  <c r="C233" i="58"/>
  <c r="B233" i="58"/>
  <c r="C228" i="58"/>
  <c r="B228" i="58"/>
  <c r="C227" i="58"/>
  <c r="B227" i="58"/>
  <c r="C226" i="58"/>
  <c r="B226" i="58"/>
  <c r="C225" i="58"/>
  <c r="B225" i="58"/>
  <c r="C224" i="58"/>
  <c r="B224" i="58"/>
  <c r="C223" i="58"/>
  <c r="B223" i="58"/>
  <c r="C222" i="58"/>
  <c r="B222" i="58"/>
  <c r="C221" i="58"/>
  <c r="B221" i="58"/>
  <c r="C220" i="58"/>
  <c r="B220" i="58"/>
  <c r="C216" i="58"/>
  <c r="B216" i="58"/>
  <c r="C215" i="58"/>
  <c r="B215" i="58"/>
  <c r="C214" i="58"/>
  <c r="B214" i="58"/>
  <c r="C213" i="58"/>
  <c r="B213" i="58"/>
  <c r="C212" i="58"/>
  <c r="B212" i="58"/>
  <c r="C211" i="58"/>
  <c r="B211" i="58"/>
  <c r="C210" i="58"/>
  <c r="B210" i="58"/>
  <c r="C209" i="58"/>
  <c r="B209" i="58"/>
  <c r="C208" i="58"/>
  <c r="B208" i="58"/>
  <c r="C205" i="58"/>
  <c r="B205" i="58"/>
  <c r="C204" i="58"/>
  <c r="B204" i="58"/>
  <c r="C203" i="58"/>
  <c r="B203" i="58"/>
  <c r="C202" i="58"/>
  <c r="B202" i="58"/>
  <c r="C201" i="58"/>
  <c r="B201" i="58"/>
  <c r="C200" i="58"/>
  <c r="B200" i="58"/>
  <c r="C199" i="58"/>
  <c r="B199" i="58"/>
  <c r="C198" i="58"/>
  <c r="B198" i="58"/>
  <c r="C197" i="58"/>
  <c r="B197" i="58"/>
  <c r="C194" i="58"/>
  <c r="B194" i="58"/>
  <c r="C193" i="58"/>
  <c r="B193" i="58"/>
  <c r="C192" i="58"/>
  <c r="B192" i="58"/>
  <c r="C191" i="58"/>
  <c r="B191" i="58"/>
  <c r="C190" i="58"/>
  <c r="B190" i="58"/>
  <c r="C189" i="58"/>
  <c r="B189" i="58"/>
  <c r="C188" i="58"/>
  <c r="B188" i="58"/>
  <c r="C187" i="58"/>
  <c r="B187" i="58"/>
  <c r="C186" i="58"/>
  <c r="B186" i="58"/>
  <c r="C182" i="58"/>
  <c r="B182" i="58"/>
  <c r="C181" i="58"/>
  <c r="B181" i="58"/>
  <c r="C180" i="58"/>
  <c r="B180" i="58"/>
  <c r="C179" i="58"/>
  <c r="B179" i="58"/>
  <c r="C178" i="58"/>
  <c r="B178" i="58"/>
  <c r="C177" i="58"/>
  <c r="B177" i="58"/>
  <c r="C176" i="58"/>
  <c r="B176" i="58"/>
  <c r="C175" i="58"/>
  <c r="B175" i="58"/>
  <c r="C174" i="58"/>
  <c r="B174" i="58"/>
  <c r="C170" i="58"/>
  <c r="B170" i="58"/>
  <c r="C169" i="58"/>
  <c r="B169" i="58"/>
  <c r="C168" i="58"/>
  <c r="B168" i="58"/>
  <c r="C167" i="58"/>
  <c r="B167" i="58"/>
  <c r="C166" i="58"/>
  <c r="B166" i="58"/>
  <c r="C165" i="58"/>
  <c r="B165" i="58"/>
  <c r="C164" i="58"/>
  <c r="B164" i="58"/>
  <c r="C163" i="58"/>
  <c r="B163" i="58"/>
  <c r="C162" i="58"/>
  <c r="B162" i="58"/>
  <c r="C159" i="58"/>
  <c r="B159" i="58"/>
  <c r="C158" i="58"/>
  <c r="B158" i="58"/>
  <c r="C157" i="58"/>
  <c r="B157" i="58"/>
  <c r="C156" i="58"/>
  <c r="B156" i="58"/>
  <c r="C155" i="58"/>
  <c r="B155" i="58"/>
  <c r="C154" i="58"/>
  <c r="B154" i="58"/>
  <c r="C153" i="58"/>
  <c r="B153" i="58"/>
  <c r="C152" i="58"/>
  <c r="B152" i="58"/>
  <c r="C151" i="58"/>
  <c r="B151" i="58"/>
  <c r="C146" i="58"/>
  <c r="B146" i="58"/>
  <c r="C145" i="58"/>
  <c r="B145" i="58"/>
  <c r="C144" i="58"/>
  <c r="B144" i="58"/>
  <c r="C143" i="58"/>
  <c r="B143" i="58"/>
  <c r="C142" i="58"/>
  <c r="B142" i="58"/>
  <c r="C141" i="58"/>
  <c r="B141" i="58"/>
  <c r="H140" i="58"/>
  <c r="C140" i="58"/>
  <c r="B140" i="58"/>
  <c r="C139" i="58"/>
  <c r="B139" i="58"/>
  <c r="C138" i="58"/>
  <c r="B138" i="58"/>
  <c r="C135" i="58"/>
  <c r="B135" i="58"/>
  <c r="C134" i="58"/>
  <c r="B134" i="58"/>
  <c r="C133" i="58"/>
  <c r="B133" i="58"/>
  <c r="C132" i="58"/>
  <c r="B132" i="58"/>
  <c r="C131" i="58"/>
  <c r="B131" i="58"/>
  <c r="C130" i="58"/>
  <c r="B130" i="58"/>
  <c r="H129" i="58"/>
  <c r="C129" i="58"/>
  <c r="B129" i="58"/>
  <c r="C128" i="58"/>
  <c r="B128" i="58"/>
  <c r="C127" i="58"/>
  <c r="B127" i="58"/>
  <c r="C124" i="58"/>
  <c r="B124" i="58"/>
  <c r="C123" i="58"/>
  <c r="B123" i="58"/>
  <c r="C122" i="58"/>
  <c r="B122" i="58"/>
  <c r="C121" i="58"/>
  <c r="B121" i="58"/>
  <c r="C120" i="58"/>
  <c r="B120" i="58"/>
  <c r="C119" i="58"/>
  <c r="B119" i="58"/>
  <c r="C118" i="58"/>
  <c r="B118" i="58"/>
  <c r="C117" i="58"/>
  <c r="B117" i="58"/>
  <c r="C116" i="58"/>
  <c r="B116" i="58"/>
  <c r="C113" i="58"/>
  <c r="C112" i="58"/>
  <c r="C111" i="58"/>
  <c r="C110" i="58"/>
  <c r="C109" i="58"/>
  <c r="C108" i="58"/>
  <c r="C107" i="58"/>
  <c r="C106" i="58"/>
  <c r="C105" i="58"/>
  <c r="BR104" i="58"/>
  <c r="BQ104" i="58"/>
  <c r="BP104" i="58"/>
  <c r="BO104" i="58"/>
  <c r="BN104" i="58"/>
  <c r="BM104" i="58"/>
  <c r="BL104" i="58"/>
  <c r="BK104" i="58"/>
  <c r="BJ104" i="58"/>
  <c r="BI104" i="58"/>
  <c r="BH104" i="58"/>
  <c r="BG104" i="58"/>
  <c r="BF104" i="58"/>
  <c r="BE104" i="58"/>
  <c r="BD104" i="58"/>
  <c r="BC104" i="58"/>
  <c r="BB104" i="58"/>
  <c r="BA104" i="58"/>
  <c r="AZ104" i="58"/>
  <c r="AY104" i="58"/>
  <c r="AX104" i="58"/>
  <c r="AW104" i="58"/>
  <c r="AV104" i="58"/>
  <c r="AU104" i="58"/>
  <c r="AT104" i="58"/>
  <c r="AS104" i="58"/>
  <c r="AR104" i="58"/>
  <c r="AQ104" i="58"/>
  <c r="AP104" i="58"/>
  <c r="AO104" i="58"/>
  <c r="AN104" i="58"/>
  <c r="AM104" i="58"/>
  <c r="AL104" i="58"/>
  <c r="AK104" i="58"/>
  <c r="AJ104" i="58"/>
  <c r="AI104" i="58"/>
  <c r="AH104" i="58"/>
  <c r="AG104" i="58"/>
  <c r="AF104" i="58"/>
  <c r="AE104" i="58"/>
  <c r="AD104" i="58"/>
  <c r="AC104" i="58"/>
  <c r="AB104" i="58"/>
  <c r="AA104" i="58"/>
  <c r="Z104" i="58"/>
  <c r="Y104" i="58"/>
  <c r="X104" i="58"/>
  <c r="W104" i="58"/>
  <c r="V104" i="58"/>
  <c r="U104" i="58"/>
  <c r="T104" i="58"/>
  <c r="S104" i="58"/>
  <c r="R104" i="58"/>
  <c r="Q104" i="58"/>
  <c r="P104" i="58"/>
  <c r="O104" i="58"/>
  <c r="N104" i="58"/>
  <c r="M104" i="58"/>
  <c r="L104" i="58"/>
  <c r="L100" i="58" a="1"/>
  <c r="L100" i="58" s="1"/>
  <c r="L159" i="58" s="1"/>
  <c r="E100" i="58"/>
  <c r="C100" i="58"/>
  <c r="B100" i="58"/>
  <c r="L99" i="58" a="1"/>
  <c r="L99" i="58" s="1"/>
  <c r="L158" i="58" s="1"/>
  <c r="E99" i="58"/>
  <c r="C99" i="58"/>
  <c r="B99" i="58"/>
  <c r="L98" i="58" a="1"/>
  <c r="L98" i="58" s="1"/>
  <c r="L157" i="58" s="1"/>
  <c r="E98" i="58"/>
  <c r="C98" i="58"/>
  <c r="B98" i="58"/>
  <c r="L97" i="58" a="1"/>
  <c r="L97" i="58" s="1"/>
  <c r="L156" i="58" s="1"/>
  <c r="E97" i="58"/>
  <c r="C97" i="58"/>
  <c r="B97" i="58"/>
  <c r="L96" i="58" a="1"/>
  <c r="L96" i="58" s="1"/>
  <c r="L155" i="58" s="1"/>
  <c r="E96" i="58"/>
  <c r="C96" i="58"/>
  <c r="B96" i="58"/>
  <c r="L95" i="58" a="1"/>
  <c r="L95" i="58" s="1"/>
  <c r="L154" i="58" s="1"/>
  <c r="E95" i="58"/>
  <c r="C95" i="58"/>
  <c r="B95" i="58"/>
  <c r="L94" i="58" a="1"/>
  <c r="L94" i="58" s="1"/>
  <c r="L153" i="58" s="1"/>
  <c r="E94" i="58"/>
  <c r="C94" i="58"/>
  <c r="B94" i="58"/>
  <c r="L93" i="58" a="1"/>
  <c r="L93" i="58" s="1"/>
  <c r="L152" i="58" s="1"/>
  <c r="E93" i="58"/>
  <c r="C93" i="58"/>
  <c r="B93" i="58"/>
  <c r="L92" i="58" a="1"/>
  <c r="L92" i="58" s="1"/>
  <c r="L151" i="58" s="1"/>
  <c r="E92" i="58"/>
  <c r="C92" i="58"/>
  <c r="B92" i="58"/>
  <c r="L89" i="58" a="1"/>
  <c r="L89" i="58" s="1"/>
  <c r="E89" i="58"/>
  <c r="C89" i="58"/>
  <c r="T88" i="58" a="1"/>
  <c r="T88" i="58" s="1"/>
  <c r="Q88" i="58" a="1"/>
  <c r="Q88" i="58" s="1"/>
  <c r="R88" i="58" s="1" a="1"/>
  <c r="R88" i="58" s="1"/>
  <c r="S88" i="58" s="1" a="1"/>
  <c r="S88" i="58" s="1"/>
  <c r="L88" i="58" a="1"/>
  <c r="L88" i="58" s="1"/>
  <c r="M88" i="58" s="1" a="1"/>
  <c r="M88" i="58" s="1"/>
  <c r="N88" i="58" s="1" a="1"/>
  <c r="N88" i="58" s="1"/>
  <c r="O88" i="58" s="1" a="1"/>
  <c r="O88" i="58" s="1"/>
  <c r="P88" i="58" s="1" a="1"/>
  <c r="P88" i="58" s="1"/>
  <c r="G88" i="58"/>
  <c r="F88" i="58"/>
  <c r="E88" i="58"/>
  <c r="C88" i="58"/>
  <c r="T87" i="58" a="1"/>
  <c r="T87" i="58" s="1"/>
  <c r="Q87" i="58" a="1"/>
  <c r="Q87" i="58" s="1"/>
  <c r="R87" i="58" s="1" a="1"/>
  <c r="R87" i="58" s="1"/>
  <c r="S87" i="58" s="1" a="1"/>
  <c r="S87" i="58" s="1"/>
  <c r="L87" i="58" a="1"/>
  <c r="L87" i="58" s="1"/>
  <c r="G87" i="58"/>
  <c r="F87" i="58"/>
  <c r="E87" i="58"/>
  <c r="C87" i="58"/>
  <c r="L86" i="58" a="1"/>
  <c r="L86" i="58" s="1"/>
  <c r="E86" i="58"/>
  <c r="C86" i="58"/>
  <c r="L85" i="58" a="1"/>
  <c r="L85" i="58" s="1"/>
  <c r="E85" i="58"/>
  <c r="C85" i="58"/>
  <c r="L84" i="58" a="1"/>
  <c r="L84" i="58" s="1"/>
  <c r="E84" i="58"/>
  <c r="C84" i="58"/>
  <c r="L83" i="58" a="1"/>
  <c r="L83" i="58" s="1"/>
  <c r="E83" i="58"/>
  <c r="C83" i="58"/>
  <c r="L82" i="58" a="1"/>
  <c r="L82" i="58" s="1"/>
  <c r="E82" i="58"/>
  <c r="C82" i="58"/>
  <c r="L81" i="58" a="1"/>
  <c r="L81" i="58" s="1"/>
  <c r="E81" i="58"/>
  <c r="C81" i="58"/>
  <c r="L78" i="58" a="1"/>
  <c r="L78" i="58" s="1"/>
  <c r="L170" i="58" s="1"/>
  <c r="E78" i="58"/>
  <c r="C78" i="58"/>
  <c r="T77" i="58" a="1"/>
  <c r="T77" i="58" s="1"/>
  <c r="Q77" i="58" a="1"/>
  <c r="Q77" i="58" s="1"/>
  <c r="R77" i="58" s="1" a="1"/>
  <c r="R77" i="58" s="1"/>
  <c r="S77" i="58" s="1" a="1"/>
  <c r="S77" i="58" s="1"/>
  <c r="L77" i="58" a="1"/>
  <c r="L77" i="58" s="1"/>
  <c r="G77" i="58"/>
  <c r="C77" i="58"/>
  <c r="T76" i="58" a="1"/>
  <c r="T76" i="58" s="1"/>
  <c r="Q76" i="58" a="1"/>
  <c r="Q76" i="58" s="1"/>
  <c r="R76" i="58" s="1" a="1"/>
  <c r="R76" i="58" s="1"/>
  <c r="S76" i="58" s="1" a="1"/>
  <c r="S76" i="58" s="1"/>
  <c r="L76" i="58" a="1"/>
  <c r="L76" i="58" s="1"/>
  <c r="L168" i="58" s="1"/>
  <c r="G76" i="58"/>
  <c r="C76" i="58"/>
  <c r="L75" i="58" a="1"/>
  <c r="L75" i="58" s="1"/>
  <c r="L167" i="58" s="1"/>
  <c r="E75" i="58"/>
  <c r="C75" i="58"/>
  <c r="L74" i="58" a="1"/>
  <c r="L74" i="58" s="1"/>
  <c r="L166" i="58" s="1"/>
  <c r="E74" i="58"/>
  <c r="C74" i="58"/>
  <c r="L73" i="58" a="1"/>
  <c r="L73" i="58" s="1"/>
  <c r="L165" i="58" s="1"/>
  <c r="E73" i="58"/>
  <c r="C73" i="58"/>
  <c r="L72" i="58" a="1"/>
  <c r="L72" i="58" s="1"/>
  <c r="L164" i="58" s="1"/>
  <c r="E72" i="58"/>
  <c r="C72" i="58"/>
  <c r="L71" i="58" a="1"/>
  <c r="L71" i="58" s="1"/>
  <c r="L163" i="58" s="1"/>
  <c r="E71" i="58"/>
  <c r="C71" i="58"/>
  <c r="L70" i="58" a="1"/>
  <c r="L70" i="58" s="1"/>
  <c r="L162" i="58" s="1"/>
  <c r="E70" i="58"/>
  <c r="C70"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H67" i="58"/>
  <c r="G67" i="58"/>
  <c r="T65" i="58"/>
  <c r="G64" i="58"/>
  <c r="F64" i="58"/>
  <c r="E64" i="58"/>
  <c r="D64" i="58"/>
  <c r="G63" i="58"/>
  <c r="F63" i="58"/>
  <c r="E63" i="58"/>
  <c r="D63" i="58"/>
  <c r="G62" i="58"/>
  <c r="F62" i="58"/>
  <c r="E62" i="58"/>
  <c r="D62" i="58"/>
  <c r="G61" i="58"/>
  <c r="F61" i="58"/>
  <c r="E61" i="58"/>
  <c r="D61" i="58"/>
  <c r="G60" i="58"/>
  <c r="F60" i="58"/>
  <c r="E60" i="58"/>
  <c r="D60" i="58"/>
  <c r="G59" i="58"/>
  <c r="F59" i="58"/>
  <c r="E59" i="58"/>
  <c r="D59" i="58"/>
  <c r="G58" i="58"/>
  <c r="F58" i="58"/>
  <c r="E58" i="58"/>
  <c r="D58" i="58"/>
  <c r="N57" i="58"/>
  <c r="G57" i="58"/>
  <c r="F57" i="58"/>
  <c r="E57" i="58"/>
  <c r="D57" i="58"/>
  <c r="G56" i="58"/>
  <c r="F56" i="58"/>
  <c r="E56" i="58"/>
  <c r="D56" i="58"/>
  <c r="L53" i="58"/>
  <c r="I52" i="58"/>
  <c r="B52" i="58"/>
  <c r="B51" i="58"/>
  <c r="B50" i="58"/>
  <c r="L49" i="58"/>
  <c r="I49" i="58"/>
  <c r="B49" i="58"/>
  <c r="P48" i="58"/>
  <c r="O48" i="58"/>
  <c r="N48" i="58"/>
  <c r="M48" i="58"/>
  <c r="L48" i="58"/>
  <c r="B46" i="58"/>
  <c r="B45" i="58"/>
  <c r="B44" i="58"/>
  <c r="B43" i="58"/>
  <c r="P41" i="58"/>
  <c r="O41" i="58"/>
  <c r="N41" i="58"/>
  <c r="M41" i="58"/>
  <c r="P36" i="58"/>
  <c r="O36" i="58"/>
  <c r="N36" i="58"/>
  <c r="M36" i="58"/>
  <c r="L36" i="58"/>
  <c r="P35" i="58"/>
  <c r="O35" i="58"/>
  <c r="N35" i="58"/>
  <c r="M35" i="58"/>
  <c r="L35" i="58"/>
  <c r="P34" i="58"/>
  <c r="O34" i="58"/>
  <c r="N34" i="58"/>
  <c r="M34" i="58"/>
  <c r="L34" i="58"/>
  <c r="P31" i="58"/>
  <c r="O31" i="58"/>
  <c r="N31" i="58"/>
  <c r="M31" i="58"/>
  <c r="L31" i="58"/>
  <c r="P30" i="58"/>
  <c r="O30" i="58"/>
  <c r="N30" i="58"/>
  <c r="M30" i="58"/>
  <c r="L30"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L25" i="58"/>
  <c r="C25" i="58"/>
  <c r="B25" i="58"/>
  <c r="C24" i="58"/>
  <c r="B24" i="58"/>
  <c r="P23" i="58"/>
  <c r="O23" i="58"/>
  <c r="N23" i="58"/>
  <c r="M23" i="58"/>
  <c r="L23" i="58"/>
  <c r="C23" i="58"/>
  <c r="B23"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B20" i="58"/>
  <c r="D15" i="58"/>
  <c r="E14" i="58"/>
  <c r="BR12" i="58" a="1"/>
  <c r="BR12" i="58"/>
  <c r="BQ12" i="58" a="1"/>
  <c r="BQ12" i="58"/>
  <c r="BP12" i="58" a="1"/>
  <c r="BP12" i="58"/>
  <c r="BO12" i="58" a="1"/>
  <c r="BO12" i="58"/>
  <c r="BN12" i="58" a="1"/>
  <c r="BN12" i="58"/>
  <c r="BM12" i="58" a="1"/>
  <c r="BM12" i="58"/>
  <c r="BL12" i="58" a="1"/>
  <c r="BL12" i="58"/>
  <c r="BK12" i="58" a="1"/>
  <c r="BK12" i="58"/>
  <c r="BJ12" i="58" a="1"/>
  <c r="BJ12" i="58"/>
  <c r="BI12" i="58" a="1"/>
  <c r="BI12" i="58"/>
  <c r="BH12" i="58" a="1"/>
  <c r="BH12" i="58"/>
  <c r="BG12" i="58" a="1"/>
  <c r="BG12" i="58"/>
  <c r="BF12" i="58" a="1"/>
  <c r="BF12" i="58"/>
  <c r="BE12" i="58" a="1"/>
  <c r="BE12" i="58"/>
  <c r="BD12" i="58" a="1"/>
  <c r="BD12" i="58"/>
  <c r="BC12" i="58" a="1"/>
  <c r="BC12" i="58"/>
  <c r="BB12" i="58" a="1"/>
  <c r="BB12" i="58"/>
  <c r="BA12" i="58" a="1"/>
  <c r="BA12" i="58"/>
  <c r="AZ12" i="58" a="1"/>
  <c r="AZ12" i="58"/>
  <c r="AY12" i="58" a="1"/>
  <c r="AY12" i="58"/>
  <c r="AX12" i="58" a="1"/>
  <c r="AX12" i="58"/>
  <c r="AW12" i="58" a="1"/>
  <c r="AW12" i="58"/>
  <c r="AV12" i="58" a="1"/>
  <c r="AV12" i="58"/>
  <c r="AU12" i="58" a="1"/>
  <c r="AU12" i="58"/>
  <c r="AT12" i="58" a="1"/>
  <c r="AT12" i="58"/>
  <c r="AS12" i="58" a="1"/>
  <c r="AS12" i="58"/>
  <c r="AR12" i="58" a="1"/>
  <c r="AR12" i="58"/>
  <c r="AQ12" i="58" a="1"/>
  <c r="AQ12" i="58"/>
  <c r="AP12" i="58" a="1"/>
  <c r="AP12" i="58"/>
  <c r="AO12" i="58" a="1"/>
  <c r="AO12" i="58"/>
  <c r="AN12" i="58" a="1"/>
  <c r="AN12" i="58"/>
  <c r="AM12" i="58" a="1"/>
  <c r="AM12" i="58"/>
  <c r="AL12" i="58" a="1"/>
  <c r="AL12" i="58"/>
  <c r="AK12" i="58" a="1"/>
  <c r="AK12" i="58"/>
  <c r="AJ12" i="58" a="1"/>
  <c r="AJ12" i="58"/>
  <c r="AI12" i="58" a="1"/>
  <c r="AI12" i="58"/>
  <c r="AH12" i="58" a="1"/>
  <c r="AH12" i="58"/>
  <c r="AG12" i="58" a="1"/>
  <c r="AG12" i="58"/>
  <c r="AF12" i="58" a="1"/>
  <c r="AF12" i="58"/>
  <c r="AE12" i="58" a="1"/>
  <c r="AE12" i="58"/>
  <c r="AD12" i="58" a="1"/>
  <c r="AD12" i="58"/>
  <c r="AC12" i="58" a="1"/>
  <c r="AC12" i="58"/>
  <c r="AB12" i="58" a="1"/>
  <c r="AB12" i="58"/>
  <c r="AA12" i="58" a="1"/>
  <c r="AA12" i="58"/>
  <c r="Z12" i="58" a="1"/>
  <c r="Z12" i="58"/>
  <c r="Y12" i="58" a="1"/>
  <c r="Y12" i="58"/>
  <c r="X12" i="58" a="1"/>
  <c r="X12" i="58"/>
  <c r="W12" i="58" a="1"/>
  <c r="W12" i="58"/>
  <c r="V12" i="58" a="1"/>
  <c r="V12" i="58"/>
  <c r="U12" i="58" a="1"/>
  <c r="U12" i="58"/>
  <c r="T12" i="58" a="1"/>
  <c r="T12" i="58"/>
  <c r="S12" i="58" a="1"/>
  <c r="S12" i="58"/>
  <c r="R12" i="58" a="1"/>
  <c r="R12" i="58"/>
  <c r="Q12" i="58" a="1"/>
  <c r="Q12" i="58"/>
  <c r="P12" i="58" a="1"/>
  <c r="P12" i="58"/>
  <c r="O12" i="58" a="1"/>
  <c r="O12" i="58"/>
  <c r="N12" i="58" a="1"/>
  <c r="N12" i="58"/>
  <c r="M12" i="58" a="1"/>
  <c r="M12" i="58"/>
  <c r="L12" i="58" a="1"/>
  <c r="L12"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T10" i="58" a="1"/>
  <c r="T10" i="58" s="1"/>
  <c r="S10" i="58" a="1"/>
  <c r="S10" i="58" s="1"/>
  <c r="R10" i="58" a="1"/>
  <c r="R10" i="58" s="1"/>
  <c r="Q10" i="58" a="1"/>
  <c r="Q10" i="58" s="1"/>
  <c r="P10" i="58" a="1"/>
  <c r="P10" i="58" s="1"/>
  <c r="O10" i="58" a="1"/>
  <c r="O10" i="58" s="1"/>
  <c r="N10" i="58" a="1"/>
  <c r="N10" i="58" s="1"/>
  <c r="M10" i="58" a="1"/>
  <c r="M10" i="58" s="1"/>
  <c r="L10" i="58" a="1"/>
  <c r="L10" i="58" s="1"/>
  <c r="E10"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N8" i="58"/>
  <c r="M8" i="58"/>
  <c r="L8"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J6" i="58" a="1"/>
  <c r="J6" i="58"/>
  <c r="I6" i="58" a="1"/>
  <c r="I6" i="58"/>
  <c r="H6" i="58" a="1"/>
  <c r="H6" i="58"/>
  <c r="G6" i="58" a="1"/>
  <c r="G6" i="58"/>
  <c r="F6" i="58" a="1"/>
  <c r="F6" i="58"/>
  <c r="E6" i="58" a="1"/>
  <c r="E6" i="58"/>
  <c r="D6" i="58" a="1"/>
  <c r="D6"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A1" i="58"/>
  <c r="AY119" i="60"/>
  <c r="L119" i="60"/>
  <c r="D119" i="60"/>
  <c r="C119" i="60"/>
  <c r="B119" i="60"/>
  <c r="A119" i="60"/>
  <c r="AY118" i="60"/>
  <c r="L118" i="60"/>
  <c r="D118" i="60"/>
  <c r="C118" i="60"/>
  <c r="B118" i="60"/>
  <c r="A118" i="60"/>
  <c r="AY117" i="60"/>
  <c r="L117" i="60"/>
  <c r="D117" i="60"/>
  <c r="C117" i="60"/>
  <c r="B117" i="60"/>
  <c r="A117" i="60"/>
  <c r="AY116" i="60"/>
  <c r="L116" i="60"/>
  <c r="D116" i="60"/>
  <c r="C116" i="60"/>
  <c r="B116" i="60"/>
  <c r="A116" i="60"/>
  <c r="AY115" i="60"/>
  <c r="L115" i="60"/>
  <c r="D115" i="60"/>
  <c r="C115" i="60"/>
  <c r="B115" i="60"/>
  <c r="A115" i="60"/>
  <c r="AY114" i="60"/>
  <c r="L114" i="60"/>
  <c r="D114" i="60"/>
  <c r="C114" i="60"/>
  <c r="B114" i="60"/>
  <c r="A114" i="60"/>
  <c r="AY113" i="60"/>
  <c r="L113" i="60"/>
  <c r="D113" i="60"/>
  <c r="C113" i="60"/>
  <c r="B113" i="60"/>
  <c r="A113" i="60"/>
  <c r="AY112" i="60"/>
  <c r="L112" i="60"/>
  <c r="D112" i="60"/>
  <c r="C112" i="60"/>
  <c r="B112" i="60"/>
  <c r="A112" i="60"/>
  <c r="AY111" i="60"/>
  <c r="L111" i="60"/>
  <c r="D111" i="60"/>
  <c r="C111" i="60"/>
  <c r="B111" i="60"/>
  <c r="A111" i="60"/>
  <c r="AY110" i="60"/>
  <c r="L110" i="60"/>
  <c r="D110" i="60"/>
  <c r="C110" i="60"/>
  <c r="B110" i="60"/>
  <c r="A110" i="60"/>
  <c r="AY109" i="60"/>
  <c r="L109" i="60"/>
  <c r="D109" i="60"/>
  <c r="C109" i="60"/>
  <c r="B109" i="60"/>
  <c r="A109" i="60"/>
  <c r="AY108" i="60"/>
  <c r="L108" i="60"/>
  <c r="D108" i="60"/>
  <c r="C108" i="60"/>
  <c r="B108" i="60"/>
  <c r="A108" i="60"/>
  <c r="L107" i="60"/>
  <c r="D107" i="60"/>
  <c r="C107" i="60"/>
  <c r="B107" i="60"/>
  <c r="A107" i="60"/>
  <c r="AY106" i="60"/>
  <c r="L106" i="60"/>
  <c r="D106" i="60"/>
  <c r="C106" i="60"/>
  <c r="B106" i="60"/>
  <c r="A106" i="60"/>
  <c r="AY105" i="60"/>
  <c r="L105" i="60"/>
  <c r="D105" i="60"/>
  <c r="C105" i="60"/>
  <c r="B105" i="60"/>
  <c r="A105" i="60"/>
  <c r="AY104" i="60"/>
  <c r="L104" i="60"/>
  <c r="D104" i="60"/>
  <c r="C104" i="60"/>
  <c r="B104" i="60"/>
  <c r="A104" i="60"/>
  <c r="AY103" i="60"/>
  <c r="L103" i="60"/>
  <c r="D103" i="60"/>
  <c r="C103" i="60"/>
  <c r="B103" i="60"/>
  <c r="A103" i="60"/>
  <c r="AY102" i="60"/>
  <c r="L102" i="60"/>
  <c r="D102" i="60"/>
  <c r="C102" i="60"/>
  <c r="B102" i="60"/>
  <c r="A102" i="60"/>
  <c r="AY101" i="60"/>
  <c r="L101" i="60"/>
  <c r="D101" i="60"/>
  <c r="C101" i="60"/>
  <c r="B101" i="60"/>
  <c r="A101" i="60"/>
  <c r="L100" i="60"/>
  <c r="D100" i="60"/>
  <c r="C100" i="60"/>
  <c r="B100" i="60"/>
  <c r="A100" i="60"/>
  <c r="AY99" i="60"/>
  <c r="L99" i="60"/>
  <c r="I99" i="60"/>
  <c r="H99" i="60"/>
  <c r="G99" i="60"/>
  <c r="F99" i="60"/>
  <c r="E99" i="60"/>
  <c r="D99" i="60"/>
  <c r="C99" i="60"/>
  <c r="B99" i="60"/>
  <c r="A99" i="60"/>
  <c r="C98"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3" i="60"/>
  <c r="D93" i="60"/>
  <c r="L92" i="60"/>
  <c r="D92" i="60"/>
  <c r="L91" i="60"/>
  <c r="D91" i="60"/>
  <c r="L90" i="60"/>
  <c r="D90" i="60"/>
  <c r="L89" i="60"/>
  <c r="D89" i="60"/>
  <c r="L85" i="60"/>
  <c r="L84" i="60"/>
  <c r="L83" i="60"/>
  <c r="D83" i="60"/>
  <c r="L82" i="60"/>
  <c r="D82" i="60"/>
  <c r="L81" i="60"/>
  <c r="D81"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E78" i="60"/>
  <c r="E75" i="60" s="1"/>
  <c r="Y75" i="60" s="1"/>
  <c r="L77" i="60"/>
  <c r="L74"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C69" i="60"/>
  <c r="C68" i="60"/>
  <c r="C67" i="60"/>
  <c r="C66" i="60"/>
  <c r="C65" i="60"/>
  <c r="C64" i="60"/>
  <c r="C63" i="60"/>
  <c r="C62" i="60"/>
  <c r="C60" i="60"/>
  <c r="B60" i="60"/>
  <c r="C59" i="60"/>
  <c r="B59" i="60"/>
  <c r="C58" i="60"/>
  <c r="B58" i="60"/>
  <c r="C57" i="60"/>
  <c r="B57" i="60"/>
  <c r="C56" i="60"/>
  <c r="B56" i="60"/>
  <c r="C55" i="60"/>
  <c r="B55" i="60"/>
  <c r="C54" i="60"/>
  <c r="B54" i="60"/>
  <c r="I49" i="60"/>
  <c r="H49" i="60"/>
  <c r="G49" i="60"/>
  <c r="F49" i="60"/>
  <c r="I48" i="60"/>
  <c r="H48" i="60"/>
  <c r="G48" i="60"/>
  <c r="F48" i="60"/>
  <c r="O45" i="60" a="1"/>
  <c r="O45" i="60" s="1"/>
  <c r="F45" i="60" s="1"/>
  <c r="N45" i="60" a="1"/>
  <c r="N45" i="60" s="1"/>
  <c r="M45" i="60" a="1"/>
  <c r="M45" i="60" s="1"/>
  <c r="L45" i="60" a="1"/>
  <c r="L45" i="60" s="1"/>
  <c r="E45" i="60" s="1"/>
  <c r="K44" i="60"/>
  <c r="J44" i="60"/>
  <c r="I44" i="60"/>
  <c r="H44" i="60"/>
  <c r="G44" i="60"/>
  <c r="F44" i="60"/>
  <c r="E44" i="60"/>
  <c r="K43" i="60"/>
  <c r="J43" i="60"/>
  <c r="I43" i="60"/>
  <c r="H43" i="60"/>
  <c r="G43" i="60"/>
  <c r="F43" i="60"/>
  <c r="E43" i="60"/>
  <c r="C38" i="60"/>
  <c r="B38" i="60"/>
  <c r="C37" i="60"/>
  <c r="B37" i="60"/>
  <c r="C36" i="60"/>
  <c r="B36" i="60"/>
  <c r="C35" i="60"/>
  <c r="B35" i="60"/>
  <c r="C34" i="60"/>
  <c r="B34" i="60"/>
  <c r="K33" i="60"/>
  <c r="J33" i="60"/>
  <c r="I33" i="60"/>
  <c r="H33" i="60"/>
  <c r="G33" i="60"/>
  <c r="F33" i="60"/>
  <c r="E33" i="60"/>
  <c r="AM30" i="60"/>
  <c r="AL30" i="60"/>
  <c r="AK30" i="60" a="1"/>
  <c r="AK30" i="60"/>
  <c r="AJ30" i="60"/>
  <c r="AI30" i="60" a="1"/>
  <c r="AI30" i="60"/>
  <c r="AH30" i="60" a="1"/>
  <c r="AH30" i="60"/>
  <c r="AG30" i="60" a="1"/>
  <c r="AG30" i="60"/>
  <c r="AF30" i="60" a="1"/>
  <c r="AF30" i="60"/>
  <c r="AE30" i="60" a="1"/>
  <c r="AE30" i="60"/>
  <c r="AD30" i="60" a="1"/>
  <c r="AD30" i="60"/>
  <c r="AC30" i="60" a="1"/>
  <c r="AC30" i="60"/>
  <c r="AB30" i="60" a="1"/>
  <c r="AB30" i="60"/>
  <c r="AA30" i="60" a="1"/>
  <c r="AA30" i="60"/>
  <c r="Z30" i="60" a="1"/>
  <c r="Z30" i="60"/>
  <c r="Y30" i="60" a="1"/>
  <c r="Y30" i="60"/>
  <c r="X30" i="60" a="1"/>
  <c r="X30" i="60"/>
  <c r="W30" i="60" a="1"/>
  <c r="W30" i="60"/>
  <c r="V30" i="60" a="1"/>
  <c r="V30" i="60"/>
  <c r="U30" i="60" a="1"/>
  <c r="U30" i="60"/>
  <c r="T30" i="60" a="1"/>
  <c r="T30" i="60"/>
  <c r="S30" i="60" a="1"/>
  <c r="S30" i="60"/>
  <c r="R30" i="60" a="1"/>
  <c r="R30" i="60"/>
  <c r="Q30" i="60" a="1"/>
  <c r="Q30" i="60"/>
  <c r="P30" i="60" a="1"/>
  <c r="P30" i="60"/>
  <c r="O30" i="60" a="1"/>
  <c r="O30" i="60"/>
  <c r="N30" i="60" a="1"/>
  <c r="N30" i="60"/>
  <c r="M30" i="60" a="1"/>
  <c r="M30" i="60"/>
  <c r="L30" i="60" a="1"/>
  <c r="L30" i="60"/>
  <c r="AM29" i="60"/>
  <c r="AL29" i="60"/>
  <c r="AK29" i="60" a="1"/>
  <c r="AK29" i="60"/>
  <c r="AJ29" i="60"/>
  <c r="AI29" i="60" a="1"/>
  <c r="AI29" i="60"/>
  <c r="AH29" i="60" a="1"/>
  <c r="AH29" i="60"/>
  <c r="AG29" i="60" a="1"/>
  <c r="AG29" i="60"/>
  <c r="AF29" i="60" a="1"/>
  <c r="AF29" i="60"/>
  <c r="AE29" i="60" a="1"/>
  <c r="AE29" i="60"/>
  <c r="AD29" i="60" a="1"/>
  <c r="AD29" i="60"/>
  <c r="AC29" i="60" a="1"/>
  <c r="AC29" i="60"/>
  <c r="AB29" i="60" a="1"/>
  <c r="AB29" i="60"/>
  <c r="AA29" i="60" a="1"/>
  <c r="AA29" i="60"/>
  <c r="Z29" i="60" a="1"/>
  <c r="Z29" i="60"/>
  <c r="Y29" i="60" a="1"/>
  <c r="Y29" i="60"/>
  <c r="X29" i="60" a="1"/>
  <c r="X29" i="60"/>
  <c r="W29" i="60" a="1"/>
  <c r="W29" i="60"/>
  <c r="V29" i="60" a="1"/>
  <c r="V29" i="60"/>
  <c r="U29" i="60" a="1"/>
  <c r="U29" i="60"/>
  <c r="T29" i="60" a="1"/>
  <c r="T29" i="60"/>
  <c r="S29" i="60" a="1"/>
  <c r="S29" i="60"/>
  <c r="R29" i="60" a="1"/>
  <c r="R29" i="60"/>
  <c r="Q29" i="60" a="1"/>
  <c r="Q29" i="60"/>
  <c r="P29" i="60" a="1"/>
  <c r="P29" i="60"/>
  <c r="O29" i="60" a="1"/>
  <c r="O29" i="60"/>
  <c r="N29" i="60" a="1"/>
  <c r="N29" i="60"/>
  <c r="M29" i="60" a="1"/>
  <c r="M29" i="60"/>
  <c r="L29" i="60" a="1"/>
  <c r="L29" i="60"/>
  <c r="O24" i="60" a="1"/>
  <c r="O24" i="60" s="1"/>
  <c r="N24" i="60" a="1"/>
  <c r="N24" i="60" s="1"/>
  <c r="M24" i="60" a="1"/>
  <c r="M24" i="60" s="1"/>
  <c r="L24" i="60" a="1"/>
  <c r="L24" i="60" s="1"/>
  <c r="O23" i="60" a="1"/>
  <c r="O23" i="60" s="1"/>
  <c r="O35" i="60" s="1"/>
  <c r="N23" i="60" a="1"/>
  <c r="N23" i="60" s="1"/>
  <c r="N35" i="60" s="1"/>
  <c r="M23" i="60" a="1"/>
  <c r="M23" i="60" s="1"/>
  <c r="L23" i="60" a="1"/>
  <c r="L23" i="60" s="1"/>
  <c r="O22" i="60" a="1"/>
  <c r="O22" i="60" s="1"/>
  <c r="N22" i="60" a="1"/>
  <c r="N22" i="60" s="1"/>
  <c r="M22" i="60" a="1"/>
  <c r="M22" i="60" s="1"/>
  <c r="L22" i="60" a="1"/>
  <c r="L22" i="60" s="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a="1"/>
  <c r="K5" i="60"/>
  <c r="J5" i="60" a="1"/>
  <c r="J5" i="60"/>
  <c r="I5" i="60" a="1"/>
  <c r="I5" i="60"/>
  <c r="H5" i="60" a="1"/>
  <c r="H5" i="60"/>
  <c r="G5" i="60" a="1"/>
  <c r="G5" i="60"/>
  <c r="F5" i="60" a="1"/>
  <c r="F5" i="60"/>
  <c r="E5" i="60" a="1"/>
  <c r="E5"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A1" i="60"/>
  <c r="P136" i="55"/>
  <c r="O136" i="55"/>
  <c r="N136" i="55"/>
  <c r="K136" i="55"/>
  <c r="A136" i="55"/>
  <c r="P135" i="55"/>
  <c r="O135" i="55"/>
  <c r="N135" i="55"/>
  <c r="K135" i="55"/>
  <c r="A135" i="55"/>
  <c r="P134" i="55"/>
  <c r="O134" i="55"/>
  <c r="N134" i="55"/>
  <c r="K134" i="55"/>
  <c r="A134" i="55"/>
  <c r="P133" i="55"/>
  <c r="O133" i="55"/>
  <c r="N133" i="55"/>
  <c r="K133" i="55"/>
  <c r="A133" i="55"/>
  <c r="P132" i="55"/>
  <c r="O132" i="55"/>
  <c r="N132" i="55"/>
  <c r="K132" i="55"/>
  <c r="A132" i="55"/>
  <c r="P131" i="55"/>
  <c r="O131" i="55"/>
  <c r="N131" i="55"/>
  <c r="K131" i="55"/>
  <c r="A131" i="55"/>
  <c r="P130" i="55"/>
  <c r="O130" i="55"/>
  <c r="N130" i="55"/>
  <c r="K130" i="55"/>
  <c r="A130" i="55"/>
  <c r="P129" i="55"/>
  <c r="O129" i="55"/>
  <c r="N129" i="55"/>
  <c r="K129" i="55"/>
  <c r="A129" i="55"/>
  <c r="P128" i="55"/>
  <c r="O128" i="55"/>
  <c r="N128" i="55"/>
  <c r="K128" i="55"/>
  <c r="A128" i="55"/>
  <c r="P127" i="55"/>
  <c r="O127" i="55"/>
  <c r="N127" i="55"/>
  <c r="K127" i="55"/>
  <c r="A127" i="55"/>
  <c r="P126" i="55"/>
  <c r="O126" i="55"/>
  <c r="N126" i="55"/>
  <c r="K126" i="55"/>
  <c r="A126" i="55"/>
  <c r="A125" i="55"/>
  <c r="P124" i="55"/>
  <c r="O124" i="55"/>
  <c r="N124" i="55"/>
  <c r="K124" i="55"/>
  <c r="A124" i="55"/>
  <c r="P123" i="55"/>
  <c r="O123" i="55"/>
  <c r="N123" i="55"/>
  <c r="K123" i="55"/>
  <c r="A123" i="55"/>
  <c r="P122" i="55"/>
  <c r="O122" i="55"/>
  <c r="N122" i="55"/>
  <c r="K122" i="55"/>
  <c r="A122" i="55"/>
  <c r="P121" i="55"/>
  <c r="O121" i="55"/>
  <c r="N121" i="55"/>
  <c r="K121" i="55"/>
  <c r="A121" i="55"/>
  <c r="P120" i="55"/>
  <c r="O120" i="55"/>
  <c r="N120" i="55"/>
  <c r="K120" i="55"/>
  <c r="A120" i="55"/>
  <c r="P119" i="55"/>
  <c r="O119" i="55"/>
  <c r="N119" i="55"/>
  <c r="K119" i="55"/>
  <c r="A119" i="55"/>
  <c r="P118" i="55"/>
  <c r="O118" i="55"/>
  <c r="N118" i="55"/>
  <c r="K118" i="55"/>
  <c r="A118" i="55"/>
  <c r="P117" i="55"/>
  <c r="O117" i="55"/>
  <c r="N117" i="55"/>
  <c r="K117" i="55"/>
  <c r="A117" i="55"/>
  <c r="P116" i="55"/>
  <c r="O116" i="55"/>
  <c r="N116" i="55"/>
  <c r="K116" i="55"/>
  <c r="A116" i="55"/>
  <c r="P115" i="55"/>
  <c r="O115" i="55"/>
  <c r="N115" i="55"/>
  <c r="K115" i="55"/>
  <c r="A115" i="55"/>
  <c r="A114" i="55"/>
  <c r="P113" i="55"/>
  <c r="O113" i="55"/>
  <c r="N113" i="55"/>
  <c r="K113" i="55"/>
  <c r="A113" i="55"/>
  <c r="P112" i="55"/>
  <c r="O112" i="55"/>
  <c r="N112" i="55"/>
  <c r="K112" i="55"/>
  <c r="A112" i="55"/>
  <c r="P111" i="55"/>
  <c r="O111" i="55"/>
  <c r="N111" i="55"/>
  <c r="K111" i="55"/>
  <c r="A111" i="55"/>
  <c r="P110" i="55"/>
  <c r="O110" i="55"/>
  <c r="N110" i="55"/>
  <c r="K110" i="55"/>
  <c r="A110" i="55"/>
  <c r="P109" i="55"/>
  <c r="O109" i="55"/>
  <c r="N109" i="55"/>
  <c r="K109" i="55"/>
  <c r="A109" i="55"/>
  <c r="P108" i="55"/>
  <c r="O108" i="55"/>
  <c r="N108" i="55"/>
  <c r="K108" i="55"/>
  <c r="A108" i="55"/>
  <c r="P107" i="55"/>
  <c r="O107" i="55"/>
  <c r="N107" i="55"/>
  <c r="K107" i="55"/>
  <c r="A107" i="55"/>
  <c r="P106" i="55"/>
  <c r="O106" i="55"/>
  <c r="N106" i="55"/>
  <c r="K106" i="55"/>
  <c r="A106" i="55"/>
  <c r="P105" i="55"/>
  <c r="O105" i="55"/>
  <c r="N105" i="55"/>
  <c r="K105" i="55"/>
  <c r="A105" i="55"/>
  <c r="P104" i="55"/>
  <c r="O104" i="55"/>
  <c r="N104" i="55"/>
  <c r="K104" i="55"/>
  <c r="A104" i="55"/>
  <c r="A103" i="55"/>
  <c r="P102" i="55"/>
  <c r="O102" i="55"/>
  <c r="N102" i="55"/>
  <c r="K102" i="55"/>
  <c r="A102" i="55"/>
  <c r="P101" i="55"/>
  <c r="O101" i="55"/>
  <c r="N101" i="55"/>
  <c r="K101" i="55"/>
  <c r="A101" i="55"/>
  <c r="P100" i="55"/>
  <c r="O100" i="55"/>
  <c r="N100" i="55"/>
  <c r="K100" i="55"/>
  <c r="A100" i="55"/>
  <c r="P99" i="55"/>
  <c r="O99" i="55"/>
  <c r="N99" i="55"/>
  <c r="K99" i="55"/>
  <c r="A99" i="55"/>
  <c r="P98" i="55"/>
  <c r="O98" i="55"/>
  <c r="N98" i="55"/>
  <c r="K98" i="55"/>
  <c r="A98" i="55"/>
  <c r="P97" i="55"/>
  <c r="O97" i="55"/>
  <c r="N97" i="55"/>
  <c r="K97" i="55"/>
  <c r="A97" i="55"/>
  <c r="P96" i="55"/>
  <c r="O96" i="55"/>
  <c r="N96" i="55"/>
  <c r="K96" i="55"/>
  <c r="A96" i="55"/>
  <c r="P95" i="55"/>
  <c r="O95" i="55"/>
  <c r="N95" i="55"/>
  <c r="K95" i="55"/>
  <c r="A95" i="55"/>
  <c r="P94" i="55"/>
  <c r="O94" i="55"/>
  <c r="N94" i="55"/>
  <c r="K94" i="55"/>
  <c r="A94" i="55"/>
  <c r="P93" i="55"/>
  <c r="O93" i="55"/>
  <c r="N93" i="55"/>
  <c r="K93" i="55"/>
  <c r="A93" i="55"/>
  <c r="P92" i="55"/>
  <c r="O92" i="55"/>
  <c r="N92" i="55"/>
  <c r="K92" i="55"/>
  <c r="A92" i="55"/>
  <c r="A91" i="55"/>
  <c r="P90" i="55"/>
  <c r="O90" i="55"/>
  <c r="N90" i="55"/>
  <c r="K90" i="55"/>
  <c r="A90" i="55"/>
  <c r="P89" i="55"/>
  <c r="O89" i="55"/>
  <c r="N89" i="55"/>
  <c r="K89" i="55"/>
  <c r="A89" i="55"/>
  <c r="P88" i="55"/>
  <c r="O88" i="55"/>
  <c r="N88" i="55"/>
  <c r="K88" i="55"/>
  <c r="A88" i="55"/>
  <c r="P87" i="55"/>
  <c r="O87" i="55"/>
  <c r="N87" i="55"/>
  <c r="K87" i="55"/>
  <c r="A87" i="55"/>
  <c r="P86" i="55"/>
  <c r="O86" i="55"/>
  <c r="N86" i="55"/>
  <c r="K86" i="55"/>
  <c r="A86" i="55"/>
  <c r="P85" i="55"/>
  <c r="O85" i="55"/>
  <c r="N85" i="55"/>
  <c r="K85" i="55"/>
  <c r="A85" i="55"/>
  <c r="P84" i="55"/>
  <c r="O84" i="55"/>
  <c r="N84" i="55"/>
  <c r="K84" i="55"/>
  <c r="A84" i="55"/>
  <c r="P83" i="55"/>
  <c r="O83" i="55"/>
  <c r="N83" i="55"/>
  <c r="K83" i="55"/>
  <c r="A83" i="55"/>
  <c r="P82" i="55"/>
  <c r="O82" i="55"/>
  <c r="N82" i="55"/>
  <c r="K82" i="55"/>
  <c r="A82" i="55"/>
  <c r="P81" i="55"/>
  <c r="O81" i="55"/>
  <c r="N81" i="55"/>
  <c r="K81" i="55"/>
  <c r="A81" i="55"/>
  <c r="P80" i="55"/>
  <c r="O80" i="55"/>
  <c r="N80" i="55"/>
  <c r="K80" i="55"/>
  <c r="A80"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AD63" i="55"/>
  <c r="AC63" i="55"/>
  <c r="AB63" i="55"/>
  <c r="AA63" i="55"/>
  <c r="Z63" i="55"/>
  <c r="Y63" i="55"/>
  <c r="X63" i="55"/>
  <c r="W63" i="55"/>
  <c r="V63" i="55"/>
  <c r="U63" i="55"/>
  <c r="AQ62" i="55" a="1"/>
  <c r="AQ62" i="55"/>
  <c r="AP62" i="55" a="1"/>
  <c r="AP62" i="55"/>
  <c r="AO62" i="55" a="1"/>
  <c r="AO62" i="55"/>
  <c r="AN62" i="55" a="1"/>
  <c r="AN62" i="55"/>
  <c r="AM62" i="55" a="1"/>
  <c r="AM62" i="55"/>
  <c r="AL62" i="55" a="1"/>
  <c r="AL62" i="55"/>
  <c r="AK62" i="55" a="1"/>
  <c r="AK62" i="55"/>
  <c r="AJ62" i="55" a="1"/>
  <c r="AJ62" i="55"/>
  <c r="AI62" i="55" a="1"/>
  <c r="AI62" i="55"/>
  <c r="AH62" i="55" a="1"/>
  <c r="AH62" i="55"/>
  <c r="AG62" i="55" a="1"/>
  <c r="AG62" i="55"/>
  <c r="AF62" i="55" a="1"/>
  <c r="AF62" i="55"/>
  <c r="AE62" i="55" a="1"/>
  <c r="AE62" i="55"/>
  <c r="AD62" i="55" a="1"/>
  <c r="AD62" i="55"/>
  <c r="AC62" i="55" a="1"/>
  <c r="AC62" i="55"/>
  <c r="AB62" i="55"/>
  <c r="AA62" i="55"/>
  <c r="Z62" i="55"/>
  <c r="Y62" i="55"/>
  <c r="X62" i="55"/>
  <c r="W62" i="55"/>
  <c r="V62" i="55"/>
  <c r="U62" i="55"/>
  <c r="S62" i="55" a="1"/>
  <c r="S62" i="55"/>
  <c r="R62" i="55" a="1"/>
  <c r="R62" i="55"/>
  <c r="Q62" i="55" a="1"/>
  <c r="Q62" i="55"/>
  <c r="P62" i="55" a="1"/>
  <c r="P62" i="55"/>
  <c r="O62" i="55" a="1"/>
  <c r="O62" i="55"/>
  <c r="N62" i="55" a="1"/>
  <c r="N62" i="55"/>
  <c r="M62" i="55" a="1"/>
  <c r="M62" i="55"/>
  <c r="L62" i="55" a="1"/>
  <c r="L62" i="55"/>
  <c r="K62" i="55" a="1"/>
  <c r="K62" i="55"/>
  <c r="H62" i="55"/>
  <c r="C62" i="55"/>
  <c r="B62" i="55"/>
  <c r="AQ61" i="55" a="1"/>
  <c r="AQ61" i="55"/>
  <c r="AP61" i="55" a="1"/>
  <c r="AP61" i="55"/>
  <c r="AO61" i="55" a="1"/>
  <c r="AO61" i="55"/>
  <c r="AN61" i="55" a="1"/>
  <c r="AN61" i="55"/>
  <c r="AM61" i="55" a="1"/>
  <c r="AM61" i="55"/>
  <c r="AL61" i="55" a="1"/>
  <c r="AL61" i="55"/>
  <c r="AK61" i="55" a="1"/>
  <c r="AK61" i="55"/>
  <c r="AJ61" i="55" a="1"/>
  <c r="AJ61" i="55"/>
  <c r="AI61" i="55" a="1"/>
  <c r="AI61" i="55"/>
  <c r="AH61" i="55" a="1"/>
  <c r="AH61" i="55"/>
  <c r="AG61" i="55" a="1"/>
  <c r="AG61" i="55"/>
  <c r="AF61" i="55" a="1"/>
  <c r="AF61" i="55"/>
  <c r="AE61" i="55" a="1"/>
  <c r="AE61" i="55"/>
  <c r="AD61" i="55" a="1"/>
  <c r="AD61" i="55"/>
  <c r="AC61" i="55" a="1"/>
  <c r="AC61" i="55"/>
  <c r="AB61" i="55"/>
  <c r="AA61" i="55"/>
  <c r="Z61" i="55"/>
  <c r="Y61" i="55"/>
  <c r="X61" i="55"/>
  <c r="W61" i="55"/>
  <c r="V61" i="55"/>
  <c r="U61" i="55"/>
  <c r="T61" i="55" a="1"/>
  <c r="T61" i="55"/>
  <c r="S61" i="55" a="1"/>
  <c r="S61" i="55"/>
  <c r="R61" i="55" a="1"/>
  <c r="R61" i="55"/>
  <c r="Q61" i="55" a="1"/>
  <c r="Q61" i="55"/>
  <c r="P61" i="55" a="1"/>
  <c r="P61" i="55"/>
  <c r="O61" i="55" a="1"/>
  <c r="O61" i="55"/>
  <c r="N61" i="55" a="1"/>
  <c r="N61" i="55"/>
  <c r="M61" i="55" a="1"/>
  <c r="M61" i="55"/>
  <c r="L61" i="55" a="1"/>
  <c r="L61" i="55"/>
  <c r="K61" i="55" a="1"/>
  <c r="K61" i="55"/>
  <c r="H61" i="55"/>
  <c r="C61" i="55"/>
  <c r="B61" i="55"/>
  <c r="AQ60" i="55" a="1"/>
  <c r="AQ60" i="55"/>
  <c r="AP60" i="55" a="1"/>
  <c r="AP60" i="55"/>
  <c r="AO60" i="55" a="1"/>
  <c r="AO60" i="55"/>
  <c r="AN60" i="55" a="1"/>
  <c r="AN60" i="55"/>
  <c r="AM60" i="55" a="1"/>
  <c r="AM60" i="55"/>
  <c r="AL60" i="55" a="1"/>
  <c r="AL60" i="55"/>
  <c r="AK60" i="55" a="1"/>
  <c r="AK60" i="55"/>
  <c r="AJ60" i="55" a="1"/>
  <c r="AJ60" i="55"/>
  <c r="AI60" i="55" a="1"/>
  <c r="AI60" i="55"/>
  <c r="AH60" i="55" a="1"/>
  <c r="AH60" i="55"/>
  <c r="AG60" i="55" a="1"/>
  <c r="AG60" i="55"/>
  <c r="AF60" i="55" a="1"/>
  <c r="AF60" i="55"/>
  <c r="AE60" i="55" a="1"/>
  <c r="AE60" i="55"/>
  <c r="AD60" i="55" a="1"/>
  <c r="AD60" i="55"/>
  <c r="AC60" i="55" a="1"/>
  <c r="AC60" i="55"/>
  <c r="AB60" i="55"/>
  <c r="AA60" i="55"/>
  <c r="Z60" i="55"/>
  <c r="Y60" i="55"/>
  <c r="X60" i="55"/>
  <c r="W60" i="55"/>
  <c r="V60" i="55"/>
  <c r="U60" i="55"/>
  <c r="T60" i="55" a="1"/>
  <c r="T60" i="55"/>
  <c r="S60" i="55" a="1"/>
  <c r="S60" i="55"/>
  <c r="R60" i="55" a="1"/>
  <c r="R60" i="55"/>
  <c r="Q60" i="55" a="1"/>
  <c r="Q60" i="55"/>
  <c r="P60" i="55" a="1"/>
  <c r="P60" i="55"/>
  <c r="O60" i="55" a="1"/>
  <c r="O60" i="55"/>
  <c r="N60" i="55" a="1"/>
  <c r="N60" i="55"/>
  <c r="M60" i="55" a="1"/>
  <c r="M60" i="55"/>
  <c r="L60" i="55" a="1"/>
  <c r="L60" i="55"/>
  <c r="K60" i="55" a="1"/>
  <c r="K60" i="55"/>
  <c r="H60" i="55"/>
  <c r="C60" i="55"/>
  <c r="B60" i="55"/>
  <c r="AQ59" i="55" a="1"/>
  <c r="AQ59" i="55"/>
  <c r="AP59" i="55" a="1"/>
  <c r="AP59" i="55"/>
  <c r="AO59" i="55" a="1"/>
  <c r="AO59" i="55"/>
  <c r="AN59" i="55" a="1"/>
  <c r="AN59" i="55"/>
  <c r="AM59" i="55" a="1"/>
  <c r="AM59" i="55"/>
  <c r="AL59" i="55" a="1"/>
  <c r="AL59" i="55"/>
  <c r="AK59" i="55" a="1"/>
  <c r="AK59" i="55"/>
  <c r="AJ59" i="55" a="1"/>
  <c r="AJ59" i="55"/>
  <c r="AI59" i="55" a="1"/>
  <c r="AI59" i="55"/>
  <c r="AH59" i="55" a="1"/>
  <c r="AH59" i="55"/>
  <c r="AG59" i="55" a="1"/>
  <c r="AG59" i="55"/>
  <c r="AF59" i="55" a="1"/>
  <c r="AF59" i="55"/>
  <c r="AE59" i="55" a="1"/>
  <c r="AE59" i="55"/>
  <c r="AD59" i="55" a="1"/>
  <c r="AD59" i="55"/>
  <c r="AC59" i="55" a="1"/>
  <c r="AC59" i="55"/>
  <c r="AB59" i="55"/>
  <c r="AA59" i="55"/>
  <c r="Z59" i="55"/>
  <c r="Y59" i="55"/>
  <c r="X59" i="55"/>
  <c r="W59" i="55"/>
  <c r="V59" i="55"/>
  <c r="U59" i="55"/>
  <c r="S59" i="55" a="1"/>
  <c r="S59" i="55"/>
  <c r="R59" i="55" a="1"/>
  <c r="R59" i="55"/>
  <c r="Q59" i="55" a="1"/>
  <c r="Q59" i="55"/>
  <c r="P59" i="55" a="1"/>
  <c r="P59" i="55"/>
  <c r="O59" i="55" a="1"/>
  <c r="O59" i="55"/>
  <c r="N59" i="55" a="1"/>
  <c r="N59" i="55"/>
  <c r="M59" i="55" a="1"/>
  <c r="M59" i="55"/>
  <c r="L59" i="55" a="1"/>
  <c r="L59" i="55"/>
  <c r="K59" i="55" a="1"/>
  <c r="K59" i="55"/>
  <c r="H59" i="55"/>
  <c r="C59" i="55"/>
  <c r="B59" i="55"/>
  <c r="AQ58" i="55" a="1"/>
  <c r="AQ58" i="55"/>
  <c r="AP58" i="55" a="1"/>
  <c r="AP58" i="55"/>
  <c r="AO58" i="55" a="1"/>
  <c r="AO58" i="55"/>
  <c r="AN58" i="55" a="1"/>
  <c r="AN58" i="55"/>
  <c r="AM58" i="55" a="1"/>
  <c r="AM58" i="55"/>
  <c r="AL58" i="55" a="1"/>
  <c r="AL58" i="55"/>
  <c r="AK58" i="55" a="1"/>
  <c r="AK58" i="55"/>
  <c r="AJ58" i="55" a="1"/>
  <c r="AJ58" i="55"/>
  <c r="AI58" i="55" a="1"/>
  <c r="AI58" i="55"/>
  <c r="AH58" i="55" a="1"/>
  <c r="AH58" i="55"/>
  <c r="AG58" i="55" a="1"/>
  <c r="AG58" i="55"/>
  <c r="AF58" i="55" a="1"/>
  <c r="AF58" i="55"/>
  <c r="AE58" i="55" a="1"/>
  <c r="AE58" i="55"/>
  <c r="AD58" i="55" a="1"/>
  <c r="AD58" i="55"/>
  <c r="AC58" i="55" a="1"/>
  <c r="AC58" i="55"/>
  <c r="AB58" i="55"/>
  <c r="AA58" i="55"/>
  <c r="Z58" i="55"/>
  <c r="Y58" i="55"/>
  <c r="X58" i="55"/>
  <c r="W58" i="55"/>
  <c r="V58" i="55"/>
  <c r="U58" i="55"/>
  <c r="T58" i="55" a="1"/>
  <c r="T58" i="55"/>
  <c r="S58" i="55" a="1"/>
  <c r="S58" i="55"/>
  <c r="R58" i="55" a="1"/>
  <c r="R58" i="55"/>
  <c r="Q58" i="55" a="1"/>
  <c r="Q58" i="55"/>
  <c r="P58" i="55" a="1"/>
  <c r="P58" i="55"/>
  <c r="O58" i="55" a="1"/>
  <c r="O58" i="55"/>
  <c r="N58" i="55" a="1"/>
  <c r="N58" i="55"/>
  <c r="M58" i="55" a="1"/>
  <c r="M58" i="55"/>
  <c r="L58" i="55" a="1"/>
  <c r="L58" i="55"/>
  <c r="K58" i="55" a="1"/>
  <c r="K58" i="55"/>
  <c r="H58" i="55"/>
  <c r="C58" i="55"/>
  <c r="B58" i="55"/>
  <c r="AQ57" i="55" a="1"/>
  <c r="AQ57" i="55"/>
  <c r="AP57" i="55" a="1"/>
  <c r="AP57" i="55"/>
  <c r="AO57" i="55" a="1"/>
  <c r="AO57" i="55"/>
  <c r="AN57" i="55" a="1"/>
  <c r="AN57" i="55"/>
  <c r="AM57" i="55" a="1"/>
  <c r="AM57" i="55"/>
  <c r="AL57" i="55" a="1"/>
  <c r="AL57" i="55"/>
  <c r="AK57" i="55" a="1"/>
  <c r="AK57" i="55"/>
  <c r="AJ57" i="55" a="1"/>
  <c r="AJ57" i="55"/>
  <c r="AI57" i="55" a="1"/>
  <c r="AI57" i="55"/>
  <c r="AH57" i="55" a="1"/>
  <c r="AH57" i="55"/>
  <c r="AG57" i="55" a="1"/>
  <c r="AG57" i="55"/>
  <c r="AF57" i="55" a="1"/>
  <c r="AF57" i="55"/>
  <c r="AE57" i="55" a="1"/>
  <c r="AE57" i="55"/>
  <c r="AD57" i="55" a="1"/>
  <c r="AD57" i="55"/>
  <c r="AC57" i="55" a="1"/>
  <c r="AC57" i="55"/>
  <c r="AB57" i="55"/>
  <c r="AA57" i="55"/>
  <c r="Z57" i="55"/>
  <c r="Y57" i="55"/>
  <c r="X57" i="55"/>
  <c r="W57" i="55"/>
  <c r="V57" i="55"/>
  <c r="U57" i="55"/>
  <c r="T57" i="55" a="1"/>
  <c r="T57" i="55"/>
  <c r="S57" i="55" a="1"/>
  <c r="S57" i="55"/>
  <c r="R57" i="55" a="1"/>
  <c r="R57" i="55"/>
  <c r="Q57" i="55" a="1"/>
  <c r="Q57" i="55"/>
  <c r="P57" i="55" a="1"/>
  <c r="P57" i="55"/>
  <c r="O57" i="55" a="1"/>
  <c r="O57" i="55"/>
  <c r="N57" i="55" a="1"/>
  <c r="N57" i="55"/>
  <c r="M57" i="55" a="1"/>
  <c r="M57" i="55"/>
  <c r="L57" i="55" a="1"/>
  <c r="L57" i="55"/>
  <c r="K57" i="55" a="1"/>
  <c r="K57" i="55"/>
  <c r="H57" i="55"/>
  <c r="C57" i="55"/>
  <c r="B57" i="55"/>
  <c r="AQ56" i="55" a="1"/>
  <c r="AQ56" i="55"/>
  <c r="AP56" i="55" a="1"/>
  <c r="AP56" i="55"/>
  <c r="AO56" i="55" a="1"/>
  <c r="AO56" i="55"/>
  <c r="AN56" i="55" a="1"/>
  <c r="AN56" i="55"/>
  <c r="AM56" i="55" a="1"/>
  <c r="AM56" i="55"/>
  <c r="AL56" i="55" a="1"/>
  <c r="AL56" i="55"/>
  <c r="AK56" i="55" a="1"/>
  <c r="AK56" i="55"/>
  <c r="AJ56" i="55" a="1"/>
  <c r="AJ56" i="55"/>
  <c r="AI56" i="55" a="1"/>
  <c r="AI56" i="55"/>
  <c r="AH56" i="55" a="1"/>
  <c r="AH56" i="55"/>
  <c r="AG56" i="55" a="1"/>
  <c r="AG56" i="55"/>
  <c r="AF56" i="55" a="1"/>
  <c r="AF56" i="55"/>
  <c r="AE56" i="55" a="1"/>
  <c r="AE56" i="55"/>
  <c r="AD56" i="55" a="1"/>
  <c r="AD56" i="55"/>
  <c r="AC56" i="55" a="1"/>
  <c r="AC56" i="55"/>
  <c r="AB56" i="55"/>
  <c r="AA56" i="55"/>
  <c r="Z56" i="55"/>
  <c r="Y56" i="55"/>
  <c r="X56" i="55"/>
  <c r="W56" i="55"/>
  <c r="V56" i="55"/>
  <c r="U56" i="55"/>
  <c r="T56" i="55" a="1"/>
  <c r="T56" i="55"/>
  <c r="S56" i="55" a="1"/>
  <c r="S56" i="55"/>
  <c r="R56" i="55" a="1"/>
  <c r="R56" i="55"/>
  <c r="Q56" i="55" a="1"/>
  <c r="Q56" i="55"/>
  <c r="P56" i="55" a="1"/>
  <c r="P56" i="55"/>
  <c r="O56" i="55" a="1"/>
  <c r="O56" i="55"/>
  <c r="N56" i="55" a="1"/>
  <c r="N56" i="55"/>
  <c r="M56" i="55" a="1"/>
  <c r="M56" i="55"/>
  <c r="L56" i="55" a="1"/>
  <c r="L56" i="55"/>
  <c r="K56" i="55" a="1"/>
  <c r="K56" i="55"/>
  <c r="H56" i="55"/>
  <c r="C56" i="55"/>
  <c r="B56" i="55"/>
  <c r="AQ55" i="55" a="1"/>
  <c r="AQ55" i="55"/>
  <c r="AP55" i="55" a="1"/>
  <c r="AP55" i="55"/>
  <c r="AO55" i="55" a="1"/>
  <c r="AO55" i="55"/>
  <c r="AN55" i="55" a="1"/>
  <c r="AN55" i="55"/>
  <c r="AM55" i="55" a="1"/>
  <c r="AM55" i="55"/>
  <c r="AL55" i="55" a="1"/>
  <c r="AL55" i="55"/>
  <c r="AK55" i="55" a="1"/>
  <c r="AK55" i="55"/>
  <c r="AJ55" i="55" a="1"/>
  <c r="AJ55" i="55"/>
  <c r="AI55" i="55" a="1"/>
  <c r="AI55" i="55"/>
  <c r="AH55" i="55" a="1"/>
  <c r="AH55" i="55"/>
  <c r="AG55" i="55" a="1"/>
  <c r="AG55" i="55"/>
  <c r="AF55" i="55" a="1"/>
  <c r="AF55" i="55"/>
  <c r="AE55" i="55" a="1"/>
  <c r="AE55" i="55"/>
  <c r="AD55" i="55" a="1"/>
  <c r="AD55" i="55"/>
  <c r="AC55" i="55" a="1"/>
  <c r="AC55" i="55"/>
  <c r="AB55" i="55"/>
  <c r="AA55" i="55"/>
  <c r="Z55" i="55"/>
  <c r="Y55" i="55"/>
  <c r="X55" i="55"/>
  <c r="W55" i="55"/>
  <c r="V55" i="55"/>
  <c r="U55" i="55"/>
  <c r="T55" i="55" a="1"/>
  <c r="T55" i="55"/>
  <c r="S55" i="55" a="1"/>
  <c r="S55" i="55"/>
  <c r="R55" i="55" a="1"/>
  <c r="R55" i="55"/>
  <c r="Q55" i="55" a="1"/>
  <c r="Q55" i="55"/>
  <c r="P55" i="55" a="1"/>
  <c r="P55" i="55"/>
  <c r="O55" i="55" a="1"/>
  <c r="O55" i="55"/>
  <c r="N55" i="55" a="1"/>
  <c r="N55" i="55"/>
  <c r="M55" i="55" a="1"/>
  <c r="M55" i="55"/>
  <c r="L55" i="55" a="1"/>
  <c r="L55" i="55"/>
  <c r="K55" i="55" a="1"/>
  <c r="K55" i="55"/>
  <c r="H55" i="55"/>
  <c r="C55" i="55"/>
  <c r="B55" i="55"/>
  <c r="AQ54" i="55" a="1"/>
  <c r="AQ54" i="55"/>
  <c r="AP54" i="55" a="1"/>
  <c r="AP54" i="55"/>
  <c r="AO54" i="55" a="1"/>
  <c r="AO54" i="55"/>
  <c r="AN54" i="55" a="1"/>
  <c r="AN54" i="55"/>
  <c r="AM54" i="55" a="1"/>
  <c r="AM54" i="55"/>
  <c r="AL54" i="55" a="1"/>
  <c r="AL54" i="55"/>
  <c r="AK54" i="55" a="1"/>
  <c r="AK54" i="55"/>
  <c r="AJ54" i="55" a="1"/>
  <c r="AJ54" i="55"/>
  <c r="AI54" i="55" a="1"/>
  <c r="AI54" i="55"/>
  <c r="AH54" i="55" a="1"/>
  <c r="AH54" i="55"/>
  <c r="AG54" i="55" a="1"/>
  <c r="AG54" i="55"/>
  <c r="AF54" i="55" a="1"/>
  <c r="AF54" i="55"/>
  <c r="AE54" i="55" a="1"/>
  <c r="AE54" i="55"/>
  <c r="AD54" i="55" a="1"/>
  <c r="AD54" i="55"/>
  <c r="AC54" i="55" a="1"/>
  <c r="AC54" i="55"/>
  <c r="AB54" i="55"/>
  <c r="AA54" i="55"/>
  <c r="Z54" i="55"/>
  <c r="Y54" i="55"/>
  <c r="X54" i="55"/>
  <c r="W54" i="55"/>
  <c r="V54" i="55"/>
  <c r="U54" i="55"/>
  <c r="S54" i="55" a="1"/>
  <c r="S54" i="55"/>
  <c r="R54" i="55" a="1"/>
  <c r="R54" i="55"/>
  <c r="Q54" i="55" a="1"/>
  <c r="Q54" i="55"/>
  <c r="P54" i="55" a="1"/>
  <c r="P54" i="55"/>
  <c r="O54" i="55" a="1"/>
  <c r="O54" i="55"/>
  <c r="N54" i="55" a="1"/>
  <c r="N54" i="55"/>
  <c r="M54" i="55" a="1"/>
  <c r="M54" i="55"/>
  <c r="L54" i="55" a="1"/>
  <c r="L54" i="55"/>
  <c r="K54" i="55" a="1"/>
  <c r="K54" i="55"/>
  <c r="H54" i="55"/>
  <c r="C54" i="55"/>
  <c r="B54" i="55"/>
  <c r="AQ53" i="55" a="1"/>
  <c r="AQ53" i="55"/>
  <c r="AP53" i="55" a="1"/>
  <c r="AP53" i="55"/>
  <c r="AO53" i="55" a="1"/>
  <c r="AO53" i="55"/>
  <c r="AN53" i="55" a="1"/>
  <c r="AN53" i="55"/>
  <c r="AM53" i="55" a="1"/>
  <c r="AM53" i="55"/>
  <c r="AL53" i="55" a="1"/>
  <c r="AL53" i="55"/>
  <c r="AK53" i="55" a="1"/>
  <c r="AK53" i="55"/>
  <c r="AJ53" i="55" a="1"/>
  <c r="AJ53" i="55"/>
  <c r="AI53" i="55" a="1"/>
  <c r="AI53" i="55"/>
  <c r="AH53" i="55" a="1"/>
  <c r="AH53" i="55"/>
  <c r="AG53" i="55" a="1"/>
  <c r="AG53" i="55"/>
  <c r="AF53" i="55" a="1"/>
  <c r="AF53" i="55"/>
  <c r="AE53" i="55" a="1"/>
  <c r="AE53" i="55"/>
  <c r="AD53" i="55" a="1"/>
  <c r="AD53" i="55"/>
  <c r="AC53" i="55" a="1"/>
  <c r="AC53" i="55"/>
  <c r="AB53" i="55"/>
  <c r="AA53" i="55"/>
  <c r="Z53" i="55"/>
  <c r="Y53" i="55"/>
  <c r="X53" i="55"/>
  <c r="W53" i="55"/>
  <c r="V53" i="55"/>
  <c r="U53" i="55"/>
  <c r="S53" i="55" a="1"/>
  <c r="S53" i="55"/>
  <c r="R53" i="55" a="1"/>
  <c r="R53" i="55"/>
  <c r="Q53" i="55" a="1"/>
  <c r="Q53" i="55"/>
  <c r="P53" i="55" a="1"/>
  <c r="P53" i="55"/>
  <c r="O53" i="55" a="1"/>
  <c r="O53" i="55"/>
  <c r="N53" i="55" a="1"/>
  <c r="N53" i="55"/>
  <c r="M53" i="55" a="1"/>
  <c r="M53" i="55"/>
  <c r="L53" i="55" a="1"/>
  <c r="L53" i="55"/>
  <c r="K53" i="55" a="1"/>
  <c r="K53" i="55"/>
  <c r="H53" i="55"/>
  <c r="C53" i="55"/>
  <c r="B53" i="55"/>
  <c r="AQ52" i="55" a="1"/>
  <c r="AQ52" i="55"/>
  <c r="AP52" i="55" a="1"/>
  <c r="AP52" i="55"/>
  <c r="AO52" i="55" a="1"/>
  <c r="AO52" i="55"/>
  <c r="AN52" i="55" a="1"/>
  <c r="AN52" i="55"/>
  <c r="AM52" i="55" a="1"/>
  <c r="AM52" i="55"/>
  <c r="AL52" i="55" a="1"/>
  <c r="AL52" i="55"/>
  <c r="AK52" i="55" a="1"/>
  <c r="AK52" i="55"/>
  <c r="AJ52" i="55" a="1"/>
  <c r="AJ52" i="55"/>
  <c r="AI52" i="55" a="1"/>
  <c r="AI52" i="55"/>
  <c r="AH52" i="55" a="1"/>
  <c r="AH52" i="55"/>
  <c r="AG52" i="55" a="1"/>
  <c r="AG52" i="55"/>
  <c r="AF52" i="55" a="1"/>
  <c r="AF52" i="55"/>
  <c r="AE52" i="55" a="1"/>
  <c r="AE52" i="55"/>
  <c r="AD52" i="55" a="1"/>
  <c r="AD52" i="55"/>
  <c r="AC52" i="55" a="1"/>
  <c r="AC52" i="55"/>
  <c r="AB52" i="55"/>
  <c r="AA52" i="55"/>
  <c r="Z52" i="55"/>
  <c r="Y52" i="55"/>
  <c r="X52" i="55"/>
  <c r="W52" i="55"/>
  <c r="V52" i="55"/>
  <c r="U52" i="55"/>
  <c r="S52" i="55" a="1"/>
  <c r="S52" i="55"/>
  <c r="R52" i="55" a="1"/>
  <c r="R52" i="55"/>
  <c r="Q52" i="55" a="1"/>
  <c r="Q52" i="55"/>
  <c r="P52" i="55" a="1"/>
  <c r="P52" i="55"/>
  <c r="O52" i="55" a="1"/>
  <c r="O52" i="55"/>
  <c r="N52" i="55" a="1"/>
  <c r="N52" i="55"/>
  <c r="M52" i="55" a="1"/>
  <c r="M52" i="55"/>
  <c r="L52" i="55" a="1"/>
  <c r="L52" i="55"/>
  <c r="K52" i="55" a="1"/>
  <c r="K52" i="55"/>
  <c r="H52" i="55"/>
  <c r="C52" i="55"/>
  <c r="B52" i="55"/>
  <c r="AQ51" i="55" a="1"/>
  <c r="AQ51" i="55"/>
  <c r="AP51" i="55" a="1"/>
  <c r="AP51" i="55"/>
  <c r="AO51" i="55" a="1"/>
  <c r="AO51" i="55"/>
  <c r="AN51" i="55" a="1"/>
  <c r="AN51" i="55"/>
  <c r="AM51" i="55" a="1"/>
  <c r="AM51" i="55"/>
  <c r="AL51" i="55" a="1"/>
  <c r="AL51" i="55"/>
  <c r="AK51" i="55" a="1"/>
  <c r="AK51" i="55"/>
  <c r="AJ51" i="55" a="1"/>
  <c r="AJ51" i="55"/>
  <c r="AI51" i="55" a="1"/>
  <c r="AI51" i="55"/>
  <c r="AH51" i="55" a="1"/>
  <c r="AH51" i="55"/>
  <c r="AG51" i="55" a="1"/>
  <c r="AG51" i="55"/>
  <c r="AF51" i="55" a="1"/>
  <c r="AF51" i="55"/>
  <c r="AE51" i="55" a="1"/>
  <c r="AE51" i="55"/>
  <c r="AD51" i="55" a="1"/>
  <c r="AD51" i="55"/>
  <c r="AC51" i="55" a="1"/>
  <c r="AC51" i="55"/>
  <c r="AB51" i="55"/>
  <c r="AA51" i="55"/>
  <c r="Z51" i="55"/>
  <c r="Y51" i="55"/>
  <c r="X51" i="55"/>
  <c r="W51" i="55"/>
  <c r="V51" i="55"/>
  <c r="U51" i="55"/>
  <c r="T51" i="55" a="1"/>
  <c r="T51" i="55"/>
  <c r="S51" i="55" a="1"/>
  <c r="S51" i="55"/>
  <c r="R51" i="55" a="1"/>
  <c r="R51" i="55"/>
  <c r="Q51" i="55" a="1"/>
  <c r="Q51" i="55"/>
  <c r="P51" i="55" a="1"/>
  <c r="P51" i="55"/>
  <c r="O51" i="55" a="1"/>
  <c r="O51" i="55"/>
  <c r="N51" i="55" a="1"/>
  <c r="N51" i="55"/>
  <c r="M51" i="55" a="1"/>
  <c r="M51" i="55"/>
  <c r="L51" i="55" a="1"/>
  <c r="L51" i="55"/>
  <c r="K51" i="55" a="1"/>
  <c r="K51" i="55"/>
  <c r="H51" i="55"/>
  <c r="C51" i="55"/>
  <c r="B51" i="55"/>
  <c r="AQ50" i="55" a="1"/>
  <c r="AQ50" i="55"/>
  <c r="AP50" i="55" a="1"/>
  <c r="AP50" i="55"/>
  <c r="AO50" i="55" a="1"/>
  <c r="AO50" i="55"/>
  <c r="AN50" i="55" a="1"/>
  <c r="AN50" i="55"/>
  <c r="AM50" i="55" a="1"/>
  <c r="AM50" i="55"/>
  <c r="AL50" i="55" a="1"/>
  <c r="AL50" i="55"/>
  <c r="AK50" i="55" a="1"/>
  <c r="AK50" i="55"/>
  <c r="AJ50" i="55" a="1"/>
  <c r="AJ50" i="55"/>
  <c r="AI50" i="55" a="1"/>
  <c r="AI50" i="55"/>
  <c r="AH50" i="55" a="1"/>
  <c r="AH50" i="55"/>
  <c r="AG50" i="55" a="1"/>
  <c r="AG50" i="55"/>
  <c r="AF50" i="55" a="1"/>
  <c r="AF50" i="55"/>
  <c r="AE50" i="55" a="1"/>
  <c r="AE50" i="55"/>
  <c r="AD50" i="55" a="1"/>
  <c r="AD50" i="55"/>
  <c r="AC50" i="55" a="1"/>
  <c r="AC50" i="55"/>
  <c r="AB50" i="55"/>
  <c r="AA50" i="55"/>
  <c r="Z50" i="55"/>
  <c r="Y50" i="55"/>
  <c r="X50" i="55"/>
  <c r="W50" i="55"/>
  <c r="V50" i="55"/>
  <c r="U50" i="55"/>
  <c r="S50" i="55" a="1"/>
  <c r="S50" i="55"/>
  <c r="R50" i="55" a="1"/>
  <c r="R50" i="55"/>
  <c r="Q50" i="55" a="1"/>
  <c r="Q50" i="55"/>
  <c r="P50" i="55" a="1"/>
  <c r="P50" i="55"/>
  <c r="O50" i="55" a="1"/>
  <c r="O50" i="55"/>
  <c r="N50" i="55" a="1"/>
  <c r="N50" i="55"/>
  <c r="M50" i="55" a="1"/>
  <c r="M50" i="55"/>
  <c r="L50" i="55" a="1"/>
  <c r="L50" i="55"/>
  <c r="K50" i="55" a="1"/>
  <c r="K50" i="55"/>
  <c r="H50" i="55"/>
  <c r="C50" i="55"/>
  <c r="B50" i="55"/>
  <c r="AQ49" i="55" a="1"/>
  <c r="AQ49" i="55"/>
  <c r="AP49" i="55" a="1"/>
  <c r="AP49" i="55"/>
  <c r="AO49" i="55" a="1"/>
  <c r="AO49" i="55"/>
  <c r="AN49" i="55" a="1"/>
  <c r="AN49" i="55"/>
  <c r="AM49" i="55" a="1"/>
  <c r="AM49" i="55"/>
  <c r="AL49" i="55" a="1"/>
  <c r="AL49" i="55"/>
  <c r="AK49" i="55" a="1"/>
  <c r="AK49" i="55"/>
  <c r="AJ49" i="55" a="1"/>
  <c r="AJ49" i="55"/>
  <c r="AI49" i="55" a="1"/>
  <c r="AI49" i="55"/>
  <c r="AH49" i="55" a="1"/>
  <c r="AH49" i="55"/>
  <c r="AG49" i="55" a="1"/>
  <c r="AG49" i="55"/>
  <c r="AF49" i="55" a="1"/>
  <c r="AF49" i="55"/>
  <c r="AE49" i="55" a="1"/>
  <c r="AE49" i="55"/>
  <c r="AD49" i="55" a="1"/>
  <c r="AD49" i="55"/>
  <c r="AC49" i="55" a="1"/>
  <c r="AC49" i="55"/>
  <c r="AB49" i="55"/>
  <c r="AA49" i="55"/>
  <c r="Z49" i="55"/>
  <c r="Y49" i="55"/>
  <c r="X49" i="55"/>
  <c r="W49" i="55"/>
  <c r="V49" i="55"/>
  <c r="U49" i="55"/>
  <c r="S49" i="55" a="1"/>
  <c r="S49" i="55"/>
  <c r="R49" i="55" a="1"/>
  <c r="R49" i="55"/>
  <c r="Q49" i="55" a="1"/>
  <c r="Q49" i="55"/>
  <c r="P49" i="55" a="1"/>
  <c r="P49" i="55"/>
  <c r="O49" i="55" a="1"/>
  <c r="O49" i="55"/>
  <c r="N49" i="55" a="1"/>
  <c r="N49" i="55"/>
  <c r="M49" i="55" a="1"/>
  <c r="M49" i="55"/>
  <c r="L49" i="55" a="1"/>
  <c r="L49" i="55"/>
  <c r="K49" i="55" a="1"/>
  <c r="K49" i="55"/>
  <c r="H49" i="55"/>
  <c r="C49" i="55"/>
  <c r="B49" i="55"/>
  <c r="AQ48" i="55" a="1"/>
  <c r="AQ48" i="55"/>
  <c r="AP48" i="55" a="1"/>
  <c r="AP48" i="55"/>
  <c r="AO48" i="55" a="1"/>
  <c r="AO48" i="55"/>
  <c r="AN48" i="55" a="1"/>
  <c r="AN48" i="55"/>
  <c r="AM48" i="55" a="1"/>
  <c r="AM48" i="55"/>
  <c r="AL48" i="55" a="1"/>
  <c r="AL48" i="55"/>
  <c r="AK48" i="55" a="1"/>
  <c r="AK48" i="55"/>
  <c r="AJ48" i="55" a="1"/>
  <c r="AJ48" i="55"/>
  <c r="AI48" i="55" a="1"/>
  <c r="AI48" i="55"/>
  <c r="AH48" i="55" a="1"/>
  <c r="AH48" i="55"/>
  <c r="AG48" i="55" a="1"/>
  <c r="AG48" i="55"/>
  <c r="AF48" i="55" a="1"/>
  <c r="AF48" i="55"/>
  <c r="AE48" i="55" a="1"/>
  <c r="AE48" i="55"/>
  <c r="AD48" i="55" a="1"/>
  <c r="AD48" i="55"/>
  <c r="AC48" i="55" a="1"/>
  <c r="AC48" i="55"/>
  <c r="AB48" i="55"/>
  <c r="AA48" i="55"/>
  <c r="Z48" i="55"/>
  <c r="Y48" i="55"/>
  <c r="X48" i="55"/>
  <c r="W48" i="55"/>
  <c r="V48" i="55"/>
  <c r="U48" i="55"/>
  <c r="S48" i="55" a="1"/>
  <c r="S48" i="55"/>
  <c r="R48" i="55" a="1"/>
  <c r="R48" i="55"/>
  <c r="Q48" i="55" a="1"/>
  <c r="Q48" i="55"/>
  <c r="P48" i="55" a="1"/>
  <c r="P48" i="55"/>
  <c r="O48" i="55" a="1"/>
  <c r="O48" i="55"/>
  <c r="N48" i="55" a="1"/>
  <c r="N48" i="55"/>
  <c r="M48" i="55" a="1"/>
  <c r="M48" i="55"/>
  <c r="L48" i="55" a="1"/>
  <c r="L48" i="55"/>
  <c r="K48" i="55" a="1"/>
  <c r="K48" i="55"/>
  <c r="H48" i="55"/>
  <c r="C48" i="55"/>
  <c r="B48" i="55"/>
  <c r="AQ47" i="55" a="1"/>
  <c r="AQ47" i="55"/>
  <c r="AP47" i="55" a="1"/>
  <c r="AP47" i="55"/>
  <c r="AO47" i="55" a="1"/>
  <c r="AO47" i="55"/>
  <c r="AN47" i="55" a="1"/>
  <c r="AN47" i="55"/>
  <c r="AM47" i="55" a="1"/>
  <c r="AM47" i="55"/>
  <c r="AL47" i="55" a="1"/>
  <c r="AL47" i="55"/>
  <c r="AK47" i="55" a="1"/>
  <c r="AK47" i="55"/>
  <c r="AJ47" i="55" a="1"/>
  <c r="AJ47" i="55"/>
  <c r="AI47" i="55" a="1"/>
  <c r="AI47" i="55"/>
  <c r="AH47" i="55" a="1"/>
  <c r="AH47" i="55"/>
  <c r="AG47" i="55" a="1"/>
  <c r="AG47" i="55"/>
  <c r="AF47" i="55" a="1"/>
  <c r="AF47" i="55"/>
  <c r="AE47" i="55" a="1"/>
  <c r="AE47" i="55"/>
  <c r="AD47" i="55" a="1"/>
  <c r="AD47" i="55"/>
  <c r="AC47" i="55" a="1"/>
  <c r="AC47" i="55"/>
  <c r="AB47" i="55"/>
  <c r="AA47" i="55"/>
  <c r="Z47" i="55"/>
  <c r="Y47" i="55"/>
  <c r="X47" i="55"/>
  <c r="W47" i="55"/>
  <c r="V47" i="55"/>
  <c r="U47" i="55"/>
  <c r="S47" i="55" a="1"/>
  <c r="S47" i="55"/>
  <c r="R47" i="55" a="1"/>
  <c r="R47" i="55"/>
  <c r="Q47" i="55" a="1"/>
  <c r="Q47" i="55"/>
  <c r="P47" i="55" a="1"/>
  <c r="P47" i="55"/>
  <c r="O47" i="55" a="1"/>
  <c r="O47" i="55"/>
  <c r="N47" i="55" a="1"/>
  <c r="N47" i="55"/>
  <c r="M47" i="55" a="1"/>
  <c r="M47" i="55"/>
  <c r="L47" i="55" a="1"/>
  <c r="L47" i="55"/>
  <c r="K47" i="55" a="1"/>
  <c r="K47" i="55"/>
  <c r="H47" i="55"/>
  <c r="G47" i="55"/>
  <c r="C47" i="55"/>
  <c r="B47" i="55"/>
  <c r="D44" i="55"/>
  <c r="A44" i="55"/>
  <c r="P43" i="55"/>
  <c r="O43" i="55"/>
  <c r="N43" i="55"/>
  <c r="M43" i="55"/>
  <c r="L43" i="55"/>
  <c r="K43" i="55"/>
  <c r="D43" i="55"/>
  <c r="A43" i="55"/>
  <c r="P42" i="55"/>
  <c r="O42" i="55"/>
  <c r="N42" i="55"/>
  <c r="M42" i="55"/>
  <c r="L42" i="55"/>
  <c r="K42" i="55"/>
  <c r="D42" i="55"/>
  <c r="A42" i="55"/>
  <c r="D41" i="55"/>
  <c r="A41" i="55"/>
  <c r="P40" i="55"/>
  <c r="O40" i="55"/>
  <c r="N40" i="55"/>
  <c r="M40" i="55"/>
  <c r="L40" i="55"/>
  <c r="K40" i="55"/>
  <c r="D40" i="55"/>
  <c r="A40" i="55"/>
  <c r="P39" i="55"/>
  <c r="O39" i="55"/>
  <c r="N39" i="55"/>
  <c r="M39" i="55"/>
  <c r="L39" i="55"/>
  <c r="K39" i="55"/>
  <c r="D39" i="55"/>
  <c r="A39" i="55"/>
  <c r="P38" i="55"/>
  <c r="O38" i="55"/>
  <c r="N38" i="55"/>
  <c r="M38" i="55"/>
  <c r="L38" i="55"/>
  <c r="K38" i="55"/>
  <c r="D38" i="55"/>
  <c r="A38" i="55"/>
  <c r="P37" i="55"/>
  <c r="O37" i="55"/>
  <c r="N37" i="55"/>
  <c r="M37" i="55"/>
  <c r="L37" i="55"/>
  <c r="K37" i="55"/>
  <c r="D37" i="55"/>
  <c r="A37" i="55"/>
  <c r="S36" i="55"/>
  <c r="R36" i="55"/>
  <c r="Q36" i="55"/>
  <c r="P36" i="55"/>
  <c r="O36" i="55"/>
  <c r="N36" i="55"/>
  <c r="M36" i="55"/>
  <c r="L36" i="55"/>
  <c r="K36" i="55"/>
  <c r="D36" i="55"/>
  <c r="A36" i="55"/>
  <c r="P35" i="55"/>
  <c r="O35" i="55"/>
  <c r="N35" i="55"/>
  <c r="M35" i="55"/>
  <c r="L35" i="55"/>
  <c r="K35" i="55"/>
  <c r="D35" i="55"/>
  <c r="A35" i="55"/>
  <c r="D34" i="55"/>
  <c r="A34" i="55"/>
  <c r="O33" i="55"/>
  <c r="N33" i="55"/>
  <c r="M33" i="55"/>
  <c r="L33" i="55"/>
  <c r="K33" i="55"/>
  <c r="D33" i="55"/>
  <c r="A33" i="55"/>
  <c r="P32" i="55"/>
  <c r="O32" i="55"/>
  <c r="N32" i="55"/>
  <c r="M32" i="55"/>
  <c r="L32" i="55"/>
  <c r="K32" i="55"/>
  <c r="D32" i="55"/>
  <c r="A32" i="55"/>
  <c r="P31" i="55"/>
  <c r="O31" i="55"/>
  <c r="N31" i="55"/>
  <c r="M31" i="55"/>
  <c r="L31" i="55"/>
  <c r="K31" i="55"/>
  <c r="D31" i="55"/>
  <c r="A31" i="55"/>
  <c r="R30" i="55"/>
  <c r="Q30" i="55"/>
  <c r="P30" i="55"/>
  <c r="O30" i="55"/>
  <c r="N30" i="55"/>
  <c r="M30" i="55"/>
  <c r="L30" i="55"/>
  <c r="K30" i="55"/>
  <c r="A30" i="55"/>
  <c r="D29" i="55"/>
  <c r="A29" i="55"/>
  <c r="S25" i="55" a="1"/>
  <c r="S25" i="55" s="1"/>
  <c r="S125" i="55" s="1"/>
  <c r="R25" i="55" a="1"/>
  <c r="R25" i="55" s="1"/>
  <c r="R125" i="55" s="1"/>
  <c r="Q25" i="55" a="1"/>
  <c r="Q25" i="55" s="1"/>
  <c r="Q125" i="55" s="1"/>
  <c r="P25" i="55" a="1"/>
  <c r="P25" i="55" s="1"/>
  <c r="P125" i="55" s="1"/>
  <c r="O25" i="55" a="1"/>
  <c r="O25" i="55" s="1"/>
  <c r="O125" i="55" s="1"/>
  <c r="N25" i="55" a="1"/>
  <c r="N25" i="55" s="1"/>
  <c r="N125" i="55" s="1"/>
  <c r="M25" i="55" a="1"/>
  <c r="M25" i="55" s="1"/>
  <c r="M125" i="55" s="1"/>
  <c r="L25" i="55" a="1"/>
  <c r="L25" i="55" s="1"/>
  <c r="K25" i="55" a="1"/>
  <c r="K25" i="55" s="1"/>
  <c r="K125" i="55" s="1"/>
  <c r="G25" i="55"/>
  <c r="D25" i="55"/>
  <c r="C25" i="55"/>
  <c r="B25" i="55"/>
  <c r="S24" i="55" a="1"/>
  <c r="S24" i="55" s="1"/>
  <c r="R24" i="55" a="1"/>
  <c r="R24" i="55" s="1"/>
  <c r="Q24" i="55" a="1"/>
  <c r="Q24" i="55" s="1"/>
  <c r="P24" i="55" a="1"/>
  <c r="P24" i="55" s="1"/>
  <c r="O24" i="55" a="1"/>
  <c r="O24" i="55" s="1"/>
  <c r="N24" i="55" a="1"/>
  <c r="N24" i="55" s="1"/>
  <c r="M24" i="55" a="1"/>
  <c r="M24" i="55" s="1"/>
  <c r="L24" i="55" a="1"/>
  <c r="L24" i="55" s="1"/>
  <c r="K24" i="55" a="1"/>
  <c r="K24" i="55" s="1"/>
  <c r="G24" i="55"/>
  <c r="D24" i="55"/>
  <c r="C24" i="55"/>
  <c r="B24" i="55"/>
  <c r="S23" i="55" a="1"/>
  <c r="S23" i="55" s="1"/>
  <c r="R23" i="55" a="1"/>
  <c r="R23" i="55" s="1"/>
  <c r="Q23" i="55" a="1"/>
  <c r="Q23" i="55" s="1"/>
  <c r="P23" i="55" a="1"/>
  <c r="P23" i="55" s="1"/>
  <c r="O23" i="55" a="1"/>
  <c r="O23" i="55" s="1"/>
  <c r="N23" i="55" a="1"/>
  <c r="N23" i="55" s="1"/>
  <c r="M23" i="55" a="1"/>
  <c r="M23" i="55" s="1"/>
  <c r="L23" i="55" a="1"/>
  <c r="L23" i="55" s="1"/>
  <c r="K23" i="55" a="1"/>
  <c r="K23" i="55" s="1"/>
  <c r="G23" i="55"/>
  <c r="D23" i="55"/>
  <c r="C23" i="55"/>
  <c r="B23" i="55"/>
  <c r="S22" i="55" a="1"/>
  <c r="S22" i="55" s="1"/>
  <c r="S114" i="55" s="1"/>
  <c r="R22" i="55" a="1"/>
  <c r="R22" i="55" s="1"/>
  <c r="R114" i="55" s="1"/>
  <c r="Q22" i="55" a="1"/>
  <c r="Q22" i="55" s="1"/>
  <c r="Q114" i="55" s="1"/>
  <c r="P22" i="55" a="1"/>
  <c r="P22" i="55" s="1"/>
  <c r="P114" i="55" s="1"/>
  <c r="O22" i="55" a="1"/>
  <c r="O22" i="55" s="1"/>
  <c r="O114" i="55" s="1"/>
  <c r="N22" i="55" a="1"/>
  <c r="N22" i="55" s="1"/>
  <c r="N114" i="55" s="1"/>
  <c r="M22" i="55" a="1"/>
  <c r="M22" i="55" s="1"/>
  <c r="M114" i="55" s="1"/>
  <c r="L22" i="55" a="1"/>
  <c r="L22" i="55" s="1"/>
  <c r="L114" i="55" s="1"/>
  <c r="K22" i="55" a="1"/>
  <c r="K22" i="55" s="1"/>
  <c r="K114" i="55" s="1"/>
  <c r="G22" i="55"/>
  <c r="D22" i="55"/>
  <c r="C22" i="55"/>
  <c r="B22" i="55"/>
  <c r="S21" i="55" a="1"/>
  <c r="S21" i="55" s="1"/>
  <c r="R21" i="55" a="1"/>
  <c r="R21" i="55" s="1"/>
  <c r="Q21" i="55" a="1"/>
  <c r="Q21" i="55" s="1"/>
  <c r="P21" i="55" a="1"/>
  <c r="P21" i="55" s="1"/>
  <c r="O21" i="55" a="1"/>
  <c r="O21" i="55" s="1"/>
  <c r="N21" i="55" a="1"/>
  <c r="N21" i="55" s="1"/>
  <c r="M21" i="55" a="1"/>
  <c r="M21" i="55" s="1"/>
  <c r="L21" i="55" a="1"/>
  <c r="L21" i="55" s="1"/>
  <c r="K21" i="55" a="1"/>
  <c r="K21" i="55" s="1"/>
  <c r="G21" i="55"/>
  <c r="D21" i="55"/>
  <c r="C21" i="55"/>
  <c r="B21" i="55"/>
  <c r="S20" i="55" a="1"/>
  <c r="S20" i="55" s="1"/>
  <c r="R20" i="55" a="1"/>
  <c r="R20" i="55" s="1"/>
  <c r="Q20" i="55" a="1"/>
  <c r="Q20" i="55" s="1"/>
  <c r="P20" i="55" a="1"/>
  <c r="P20" i="55" s="1"/>
  <c r="O20" i="55" a="1"/>
  <c r="O20" i="55" s="1"/>
  <c r="N20" i="55" a="1"/>
  <c r="N20" i="55" s="1"/>
  <c r="M20" i="55" a="1"/>
  <c r="M20" i="55" s="1"/>
  <c r="L20" i="55" a="1"/>
  <c r="L20" i="55" s="1"/>
  <c r="K20" i="55" a="1"/>
  <c r="K20" i="55" s="1"/>
  <c r="G20" i="55"/>
  <c r="D20" i="55"/>
  <c r="C20" i="55"/>
  <c r="B20" i="55"/>
  <c r="S19" i="55" a="1"/>
  <c r="S19" i="55" s="1"/>
  <c r="R19" i="55" a="1"/>
  <c r="R19" i="55" s="1"/>
  <c r="Q19" i="55" a="1"/>
  <c r="Q19" i="55" s="1"/>
  <c r="P19" i="55" a="1"/>
  <c r="P19" i="55" s="1"/>
  <c r="O19" i="55" a="1"/>
  <c r="O19" i="55" s="1"/>
  <c r="N19" i="55" a="1"/>
  <c r="N19" i="55" s="1"/>
  <c r="M19" i="55" a="1"/>
  <c r="M19" i="55" s="1"/>
  <c r="L19" i="55" a="1"/>
  <c r="L19" i="55" s="1"/>
  <c r="K19" i="55" a="1"/>
  <c r="K19" i="55" s="1"/>
  <c r="G19" i="55"/>
  <c r="D19" i="55"/>
  <c r="C19" i="55"/>
  <c r="B19" i="55"/>
  <c r="S18" i="55" a="1"/>
  <c r="S18" i="55" s="1"/>
  <c r="R18" i="55" a="1"/>
  <c r="R18" i="55" s="1"/>
  <c r="Q18" i="55" a="1"/>
  <c r="Q18" i="55" s="1"/>
  <c r="P18" i="55" a="1"/>
  <c r="P18" i="55" s="1"/>
  <c r="O18" i="55" a="1"/>
  <c r="O18" i="55" s="1"/>
  <c r="N18" i="55" a="1"/>
  <c r="N18" i="55" s="1"/>
  <c r="M18" i="55" a="1"/>
  <c r="M18" i="55" s="1"/>
  <c r="L18" i="55" a="1"/>
  <c r="L18" i="55" s="1"/>
  <c r="K18" i="55" a="1"/>
  <c r="K18" i="55" s="1"/>
  <c r="G18" i="55"/>
  <c r="D18" i="55"/>
  <c r="C18" i="55"/>
  <c r="B18" i="55"/>
  <c r="S17" i="55" a="1"/>
  <c r="S17" i="55" s="1"/>
  <c r="S103" i="55" s="1"/>
  <c r="R17" i="55" a="1"/>
  <c r="R17" i="55" s="1"/>
  <c r="R103" i="55" s="1"/>
  <c r="Q17" i="55" a="1"/>
  <c r="Q17" i="55" s="1"/>
  <c r="Q103" i="55" s="1"/>
  <c r="P17" i="55" a="1"/>
  <c r="P17" i="55" s="1"/>
  <c r="P103" i="55" s="1"/>
  <c r="O17" i="55" a="1"/>
  <c r="O17" i="55" s="1"/>
  <c r="O103" i="55" s="1"/>
  <c r="N17" i="55" a="1"/>
  <c r="N17" i="55" s="1"/>
  <c r="N103" i="55" s="1"/>
  <c r="M17" i="55" a="1"/>
  <c r="M17" i="55" s="1"/>
  <c r="M103" i="55" s="1"/>
  <c r="L17" i="55" a="1"/>
  <c r="L17" i="55" s="1"/>
  <c r="L103" i="55" s="1"/>
  <c r="K17" i="55" a="1"/>
  <c r="K17" i="55" s="1"/>
  <c r="K103" i="55" s="1"/>
  <c r="G17" i="55"/>
  <c r="D17" i="55"/>
  <c r="C17" i="55"/>
  <c r="B17" i="55"/>
  <c r="Q16" i="55" a="1"/>
  <c r="Q16" i="55" s="1"/>
  <c r="P16" i="55" a="1"/>
  <c r="P16" i="55" s="1"/>
  <c r="O16" i="55" a="1"/>
  <c r="O16" i="55" s="1"/>
  <c r="N16" i="55" a="1"/>
  <c r="N16" i="55" s="1"/>
  <c r="M16" i="55" a="1"/>
  <c r="M16" i="55" s="1"/>
  <c r="L16" i="55" a="1"/>
  <c r="L16" i="55" s="1"/>
  <c r="K16" i="55" a="1"/>
  <c r="K16" i="55" s="1"/>
  <c r="G16" i="55"/>
  <c r="S15" i="55" a="1"/>
  <c r="S15" i="55" s="1"/>
  <c r="S91" i="55" s="1"/>
  <c r="R15" i="55" a="1"/>
  <c r="R15" i="55" s="1"/>
  <c r="R91" i="55" s="1"/>
  <c r="Q15" i="55" a="1"/>
  <c r="Q15" i="55" s="1"/>
  <c r="Q91" i="55" s="1"/>
  <c r="P15" i="55" a="1"/>
  <c r="P15" i="55" s="1"/>
  <c r="P91" i="55" s="1"/>
  <c r="O15" i="55" a="1"/>
  <c r="O15" i="55" s="1"/>
  <c r="O91" i="55" s="1"/>
  <c r="N15" i="55" a="1"/>
  <c r="N15" i="55" s="1"/>
  <c r="N91" i="55" s="1"/>
  <c r="M15" i="55" a="1"/>
  <c r="M15" i="55" s="1"/>
  <c r="M91" i="55" s="1"/>
  <c r="L15" i="55" a="1"/>
  <c r="L15" i="55" s="1"/>
  <c r="K15" i="55" a="1"/>
  <c r="K15" i="55" s="1"/>
  <c r="K91" i="55" s="1"/>
  <c r="G15" i="55"/>
  <c r="D15" i="55"/>
  <c r="C15" i="55"/>
  <c r="B15" i="55"/>
  <c r="Q14" i="55" a="1"/>
  <c r="Q14" i="55" s="1"/>
  <c r="P14" i="55" a="1"/>
  <c r="P14" i="55" s="1"/>
  <c r="O14" i="55" a="1"/>
  <c r="O14" i="55" s="1"/>
  <c r="N14" i="55" a="1"/>
  <c r="N14" i="55" s="1"/>
  <c r="M14" i="55" a="1"/>
  <c r="M14" i="55" s="1"/>
  <c r="L14" i="55" a="1"/>
  <c r="L14" i="55" s="1"/>
  <c r="K14" i="55" a="1"/>
  <c r="K14" i="55" s="1"/>
  <c r="G14" i="55"/>
  <c r="D14" i="55"/>
  <c r="C14" i="55"/>
  <c r="B14" i="55"/>
  <c r="S13" i="55" a="1"/>
  <c r="S13" i="55" s="1"/>
  <c r="R13" i="55" a="1"/>
  <c r="R13" i="55" s="1"/>
  <c r="Q13" i="55" a="1"/>
  <c r="Q13" i="55" s="1"/>
  <c r="P13" i="55" a="1"/>
  <c r="P13" i="55" s="1"/>
  <c r="O13" i="55" a="1"/>
  <c r="O13" i="55" s="1"/>
  <c r="N13" i="55" a="1"/>
  <c r="N13" i="55" s="1"/>
  <c r="M13" i="55" a="1"/>
  <c r="M13" i="55" s="1"/>
  <c r="L13" i="55" a="1"/>
  <c r="L13" i="55" s="1"/>
  <c r="K13" i="55" a="1"/>
  <c r="K13" i="55" s="1"/>
  <c r="G13" i="55"/>
  <c r="D13" i="55"/>
  <c r="S12" i="55" a="1"/>
  <c r="S12" i="55" s="1"/>
  <c r="R12" i="55" a="1"/>
  <c r="R12" i="55" s="1"/>
  <c r="Q12" i="55" a="1"/>
  <c r="Q12" i="55" s="1"/>
  <c r="P12" i="55" a="1"/>
  <c r="P12" i="55" s="1"/>
  <c r="O12" i="55" a="1"/>
  <c r="O12" i="55" s="1"/>
  <c r="N12" i="55" a="1"/>
  <c r="N12" i="55" s="1"/>
  <c r="M12" i="55" a="1"/>
  <c r="M12" i="55" s="1"/>
  <c r="L12" i="55" a="1"/>
  <c r="L12" i="55" s="1"/>
  <c r="K12" i="55" a="1"/>
  <c r="K12" i="55" s="1"/>
  <c r="G12" i="55"/>
  <c r="D12" i="55"/>
  <c r="S11" i="55" a="1"/>
  <c r="S11" i="55" s="1"/>
  <c r="R11" i="55" a="1"/>
  <c r="R11" i="55" s="1"/>
  <c r="Q11" i="55" a="1"/>
  <c r="Q11" i="55" s="1"/>
  <c r="P11" i="55" a="1"/>
  <c r="P11" i="55" s="1"/>
  <c r="O11" i="55" a="1"/>
  <c r="O11" i="55" s="1"/>
  <c r="N11" i="55" a="1"/>
  <c r="N11" i="55" s="1"/>
  <c r="M11" i="55" a="1"/>
  <c r="M11" i="55" s="1"/>
  <c r="L11" i="55" a="1"/>
  <c r="L11" i="55" s="1"/>
  <c r="K11" i="55" a="1"/>
  <c r="K11" i="55" s="1"/>
  <c r="G11" i="55"/>
  <c r="D11" i="55"/>
  <c r="S10" i="55" a="1"/>
  <c r="S10" i="55" s="1"/>
  <c r="S79" i="55" s="1"/>
  <c r="R10" i="55" a="1"/>
  <c r="R10" i="55" s="1"/>
  <c r="R79" i="55" s="1"/>
  <c r="Q10" i="55" a="1"/>
  <c r="Q10" i="55" s="1"/>
  <c r="Q79" i="55" s="1"/>
  <c r="P10" i="55" a="1"/>
  <c r="P10" i="55" s="1"/>
  <c r="P79" i="55" s="1"/>
  <c r="O10" i="55" a="1"/>
  <c r="O10" i="55" s="1"/>
  <c r="O79" i="55" s="1"/>
  <c r="N10" i="55" a="1"/>
  <c r="N10" i="55" s="1"/>
  <c r="N79" i="55" s="1"/>
  <c r="M10" i="55" a="1"/>
  <c r="M10" i="55" s="1"/>
  <c r="M79" i="55" s="1"/>
  <c r="L10" i="55" a="1"/>
  <c r="L10" i="55" s="1"/>
  <c r="L79" i="55" s="1"/>
  <c r="K10" i="55" a="1"/>
  <c r="K10" i="55" s="1"/>
  <c r="K79" i="55" s="1"/>
  <c r="G10" i="55"/>
  <c r="D10" i="55"/>
  <c r="C10" i="55"/>
  <c r="B10"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H5" i="55" a="1"/>
  <c r="H5" i="55"/>
  <c r="G5" i="55" a="1"/>
  <c r="G5" i="55"/>
  <c r="F5" i="55" a="1"/>
  <c r="F5" i="55"/>
  <c r="E5" i="55" a="1"/>
  <c r="E5" i="55"/>
  <c r="D5" i="55" a="1"/>
  <c r="D5"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26" i="35"/>
  <c r="B26" i="35"/>
  <c r="A26" i="35"/>
  <c r="J25" i="35"/>
  <c r="B25" i="35"/>
  <c r="A25" i="35"/>
  <c r="J24" i="35"/>
  <c r="B24" i="35"/>
  <c r="A24" i="35"/>
  <c r="J23" i="35"/>
  <c r="B23" i="35"/>
  <c r="A23" i="35"/>
  <c r="J22" i="35"/>
  <c r="B22" i="35"/>
  <c r="A22" i="35"/>
  <c r="AK9" i="35"/>
  <c r="AJ9" i="35"/>
  <c r="AI9" i="35"/>
  <c r="AH9" i="35"/>
  <c r="AG9" i="35"/>
  <c r="AF9" i="35"/>
  <c r="AE9" i="35"/>
  <c r="AD9" i="35"/>
  <c r="AC9" i="35"/>
  <c r="AB9" i="35"/>
  <c r="AA9" i="35"/>
  <c r="Z9" i="35"/>
  <c r="Y9" i="35"/>
  <c r="X9" i="35"/>
  <c r="W9" i="35"/>
  <c r="V9" i="35"/>
  <c r="U9" i="35"/>
  <c r="T9" i="35"/>
  <c r="S9" i="35"/>
  <c r="R9" i="35"/>
  <c r="Q9" i="35"/>
  <c r="P9" i="35"/>
  <c r="O9" i="35"/>
  <c r="N9" i="35"/>
  <c r="M9" i="35"/>
  <c r="L9" i="35"/>
  <c r="K9" i="35"/>
  <c r="C9" i="35"/>
  <c r="B9" i="35"/>
  <c r="M6" i="35" a="1"/>
  <c r="M6" i="35" s="1"/>
  <c r="L6" i="35" a="1"/>
  <c r="L6" i="35" s="1"/>
  <c r="K6" i="35" a="1"/>
  <c r="K6" i="35" s="1"/>
  <c r="J6" i="35" a="1"/>
  <c r="J6" i="35" s="1"/>
  <c r="D6" i="35"/>
  <c r="A1" i="35"/>
  <c r="I138" i="47"/>
  <c r="H138" i="47"/>
  <c r="G138" i="47"/>
  <c r="F138" i="47"/>
  <c r="E138" i="47"/>
  <c r="G137" i="47"/>
  <c r="F137" i="47"/>
  <c r="E137" i="47"/>
  <c r="G136" i="47"/>
  <c r="F136" i="47"/>
  <c r="E136" i="47"/>
  <c r="G135" i="47"/>
  <c r="F135" i="47"/>
  <c r="E135" i="47"/>
  <c r="G134" i="47"/>
  <c r="F134" i="47"/>
  <c r="E134" i="47"/>
  <c r="G133" i="47"/>
  <c r="F133" i="47"/>
  <c r="E133" i="47"/>
  <c r="G132" i="47"/>
  <c r="F132" i="47"/>
  <c r="E132" i="47"/>
  <c r="G131" i="47"/>
  <c r="F131" i="47"/>
  <c r="E131" i="47"/>
  <c r="G130" i="47"/>
  <c r="F130" i="47"/>
  <c r="E130" i="47"/>
  <c r="G129" i="47"/>
  <c r="F129" i="47"/>
  <c r="E129" i="47"/>
  <c r="G128" i="47"/>
  <c r="F128" i="47"/>
  <c r="E128" i="47"/>
  <c r="M127" i="47"/>
  <c r="L127" i="47"/>
  <c r="K127" i="47"/>
  <c r="J127" i="47"/>
  <c r="I127" i="47"/>
  <c r="H127" i="47"/>
  <c r="G127" i="47"/>
  <c r="F127" i="47"/>
  <c r="E127" i="47"/>
  <c r="F126" i="47"/>
  <c r="E126" i="47"/>
  <c r="F125" i="47"/>
  <c r="E125" i="47"/>
  <c r="F124" i="47"/>
  <c r="E124" i="47"/>
  <c r="F123" i="47"/>
  <c r="E123" i="47"/>
  <c r="F122" i="47"/>
  <c r="E122" i="47"/>
  <c r="F121" i="47"/>
  <c r="E121" i="47"/>
  <c r="F120" i="47"/>
  <c r="E120" i="47"/>
  <c r="F119" i="47"/>
  <c r="E119" i="47"/>
  <c r="F118" i="47"/>
  <c r="E118" i="47"/>
  <c r="F117" i="47"/>
  <c r="E117" i="47"/>
  <c r="F116" i="47"/>
  <c r="E116" i="47"/>
  <c r="F115" i="47"/>
  <c r="E115" i="47"/>
  <c r="F114" i="47"/>
  <c r="E114" i="47"/>
  <c r="F113" i="47"/>
  <c r="E113" i="47"/>
  <c r="F112" i="47"/>
  <c r="E112" i="47"/>
  <c r="F111" i="47"/>
  <c r="E111" i="47"/>
  <c r="F110" i="47"/>
  <c r="E110" i="47"/>
  <c r="F109" i="47"/>
  <c r="E109" i="47"/>
  <c r="G108" i="47"/>
  <c r="F108" i="47"/>
  <c r="E108" i="47"/>
  <c r="F107" i="47"/>
  <c r="E107" i="47"/>
  <c r="G106" i="47"/>
  <c r="F106" i="47"/>
  <c r="E106" i="47"/>
  <c r="F105" i="47"/>
  <c r="E105" i="47"/>
  <c r="F104" i="47"/>
  <c r="E104" i="47"/>
  <c r="G103" i="47"/>
  <c r="F103" i="47"/>
  <c r="E103" i="47"/>
  <c r="G102" i="47"/>
  <c r="F102" i="47"/>
  <c r="E102" i="47"/>
  <c r="F101" i="47"/>
  <c r="E101" i="47"/>
  <c r="G100" i="47"/>
  <c r="F100" i="47"/>
  <c r="E100" i="47"/>
  <c r="G99" i="47"/>
  <c r="F99" i="47"/>
  <c r="E99" i="47"/>
  <c r="G98" i="47"/>
  <c r="F98" i="47"/>
  <c r="E98" i="47"/>
  <c r="G97" i="47"/>
  <c r="F97" i="47"/>
  <c r="E97" i="47"/>
  <c r="F96" i="47"/>
  <c r="E96" i="47"/>
  <c r="G95" i="47"/>
  <c r="F95" i="47"/>
  <c r="E95" i="47"/>
  <c r="G94" i="47"/>
  <c r="F94" i="47"/>
  <c r="E94" i="47"/>
  <c r="F93" i="47"/>
  <c r="E93" i="47"/>
  <c r="F92" i="47"/>
  <c r="E92" i="47"/>
  <c r="F91" i="47"/>
  <c r="E91" i="47"/>
  <c r="F90" i="47"/>
  <c r="E90" i="47"/>
  <c r="G89" i="47"/>
  <c r="F89" i="47"/>
  <c r="E89" i="47"/>
  <c r="F88" i="47"/>
  <c r="E88" i="47"/>
  <c r="F87" i="47"/>
  <c r="E87" i="47"/>
  <c r="F86" i="47"/>
  <c r="E86" i="47"/>
  <c r="B86" i="47"/>
  <c r="G85" i="47"/>
  <c r="F85" i="47"/>
  <c r="E85" i="47"/>
  <c r="B85" i="47"/>
  <c r="G84" i="47"/>
  <c r="F84" i="47"/>
  <c r="E84" i="47"/>
  <c r="B84"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G82" i="47"/>
  <c r="F82" i="47"/>
  <c r="E82" i="47"/>
  <c r="G81" i="47"/>
  <c r="F81" i="47"/>
  <c r="E81" i="47"/>
  <c r="G80" i="47"/>
  <c r="F80" i="47"/>
  <c r="E80" i="47"/>
  <c r="G79" i="47"/>
  <c r="F79" i="47"/>
  <c r="E79" i="47"/>
  <c r="G78" i="47"/>
  <c r="F78" i="47"/>
  <c r="E78" i="47"/>
  <c r="G77" i="47"/>
  <c r="F77" i="47"/>
  <c r="E77" i="47"/>
  <c r="G76" i="47"/>
  <c r="F76" i="47"/>
  <c r="E76" i="47"/>
  <c r="G75" i="47"/>
  <c r="F75" i="47"/>
  <c r="E75" i="47"/>
  <c r="G74" i="47"/>
  <c r="F74" i="47"/>
  <c r="E74" i="47"/>
  <c r="G73" i="47"/>
  <c r="F73" i="47"/>
  <c r="E73" i="47"/>
  <c r="G72" i="47"/>
  <c r="F72" i="47"/>
  <c r="E72" i="47"/>
  <c r="G71" i="47"/>
  <c r="F71" i="47"/>
  <c r="E71" i="47"/>
  <c r="G70" i="47"/>
  <c r="F70" i="47"/>
  <c r="E70" i="47"/>
  <c r="G69" i="47"/>
  <c r="F69" i="47"/>
  <c r="E69" i="47"/>
  <c r="G68" i="47"/>
  <c r="F68" i="47"/>
  <c r="E68" i="47"/>
  <c r="G67" i="47"/>
  <c r="F67" i="47"/>
  <c r="E67" i="47"/>
  <c r="G66" i="47"/>
  <c r="F66" i="47"/>
  <c r="E66" i="47"/>
  <c r="G65" i="47"/>
  <c r="F65" i="47"/>
  <c r="E65" i="47"/>
  <c r="G64" i="47"/>
  <c r="F64" i="47"/>
  <c r="E64" i="47"/>
  <c r="G63" i="47"/>
  <c r="F63" i="47"/>
  <c r="E63" i="47"/>
  <c r="G62" i="47"/>
  <c r="F62" i="47"/>
  <c r="E62" i="47"/>
  <c r="G61" i="47"/>
  <c r="F61" i="47"/>
  <c r="E61" i="47"/>
  <c r="G60" i="47"/>
  <c r="F60" i="47"/>
  <c r="E60" i="47"/>
  <c r="G59" i="47"/>
  <c r="F59" i="47"/>
  <c r="E59" i="47"/>
  <c r="G58" i="47"/>
  <c r="F58" i="47"/>
  <c r="E58" i="47"/>
  <c r="G57" i="47"/>
  <c r="F57" i="47"/>
  <c r="E57" i="47"/>
  <c r="G56" i="47"/>
  <c r="F56" i="47"/>
  <c r="E56" i="47"/>
  <c r="G55" i="47"/>
  <c r="F55" i="47"/>
  <c r="E55" i="47"/>
  <c r="G54" i="47"/>
  <c r="F54" i="47"/>
  <c r="E54" i="47"/>
  <c r="G53" i="47"/>
  <c r="F53" i="47"/>
  <c r="E53" i="47"/>
  <c r="G52" i="47"/>
  <c r="F52" i="47"/>
  <c r="E52" i="47"/>
  <c r="G51" i="47"/>
  <c r="F51" i="47"/>
  <c r="E51" i="47"/>
  <c r="G50" i="47"/>
  <c r="F50" i="47"/>
  <c r="E50" i="47"/>
  <c r="G49" i="47"/>
  <c r="F49" i="47"/>
  <c r="E49" i="47"/>
  <c r="G48" i="47"/>
  <c r="F48" i="47"/>
  <c r="E48" i="47"/>
  <c r="G47" i="47"/>
  <c r="F47" i="47"/>
  <c r="E47" i="47"/>
  <c r="G46" i="47"/>
  <c r="F46" i="47"/>
  <c r="E46" i="47"/>
  <c r="G45" i="47"/>
  <c r="F45" i="47"/>
  <c r="E45" i="47"/>
  <c r="G44" i="47"/>
  <c r="F44" i="47"/>
  <c r="E44" i="47"/>
  <c r="G43" i="47"/>
  <c r="F43" i="47"/>
  <c r="E43" i="47"/>
  <c r="G42" i="47"/>
  <c r="F42" i="47"/>
  <c r="E42" i="47"/>
  <c r="G41" i="47"/>
  <c r="F41" i="47"/>
  <c r="E41" i="47"/>
  <c r="G40" i="47"/>
  <c r="F40" i="47"/>
  <c r="E40" i="47"/>
  <c r="G39" i="47"/>
  <c r="F39" i="47"/>
  <c r="E39" i="47"/>
  <c r="G38" i="47"/>
  <c r="F38" i="47"/>
  <c r="E38" i="47"/>
  <c r="G37" i="47"/>
  <c r="F37" i="47"/>
  <c r="E37" i="47"/>
  <c r="G36" i="47"/>
  <c r="F36" i="47"/>
  <c r="E36" i="47"/>
  <c r="G35" i="47"/>
  <c r="F35" i="47"/>
  <c r="E35" i="47"/>
  <c r="G34" i="47"/>
  <c r="F34" i="47"/>
  <c r="E34" i="47"/>
  <c r="G33" i="47"/>
  <c r="F33" i="47"/>
  <c r="E33" i="47"/>
  <c r="G32" i="47"/>
  <c r="F32" i="47"/>
  <c r="E32" i="47"/>
  <c r="G31" i="47"/>
  <c r="F31" i="47"/>
  <c r="E31" i="47"/>
  <c r="G30" i="47"/>
  <c r="F30" i="47"/>
  <c r="E30" i="47"/>
  <c r="G29" i="47"/>
  <c r="F29" i="47"/>
  <c r="E29" i="47"/>
  <c r="G28" i="47"/>
  <c r="F28" i="47"/>
  <c r="E28" i="47"/>
  <c r="G27" i="47"/>
  <c r="F27" i="47"/>
  <c r="E27" i="47"/>
  <c r="G26" i="47"/>
  <c r="F26" i="47"/>
  <c r="E26" i="47"/>
  <c r="G25" i="47"/>
  <c r="F25" i="47"/>
  <c r="E25" i="47"/>
  <c r="G24" i="47"/>
  <c r="F24" i="47"/>
  <c r="E24" i="47"/>
  <c r="G23" i="47"/>
  <c r="F23" i="47"/>
  <c r="E23" i="47"/>
  <c r="G22" i="47"/>
  <c r="F22" i="47"/>
  <c r="E22" i="47"/>
  <c r="G21" i="47"/>
  <c r="F21" i="47"/>
  <c r="E21" i="47"/>
  <c r="G20" i="47"/>
  <c r="F20" i="47"/>
  <c r="E20" i="47"/>
  <c r="G19" i="47"/>
  <c r="F19" i="47"/>
  <c r="E19" i="47"/>
  <c r="G18" i="47"/>
  <c r="F18" i="47"/>
  <c r="E18" i="47"/>
  <c r="G17" i="47"/>
  <c r="F17" i="47"/>
  <c r="E17" i="47"/>
  <c r="G16" i="47"/>
  <c r="F16" i="47"/>
  <c r="E16" i="47"/>
  <c r="G15" i="47"/>
  <c r="F15" i="47"/>
  <c r="E15" i="47"/>
  <c r="G14" i="47"/>
  <c r="F14" i="47"/>
  <c r="E14" i="47"/>
  <c r="G13" i="47"/>
  <c r="F13" i="47"/>
  <c r="E13" i="47"/>
  <c r="G12" i="47"/>
  <c r="F12" i="47"/>
  <c r="E12" i="47"/>
  <c r="G11" i="47"/>
  <c r="F11" i="47"/>
  <c r="E11" i="47"/>
  <c r="G10" i="47"/>
  <c r="F10" i="47"/>
  <c r="E10" i="47"/>
  <c r="G9" i="47"/>
  <c r="F9" i="47"/>
  <c r="E9" i="47"/>
  <c r="G8" i="47"/>
  <c r="F8" i="47"/>
  <c r="E8" i="47"/>
  <c r="G7" i="47"/>
  <c r="F7" i="47"/>
  <c r="E7" i="47"/>
  <c r="G6" i="47"/>
  <c r="F6" i="47"/>
  <c r="E6" i="47"/>
  <c r="G5" i="47"/>
  <c r="F5" i="47"/>
  <c r="E5" i="47"/>
  <c r="AH4" i="47"/>
  <c r="AG4" i="47"/>
  <c r="AF4" i="47"/>
  <c r="AE4" i="47"/>
  <c r="AD4" i="47"/>
  <c r="AC4" i="47"/>
  <c r="AB4" i="47"/>
  <c r="AA4" i="47"/>
  <c r="Z4" i="47"/>
  <c r="Y4" i="47"/>
  <c r="X4" i="47"/>
  <c r="W4" i="47"/>
  <c r="V4" i="47"/>
  <c r="U4" i="47"/>
  <c r="T4" i="47"/>
  <c r="S4" i="47"/>
  <c r="R4" i="47"/>
  <c r="Q4" i="47"/>
  <c r="P4" i="47"/>
  <c r="O4" i="47"/>
  <c r="N4" i="47"/>
  <c r="M4" i="47"/>
  <c r="L4" i="47"/>
  <c r="K4" i="47"/>
  <c r="J4" i="47"/>
  <c r="I4" i="47"/>
  <c r="H4" i="47"/>
  <c r="G4" i="47"/>
  <c r="AH93" i="44"/>
  <c r="AP16" i="55" s="1" a="1"/>
  <c r="AP16" i="55" s="1"/>
  <c r="AG93" i="44"/>
  <c r="AO16" i="55" s="1" a="1"/>
  <c r="AO16" i="55" s="1"/>
  <c r="AF93" i="44"/>
  <c r="AN16" i="55" s="1" a="1"/>
  <c r="AN16" i="55" s="1"/>
  <c r="AE93" i="44"/>
  <c r="AM16" i="55" s="1" a="1"/>
  <c r="AM16" i="55" s="1"/>
  <c r="AD93" i="44"/>
  <c r="AL16" i="55" s="1" a="1"/>
  <c r="AL16" i="55" s="1"/>
  <c r="AC93" i="44"/>
  <c r="AK16" i="55" s="1" a="1"/>
  <c r="AK16" i="55" s="1"/>
  <c r="AB93" i="44"/>
  <c r="AJ16" i="55" s="1" a="1"/>
  <c r="AJ16" i="55" s="1"/>
  <c r="AA93" i="44"/>
  <c r="AI16" i="55" s="1" a="1"/>
  <c r="AI16" i="55" s="1"/>
  <c r="Z93" i="44"/>
  <c r="AH16" i="55" s="1" a="1"/>
  <c r="AH16" i="55" s="1"/>
  <c r="Y93" i="44"/>
  <c r="AG16" i="55" s="1" a="1"/>
  <c r="AG16" i="55" s="1"/>
  <c r="X93" i="44"/>
  <c r="AF16" i="55" s="1" a="1"/>
  <c r="AF16" i="55" s="1"/>
  <c r="W93" i="44"/>
  <c r="AE16" i="55" s="1" a="1"/>
  <c r="AE16" i="55" s="1"/>
  <c r="V93" i="44"/>
  <c r="AD16" i="55" s="1" a="1"/>
  <c r="AD16" i="55" s="1"/>
  <c r="U93" i="44"/>
  <c r="AC16" i="55" s="1" a="1"/>
  <c r="AC16" i="55" s="1"/>
  <c r="T93" i="44"/>
  <c r="AB16" i="55" s="1" a="1"/>
  <c r="AB16" i="55" s="1"/>
  <c r="S93" i="44"/>
  <c r="AA16" i="55" s="1" a="1"/>
  <c r="AA16" i="55" s="1"/>
  <c r="R93" i="44"/>
  <c r="Z16" i="55" s="1" a="1"/>
  <c r="Z16" i="55" s="1"/>
  <c r="Q93" i="44"/>
  <c r="Y16" i="55" s="1" a="1"/>
  <c r="Y16" i="55" s="1"/>
  <c r="P93" i="44"/>
  <c r="X16" i="55" s="1" a="1"/>
  <c r="X16" i="55" s="1"/>
  <c r="O93" i="44"/>
  <c r="W16" i="55" s="1" a="1"/>
  <c r="W16" i="55" s="1"/>
  <c r="N93" i="44"/>
  <c r="V16" i="55" s="1" a="1"/>
  <c r="V16" i="55" s="1"/>
  <c r="M93" i="44"/>
  <c r="U16" i="55" s="1" a="1"/>
  <c r="U16" i="55" s="1"/>
  <c r="L93" i="44"/>
  <c r="T16" i="55" s="1" a="1"/>
  <c r="T16" i="55" s="1"/>
  <c r="K93" i="44"/>
  <c r="S16" i="55" s="1" a="1"/>
  <c r="S16" i="55" s="1"/>
  <c r="J93" i="44"/>
  <c r="R16" i="55" s="1" a="1"/>
  <c r="R16" i="55" s="1"/>
  <c r="AH92" i="44"/>
  <c r="AP14" i="55" s="1" a="1"/>
  <c r="AP14" i="55" s="1"/>
  <c r="AG92" i="44"/>
  <c r="AO14" i="55" s="1" a="1"/>
  <c r="AO14" i="55" s="1"/>
  <c r="AF92" i="44"/>
  <c r="AN14" i="55" s="1" a="1"/>
  <c r="AN14" i="55" s="1"/>
  <c r="AE92" i="44"/>
  <c r="AM14" i="55" s="1" a="1"/>
  <c r="AM14" i="55" s="1"/>
  <c r="AD92" i="44"/>
  <c r="AL14" i="55" s="1" a="1"/>
  <c r="AL14" i="55" s="1"/>
  <c r="AC92" i="44"/>
  <c r="AK14" i="55" s="1" a="1"/>
  <c r="AK14" i="55" s="1"/>
  <c r="AB92" i="44"/>
  <c r="AJ14" i="55" s="1" a="1"/>
  <c r="AJ14" i="55" s="1"/>
  <c r="AA92" i="44"/>
  <c r="AI14" i="55" s="1" a="1"/>
  <c r="AI14" i="55" s="1"/>
  <c r="Z92" i="44"/>
  <c r="AH14" i="55" s="1" a="1"/>
  <c r="AH14" i="55" s="1"/>
  <c r="Y92" i="44"/>
  <c r="AG14" i="55" s="1" a="1"/>
  <c r="AG14" i="55" s="1"/>
  <c r="X92" i="44"/>
  <c r="AF14" i="55" s="1" a="1"/>
  <c r="AF14" i="55" s="1"/>
  <c r="W92" i="44"/>
  <c r="AE14" i="55" s="1" a="1"/>
  <c r="AE14" i="55" s="1"/>
  <c r="V92" i="44"/>
  <c r="AD14" i="55" s="1" a="1"/>
  <c r="AD14" i="55" s="1"/>
  <c r="U92" i="44"/>
  <c r="AC14" i="55" s="1" a="1"/>
  <c r="AC14" i="55" s="1"/>
  <c r="T92" i="44"/>
  <c r="AB14" i="55" s="1" a="1"/>
  <c r="AB14" i="55" s="1"/>
  <c r="S92" i="44"/>
  <c r="AA14" i="55" s="1" a="1"/>
  <c r="AA14" i="55" s="1"/>
  <c r="R92" i="44"/>
  <c r="Z14" i="55" s="1" a="1"/>
  <c r="Z14" i="55" s="1"/>
  <c r="Q92" i="44"/>
  <c r="Y14" i="55" s="1" a="1"/>
  <c r="Y14" i="55" s="1"/>
  <c r="P92" i="44"/>
  <c r="X14" i="55" s="1" a="1"/>
  <c r="X14" i="55" s="1"/>
  <c r="O92" i="44"/>
  <c r="W14" i="55" s="1" a="1"/>
  <c r="W14" i="55" s="1"/>
  <c r="N92" i="44"/>
  <c r="V14" i="55" s="1" a="1"/>
  <c r="V14" i="55" s="1"/>
  <c r="M92" i="44"/>
  <c r="U14" i="55" s="1" a="1"/>
  <c r="U14" i="55" s="1"/>
  <c r="L92" i="44"/>
  <c r="T14" i="55" s="1" a="1"/>
  <c r="T14" i="55" s="1"/>
  <c r="K92" i="44"/>
  <c r="S14" i="55" s="1" a="1"/>
  <c r="S14" i="55" s="1"/>
  <c r="J92" i="44"/>
  <c r="R14" i="55" s="1" a="1"/>
  <c r="R14" i="55" s="1"/>
  <c r="AK91" i="44"/>
  <c r="AJ91" i="44"/>
  <c r="AI91" i="44"/>
  <c r="AH91" i="44"/>
  <c r="AG91" i="44"/>
  <c r="AF91" i="44"/>
  <c r="AE91" i="44"/>
  <c r="AD91" i="44"/>
  <c r="AC91" i="44"/>
  <c r="AB91" i="44"/>
  <c r="AA91" i="44"/>
  <c r="Z91" i="44"/>
  <c r="Y91" i="44"/>
  <c r="X91" i="44"/>
  <c r="W91" i="44"/>
  <c r="V91" i="44"/>
  <c r="U91" i="44"/>
  <c r="T91" i="44"/>
  <c r="S91" i="44"/>
  <c r="R91" i="44"/>
  <c r="Q91" i="44"/>
  <c r="P91" i="44"/>
  <c r="O91" i="44"/>
  <c r="N91" i="44"/>
  <c r="M91" i="44"/>
  <c r="L91" i="44"/>
  <c r="K91" i="44"/>
  <c r="J91" i="44"/>
  <c r="I91" i="44"/>
  <c r="H91" i="44"/>
  <c r="G91" i="44"/>
  <c r="F91" i="44"/>
  <c r="E91" i="44"/>
  <c r="D91" i="44"/>
  <c r="C91" i="44"/>
  <c r="I80" i="44"/>
  <c r="H80" i="44"/>
  <c r="G80" i="44"/>
  <c r="F80" i="44"/>
  <c r="E80" i="44"/>
  <c r="D80" i="44"/>
  <c r="AH79" i="44"/>
  <c r="AI79" i="44" s="1"/>
  <c r="AG79" i="44"/>
  <c r="AF79" i="44"/>
  <c r="AE79" i="44"/>
  <c r="AD79" i="44"/>
  <c r="AC79" i="44"/>
  <c r="AB79" i="44"/>
  <c r="AA79" i="44"/>
  <c r="Z79" i="44"/>
  <c r="Y79" i="44"/>
  <c r="X79" i="44"/>
  <c r="W79" i="44"/>
  <c r="V79" i="44"/>
  <c r="U79" i="44"/>
  <c r="T79" i="44"/>
  <c r="S79" i="44"/>
  <c r="R79" i="44"/>
  <c r="Q79" i="44"/>
  <c r="O79" i="44"/>
  <c r="N79" i="44"/>
  <c r="M79" i="44"/>
  <c r="K79" i="44"/>
  <c r="J79" i="44"/>
  <c r="B79" i="44"/>
  <c r="I78" i="44"/>
  <c r="H78" i="44"/>
  <c r="G78" i="44"/>
  <c r="F78" i="44"/>
  <c r="E78" i="44"/>
  <c r="D78" i="44"/>
  <c r="C78" i="44"/>
  <c r="B78" i="44"/>
  <c r="I77" i="44"/>
  <c r="H77" i="44"/>
  <c r="G77" i="44"/>
  <c r="F77" i="44"/>
  <c r="E77" i="44"/>
  <c r="D77" i="44"/>
  <c r="C77" i="44"/>
  <c r="B77" i="44"/>
  <c r="I76" i="44"/>
  <c r="H76" i="44"/>
  <c r="G76" i="44"/>
  <c r="F76" i="44"/>
  <c r="E76" i="44"/>
  <c r="D76" i="44"/>
  <c r="C76" i="44"/>
  <c r="B76" i="44"/>
  <c r="AH75" i="44"/>
  <c r="AG75" i="44"/>
  <c r="AF75" i="44"/>
  <c r="AE75" i="44"/>
  <c r="AD75" i="44"/>
  <c r="AC75" i="44"/>
  <c r="AB75" i="44"/>
  <c r="AA75" i="44"/>
  <c r="Z75" i="44"/>
  <c r="Y75" i="44"/>
  <c r="X75" i="44"/>
  <c r="W75" i="44"/>
  <c r="V75" i="44"/>
  <c r="U75" i="44"/>
  <c r="T75" i="44"/>
  <c r="S75" i="44"/>
  <c r="R75" i="44"/>
  <c r="Q75" i="44"/>
  <c r="P75" i="44"/>
  <c r="O75" i="44"/>
  <c r="N75" i="44"/>
  <c r="M75" i="44"/>
  <c r="L75" i="44"/>
  <c r="K75" i="44"/>
  <c r="K87" i="44" s="1"/>
  <c r="J75" i="44"/>
  <c r="J78" i="44" s="1"/>
  <c r="B75" i="44"/>
  <c r="AH74" i="44"/>
  <c r="AI74" i="44" s="1"/>
  <c r="AG74" i="44"/>
  <c r="AF74" i="44"/>
  <c r="AE74" i="44"/>
  <c r="AD74" i="44"/>
  <c r="AC74" i="44"/>
  <c r="AB74" i="44"/>
  <c r="AA74" i="44"/>
  <c r="Z74" i="44"/>
  <c r="Y74" i="44"/>
  <c r="X74" i="44"/>
  <c r="W74" i="44"/>
  <c r="V74" i="44"/>
  <c r="U74" i="44"/>
  <c r="T74" i="44"/>
  <c r="S74" i="44"/>
  <c r="R74" i="44"/>
  <c r="Q74" i="44"/>
  <c r="P74" i="44"/>
  <c r="O74" i="44"/>
  <c r="N74" i="44"/>
  <c r="M74" i="44"/>
  <c r="L74" i="44"/>
  <c r="K74" i="44"/>
  <c r="K77" i="44" s="1"/>
  <c r="J74" i="44"/>
  <c r="J77" i="44" s="1"/>
  <c r="B74" i="44"/>
  <c r="AH73" i="44"/>
  <c r="AG73" i="44"/>
  <c r="AF73" i="44"/>
  <c r="AE73" i="44"/>
  <c r="AD73" i="44"/>
  <c r="AC73" i="44"/>
  <c r="AB73" i="44"/>
  <c r="AA73" i="44"/>
  <c r="Z73" i="44"/>
  <c r="Y73" i="44"/>
  <c r="X73" i="44"/>
  <c r="W73" i="44"/>
  <c r="V73" i="44"/>
  <c r="U73" i="44"/>
  <c r="T73" i="44"/>
  <c r="S73" i="44"/>
  <c r="R73" i="44"/>
  <c r="Q73" i="44"/>
  <c r="P73" i="44"/>
  <c r="O73" i="44"/>
  <c r="N73" i="44"/>
  <c r="M73" i="44"/>
  <c r="L73" i="44"/>
  <c r="K73" i="44"/>
  <c r="K85" i="44" s="1"/>
  <c r="J73" i="44"/>
  <c r="J76" i="44" s="1"/>
  <c r="B73" i="44"/>
  <c r="AH72" i="44"/>
  <c r="AI72" i="44" s="1"/>
  <c r="AJ72" i="44" s="1"/>
  <c r="AK72" i="44" s="1"/>
  <c r="AG72" i="44"/>
  <c r="AF72" i="44"/>
  <c r="AE72" i="44"/>
  <c r="AD72" i="44"/>
  <c r="AC72" i="44"/>
  <c r="AB72" i="44"/>
  <c r="AA72" i="44"/>
  <c r="Z72" i="44"/>
  <c r="Y72" i="44"/>
  <c r="X72" i="44"/>
  <c r="W72" i="44"/>
  <c r="V72" i="44"/>
  <c r="U72" i="44"/>
  <c r="T72" i="44"/>
  <c r="S72" i="44"/>
  <c r="R72" i="44"/>
  <c r="Q72" i="44"/>
  <c r="P72" i="44"/>
  <c r="O72" i="44"/>
  <c r="N72" i="44"/>
  <c r="M72" i="44"/>
  <c r="L72" i="44"/>
  <c r="K72" i="44"/>
  <c r="J72" i="44"/>
  <c r="B72" i="44"/>
  <c r="B71" i="44"/>
  <c r="I70" i="44"/>
  <c r="H70" i="44"/>
  <c r="G70" i="44"/>
  <c r="F70" i="44"/>
  <c r="E70" i="44"/>
  <c r="D70" i="44"/>
  <c r="C70" i="44"/>
  <c r="B70" i="44"/>
  <c r="AH69" i="44"/>
  <c r="AI69" i="44" s="1"/>
  <c r="AJ69" i="44" s="1"/>
  <c r="AG69" i="44"/>
  <c r="AF69" i="44"/>
  <c r="AE69" i="44"/>
  <c r="AD69" i="44"/>
  <c r="AC69" i="44"/>
  <c r="AB69" i="44"/>
  <c r="AA69" i="44"/>
  <c r="Z69" i="44"/>
  <c r="Y69" i="44"/>
  <c r="X69" i="44"/>
  <c r="W69" i="44"/>
  <c r="V69" i="44"/>
  <c r="U69" i="44"/>
  <c r="T69" i="44"/>
  <c r="S69" i="44"/>
  <c r="R69" i="44"/>
  <c r="Q69" i="44"/>
  <c r="P69" i="44"/>
  <c r="O69" i="44"/>
  <c r="N69" i="44"/>
  <c r="M69" i="44"/>
  <c r="L69" i="44"/>
  <c r="K69" i="44"/>
  <c r="J69" i="44"/>
  <c r="B69" i="44"/>
  <c r="AH68" i="44"/>
  <c r="AI68" i="44" s="1"/>
  <c r="AJ68" i="44" s="1"/>
  <c r="AG68" i="44"/>
  <c r="AF68" i="44"/>
  <c r="AE68" i="44"/>
  <c r="AD68" i="44"/>
  <c r="AC68" i="44"/>
  <c r="AB68" i="44"/>
  <c r="AA68" i="44"/>
  <c r="Z68" i="44"/>
  <c r="Y68" i="44"/>
  <c r="X68" i="44"/>
  <c r="W68" i="44"/>
  <c r="V68" i="44"/>
  <c r="U68" i="44"/>
  <c r="T68" i="44"/>
  <c r="S68" i="44"/>
  <c r="R68" i="44"/>
  <c r="Q68" i="44"/>
  <c r="P68" i="44"/>
  <c r="O68" i="44"/>
  <c r="N68" i="44"/>
  <c r="M68" i="44"/>
  <c r="L68" i="44"/>
  <c r="K68" i="44"/>
  <c r="J68" i="44"/>
  <c r="B68" i="44"/>
  <c r="AH67" i="44"/>
  <c r="AI67" i="44" s="1"/>
  <c r="AJ67" i="44" s="1"/>
  <c r="AK67" i="44" s="1"/>
  <c r="AG67" i="44"/>
  <c r="AF67" i="44"/>
  <c r="AE67" i="44"/>
  <c r="AD67" i="44"/>
  <c r="AC67" i="44"/>
  <c r="AB67" i="44"/>
  <c r="AA67" i="44"/>
  <c r="Z67" i="44"/>
  <c r="Y67" i="44"/>
  <c r="X67" i="44"/>
  <c r="W67" i="44"/>
  <c r="V67" i="44"/>
  <c r="U67" i="44"/>
  <c r="T67" i="44"/>
  <c r="S67" i="44"/>
  <c r="R67" i="44"/>
  <c r="Q67" i="44"/>
  <c r="P67" i="44"/>
  <c r="O67" i="44"/>
  <c r="N67" i="44"/>
  <c r="M67" i="44"/>
  <c r="L67" i="44"/>
  <c r="K67" i="44"/>
  <c r="J67" i="44"/>
  <c r="B67" i="44"/>
  <c r="AH66" i="44"/>
  <c r="AI66" i="44" s="1"/>
  <c r="AG66" i="44"/>
  <c r="AF66" i="44"/>
  <c r="AE66" i="44"/>
  <c r="AD66" i="44"/>
  <c r="AC66" i="44"/>
  <c r="AB66" i="44"/>
  <c r="AA66" i="44"/>
  <c r="Z66" i="44"/>
  <c r="Y66" i="44"/>
  <c r="X66" i="44"/>
  <c r="W66" i="44"/>
  <c r="V66" i="44"/>
  <c r="U66" i="44"/>
  <c r="T66" i="44"/>
  <c r="S66" i="44"/>
  <c r="R66" i="44"/>
  <c r="Q66" i="44"/>
  <c r="P66" i="44"/>
  <c r="O66" i="44"/>
  <c r="N66" i="44"/>
  <c r="M66" i="44"/>
  <c r="L66" i="44"/>
  <c r="K66" i="44"/>
  <c r="J66" i="44"/>
  <c r="B66" i="44"/>
  <c r="AH65" i="44"/>
  <c r="AI65" i="44" s="1"/>
  <c r="AJ65" i="44" s="1"/>
  <c r="AK65" i="44" s="1"/>
  <c r="AG65" i="44"/>
  <c r="AF65" i="44"/>
  <c r="AE65" i="44"/>
  <c r="AD65" i="44"/>
  <c r="AC65" i="44"/>
  <c r="AB65" i="44"/>
  <c r="AA65" i="44"/>
  <c r="Z65" i="44"/>
  <c r="Y65" i="44"/>
  <c r="X65" i="44"/>
  <c r="W65" i="44"/>
  <c r="V65" i="44"/>
  <c r="U65" i="44"/>
  <c r="T65" i="44"/>
  <c r="S65" i="44"/>
  <c r="R65" i="44"/>
  <c r="Q65" i="44"/>
  <c r="P65" i="44"/>
  <c r="O65" i="44"/>
  <c r="N65" i="44"/>
  <c r="M65" i="44"/>
  <c r="L65" i="44"/>
  <c r="K65" i="44"/>
  <c r="J65" i="44"/>
  <c r="B65" i="44"/>
  <c r="AH64" i="44"/>
  <c r="AI64" i="44" s="1"/>
  <c r="AJ64" i="44" s="1"/>
  <c r="AG64" i="44"/>
  <c r="AF64" i="44"/>
  <c r="AE64" i="44"/>
  <c r="AD64" i="44"/>
  <c r="AC64" i="44"/>
  <c r="AB64" i="44"/>
  <c r="AA64" i="44"/>
  <c r="Z64" i="44"/>
  <c r="Y64" i="44"/>
  <c r="X64" i="44"/>
  <c r="W64" i="44"/>
  <c r="V64" i="44"/>
  <c r="U64" i="44"/>
  <c r="T64" i="44"/>
  <c r="S64" i="44"/>
  <c r="R64" i="44"/>
  <c r="Q64" i="44"/>
  <c r="P64" i="44"/>
  <c r="O64" i="44"/>
  <c r="N64" i="44"/>
  <c r="M64" i="44"/>
  <c r="L64" i="44"/>
  <c r="K64" i="44"/>
  <c r="J64" i="44"/>
  <c r="B64" i="44"/>
  <c r="AH63" i="44"/>
  <c r="AI63" i="44" s="1"/>
  <c r="AJ63" i="44" s="1"/>
  <c r="AK63" i="44" s="1"/>
  <c r="AG63" i="44"/>
  <c r="AF63" i="44"/>
  <c r="AE63" i="44"/>
  <c r="AD63" i="44"/>
  <c r="AC63" i="44"/>
  <c r="AB63" i="44"/>
  <c r="AA63" i="44"/>
  <c r="Z63" i="44"/>
  <c r="Y63" i="44"/>
  <c r="X63" i="44"/>
  <c r="W63" i="44"/>
  <c r="V63" i="44"/>
  <c r="U63" i="44"/>
  <c r="T63" i="44"/>
  <c r="S63" i="44"/>
  <c r="R63" i="44"/>
  <c r="Q63" i="44"/>
  <c r="P63" i="44"/>
  <c r="O63" i="44"/>
  <c r="N63" i="44"/>
  <c r="M63" i="44"/>
  <c r="L63" i="44"/>
  <c r="K63" i="44"/>
  <c r="J63" i="44"/>
  <c r="B63" i="44"/>
  <c r="AH62" i="44"/>
  <c r="AI62" i="44" s="1"/>
  <c r="AJ62" i="44" s="1"/>
  <c r="AK62" i="44" s="1"/>
  <c r="AG62" i="44"/>
  <c r="AF62" i="44"/>
  <c r="AE62" i="44"/>
  <c r="AD62" i="44"/>
  <c r="AC62" i="44"/>
  <c r="AB62" i="44"/>
  <c r="AA62" i="44"/>
  <c r="Z62" i="44"/>
  <c r="Y62" i="44"/>
  <c r="X62" i="44"/>
  <c r="W62" i="44"/>
  <c r="V62" i="44"/>
  <c r="U62" i="44"/>
  <c r="T62" i="44"/>
  <c r="S62" i="44"/>
  <c r="R62" i="44"/>
  <c r="Q62" i="44"/>
  <c r="P62" i="44"/>
  <c r="O62" i="44"/>
  <c r="N62" i="44"/>
  <c r="M62" i="44"/>
  <c r="L62" i="44"/>
  <c r="K62" i="44"/>
  <c r="J62" i="44"/>
  <c r="B62" i="44"/>
  <c r="AH61" i="44"/>
  <c r="AI61" i="44" s="1"/>
  <c r="AJ61" i="44" s="1"/>
  <c r="AK61" i="44" s="1"/>
  <c r="AG61" i="44"/>
  <c r="AF61" i="44"/>
  <c r="AE61" i="44"/>
  <c r="AD61" i="44"/>
  <c r="AC61" i="44"/>
  <c r="AB61" i="44"/>
  <c r="AA61" i="44"/>
  <c r="Z61" i="44"/>
  <c r="Y61" i="44"/>
  <c r="X61" i="44"/>
  <c r="W61" i="44"/>
  <c r="V61" i="44"/>
  <c r="U61" i="44"/>
  <c r="T61" i="44"/>
  <c r="S61" i="44"/>
  <c r="R61" i="44"/>
  <c r="Q61" i="44"/>
  <c r="P61" i="44"/>
  <c r="O61" i="44"/>
  <c r="N61" i="44"/>
  <c r="M61" i="44"/>
  <c r="L61" i="44"/>
  <c r="K61" i="44"/>
  <c r="J61" i="44"/>
  <c r="B61" i="44"/>
  <c r="AH60" i="44"/>
  <c r="AI60" i="44" s="1"/>
  <c r="AJ60" i="44" s="1"/>
  <c r="AK60" i="44" s="1"/>
  <c r="AG60" i="44"/>
  <c r="AF60" i="44"/>
  <c r="AE60" i="44"/>
  <c r="AD60" i="44"/>
  <c r="AC60" i="44"/>
  <c r="AB60" i="44"/>
  <c r="AA60" i="44"/>
  <c r="Z60" i="44"/>
  <c r="Y60" i="44"/>
  <c r="X60" i="44"/>
  <c r="W60" i="44"/>
  <c r="V60" i="44"/>
  <c r="U60" i="44"/>
  <c r="T60" i="44"/>
  <c r="S60" i="44"/>
  <c r="R60" i="44"/>
  <c r="Q60" i="44"/>
  <c r="P60" i="44"/>
  <c r="O60" i="44"/>
  <c r="N60" i="44"/>
  <c r="M60" i="44"/>
  <c r="L60" i="44"/>
  <c r="K60" i="44"/>
  <c r="J60" i="44"/>
  <c r="B60" i="44"/>
  <c r="AH59" i="44"/>
  <c r="AI59" i="44" s="1"/>
  <c r="AJ59" i="44" s="1"/>
  <c r="AK59" i="44" s="1"/>
  <c r="AG59" i="44"/>
  <c r="AF59" i="44"/>
  <c r="AE59" i="44"/>
  <c r="AD59" i="44"/>
  <c r="AC59" i="44"/>
  <c r="AB59" i="44"/>
  <c r="AA59" i="44"/>
  <c r="Z59" i="44"/>
  <c r="Y59" i="44"/>
  <c r="X59" i="44"/>
  <c r="W59" i="44"/>
  <c r="V59" i="44"/>
  <c r="U59" i="44"/>
  <c r="T59" i="44"/>
  <c r="S59" i="44"/>
  <c r="R59" i="44"/>
  <c r="Q59" i="44"/>
  <c r="P59" i="44"/>
  <c r="O59" i="44"/>
  <c r="N59" i="44"/>
  <c r="M59" i="44"/>
  <c r="L59" i="44"/>
  <c r="K59" i="44"/>
  <c r="J59" i="44"/>
  <c r="B59" i="44"/>
  <c r="AH58" i="44"/>
  <c r="AI58" i="44" s="1"/>
  <c r="AJ58" i="44" s="1"/>
  <c r="AK58" i="44" s="1"/>
  <c r="AG58" i="44"/>
  <c r="AF58" i="44"/>
  <c r="AE58" i="44"/>
  <c r="AD58" i="44"/>
  <c r="AC58" i="44"/>
  <c r="AB58" i="44"/>
  <c r="AA58" i="44"/>
  <c r="Z58" i="44"/>
  <c r="Y58" i="44"/>
  <c r="X58" i="44"/>
  <c r="W58" i="44"/>
  <c r="V58" i="44"/>
  <c r="U58" i="44"/>
  <c r="T58" i="44"/>
  <c r="S58" i="44"/>
  <c r="R58" i="44"/>
  <c r="Q58" i="44"/>
  <c r="P58" i="44"/>
  <c r="O58" i="44"/>
  <c r="N58" i="44"/>
  <c r="M58" i="44"/>
  <c r="L58" i="44"/>
  <c r="L18" i="44" s="1"/>
  <c r="T10" i="55" s="1" a="1"/>
  <c r="T10" i="55" s="1"/>
  <c r="T79" i="55" s="1"/>
  <c r="K58" i="44"/>
  <c r="J58" i="44"/>
  <c r="B58" i="44"/>
  <c r="B57" i="44"/>
  <c r="AH56" i="44"/>
  <c r="AI56" i="44" s="1"/>
  <c r="AJ56" i="44" s="1"/>
  <c r="AK56" i="44" s="1"/>
  <c r="AG56" i="44"/>
  <c r="AF56" i="44"/>
  <c r="AE56" i="44"/>
  <c r="AD56" i="44"/>
  <c r="AC56" i="44"/>
  <c r="AB56" i="44"/>
  <c r="AA56" i="44"/>
  <c r="Z56" i="44"/>
  <c r="Y56" i="44"/>
  <c r="X56" i="44"/>
  <c r="W56" i="44"/>
  <c r="V56" i="44"/>
  <c r="U56" i="44"/>
  <c r="T56" i="44"/>
  <c r="S56" i="44"/>
  <c r="R56" i="44"/>
  <c r="Q56" i="44"/>
  <c r="P56" i="44"/>
  <c r="O56" i="44"/>
  <c r="O57" i="44" s="1"/>
  <c r="P57" i="44" s="1"/>
  <c r="Q57" i="44" s="1"/>
  <c r="R57" i="44" s="1"/>
  <c r="S57" i="44" s="1"/>
  <c r="T57" i="44" s="1"/>
  <c r="U57" i="44" s="1"/>
  <c r="V57" i="44" s="1"/>
  <c r="W57" i="44" s="1"/>
  <c r="X57" i="44" s="1"/>
  <c r="Y57" i="44" s="1"/>
  <c r="Z57" i="44" s="1"/>
  <c r="AA57" i="44" s="1"/>
  <c r="N56" i="44"/>
  <c r="N57" i="44" s="1"/>
  <c r="M56" i="44"/>
  <c r="M57" i="44" s="1"/>
  <c r="L56" i="44"/>
  <c r="L57" i="44" s="1"/>
  <c r="K56" i="44"/>
  <c r="K57" i="44" s="1"/>
  <c r="J56" i="44"/>
  <c r="J57" i="44" s="1"/>
  <c r="B56" i="44"/>
  <c r="AH55" i="44"/>
  <c r="AI55" i="44" s="1"/>
  <c r="AJ55" i="44" s="1"/>
  <c r="AK55" i="44" s="1"/>
  <c r="AG55" i="44"/>
  <c r="AF55" i="44"/>
  <c r="AE55" i="44"/>
  <c r="AD55" i="44"/>
  <c r="AC55" i="44"/>
  <c r="AB55" i="44"/>
  <c r="AA55" i="44"/>
  <c r="Z55" i="44"/>
  <c r="Y55" i="44"/>
  <c r="X55" i="44"/>
  <c r="W55" i="44"/>
  <c r="V55" i="44"/>
  <c r="U55" i="44"/>
  <c r="T55" i="44"/>
  <c r="S55" i="44"/>
  <c r="R55" i="44"/>
  <c r="Q55" i="44"/>
  <c r="P55" i="44"/>
  <c r="O55" i="44"/>
  <c r="N55" i="44"/>
  <c r="M55" i="44"/>
  <c r="L55" i="44"/>
  <c r="K55" i="44"/>
  <c r="J55" i="44"/>
  <c r="B55" i="44"/>
  <c r="AH54" i="44"/>
  <c r="AI54" i="44" s="1"/>
  <c r="AJ54" i="44" s="1"/>
  <c r="AK54" i="44" s="1"/>
  <c r="AG54" i="44"/>
  <c r="AF54" i="44"/>
  <c r="AE54" i="44"/>
  <c r="AD54" i="44"/>
  <c r="AC54" i="44"/>
  <c r="AB54" i="44"/>
  <c r="AA54" i="44"/>
  <c r="Z54" i="44"/>
  <c r="Y54" i="44"/>
  <c r="X54" i="44"/>
  <c r="W54" i="44"/>
  <c r="V54" i="44"/>
  <c r="U54" i="44"/>
  <c r="T54" i="44"/>
  <c r="S54" i="44"/>
  <c r="R54" i="44"/>
  <c r="Q54" i="44"/>
  <c r="P54" i="44"/>
  <c r="O54" i="44"/>
  <c r="N54" i="44"/>
  <c r="M54" i="44"/>
  <c r="L54" i="44"/>
  <c r="K54" i="44"/>
  <c r="J54" i="44"/>
  <c r="B54" i="44"/>
  <c r="AH53" i="44"/>
  <c r="AI53" i="44" s="1"/>
  <c r="AJ53" i="44" s="1"/>
  <c r="AK53" i="44" s="1"/>
  <c r="AG53" i="44"/>
  <c r="AF53" i="44"/>
  <c r="AE53" i="44"/>
  <c r="AD53" i="44"/>
  <c r="AC53" i="44"/>
  <c r="AB53" i="44"/>
  <c r="AA53" i="44"/>
  <c r="Z53" i="44"/>
  <c r="Y53" i="44"/>
  <c r="X53" i="44"/>
  <c r="W53" i="44"/>
  <c r="V53" i="44"/>
  <c r="U53" i="44"/>
  <c r="T53" i="44"/>
  <c r="S53" i="44"/>
  <c r="R53" i="44"/>
  <c r="Q53" i="44"/>
  <c r="P53" i="44"/>
  <c r="O53" i="44"/>
  <c r="N53" i="44"/>
  <c r="M53" i="44"/>
  <c r="L53" i="44"/>
  <c r="K53" i="44"/>
  <c r="J53" i="44"/>
  <c r="B53" i="44"/>
  <c r="AH52" i="44"/>
  <c r="AI52" i="44" s="1"/>
  <c r="AJ52" i="44" s="1"/>
  <c r="AK52" i="44" s="1"/>
  <c r="AG52" i="44"/>
  <c r="AF52" i="44"/>
  <c r="AE52" i="44"/>
  <c r="AD52" i="44"/>
  <c r="AC52" i="44"/>
  <c r="AB52" i="44"/>
  <c r="AA52" i="44"/>
  <c r="Z52" i="44"/>
  <c r="Y52" i="44"/>
  <c r="X52" i="44"/>
  <c r="W52" i="44"/>
  <c r="V52" i="44"/>
  <c r="U52" i="44"/>
  <c r="T52" i="44"/>
  <c r="S52" i="44"/>
  <c r="R52" i="44"/>
  <c r="Q52" i="44"/>
  <c r="P52" i="44"/>
  <c r="O52" i="44"/>
  <c r="N52" i="44"/>
  <c r="M52" i="44"/>
  <c r="L52" i="44"/>
  <c r="K52" i="44"/>
  <c r="J52" i="44"/>
  <c r="B52" i="44"/>
  <c r="B51" i="44"/>
  <c r="AH50" i="44"/>
  <c r="AI50" i="44" s="1"/>
  <c r="AJ50" i="44" s="1"/>
  <c r="AK50"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B50" i="44"/>
  <c r="AH49" i="44"/>
  <c r="AH51" i="44" s="1"/>
  <c r="AI51" i="44" s="1"/>
  <c r="AJ51" i="44" s="1"/>
  <c r="AK51" i="44" s="1"/>
  <c r="AG49" i="44"/>
  <c r="AG51" i="44" s="1"/>
  <c r="AF49" i="44"/>
  <c r="AF51" i="44" s="1"/>
  <c r="AE49" i="44"/>
  <c r="AE51" i="44" s="1"/>
  <c r="AD49" i="44"/>
  <c r="AD51" i="44" s="1"/>
  <c r="AC49" i="44"/>
  <c r="AC51" i="44" s="1"/>
  <c r="AB49" i="44"/>
  <c r="AB51" i="44" s="1"/>
  <c r="AA49" i="44"/>
  <c r="AA51" i="44" s="1"/>
  <c r="Z49" i="44"/>
  <c r="Z51" i="44" s="1"/>
  <c r="Y49" i="44"/>
  <c r="Y51" i="44" s="1"/>
  <c r="X49" i="44"/>
  <c r="X51" i="44" s="1"/>
  <c r="W49" i="44"/>
  <c r="W51" i="44" s="1"/>
  <c r="V49" i="44"/>
  <c r="V51" i="44" s="1"/>
  <c r="U49" i="44"/>
  <c r="U51" i="44" s="1"/>
  <c r="T49" i="44"/>
  <c r="T51" i="44" s="1"/>
  <c r="S49" i="44"/>
  <c r="S51" i="44" s="1"/>
  <c r="R49" i="44"/>
  <c r="R51" i="44" s="1"/>
  <c r="Q49" i="44"/>
  <c r="Q51" i="44" s="1"/>
  <c r="P49" i="44"/>
  <c r="P51" i="44" s="1"/>
  <c r="O49" i="44"/>
  <c r="O51" i="44" s="1"/>
  <c r="N49" i="44"/>
  <c r="N51" i="44" s="1"/>
  <c r="M49" i="44"/>
  <c r="M51" i="44" s="1"/>
  <c r="L49" i="44"/>
  <c r="L51" i="44" s="1"/>
  <c r="K49" i="44"/>
  <c r="K51" i="44" s="1"/>
  <c r="J49" i="44"/>
  <c r="J51" i="44" s="1"/>
  <c r="B49" i="44"/>
  <c r="AH48" i="44"/>
  <c r="AI48" i="44" s="1"/>
  <c r="AJ48" i="44" s="1"/>
  <c r="AK48" i="44" s="1"/>
  <c r="AG48" i="44"/>
  <c r="AF48" i="44"/>
  <c r="AE48" i="44"/>
  <c r="AD48" i="44"/>
  <c r="AC48" i="44"/>
  <c r="AB48" i="44"/>
  <c r="AA48" i="44"/>
  <c r="Z48" i="44"/>
  <c r="Y48" i="44"/>
  <c r="X48" i="44"/>
  <c r="W48" i="44"/>
  <c r="V48" i="44"/>
  <c r="U48" i="44"/>
  <c r="T48" i="44"/>
  <c r="S48" i="44"/>
  <c r="R48" i="44"/>
  <c r="Q48" i="44"/>
  <c r="P48" i="44"/>
  <c r="O48" i="44"/>
  <c r="N48" i="44"/>
  <c r="M48" i="44"/>
  <c r="L48" i="44"/>
  <c r="K48" i="44"/>
  <c r="J48" i="44"/>
  <c r="B48" i="44"/>
  <c r="AH47" i="44"/>
  <c r="AG47" i="44"/>
  <c r="AF47" i="44"/>
  <c r="AE47" i="44"/>
  <c r="AD47" i="44"/>
  <c r="AC47" i="44"/>
  <c r="AB47" i="44"/>
  <c r="AA47" i="44"/>
  <c r="Z47" i="44"/>
  <c r="Y47" i="44"/>
  <c r="X47" i="44"/>
  <c r="W47" i="44"/>
  <c r="V47" i="44"/>
  <c r="U47" i="44"/>
  <c r="T47" i="44"/>
  <c r="S47" i="44"/>
  <c r="R47" i="44"/>
  <c r="Q47" i="44"/>
  <c r="P47" i="44"/>
  <c r="O47" i="44"/>
  <c r="N47" i="44"/>
  <c r="M47" i="44"/>
  <c r="L47" i="44"/>
  <c r="K47" i="44"/>
  <c r="J47"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D46" i="44"/>
  <c r="K40" i="44"/>
  <c r="J40" i="44"/>
  <c r="I40" i="44"/>
  <c r="H40" i="44"/>
  <c r="G40" i="44"/>
  <c r="F40" i="44"/>
  <c r="E40" i="44"/>
  <c r="D40" i="44"/>
  <c r="B39" i="44"/>
  <c r="K38" i="44"/>
  <c r="B38" i="44"/>
  <c r="B37" i="44"/>
  <c r="B36" i="44"/>
  <c r="B35" i="44"/>
  <c r="B34" i="44"/>
  <c r="B33" i="44"/>
  <c r="AK32" i="44"/>
  <c r="AJ32" i="44"/>
  <c r="AI32" i="44"/>
  <c r="AH32" i="44"/>
  <c r="AG32" i="44"/>
  <c r="AF32" i="44"/>
  <c r="AE32" i="44"/>
  <c r="AD32" i="44"/>
  <c r="AC32" i="44"/>
  <c r="AB32" i="44"/>
  <c r="AA32" i="44"/>
  <c r="AA77" i="44" s="1"/>
  <c r="Z32" i="44"/>
  <c r="Y32" i="44"/>
  <c r="X32" i="44"/>
  <c r="W32" i="44"/>
  <c r="V32" i="44"/>
  <c r="U32" i="44"/>
  <c r="T32" i="44"/>
  <c r="S32" i="44"/>
  <c r="R32" i="44"/>
  <c r="Q32" i="44"/>
  <c r="P32" i="44"/>
  <c r="O32" i="44"/>
  <c r="O77" i="44" s="1"/>
  <c r="N32" i="44"/>
  <c r="M32" i="44"/>
  <c r="L32" i="44"/>
  <c r="B32" i="44"/>
  <c r="B31" i="44"/>
  <c r="K30" i="44"/>
  <c r="J30" i="44"/>
  <c r="I30" i="44"/>
  <c r="H30" i="44"/>
  <c r="G30" i="44"/>
  <c r="F30" i="44"/>
  <c r="E30" i="44"/>
  <c r="D30" i="44"/>
  <c r="C30" i="44"/>
  <c r="B30" i="44"/>
  <c r="L29" i="44"/>
  <c r="M29" i="44" s="1"/>
  <c r="B29" i="44"/>
  <c r="B28" i="44"/>
  <c r="L27" i="44"/>
  <c r="M27" i="44" s="1"/>
  <c r="B27" i="44"/>
  <c r="B26" i="44"/>
  <c r="B25" i="44"/>
  <c r="B24" i="44"/>
  <c r="B23" i="44"/>
  <c r="B22" i="44"/>
  <c r="B21" i="44"/>
  <c r="B20" i="44"/>
  <c r="B19" i="44"/>
  <c r="B18" i="44"/>
  <c r="B17" i="44"/>
  <c r="B16" i="44"/>
  <c r="B15" i="44"/>
  <c r="B14" i="44"/>
  <c r="B13" i="44"/>
  <c r="B12" i="44"/>
  <c r="B11" i="44"/>
  <c r="B10" i="44"/>
  <c r="B9" i="44"/>
  <c r="B8"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D6" i="44"/>
  <c r="S53" i="52"/>
  <c r="R53" i="52"/>
  <c r="Q53" i="52"/>
  <c r="P53" i="52"/>
  <c r="O53" i="52"/>
  <c r="N53" i="52"/>
  <c r="M53" i="52"/>
  <c r="L53" i="52"/>
  <c r="K53" i="52"/>
  <c r="J53" i="52"/>
  <c r="I53" i="52"/>
  <c r="H53" i="52"/>
  <c r="G53" i="52"/>
  <c r="F53" i="52"/>
  <c r="E53" i="52"/>
  <c r="D53" i="52"/>
  <c r="S52" i="52"/>
  <c r="R52" i="52"/>
  <c r="Q52" i="52"/>
  <c r="P52" i="52"/>
  <c r="O52" i="52"/>
  <c r="N52" i="52"/>
  <c r="M52" i="52"/>
  <c r="L52" i="52"/>
  <c r="K52" i="52"/>
  <c r="J52" i="52"/>
  <c r="I52" i="52"/>
  <c r="H52" i="52"/>
  <c r="G52" i="52"/>
  <c r="F52" i="52"/>
  <c r="E52" i="52"/>
  <c r="D52" i="52"/>
  <c r="S51" i="52"/>
  <c r="R51" i="52"/>
  <c r="Q51" i="52"/>
  <c r="P51" i="52"/>
  <c r="O51" i="52"/>
  <c r="N51" i="52"/>
  <c r="M51" i="52"/>
  <c r="L51" i="52"/>
  <c r="K51" i="52"/>
  <c r="J51" i="52"/>
  <c r="I51" i="52"/>
  <c r="H51" i="52"/>
  <c r="G51" i="52"/>
  <c r="F51" i="52"/>
  <c r="E51" i="52"/>
  <c r="D51" i="52"/>
  <c r="S50" i="52"/>
  <c r="R50" i="52"/>
  <c r="Q50" i="52"/>
  <c r="P50" i="52"/>
  <c r="O50" i="52"/>
  <c r="N50" i="52"/>
  <c r="M50" i="52"/>
  <c r="L50" i="52"/>
  <c r="K50" i="52"/>
  <c r="J50" i="52"/>
  <c r="I50" i="52"/>
  <c r="H50" i="52"/>
  <c r="G50" i="52"/>
  <c r="F50" i="52"/>
  <c r="E50" i="52"/>
  <c r="D50" i="52"/>
  <c r="S49" i="52"/>
  <c r="R49" i="52"/>
  <c r="Q49" i="52"/>
  <c r="P49" i="52"/>
  <c r="O49" i="52"/>
  <c r="N49" i="52"/>
  <c r="M49" i="52"/>
  <c r="L49" i="52"/>
  <c r="K49" i="52"/>
  <c r="J49" i="52"/>
  <c r="I49" i="52"/>
  <c r="H49" i="52"/>
  <c r="G49" i="52"/>
  <c r="F49" i="52"/>
  <c r="E49" i="52"/>
  <c r="D49" i="52"/>
  <c r="S48" i="52"/>
  <c r="R48" i="52"/>
  <c r="Q48" i="52"/>
  <c r="P48" i="52"/>
  <c r="O48" i="52"/>
  <c r="N48" i="52"/>
  <c r="M48" i="52"/>
  <c r="L48" i="52"/>
  <c r="K48" i="52"/>
  <c r="J48" i="52"/>
  <c r="I48" i="52"/>
  <c r="H48" i="52"/>
  <c r="G48" i="52"/>
  <c r="F48" i="52"/>
  <c r="E48" i="52"/>
  <c r="D48" i="52"/>
  <c r="S47" i="52"/>
  <c r="R47" i="52"/>
  <c r="Q47" i="52"/>
  <c r="P47" i="52"/>
  <c r="O47" i="52"/>
  <c r="N47" i="52"/>
  <c r="M47" i="52"/>
  <c r="L47" i="52"/>
  <c r="K47" i="52"/>
  <c r="J47" i="52"/>
  <c r="I47" i="52"/>
  <c r="H47" i="52"/>
  <c r="G47" i="52"/>
  <c r="F47" i="52"/>
  <c r="E47" i="52"/>
  <c r="D47" i="52"/>
  <c r="S46" i="52"/>
  <c r="R46" i="52"/>
  <c r="Q46" i="52"/>
  <c r="P46" i="52"/>
  <c r="O46" i="52"/>
  <c r="N46" i="52"/>
  <c r="M46" i="52"/>
  <c r="L46" i="52"/>
  <c r="K46" i="52"/>
  <c r="J46" i="52"/>
  <c r="I46" i="52"/>
  <c r="H46" i="52"/>
  <c r="G46" i="52"/>
  <c r="F46" i="52"/>
  <c r="E46" i="52"/>
  <c r="D46" i="52"/>
  <c r="S45" i="52"/>
  <c r="R45" i="52"/>
  <c r="Q45" i="52"/>
  <c r="P45" i="52"/>
  <c r="O45" i="52"/>
  <c r="N45" i="52"/>
  <c r="M45" i="52"/>
  <c r="L45" i="52"/>
  <c r="K45" i="52"/>
  <c r="J45" i="52"/>
  <c r="I45" i="52"/>
  <c r="H45" i="52"/>
  <c r="G45" i="52"/>
  <c r="F45" i="52"/>
  <c r="E45" i="52"/>
  <c r="D45" i="52"/>
  <c r="S44" i="52"/>
  <c r="R44" i="52"/>
  <c r="Q44" i="52"/>
  <c r="P44" i="52"/>
  <c r="O44" i="52"/>
  <c r="N44" i="52"/>
  <c r="M44" i="52"/>
  <c r="L44" i="52"/>
  <c r="K44" i="52"/>
  <c r="J44" i="52"/>
  <c r="I44" i="52"/>
  <c r="H44" i="52"/>
  <c r="G44" i="52"/>
  <c r="F44" i="52"/>
  <c r="E44" i="52"/>
  <c r="D44" i="52"/>
  <c r="S43" i="52"/>
  <c r="R43" i="52"/>
  <c r="Q43" i="52"/>
  <c r="P43" i="52"/>
  <c r="O43" i="52"/>
  <c r="N43" i="52"/>
  <c r="M43" i="52"/>
  <c r="L43" i="52"/>
  <c r="K43" i="52"/>
  <c r="J43" i="52"/>
  <c r="I43" i="52"/>
  <c r="H43" i="52"/>
  <c r="G43" i="52"/>
  <c r="F43" i="52"/>
  <c r="E43" i="52"/>
  <c r="D43" i="52"/>
  <c r="S42" i="52"/>
  <c r="R42" i="52"/>
  <c r="Q42" i="52"/>
  <c r="P42" i="52"/>
  <c r="O42" i="52"/>
  <c r="N42" i="52"/>
  <c r="M42" i="52"/>
  <c r="L42" i="52"/>
  <c r="K42" i="52"/>
  <c r="J42" i="52"/>
  <c r="I42" i="52"/>
  <c r="H42" i="52"/>
  <c r="G42" i="52"/>
  <c r="F42" i="52"/>
  <c r="E42" i="52"/>
  <c r="D42" i="52"/>
  <c r="S41" i="52"/>
  <c r="R41" i="52"/>
  <c r="Q41" i="52"/>
  <c r="P41" i="52"/>
  <c r="O41" i="52"/>
  <c r="N41" i="52"/>
  <c r="M41" i="52"/>
  <c r="L41" i="52"/>
  <c r="K41" i="52"/>
  <c r="J41" i="52"/>
  <c r="I41" i="52"/>
  <c r="H41" i="52"/>
  <c r="G41" i="52"/>
  <c r="F41" i="52"/>
  <c r="E41" i="52"/>
  <c r="D41" i="52"/>
  <c r="S40" i="52"/>
  <c r="R40" i="52"/>
  <c r="Q40" i="52"/>
  <c r="P40" i="52"/>
  <c r="O40" i="52"/>
  <c r="N40" i="52"/>
  <c r="M40" i="52"/>
  <c r="L40" i="52"/>
  <c r="K40" i="52"/>
  <c r="J40" i="52"/>
  <c r="I40" i="52"/>
  <c r="H40" i="52"/>
  <c r="G40" i="52"/>
  <c r="F40" i="52"/>
  <c r="E40" i="52"/>
  <c r="D40" i="52"/>
  <c r="S39" i="52"/>
  <c r="R39" i="52"/>
  <c r="Q39" i="52"/>
  <c r="P39" i="52"/>
  <c r="O39" i="52"/>
  <c r="N39" i="52"/>
  <c r="M39" i="52"/>
  <c r="L39" i="52"/>
  <c r="K39" i="52"/>
  <c r="J39" i="52"/>
  <c r="I39" i="52"/>
  <c r="H39" i="52"/>
  <c r="G39" i="52"/>
  <c r="F39" i="52"/>
  <c r="E39" i="52"/>
  <c r="D39" i="52"/>
  <c r="S38" i="52"/>
  <c r="R38" i="52"/>
  <c r="Q38" i="52"/>
  <c r="P38" i="52"/>
  <c r="O38" i="52"/>
  <c r="N38" i="52"/>
  <c r="M38" i="52"/>
  <c r="L38" i="52"/>
  <c r="K38" i="52"/>
  <c r="J38" i="52"/>
  <c r="I38" i="52"/>
  <c r="H38" i="52"/>
  <c r="G38" i="52"/>
  <c r="F38" i="52"/>
  <c r="E38" i="52"/>
  <c r="D38" i="52"/>
  <c r="S37" i="52"/>
  <c r="R37" i="52"/>
  <c r="Q37" i="52"/>
  <c r="P37" i="52"/>
  <c r="O37" i="52"/>
  <c r="N37" i="52"/>
  <c r="M37" i="52"/>
  <c r="L37" i="52"/>
  <c r="K37" i="52"/>
  <c r="J37" i="52"/>
  <c r="I37" i="52"/>
  <c r="H37" i="52"/>
  <c r="G37" i="52"/>
  <c r="F37" i="52"/>
  <c r="E37" i="52"/>
  <c r="D37" i="52"/>
  <c r="S36" i="52"/>
  <c r="R36" i="52"/>
  <c r="Q36" i="52"/>
  <c r="P36" i="52"/>
  <c r="O36" i="52"/>
  <c r="N36" i="52"/>
  <c r="M36" i="52"/>
  <c r="L36" i="52"/>
  <c r="K36" i="52"/>
  <c r="J36" i="52"/>
  <c r="I36" i="52"/>
  <c r="H36" i="52"/>
  <c r="G36" i="52"/>
  <c r="F36" i="52"/>
  <c r="E36" i="52"/>
  <c r="D36" i="52"/>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O16" i="52"/>
  <c r="N16" i="52"/>
  <c r="M16" i="52"/>
  <c r="L16" i="52"/>
  <c r="K16" i="52"/>
  <c r="J16" i="52"/>
  <c r="I16" i="52"/>
  <c r="H16" i="52"/>
  <c r="G16" i="52"/>
  <c r="F16" i="52"/>
  <c r="E16" i="52"/>
  <c r="D16" i="52"/>
  <c r="S15" i="52"/>
  <c r="R15" i="52"/>
  <c r="Q15" i="52"/>
  <c r="P15" i="52"/>
  <c r="O15" i="52"/>
  <c r="N15" i="52"/>
  <c r="M15" i="52"/>
  <c r="L15" i="52"/>
  <c r="K15" i="52"/>
  <c r="J15" i="52"/>
  <c r="I15" i="52"/>
  <c r="H15" i="52"/>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N4" i="52"/>
  <c r="M4" i="52"/>
  <c r="L4" i="52"/>
  <c r="K4" i="52"/>
  <c r="J4" i="52"/>
  <c r="I4" i="52"/>
  <c r="H4" i="52"/>
  <c r="G4" i="52"/>
  <c r="F4" i="52"/>
  <c r="E4" i="52"/>
  <c r="D4" i="52"/>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C13" i="45"/>
  <c r="C12" i="45"/>
  <c r="C11" i="45"/>
  <c r="C10" i="45"/>
  <c r="C9" i="45"/>
  <c r="C8" i="45"/>
  <c r="C7" i="45"/>
  <c r="A38" i="3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L23" i="44"/>
  <c r="I7" i="56" s="1" a="1"/>
  <c r="I7" i="56" s="1"/>
  <c r="S7" i="56" s="1"/>
  <c r="AC7" i="56" s="1"/>
  <c r="L21" i="44"/>
  <c r="M21" i="44" s="1"/>
  <c r="U18" i="55" s="1" a="1"/>
  <c r="U18" i="55" s="1"/>
  <c r="L28" i="44"/>
  <c r="M28" i="44" s="1"/>
  <c r="N28" i="44" s="1"/>
  <c r="O28" i="44" s="1"/>
  <c r="Q13" i="57"/>
  <c r="N27" i="44"/>
  <c r="O27" i="44" s="1"/>
  <c r="P27" i="44" s="1"/>
  <c r="Q27" i="44" s="1"/>
  <c r="R27" i="44" s="1"/>
  <c r="S27" i="44" s="1"/>
  <c r="T27" i="44" s="1"/>
  <c r="U27" i="44" s="1"/>
  <c r="V27" i="44" s="1"/>
  <c r="W27" i="44" s="1"/>
  <c r="X27" i="44" s="1"/>
  <c r="Y27" i="44" s="1"/>
  <c r="Z27" i="44" s="1"/>
  <c r="AA27" i="44" s="1"/>
  <c r="AB27" i="44" s="1"/>
  <c r="AC27" i="44" s="1"/>
  <c r="AD27" i="44" s="1"/>
  <c r="AE27" i="44" s="1"/>
  <c r="T77" i="44"/>
  <c r="AF77" i="44"/>
  <c r="L17" i="44"/>
  <c r="M17" i="44" s="1"/>
  <c r="U12" i="55" s="1" a="1"/>
  <c r="U12" i="55" s="1"/>
  <c r="AH82"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L20" i="44"/>
  <c r="T17" i="55" s="1" a="1"/>
  <c r="T17" i="55" s="1"/>
  <c r="T103" i="55" s="1"/>
  <c r="K80" i="44"/>
  <c r="X80" i="44"/>
  <c r="Z80" i="44"/>
  <c r="P28" i="44"/>
  <c r="Q28" i="44" s="1"/>
  <c r="R28" i="44" s="1"/>
  <c r="S28" i="44" s="1"/>
  <c r="T28" i="44" s="1"/>
  <c r="U28" i="44" s="1"/>
  <c r="V28" i="44" s="1"/>
  <c r="W28" i="44" s="1"/>
  <c r="X28" i="44" s="1"/>
  <c r="Y28" i="44" s="1"/>
  <c r="Z28" i="44" s="1"/>
  <c r="AA28" i="44" s="1"/>
  <c r="AB28" i="44" s="1"/>
  <c r="AC28" i="44" s="1"/>
  <c r="AD28" i="44" s="1"/>
  <c r="AE28" i="44" s="1"/>
  <c r="AF28" i="44" s="1"/>
  <c r="AG28" i="44" s="1"/>
  <c r="AH28" i="44" s="1"/>
  <c r="AI28" i="44" s="1"/>
  <c r="AJ28" i="44" s="1"/>
  <c r="AC84" i="44"/>
  <c r="AC80" i="44"/>
  <c r="S30" i="55"/>
  <c r="N29" i="44"/>
  <c r="O29" i="44" s="1"/>
  <c r="P29" i="44" s="1"/>
  <c r="Q29" i="44" s="1"/>
  <c r="R29" i="44" s="1"/>
  <c r="S29" i="44" s="1"/>
  <c r="T29" i="44" s="1"/>
  <c r="U29" i="44" s="1"/>
  <c r="V29" i="44" s="1"/>
  <c r="W29" i="44" s="1"/>
  <c r="X29" i="44" s="1"/>
  <c r="Y29" i="44" s="1"/>
  <c r="Z29" i="44" s="1"/>
  <c r="AA29" i="44" s="1"/>
  <c r="AB29" i="44" s="1"/>
  <c r="AC29" i="44" s="1"/>
  <c r="AD29" i="44" s="1"/>
  <c r="AE29" i="44" s="1"/>
  <c r="AF29" i="44" s="1"/>
  <c r="AG29" i="44" s="1"/>
  <c r="AH29" i="44" s="1"/>
  <c r="AI29"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5" i="44"/>
  <c r="I9" i="56" s="1" a="1"/>
  <c r="I9" i="56" s="1"/>
  <c r="S9" i="56" s="1"/>
  <c r="AC9" i="56" s="1"/>
  <c r="L12" i="44"/>
  <c r="T22" i="55" s="1" a="1"/>
  <c r="T22" i="55" s="1"/>
  <c r="T114" i="55" s="1"/>
  <c r="L19" i="44"/>
  <c r="T11" i="55" s="1" a="1"/>
  <c r="T11" i="55" s="1"/>
  <c r="P14" i="57"/>
  <c r="P55" i="57" s="1"/>
  <c r="S80" i="44"/>
  <c r="AE80" i="44"/>
  <c r="Q42" i="55"/>
  <c r="H134" i="47" s="1"/>
  <c r="L24" i="44"/>
  <c r="T23" i="55" s="1" a="1"/>
  <c r="T23" i="55" s="1"/>
  <c r="Q43" i="55"/>
  <c r="H135" i="47" s="1"/>
  <c r="E76" i="60"/>
  <c r="Y76" i="60" s="1"/>
  <c r="V76" i="60" s="1"/>
  <c r="AB57" i="44"/>
  <c r="AC57" i="44" s="1"/>
  <c r="AD57"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O82" i="44"/>
  <c r="AA82" i="44"/>
  <c r="W84" i="44"/>
  <c r="L8" i="44"/>
  <c r="U10" i="58" s="1" a="1"/>
  <c r="U10" i="58" s="1"/>
  <c r="U14" i="58"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T14" i="58"/>
  <c r="L22" i="44"/>
  <c r="T25" i="55" s="1" a="1"/>
  <c r="T25" i="55" s="1"/>
  <c r="T125" i="55" s="1"/>
  <c r="L9" i="44"/>
  <c r="T15" i="55" s="1" a="1"/>
  <c r="T15" i="55" s="1"/>
  <c r="T91" i="55" s="1"/>
  <c r="Y82" i="44"/>
  <c r="V83" i="44"/>
  <c r="T84" i="44"/>
  <c r="AF84" i="44"/>
  <c r="M82" i="44"/>
  <c r="L16" i="44"/>
  <c r="I8" i="56" s="1" a="1"/>
  <c r="I8" i="56" s="1"/>
  <c r="S8" i="56" s="1"/>
  <c r="AC8" i="56" s="1"/>
  <c r="Z70" i="44"/>
  <c r="U80" i="44"/>
  <c r="AG80" i="44"/>
  <c r="Q31" i="55"/>
  <c r="H136" i="47" s="1"/>
  <c r="W80" i="44"/>
  <c r="O70" i="44"/>
  <c r="L79" i="44"/>
  <c r="L80" i="44" s="1"/>
  <c r="P49" i="57"/>
  <c r="AA70" i="44"/>
  <c r="AA71" i="44" s="1"/>
  <c r="N80" i="44"/>
  <c r="AA80" i="44"/>
  <c r="Q35" i="55"/>
  <c r="H130" i="47" s="1"/>
  <c r="Q37" i="55"/>
  <c r="R37" i="55" s="1"/>
  <c r="I129" i="47" s="1"/>
  <c r="N25" i="60"/>
  <c r="N17" i="60" s="1"/>
  <c r="L117" i="55"/>
  <c r="O15" i="57"/>
  <c r="O101" i="57" s="1"/>
  <c r="Y101" i="57" s="1"/>
  <c r="AA47" i="57"/>
  <c r="Q23" i="58"/>
  <c r="W30" i="58" s="1"/>
  <c r="W48" i="58" s="1"/>
  <c r="J70" i="44"/>
  <c r="V70" i="44"/>
  <c r="L7" i="44"/>
  <c r="M7" i="44" s="1"/>
  <c r="W82" i="44"/>
  <c r="AI73" i="44"/>
  <c r="AI82" i="44" s="1"/>
  <c r="T83" i="44"/>
  <c r="AF83" i="44"/>
  <c r="F23" i="60"/>
  <c r="Q14" i="57"/>
  <c r="AA14" i="57"/>
  <c r="AA55" i="57" s="1"/>
  <c r="Q32" i="55"/>
  <c r="R32" i="55" s="1"/>
  <c r="U76" i="60"/>
  <c r="R76" i="60"/>
  <c r="K24" i="35"/>
  <c r="H9" i="47" s="1"/>
  <c r="W75" i="60"/>
  <c r="S75" i="60"/>
  <c r="K26" i="35"/>
  <c r="H7" i="47" s="1"/>
  <c r="K23" i="35"/>
  <c r="H8" i="47" s="1"/>
  <c r="K25" i="35"/>
  <c r="H6" i="47" s="1"/>
  <c r="K22" i="35"/>
  <c r="H5" i="47" s="1"/>
  <c r="U70" i="44"/>
  <c r="U82" i="44"/>
  <c r="AG82" i="44"/>
  <c r="Q77" i="44"/>
  <c r="AC77" i="44"/>
  <c r="O78" i="44"/>
  <c r="AA78" i="44"/>
  <c r="W33" i="55"/>
  <c r="X33" i="55" s="1"/>
  <c r="U76" i="44"/>
  <c r="AG76" i="44"/>
  <c r="R77" i="44"/>
  <c r="AD77" i="44"/>
  <c r="P78" i="44"/>
  <c r="AB78" i="44"/>
  <c r="M35" i="60"/>
  <c r="M38" i="60" s="1"/>
  <c r="D34" i="57"/>
  <c r="AI47" i="44"/>
  <c r="V76" i="44"/>
  <c r="AH76" i="44"/>
  <c r="S83" i="44"/>
  <c r="AE83" i="44"/>
  <c r="Q78" i="44"/>
  <c r="AC78" i="44"/>
  <c r="O80" i="44"/>
  <c r="AB80" i="44"/>
  <c r="Q84" i="44"/>
  <c r="R78" i="44"/>
  <c r="AD78" i="44"/>
  <c r="R84" i="44"/>
  <c r="B27" i="57"/>
  <c r="B43" i="57" s="1"/>
  <c r="B44" i="57" s="1"/>
  <c r="AC44" i="57" s="1"/>
  <c r="M41" i="29"/>
  <c r="L56" i="29" s="1" a="1"/>
  <c r="L56" i="29" s="1"/>
  <c r="I108" i="47" s="1"/>
  <c r="M70" i="44"/>
  <c r="Y70" i="44"/>
  <c r="L82" i="44"/>
  <c r="L85" i="44" s="1"/>
  <c r="X82" i="44"/>
  <c r="U83" i="44"/>
  <c r="AG83" i="44"/>
  <c r="S84" i="44"/>
  <c r="AE84" i="44"/>
  <c r="R80" i="44"/>
  <c r="AD80" i="44"/>
  <c r="N70" i="44"/>
  <c r="Z47" i="57"/>
  <c r="N82" i="44"/>
  <c r="Z82" i="44"/>
  <c r="W83" i="44"/>
  <c r="U84" i="44"/>
  <c r="AG84" i="44"/>
  <c r="T80" i="44"/>
  <c r="AF80" i="44"/>
  <c r="AD84" i="44"/>
  <c r="V78" i="44"/>
  <c r="AH78" i="44"/>
  <c r="K86" i="44"/>
  <c r="Q38" i="55"/>
  <c r="H132" i="47" s="1"/>
  <c r="Q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AI49" i="44"/>
  <c r="AJ49" i="44" s="1"/>
  <c r="AK49" i="44" s="1"/>
  <c r="P76" i="44"/>
  <c r="AB76" i="44"/>
  <c r="W78" i="44"/>
  <c r="AI92" i="44"/>
  <c r="AQ14" i="55" s="1" a="1"/>
  <c r="AQ14" i="55" s="1"/>
  <c r="R70" i="44"/>
  <c r="AD70" i="44"/>
  <c r="AE57" i="44"/>
  <c r="AF57" i="44" s="1"/>
  <c r="AG57" i="44" s="1"/>
  <c r="AH57" i="44" s="1"/>
  <c r="AI57" i="44" s="1"/>
  <c r="AJ57" i="44" s="1"/>
  <c r="AK57" i="44" s="1"/>
  <c r="Q76" i="44"/>
  <c r="AC76" i="44"/>
  <c r="N83" i="44"/>
  <c r="Z83" i="44"/>
  <c r="Q39" i="55"/>
  <c r="H131" i="47" s="1"/>
  <c r="G43" i="56"/>
  <c r="Q43" i="56" s="1"/>
  <c r="S70" i="44"/>
  <c r="R76" i="44"/>
  <c r="AD76" i="44"/>
  <c r="O83" i="44"/>
  <c r="AA83" i="44"/>
  <c r="D4" i="56"/>
  <c r="K65" i="56" s="1"/>
  <c r="R48" i="56"/>
  <c r="AB48" i="56" s="1"/>
  <c r="T70" i="44"/>
  <c r="S82" i="44"/>
  <c r="AE82" i="44"/>
  <c r="P77" i="44"/>
  <c r="AB77" i="44"/>
  <c r="Y80" i="44"/>
  <c r="V82" i="44"/>
  <c r="G16" i="57"/>
  <c r="AJ83" i="47"/>
  <c r="O33" i="29" a="1"/>
  <c r="O33" i="29" s="1"/>
  <c r="O41" i="29" s="1"/>
  <c r="N56" i="29" s="1" a="1"/>
  <c r="N56" i="29" s="1"/>
  <c r="K108" i="47" s="1"/>
  <c r="O5" i="29" a="1"/>
  <c r="O5" i="29" s="1"/>
  <c r="AK69" i="44"/>
  <c r="AJ29" i="44"/>
  <c r="N77" i="44"/>
  <c r="N76" i="44"/>
  <c r="Z77" i="44"/>
  <c r="Z76" i="44"/>
  <c r="T24" i="55" a="1"/>
  <c r="T24" i="55" s="1"/>
  <c r="K70" i="44"/>
  <c r="W70" i="44"/>
  <c r="AK64" i="44"/>
  <c r="L70" i="44"/>
  <c r="X70" i="44"/>
  <c r="T12" i="55" a="1"/>
  <c r="T12" i="55" s="1"/>
  <c r="T13" i="55" a="1"/>
  <c r="T13" i="55" s="1"/>
  <c r="T19" i="55" a="1"/>
  <c r="T19" i="55" s="1"/>
  <c r="T21" i="55" a="1"/>
  <c r="T21" i="55" s="1"/>
  <c r="AI83" i="44"/>
  <c r="AI77" i="44"/>
  <c r="AJ74" i="44"/>
  <c r="U21" i="55" a="1"/>
  <c r="U21" i="55" s="1"/>
  <c r="AJ66" i="44"/>
  <c r="N21" i="44"/>
  <c r="P70" i="44"/>
  <c r="L77" i="44"/>
  <c r="X77" i="44"/>
  <c r="M77" i="44"/>
  <c r="Y77" i="44"/>
  <c r="AJ79" i="44"/>
  <c r="AI80" i="44"/>
  <c r="M18" i="44"/>
  <c r="L78" i="44"/>
  <c r="X78" i="44"/>
  <c r="AK68" i="44"/>
  <c r="M78" i="44"/>
  <c r="Y78" i="44"/>
  <c r="N78" i="44"/>
  <c r="Z78" i="44"/>
  <c r="S76" i="44"/>
  <c r="AE76" i="44"/>
  <c r="S77" i="44"/>
  <c r="AE77" i="44"/>
  <c r="S78" i="44"/>
  <c r="AE78" i="44"/>
  <c r="L83" i="44"/>
  <c r="X83" i="44"/>
  <c r="V84" i="44"/>
  <c r="AH84" i="44"/>
  <c r="T76" i="44"/>
  <c r="AF76" i="44"/>
  <c r="T78" i="44"/>
  <c r="AF78" i="44"/>
  <c r="M83" i="44"/>
  <c r="Y83" i="44"/>
  <c r="Q99" i="55"/>
  <c r="H17" i="47" s="1"/>
  <c r="Q93" i="55"/>
  <c r="H10" i="47" s="1"/>
  <c r="Q100" i="55"/>
  <c r="H12" i="47" s="1"/>
  <c r="Q94" i="55"/>
  <c r="H16" i="47" s="1"/>
  <c r="Q101" i="55"/>
  <c r="H19" i="47" s="1"/>
  <c r="Q95" i="55"/>
  <c r="H11" i="47" s="1"/>
  <c r="Q102" i="55"/>
  <c r="H20" i="47" s="1"/>
  <c r="Q96" i="55"/>
  <c r="H14" i="47" s="1"/>
  <c r="Q97" i="55"/>
  <c r="H18" i="47" s="1"/>
  <c r="Q98" i="55"/>
  <c r="H13" i="47" s="1"/>
  <c r="Q92" i="55"/>
  <c r="H15" i="47" s="1"/>
  <c r="U77" i="44"/>
  <c r="AG77" i="44"/>
  <c r="U78" i="44"/>
  <c r="AG78" i="44"/>
  <c r="P79" i="44"/>
  <c r="P82" i="44"/>
  <c r="AB82" i="44"/>
  <c r="L84" i="44"/>
  <c r="L87" i="44" s="1"/>
  <c r="X84" i="44"/>
  <c r="Q124" i="55"/>
  <c r="H30" i="47" s="1"/>
  <c r="Q118" i="55"/>
  <c r="H22" i="47" s="1"/>
  <c r="Q122" i="55"/>
  <c r="H28" i="47" s="1"/>
  <c r="Q117" i="55"/>
  <c r="H27" i="47" s="1"/>
  <c r="Q123" i="55"/>
  <c r="H23" i="47" s="1"/>
  <c r="Q120" i="55"/>
  <c r="H29" i="47" s="1"/>
  <c r="Q115" i="55"/>
  <c r="H26" i="47" s="1"/>
  <c r="Q121" i="55"/>
  <c r="H24" i="47" s="1"/>
  <c r="Q119" i="55"/>
  <c r="H25" i="47" s="1"/>
  <c r="Q116" i="55"/>
  <c r="H21" i="47" s="1"/>
  <c r="V77" i="44"/>
  <c r="AH77" i="44"/>
  <c r="Q82" i="44"/>
  <c r="AC82" i="44"/>
  <c r="M84" i="44"/>
  <c r="Y84" i="44"/>
  <c r="Q87" i="55"/>
  <c r="H38" i="47" s="1"/>
  <c r="Q81" i="55"/>
  <c r="H31" i="47" s="1"/>
  <c r="Q88" i="55"/>
  <c r="H33" i="47" s="1"/>
  <c r="Q82" i="55"/>
  <c r="H37" i="47" s="1"/>
  <c r="Q89" i="55"/>
  <c r="H41" i="47" s="1"/>
  <c r="Q83" i="55"/>
  <c r="H32" i="47" s="1"/>
  <c r="Q90" i="55"/>
  <c r="H40" i="47" s="1"/>
  <c r="Q84" i="55"/>
  <c r="H35" i="47" s="1"/>
  <c r="Q85" i="55"/>
  <c r="H39" i="47" s="1"/>
  <c r="Q86" i="55"/>
  <c r="H34" i="47" s="1"/>
  <c r="Q80" i="55"/>
  <c r="H36" i="47" s="1"/>
  <c r="L91" i="55"/>
  <c r="L34" i="55"/>
  <c r="M34" i="55" s="1"/>
  <c r="N34" i="55" s="1"/>
  <c r="O34" i="55" s="1"/>
  <c r="P34" i="55" s="1"/>
  <c r="Q34" i="55" s="1"/>
  <c r="R34" i="55" s="1"/>
  <c r="S34" i="55" s="1"/>
  <c r="K76" i="44"/>
  <c r="W76" i="44"/>
  <c r="W77" i="44"/>
  <c r="K78" i="44"/>
  <c r="R82" i="44"/>
  <c r="AD82" i="44"/>
  <c r="P83" i="44"/>
  <c r="AB83" i="44"/>
  <c r="N84" i="44"/>
  <c r="Z84" i="44"/>
  <c r="Q112" i="55"/>
  <c r="H44" i="47" s="1"/>
  <c r="Q106" i="55"/>
  <c r="H48" i="47" s="1"/>
  <c r="Q108" i="55"/>
  <c r="H46" i="47" s="1"/>
  <c r="Q104" i="55"/>
  <c r="H47" i="47" s="1"/>
  <c r="Q109" i="55"/>
  <c r="H50" i="47" s="1"/>
  <c r="Q107" i="55"/>
  <c r="H43" i="47" s="1"/>
  <c r="Q105" i="55"/>
  <c r="H42" i="47" s="1"/>
  <c r="Q113" i="55"/>
  <c r="H51" i="47" s="1"/>
  <c r="Q110" i="55"/>
  <c r="H45" i="47" s="1"/>
  <c r="Q111" i="55"/>
  <c r="H49" i="47" s="1"/>
  <c r="L125" i="55"/>
  <c r="L44" i="55"/>
  <c r="M44" i="55" s="1"/>
  <c r="N44" i="55" s="1"/>
  <c r="O44" i="55" s="1"/>
  <c r="P44" i="55" s="1"/>
  <c r="Q44" i="55" s="1"/>
  <c r="R44" i="55" s="1"/>
  <c r="S44" i="55" s="1"/>
  <c r="L76" i="44"/>
  <c r="X76" i="44"/>
  <c r="Q83" i="44"/>
  <c r="AC83" i="44"/>
  <c r="O84" i="44"/>
  <c r="AA84" i="44"/>
  <c r="AI93" i="44"/>
  <c r="J138" i="47"/>
  <c r="S37" i="55"/>
  <c r="M76" i="44"/>
  <c r="Y76" i="44"/>
  <c r="J80" i="44"/>
  <c r="V80" i="44"/>
  <c r="AH80" i="44"/>
  <c r="T82" i="44"/>
  <c r="AF82" i="44"/>
  <c r="R83" i="44"/>
  <c r="AD83" i="44"/>
  <c r="P84" i="44"/>
  <c r="AB84" i="44"/>
  <c r="L90" i="55"/>
  <c r="M90" i="55" s="1"/>
  <c r="L84" i="55"/>
  <c r="M84" i="55" s="1"/>
  <c r="L85" i="55"/>
  <c r="M85" i="55" s="1"/>
  <c r="L86" i="55"/>
  <c r="M86" i="55" s="1"/>
  <c r="L80" i="55"/>
  <c r="M80" i="55" s="1"/>
  <c r="L87" i="55"/>
  <c r="M87" i="55" s="1"/>
  <c r="L81" i="55"/>
  <c r="M81" i="55" s="1"/>
  <c r="L88" i="55"/>
  <c r="M88" i="55" s="1"/>
  <c r="L82" i="55"/>
  <c r="M82" i="55" s="1"/>
  <c r="L89" i="55"/>
  <c r="M89" i="55" s="1"/>
  <c r="L83" i="55"/>
  <c r="M83" i="55" s="1"/>
  <c r="R38" i="55"/>
  <c r="O76" i="44"/>
  <c r="AA76" i="44"/>
  <c r="AH83" i="44"/>
  <c r="M117" i="55"/>
  <c r="Q135" i="55"/>
  <c r="H61" i="47" s="1"/>
  <c r="Q129" i="55"/>
  <c r="H53" i="47" s="1"/>
  <c r="Q136" i="55"/>
  <c r="H133" i="47" s="1"/>
  <c r="Q130" i="55"/>
  <c r="H56" i="47" s="1"/>
  <c r="Q131" i="55"/>
  <c r="H60" i="47" s="1"/>
  <c r="Q132" i="55"/>
  <c r="H55" i="47" s="1"/>
  <c r="Q126" i="55"/>
  <c r="H57" i="47" s="1"/>
  <c r="Q133" i="55"/>
  <c r="H59" i="47" s="1"/>
  <c r="Q127" i="55"/>
  <c r="H52" i="47" s="1"/>
  <c r="Q134" i="55"/>
  <c r="H54" i="47" s="1"/>
  <c r="Q128" i="55"/>
  <c r="H58" i="47" s="1"/>
  <c r="L108" i="55"/>
  <c r="M108" i="55" s="1"/>
  <c r="L109" i="55"/>
  <c r="M109" i="55" s="1"/>
  <c r="L110" i="55"/>
  <c r="M110" i="55" s="1"/>
  <c r="L112" i="55"/>
  <c r="M112" i="55" s="1"/>
  <c r="L106" i="55"/>
  <c r="M106" i="55" s="1"/>
  <c r="L113" i="55"/>
  <c r="M113" i="55" s="1"/>
  <c r="L107" i="55"/>
  <c r="M107" i="55" s="1"/>
  <c r="L105" i="55"/>
  <c r="M105" i="55" s="1"/>
  <c r="L111" i="55"/>
  <c r="M111" i="55" s="1"/>
  <c r="L104" i="55"/>
  <c r="M104" i="55" s="1"/>
  <c r="Q40" i="55"/>
  <c r="E24" i="60"/>
  <c r="L36" i="60"/>
  <c r="M36" i="60"/>
  <c r="N36" i="60"/>
  <c r="L123" i="55"/>
  <c r="M123" i="55" s="1"/>
  <c r="O25" i="60"/>
  <c r="O17" i="60" s="1"/>
  <c r="O34" i="60"/>
  <c r="O37" i="60" s="1"/>
  <c r="F22" i="60"/>
  <c r="F24" i="60"/>
  <c r="O36" i="60"/>
  <c r="G21" i="57"/>
  <c r="F69" i="60"/>
  <c r="F66" i="60"/>
  <c r="F63" i="60"/>
  <c r="F64" i="60"/>
  <c r="F50" i="60"/>
  <c r="F68" i="60"/>
  <c r="F65" i="60"/>
  <c r="F67" i="60"/>
  <c r="E23" i="60"/>
  <c r="L35" i="60"/>
  <c r="L120" i="55"/>
  <c r="M120" i="55" s="1"/>
  <c r="L121" i="55"/>
  <c r="M121" i="55" s="1"/>
  <c r="L115" i="55"/>
  <c r="M115" i="55" s="1"/>
  <c r="L122" i="55"/>
  <c r="M122" i="55" s="1"/>
  <c r="L116" i="55"/>
  <c r="M116" i="55" s="1"/>
  <c r="L124" i="55"/>
  <c r="M124" i="55" s="1"/>
  <c r="L118" i="55"/>
  <c r="M118" i="55" s="1"/>
  <c r="L119" i="55"/>
  <c r="M119" i="55" s="1"/>
  <c r="L29" i="55"/>
  <c r="M29" i="55" s="1"/>
  <c r="N29" i="55" s="1"/>
  <c r="O29" i="55" s="1"/>
  <c r="P29" i="55" s="1"/>
  <c r="Q29" i="55" s="1"/>
  <c r="R29" i="55" s="1"/>
  <c r="S29" i="55" s="1"/>
  <c r="T29" i="55" s="1"/>
  <c r="L41" i="55"/>
  <c r="M41" i="55" s="1"/>
  <c r="N41" i="55" s="1"/>
  <c r="O41" i="55" s="1"/>
  <c r="P41" i="55" s="1"/>
  <c r="Q41" i="55" s="1"/>
  <c r="R41" i="55" s="1"/>
  <c r="S41" i="55" s="1"/>
  <c r="L25" i="60"/>
  <c r="L18" i="60" s="1"/>
  <c r="L34" i="60"/>
  <c r="L37" i="60" s="1"/>
  <c r="E22" i="60"/>
  <c r="E21" i="57"/>
  <c r="E67" i="60"/>
  <c r="L67" i="60" s="1" a="1"/>
  <c r="L67" i="60" s="1"/>
  <c r="E64" i="60"/>
  <c r="L64" i="60" s="1" a="1"/>
  <c r="L64" i="60" s="1"/>
  <c r="E66" i="60"/>
  <c r="L66" i="60" s="1" a="1"/>
  <c r="L66" i="60" s="1"/>
  <c r="E68" i="60"/>
  <c r="L68" i="60" s="1" a="1"/>
  <c r="L68" i="60" s="1"/>
  <c r="E63" i="60"/>
  <c r="L63" i="60" s="1" a="1"/>
  <c r="L63" i="60" s="1"/>
  <c r="E69" i="60"/>
  <c r="L69" i="60" s="1" a="1"/>
  <c r="L69" i="60" s="1"/>
  <c r="E65" i="60"/>
  <c r="L65" i="60" s="1" a="1"/>
  <c r="L65" i="60" s="1"/>
  <c r="F35" i="60"/>
  <c r="F38" i="60" s="1"/>
  <c r="AF30" i="58"/>
  <c r="M99" i="60"/>
  <c r="H70" i="47" s="1"/>
  <c r="M103" i="60"/>
  <c r="M101" i="60"/>
  <c r="H69" i="47" s="1"/>
  <c r="N38" i="60"/>
  <c r="O38" i="60"/>
  <c r="N18" i="60"/>
  <c r="AO30" i="58"/>
  <c r="R14" i="58"/>
  <c r="R75" i="60"/>
  <c r="Q75" i="60"/>
  <c r="X75" i="60"/>
  <c r="U75" i="60"/>
  <c r="T75" i="60"/>
  <c r="M105" i="60"/>
  <c r="H71" i="47" s="1"/>
  <c r="F74" i="58"/>
  <c r="BC30" i="58"/>
  <c r="F70" i="58"/>
  <c r="AK30" i="58"/>
  <c r="AT30" i="58"/>
  <c r="Q30" i="58"/>
  <c r="Q31" i="58" s="1"/>
  <c r="P75" i="60"/>
  <c r="T30" i="58"/>
  <c r="AV30" i="58"/>
  <c r="M34" i="60"/>
  <c r="M37" i="60" s="1"/>
  <c r="M100" i="60"/>
  <c r="H74" i="47" s="1"/>
  <c r="M25" i="60"/>
  <c r="M18" i="60" s="1"/>
  <c r="N34" i="60"/>
  <c r="V75" i="60"/>
  <c r="S14" i="58"/>
  <c r="Z75" i="60"/>
  <c r="AA75" i="60" s="1"/>
  <c r="AB75" i="60" s="1"/>
  <c r="AC75" i="60" s="1"/>
  <c r="AD75" i="60" s="1"/>
  <c r="AE75" i="60" s="1"/>
  <c r="AF75" i="60" s="1"/>
  <c r="AG75" i="60" s="1"/>
  <c r="AH75" i="60" s="1"/>
  <c r="AI75" i="60" s="1"/>
  <c r="AJ75" i="60" s="1"/>
  <c r="AK75" i="60" s="1"/>
  <c r="AL75" i="60" s="1"/>
  <c r="AM75" i="60" s="1"/>
  <c r="Q76" i="60"/>
  <c r="P76" i="60"/>
  <c r="X76" i="60"/>
  <c r="W76" i="60"/>
  <c r="T76" i="60"/>
  <c r="S76" i="60"/>
  <c r="M104" i="60"/>
  <c r="M76" i="58" a="1"/>
  <c r="M76" i="58" s="1"/>
  <c r="L169" i="58"/>
  <c r="M77" i="58" a="1"/>
  <c r="M77" i="58" s="1"/>
  <c r="L177" i="58"/>
  <c r="L236" i="58" s="1"/>
  <c r="L251" i="58" s="1"/>
  <c r="H124" i="58"/>
  <c r="E125" i="58" s="1"/>
  <c r="H134" i="58"/>
  <c r="H145" i="58"/>
  <c r="J91" i="58"/>
  <c r="H91" i="58"/>
  <c r="K91" i="58"/>
  <c r="I91" i="58"/>
  <c r="H77" i="58"/>
  <c r="K80" i="58"/>
  <c r="J80" i="58"/>
  <c r="I80" i="58"/>
  <c r="H80" i="58"/>
  <c r="H76" i="58"/>
  <c r="L175" i="58"/>
  <c r="L234" i="58" s="1"/>
  <c r="L249" i="58" s="1"/>
  <c r="L181" i="58"/>
  <c r="L179" i="58"/>
  <c r="L238" i="58" s="1"/>
  <c r="L253" i="58" s="1"/>
  <c r="L180" i="58"/>
  <c r="L239" i="58" s="1"/>
  <c r="L254" i="58" s="1"/>
  <c r="L174" i="58"/>
  <c r="L233" i="58" s="1"/>
  <c r="L248" i="58" s="1"/>
  <c r="L176" i="58"/>
  <c r="L235" i="58" s="1"/>
  <c r="L250" i="58" s="1"/>
  <c r="M87" i="58" a="1"/>
  <c r="M87" i="58" s="1"/>
  <c r="N87" i="58" s="1" a="1"/>
  <c r="N87" i="58" s="1"/>
  <c r="O87" i="58" s="1" a="1"/>
  <c r="O87" i="58" s="1"/>
  <c r="P87" i="58" s="1" a="1"/>
  <c r="P87" i="58" s="1"/>
  <c r="L178" i="58"/>
  <c r="L237" i="58" s="1"/>
  <c r="L252" i="58" s="1"/>
  <c r="L182" i="58"/>
  <c r="L241" i="58" s="1"/>
  <c r="L256" i="58" s="1"/>
  <c r="G48" i="56"/>
  <c r="Q7" i="56"/>
  <c r="N67" i="56"/>
  <c r="J69" i="56"/>
  <c r="Q8" i="56"/>
  <c r="AA8" i="56" s="1"/>
  <c r="G104" i="56"/>
  <c r="G60" i="56"/>
  <c r="K33" i="56"/>
  <c r="K34" i="56"/>
  <c r="Y54" i="57"/>
  <c r="O109" i="57"/>
  <c r="Y109" i="57" s="1"/>
  <c r="O56" i="57"/>
  <c r="P57" i="57"/>
  <c r="P50" i="57"/>
  <c r="Z49" i="57"/>
  <c r="Z57" i="57" s="1"/>
  <c r="Q107" i="57"/>
  <c r="Q54" i="57"/>
  <c r="Q93" i="57"/>
  <c r="AA93" i="57" s="1"/>
  <c r="AA54" i="57"/>
  <c r="E16" i="57"/>
  <c r="E28" i="57" s="1"/>
  <c r="O13" i="57"/>
  <c r="O14" i="57"/>
  <c r="Y14" i="57"/>
  <c r="Y55" i="57" s="1"/>
  <c r="P15" i="57"/>
  <c r="Z15" i="57"/>
  <c r="Z56" i="57" s="1"/>
  <c r="P107" i="57"/>
  <c r="P54" i="57"/>
  <c r="P93" i="57"/>
  <c r="Z93" i="57" s="1"/>
  <c r="P75" i="57"/>
  <c r="Q75" i="57"/>
  <c r="AA75" i="57" s="1"/>
  <c r="Z13" i="57"/>
  <c r="O47" i="57"/>
  <c r="Y47" i="57"/>
  <c r="C14" i="29"/>
  <c r="D178" i="57"/>
  <c r="D141" i="57"/>
  <c r="F16" i="57"/>
  <c r="B26" i="57"/>
  <c r="AC36" i="57"/>
  <c r="D4" i="57"/>
  <c r="B25" i="57"/>
  <c r="AC35" i="57"/>
  <c r="Q55" i="57"/>
  <c r="Q81" i="57"/>
  <c r="AA81" i="57" s="1"/>
  <c r="Q15" i="57"/>
  <c r="Q16" i="57" s="1"/>
  <c r="AA15" i="57"/>
  <c r="Q260" i="57" a="1"/>
  <c r="Q260" i="57" s="1"/>
  <c r="P260" i="57" a="1"/>
  <c r="P260" i="57" s="1"/>
  <c r="O260" i="57" s="1" a="1"/>
  <c r="O260" i="57" s="1"/>
  <c r="R260" i="57" a="1"/>
  <c r="R260" i="57" s="1"/>
  <c r="Q265" i="57" a="1"/>
  <c r="Q265" i="57" s="1"/>
  <c r="P265" i="57" a="1"/>
  <c r="P265" i="57" s="1"/>
  <c r="O265" i="57" s="1" a="1"/>
  <c r="O265" i="57" s="1"/>
  <c r="Q264" i="57" a="1"/>
  <c r="Q264" i="57" s="1"/>
  <c r="R264" i="57" a="1"/>
  <c r="R264" i="57" s="1"/>
  <c r="P264" i="57" a="1"/>
  <c r="P264" i="57" s="1"/>
  <c r="O264" i="57" s="1" a="1"/>
  <c r="O264" i="57" s="1"/>
  <c r="R262" i="57" a="1"/>
  <c r="R262" i="57" s="1"/>
  <c r="P262" i="57" a="1"/>
  <c r="P262" i="57" s="1"/>
  <c r="O262" i="57" s="1" a="1"/>
  <c r="O262" i="57" s="1"/>
  <c r="Q262" i="57" a="1"/>
  <c r="Q262" i="57" s="1"/>
  <c r="Q261" i="57" a="1"/>
  <c r="Q261" i="57" s="1"/>
  <c r="P261" i="57" a="1"/>
  <c r="P261" i="57" s="1"/>
  <c r="O261" i="57" s="1" a="1"/>
  <c r="O261" i="57" s="1"/>
  <c r="R261" i="57" a="1"/>
  <c r="R261" i="57" s="1"/>
  <c r="Q263" i="57" a="1"/>
  <c r="Q263" i="57" s="1"/>
  <c r="R263" i="57" a="1"/>
  <c r="R263" i="57" s="1"/>
  <c r="P263" i="57" a="1"/>
  <c r="P263" i="57" s="1"/>
  <c r="O263" i="57" s="1" a="1"/>
  <c r="O263" i="57" s="1"/>
  <c r="K21" i="29"/>
  <c r="K22" i="29"/>
  <c r="K23" i="29"/>
  <c r="K41" i="29"/>
  <c r="N41" i="29" s="1"/>
  <c r="M56" i="29" s="1" a="1"/>
  <c r="M56" i="29" s="1"/>
  <c r="J108" i="47" s="1"/>
  <c r="Y30" i="58" l="1"/>
  <c r="T18" i="55" a="1"/>
  <c r="T18" i="55" s="1"/>
  <c r="T34" i="55"/>
  <c r="U20" i="55" a="1"/>
  <c r="U20" i="55" s="1"/>
  <c r="O71" i="44"/>
  <c r="R30" i="58"/>
  <c r="U19" i="55" a="1"/>
  <c r="U19" i="55" s="1"/>
  <c r="AQ30" i="58"/>
  <c r="AI75" i="44"/>
  <c r="AJ73" i="44"/>
  <c r="T20" i="55" a="1"/>
  <c r="T20" i="55" s="1"/>
  <c r="N30" i="56"/>
  <c r="H71" i="56"/>
  <c r="M32" i="56"/>
  <c r="J33" i="56"/>
  <c r="AB70" i="44"/>
  <c r="M23" i="44"/>
  <c r="N23" i="44" s="1"/>
  <c r="O23" i="44" s="1"/>
  <c r="P23" i="44" s="1"/>
  <c r="Q23" i="44" s="1"/>
  <c r="R23" i="44" s="1"/>
  <c r="S23" i="44" s="1"/>
  <c r="T23" i="44" s="1"/>
  <c r="U23" i="44" s="1"/>
  <c r="J34" i="56"/>
  <c r="N64" i="56"/>
  <c r="L29" i="56"/>
  <c r="K19" i="56"/>
  <c r="M70" i="56"/>
  <c r="M16" i="56"/>
  <c r="I66" i="56"/>
  <c r="J15" i="56"/>
  <c r="J17" i="56"/>
  <c r="L71" i="56"/>
  <c r="K14" i="56"/>
  <c r="J68" i="56"/>
  <c r="M21" i="56"/>
  <c r="J20" i="56"/>
  <c r="I63" i="56"/>
  <c r="R127" i="55"/>
  <c r="I52" i="47" s="1"/>
  <c r="T30" i="55"/>
  <c r="M24" i="44"/>
  <c r="U24" i="55" s="1" a="1"/>
  <c r="U24" i="55" s="1"/>
  <c r="T41" i="55"/>
  <c r="R83" i="55"/>
  <c r="I32" i="47" s="1"/>
  <c r="AC43" i="57"/>
  <c r="P71" i="44"/>
  <c r="P81" i="57"/>
  <c r="K66" i="56"/>
  <c r="L34" i="56"/>
  <c r="N16" i="56"/>
  <c r="L68" i="56"/>
  <c r="L18" i="56"/>
  <c r="N22" i="56"/>
  <c r="P97" i="57"/>
  <c r="Z97" i="57" s="1"/>
  <c r="F97" i="57" s="1"/>
  <c r="L20" i="56"/>
  <c r="N71" i="56"/>
  <c r="L23" i="56"/>
  <c r="L66" i="56"/>
  <c r="K17" i="56"/>
  <c r="K69" i="56"/>
  <c r="M25" i="56"/>
  <c r="K23" i="56"/>
  <c r="O86" i="57"/>
  <c r="N17" i="56"/>
  <c r="J35" i="56"/>
  <c r="J29" i="56"/>
  <c r="M72" i="56"/>
  <c r="L35" i="56"/>
  <c r="J18" i="56"/>
  <c r="M31" i="56"/>
  <c r="N39" i="56"/>
  <c r="BL30" i="58"/>
  <c r="J66" i="56"/>
  <c r="J72" i="56"/>
  <c r="H69" i="56"/>
  <c r="H67" i="56"/>
  <c r="L17" i="56"/>
  <c r="K70" i="56"/>
  <c r="J23" i="56"/>
  <c r="M20" i="56"/>
  <c r="H70" i="56"/>
  <c r="K31" i="56"/>
  <c r="K64" i="56"/>
  <c r="N69" i="56"/>
  <c r="M29" i="56"/>
  <c r="N33" i="56"/>
  <c r="L72" i="56"/>
  <c r="M71" i="56"/>
  <c r="H63" i="56"/>
  <c r="L21" i="56"/>
  <c r="K63" i="56"/>
  <c r="H72" i="56"/>
  <c r="BD30" i="58"/>
  <c r="BD48" i="58" s="1"/>
  <c r="P24" i="58"/>
  <c r="O24" i="58" s="1"/>
  <c r="N24" i="58" s="1"/>
  <c r="M24" i="58" s="1"/>
  <c r="L24" i="58" s="1"/>
  <c r="F71" i="58"/>
  <c r="M22" i="44"/>
  <c r="U25" i="55" s="1" a="1"/>
  <c r="U25" i="55" s="1"/>
  <c r="U125" i="55" s="1"/>
  <c r="T36" i="55"/>
  <c r="L39" i="44"/>
  <c r="P45" i="60" s="1" a="1"/>
  <c r="P45" i="60" s="1"/>
  <c r="M34" i="56"/>
  <c r="I67" i="56"/>
  <c r="K35" i="56"/>
  <c r="K32" i="56"/>
  <c r="AC27" i="57"/>
  <c r="AF27" i="57" s="1"/>
  <c r="N28" i="56"/>
  <c r="N32" i="56"/>
  <c r="L63" i="56"/>
  <c r="K16" i="56"/>
  <c r="N66" i="56"/>
  <c r="M30" i="56"/>
  <c r="I64" i="56"/>
  <c r="N14" i="56"/>
  <c r="S176" i="56" a="1"/>
  <c r="S176" i="56" s="1"/>
  <c r="AA30" i="58"/>
  <c r="AH30" i="58"/>
  <c r="AH48" i="58" s="1"/>
  <c r="T44" i="55"/>
  <c r="P16" i="57"/>
  <c r="N25" i="56"/>
  <c r="N21" i="56"/>
  <c r="N23" i="56"/>
  <c r="L67" i="56"/>
  <c r="H64" i="56"/>
  <c r="M68" i="56"/>
  <c r="K15" i="56"/>
  <c r="J19" i="56"/>
  <c r="M20" i="44"/>
  <c r="U17" i="55" s="1" a="1"/>
  <c r="U17" i="55" s="1"/>
  <c r="U103" i="55" s="1"/>
  <c r="K56" i="29" a="1"/>
  <c r="K56" i="29" s="1"/>
  <c r="H108" i="47" s="1"/>
  <c r="M18" i="56"/>
  <c r="K67" i="56"/>
  <c r="N24" i="56"/>
  <c r="H68" i="56"/>
  <c r="K21" i="56"/>
  <c r="M13" i="56"/>
  <c r="J28" i="56"/>
  <c r="L33" i="56"/>
  <c r="AB30" i="58"/>
  <c r="M12" i="44"/>
  <c r="BB30" i="58"/>
  <c r="BB48" i="58" s="1"/>
  <c r="BQ30" i="58"/>
  <c r="BQ48" i="58" s="1"/>
  <c r="AX30" i="58"/>
  <c r="AX48" i="58" s="1"/>
  <c r="S30" i="58"/>
  <c r="BM30" i="58"/>
  <c r="BM48" i="58" s="1"/>
  <c r="R46" i="56"/>
  <c r="R77" i="56" s="1"/>
  <c r="R93" i="56" s="1"/>
  <c r="AB93" i="56" s="1"/>
  <c r="T176" i="56" a="1"/>
  <c r="T176" i="56" s="1"/>
  <c r="V30" i="58"/>
  <c r="BJ30" i="58"/>
  <c r="AE30" i="58"/>
  <c r="M19" i="44"/>
  <c r="Z76" i="60"/>
  <c r="AA76" i="60" s="1"/>
  <c r="AB76" i="60" s="1"/>
  <c r="AC76" i="60" s="1"/>
  <c r="AD76" i="60" s="1"/>
  <c r="AE76" i="60" s="1"/>
  <c r="AF76" i="60" s="1"/>
  <c r="AG76" i="60" s="1"/>
  <c r="AH76" i="60" s="1"/>
  <c r="AI76" i="60" s="1"/>
  <c r="AJ76" i="60" s="1"/>
  <c r="AK76" i="60" s="1"/>
  <c r="AL76" i="60" s="1"/>
  <c r="AM76" i="60" s="1"/>
  <c r="BF30" i="58"/>
  <c r="BF48" i="58" s="1"/>
  <c r="BO30" i="58"/>
  <c r="BO48" i="58" s="1"/>
  <c r="N17" i="44"/>
  <c r="BG30" i="58"/>
  <c r="BG48" i="58" s="1"/>
  <c r="BA30" i="58"/>
  <c r="AN30" i="58"/>
  <c r="M39" i="56"/>
  <c r="M33" i="56"/>
  <c r="J67" i="56"/>
  <c r="K13" i="56"/>
  <c r="J63" i="56"/>
  <c r="N35" i="56"/>
  <c r="L39" i="56"/>
  <c r="L40" i="56" s="1"/>
  <c r="M64" i="56"/>
  <c r="AC30" i="58"/>
  <c r="X30" i="58"/>
  <c r="X48" i="58" s="1"/>
  <c r="AU30" i="58"/>
  <c r="BR30" i="58"/>
  <c r="AZ30" i="58"/>
  <c r="AZ48" i="58" s="1"/>
  <c r="F72" i="58"/>
  <c r="BH30" i="58"/>
  <c r="BH48" i="58" s="1"/>
  <c r="P5" i="29" a="1"/>
  <c r="P5" i="29" s="1"/>
  <c r="BP30" i="58"/>
  <c r="BP48" i="58" s="1"/>
  <c r="R108" i="55"/>
  <c r="I46" i="47" s="1"/>
  <c r="AA16" i="57"/>
  <c r="U30" i="58"/>
  <c r="U48" i="58" s="1"/>
  <c r="AW30" i="58"/>
  <c r="AD30" i="58"/>
  <c r="AD48" i="58" s="1"/>
  <c r="F73" i="58"/>
  <c r="P33" i="29" a="1"/>
  <c r="P33" i="29" s="1"/>
  <c r="AI30" i="58"/>
  <c r="AI48" i="58" s="1"/>
  <c r="AG30" i="58"/>
  <c r="BI30" i="58"/>
  <c r="AP30" i="58"/>
  <c r="F75" i="58"/>
  <c r="AY30" i="58"/>
  <c r="AY48" i="58" s="1"/>
  <c r="U13" i="55" a="1"/>
  <c r="U13" i="55" s="1"/>
  <c r="R23" i="58"/>
  <c r="AS30" i="58"/>
  <c r="Z30" i="58"/>
  <c r="Z48" i="58" s="1"/>
  <c r="F78" i="58"/>
  <c r="R47" i="56"/>
  <c r="R87" i="56" s="1"/>
  <c r="N15" i="56"/>
  <c r="N29" i="56"/>
  <c r="K68" i="56"/>
  <c r="M17" i="56"/>
  <c r="K24" i="56"/>
  <c r="N18" i="56"/>
  <c r="G92" i="56"/>
  <c r="N111" i="56" s="1" a="1"/>
  <c r="N111" i="56" s="1"/>
  <c r="K137" i="56" s="1"/>
  <c r="H87" i="47" s="1"/>
  <c r="BE30" i="58"/>
  <c r="AL30" i="58"/>
  <c r="AL48" i="58" s="1"/>
  <c r="BN30" i="58"/>
  <c r="BN48" i="58" s="1"/>
  <c r="AJ30" i="58"/>
  <c r="N19" i="60"/>
  <c r="J65" i="56"/>
  <c r="H66" i="56"/>
  <c r="L32" i="56"/>
  <c r="L19" i="56"/>
  <c r="N19" i="56"/>
  <c r="K30" i="56"/>
  <c r="M67" i="56"/>
  <c r="I70" i="56"/>
  <c r="J70" i="56"/>
  <c r="L70" i="56"/>
  <c r="N70" i="56"/>
  <c r="R35" i="55"/>
  <c r="L22" i="35"/>
  <c r="I5" i="47" s="1"/>
  <c r="R82" i="55"/>
  <c r="I37" i="47" s="1"/>
  <c r="L31" i="56"/>
  <c r="M23" i="56"/>
  <c r="K71" i="56"/>
  <c r="L15" i="56"/>
  <c r="K72" i="56"/>
  <c r="J13" i="56"/>
  <c r="I69" i="56"/>
  <c r="L13" i="56"/>
  <c r="J14" i="56"/>
  <c r="L69" i="56"/>
  <c r="M63" i="56"/>
  <c r="M24" i="56"/>
  <c r="H43" i="56"/>
  <c r="R42" i="55"/>
  <c r="I134" i="47" s="1"/>
  <c r="AI76" i="44"/>
  <c r="Z71" i="44"/>
  <c r="J64" i="56"/>
  <c r="J16" i="56"/>
  <c r="K18" i="56"/>
  <c r="N68" i="56"/>
  <c r="M28" i="56"/>
  <c r="K20" i="56"/>
  <c r="J21" i="56"/>
  <c r="N20" i="56"/>
  <c r="J31" i="56"/>
  <c r="K25" i="56"/>
  <c r="L22" i="56"/>
  <c r="J71" i="56"/>
  <c r="M8" i="44"/>
  <c r="V10" i="58" s="1" a="1"/>
  <c r="V10" i="58" s="1"/>
  <c r="L40" i="44"/>
  <c r="N127" i="47"/>
  <c r="AR30" i="58"/>
  <c r="AR48" i="58" s="1"/>
  <c r="R31" i="55"/>
  <c r="X71" i="44"/>
  <c r="M15" i="44"/>
  <c r="N15" i="44" s="1"/>
  <c r="O15" i="44" s="1"/>
  <c r="P15" i="44" s="1"/>
  <c r="Q15" i="44" s="1"/>
  <c r="R15" i="44" s="1"/>
  <c r="S15" i="44" s="1"/>
  <c r="T15" i="44" s="1"/>
  <c r="U15" i="44" s="1"/>
  <c r="P108" i="57"/>
  <c r="Z108" i="57" s="1"/>
  <c r="H129" i="47"/>
  <c r="BK30" i="58"/>
  <c r="BK48" i="58" s="1"/>
  <c r="V71" i="44"/>
  <c r="O18" i="60"/>
  <c r="R112" i="55"/>
  <c r="I44" i="47" s="1"/>
  <c r="AM30" i="58"/>
  <c r="AM48" i="58" s="1"/>
  <c r="R122" i="55"/>
  <c r="I28" i="47" s="1"/>
  <c r="R123" i="55"/>
  <c r="I23" i="47" s="1"/>
  <c r="N6" i="35" a="1"/>
  <c r="N6" i="35" s="1"/>
  <c r="T71" i="44"/>
  <c r="O19" i="60"/>
  <c r="R80" i="55"/>
  <c r="I36" i="47" s="1"/>
  <c r="R95" i="55"/>
  <c r="I11" i="47" s="1"/>
  <c r="R94" i="55"/>
  <c r="I16" i="47" s="1"/>
  <c r="M85" i="44"/>
  <c r="N85" i="44" s="1"/>
  <c r="M92" i="60"/>
  <c r="M9" i="44"/>
  <c r="AI70" i="44"/>
  <c r="R120" i="55"/>
  <c r="I29" i="47" s="1"/>
  <c r="AJ92" i="44"/>
  <c r="AK92" i="44" s="1"/>
  <c r="M16" i="44"/>
  <c r="N16" i="44" s="1"/>
  <c r="O16" i="44" s="1"/>
  <c r="P16" i="44" s="1"/>
  <c r="Q16" i="44" s="1"/>
  <c r="R16" i="44" s="1"/>
  <c r="S16" i="44" s="1"/>
  <c r="T16" i="44" s="1"/>
  <c r="U16" i="44" s="1"/>
  <c r="V16" i="44" s="1"/>
  <c r="W16" i="44" s="1"/>
  <c r="X16" i="44" s="1"/>
  <c r="Y16" i="44" s="1"/>
  <c r="Z16" i="44" s="1"/>
  <c r="AA16" i="44" s="1"/>
  <c r="AB16" i="44" s="1"/>
  <c r="AC16" i="44" s="1"/>
  <c r="AD16" i="44" s="1"/>
  <c r="AE16" i="44" s="1"/>
  <c r="AF70" i="44"/>
  <c r="R86" i="55"/>
  <c r="I34" i="47" s="1"/>
  <c r="R118" i="55"/>
  <c r="I22" i="47" s="1"/>
  <c r="R88" i="55"/>
  <c r="I33" i="47" s="1"/>
  <c r="R102" i="55"/>
  <c r="I20" i="47" s="1"/>
  <c r="W71" i="44"/>
  <c r="AC70" i="44"/>
  <c r="AD71" i="44" s="1"/>
  <c r="Q71" i="44"/>
  <c r="R135" i="55"/>
  <c r="I61" i="47" s="1"/>
  <c r="R105" i="55"/>
  <c r="I42" i="47" s="1"/>
  <c r="R39" i="55"/>
  <c r="L86" i="44"/>
  <c r="M86" i="44" s="1"/>
  <c r="AB71" i="44"/>
  <c r="L71" i="44"/>
  <c r="R43" i="55"/>
  <c r="I135" i="47" s="1"/>
  <c r="M80" i="44"/>
  <c r="Y16" i="57"/>
  <c r="R90" i="55"/>
  <c r="AJ47" i="44"/>
  <c r="AJ70" i="44" s="1"/>
  <c r="R100" i="55"/>
  <c r="I12" i="47" s="1"/>
  <c r="L17" i="60"/>
  <c r="R116" i="55"/>
  <c r="M81" i="60"/>
  <c r="M89" i="60" s="1"/>
  <c r="M102" i="60" s="1"/>
  <c r="L19" i="60"/>
  <c r="R106" i="55"/>
  <c r="I48" i="47" s="1"/>
  <c r="R87" i="55"/>
  <c r="I38" i="47" s="1"/>
  <c r="R121" i="55"/>
  <c r="AG70" i="44"/>
  <c r="R133" i="55"/>
  <c r="I59" i="47" s="1"/>
  <c r="R124" i="55"/>
  <c r="R71" i="44"/>
  <c r="S71" i="44"/>
  <c r="R92" i="55"/>
  <c r="I15" i="47" s="1"/>
  <c r="R131" i="55"/>
  <c r="I60" i="47" s="1"/>
  <c r="L25" i="35"/>
  <c r="L26" i="35"/>
  <c r="R130" i="55"/>
  <c r="R104" i="55"/>
  <c r="I47" i="47" s="1"/>
  <c r="M71" i="44"/>
  <c r="S88" i="55"/>
  <c r="J33" i="47" s="1"/>
  <c r="R113" i="55"/>
  <c r="I51" i="47" s="1"/>
  <c r="R97" i="55"/>
  <c r="H137" i="47"/>
  <c r="U11" i="55" a="1"/>
  <c r="U11" i="55" s="1"/>
  <c r="U30" i="55" s="1"/>
  <c r="N19" i="44"/>
  <c r="U71" i="44"/>
  <c r="R84" i="55"/>
  <c r="M112" i="60"/>
  <c r="N112" i="60" s="1"/>
  <c r="R96" i="55"/>
  <c r="I14" i="47" s="1"/>
  <c r="L30" i="44"/>
  <c r="L31" i="44" s="1"/>
  <c r="N71" i="44"/>
  <c r="AH70" i="44"/>
  <c r="O6" i="35" a="1"/>
  <c r="O6" i="35" s="1"/>
  <c r="N7" i="44"/>
  <c r="M17" i="60"/>
  <c r="R81" i="55"/>
  <c r="Q97" i="57"/>
  <c r="AA97" i="57" s="1"/>
  <c r="Q108" i="57"/>
  <c r="AA108" i="57" s="1"/>
  <c r="G108" i="57" s="1"/>
  <c r="AC38" i="57"/>
  <c r="I38" i="57" s="1"/>
  <c r="AC37" i="57"/>
  <c r="AK29" i="44"/>
  <c r="L64" i="56"/>
  <c r="I68" i="56"/>
  <c r="H65" i="56"/>
  <c r="K29" i="56"/>
  <c r="J30" i="56"/>
  <c r="I71" i="56"/>
  <c r="N31" i="56"/>
  <c r="M66" i="56"/>
  <c r="N63" i="56"/>
  <c r="K39" i="56"/>
  <c r="K40" i="56" s="1"/>
  <c r="N72" i="56"/>
  <c r="M69" i="56"/>
  <c r="L24" i="56"/>
  <c r="I72" i="56"/>
  <c r="N13" i="56"/>
  <c r="M14" i="56"/>
  <c r="M15" i="56"/>
  <c r="L25" i="56"/>
  <c r="L16" i="56"/>
  <c r="M65" i="56"/>
  <c r="K28" i="56"/>
  <c r="E33" i="57"/>
  <c r="M19" i="56"/>
  <c r="M22" i="56"/>
  <c r="K22" i="56"/>
  <c r="L65" i="56"/>
  <c r="N65" i="56"/>
  <c r="N34" i="56"/>
  <c r="L30" i="56"/>
  <c r="M35" i="56"/>
  <c r="J22" i="56"/>
  <c r="L14" i="56"/>
  <c r="I65" i="56"/>
  <c r="L28" i="56"/>
  <c r="R132" i="55"/>
  <c r="I55" i="47" s="1"/>
  <c r="S123" i="55"/>
  <c r="J23" i="47" s="1"/>
  <c r="R119" i="55"/>
  <c r="I25" i="47" s="1"/>
  <c r="L23" i="35"/>
  <c r="AE70" i="44"/>
  <c r="AE71" i="44" s="1"/>
  <c r="L24" i="35"/>
  <c r="N100" i="60"/>
  <c r="O100" i="60" s="1"/>
  <c r="AC142" i="57"/>
  <c r="I142" i="57" s="1"/>
  <c r="AC144" i="57"/>
  <c r="I144" i="57" s="1"/>
  <c r="AD36" i="57"/>
  <c r="AG36" i="57" s="1"/>
  <c r="M36" i="57" s="1"/>
  <c r="AE36" i="57"/>
  <c r="AF36" i="57"/>
  <c r="Z107" i="57"/>
  <c r="AE44" i="57"/>
  <c r="AF44" i="57"/>
  <c r="AD44" i="57"/>
  <c r="AG44" i="57" s="1"/>
  <c r="F89" i="58"/>
  <c r="Q78" i="58" a="1"/>
  <c r="Q78" i="58" s="1"/>
  <c r="G78" i="58"/>
  <c r="H78" i="58" s="1"/>
  <c r="AD78" i="58" s="1" a="1"/>
  <c r="AD78" i="58" s="1"/>
  <c r="M78" i="58" a="1"/>
  <c r="M78" i="58" s="1"/>
  <c r="M170" i="58" s="1"/>
  <c r="N37" i="60"/>
  <c r="N103" i="60"/>
  <c r="H73" i="47"/>
  <c r="M68" i="60" a="1"/>
  <c r="M68" i="60" s="1"/>
  <c r="N68" i="60" s="1" a="1"/>
  <c r="N68" i="60" s="1"/>
  <c r="O68" i="60" a="1"/>
  <c r="O68" i="60" s="1"/>
  <c r="F34" i="60"/>
  <c r="F37" i="60" s="1"/>
  <c r="F25" i="60"/>
  <c r="F18" i="60" s="1"/>
  <c r="R129" i="55"/>
  <c r="L102" i="55"/>
  <c r="M102" i="55" s="1"/>
  <c r="L96" i="55"/>
  <c r="M96" i="55" s="1"/>
  <c r="L97" i="55"/>
  <c r="M97" i="55" s="1"/>
  <c r="L98" i="55"/>
  <c r="M98" i="55" s="1"/>
  <c r="L92" i="55"/>
  <c r="M92" i="55" s="1"/>
  <c r="L99" i="55"/>
  <c r="L93" i="55"/>
  <c r="L100" i="55"/>
  <c r="M100" i="55" s="1"/>
  <c r="L94" i="55"/>
  <c r="M94" i="55" s="1"/>
  <c r="L101" i="55"/>
  <c r="M101" i="55" s="1"/>
  <c r="L95" i="55"/>
  <c r="M95" i="55" s="1"/>
  <c r="Q80" i="44"/>
  <c r="P80" i="44"/>
  <c r="Y71" i="44"/>
  <c r="AD31" i="57"/>
  <c r="J31" i="57" s="1"/>
  <c r="AG31" i="57"/>
  <c r="AE31" i="57"/>
  <c r="AC31" i="57"/>
  <c r="I31" i="57" s="1"/>
  <c r="B42" i="57"/>
  <c r="AC42" i="57" s="1"/>
  <c r="I42" i="57" s="1"/>
  <c r="AF31" i="57"/>
  <c r="AC26" i="57"/>
  <c r="I26" i="57" s="1"/>
  <c r="AD77" i="58" a="1"/>
  <c r="AD77" i="58" s="1"/>
  <c r="I77" i="58"/>
  <c r="U77" i="58" a="1"/>
  <c r="U77" i="58" s="1"/>
  <c r="V77" i="58" s="1" a="1"/>
  <c r="V77" i="58" s="1"/>
  <c r="W77" i="58" s="1" a="1"/>
  <c r="W77" i="58" s="1"/>
  <c r="X77" i="58" s="1" a="1"/>
  <c r="X77" i="58" s="1"/>
  <c r="Y77" i="58" s="1" a="1"/>
  <c r="Y77" i="58" s="1"/>
  <c r="Z77" i="58" s="1" a="1"/>
  <c r="Z77" i="58" s="1"/>
  <c r="AA77" i="58" s="1" a="1"/>
  <c r="AA77" i="58" s="1"/>
  <c r="AB77" i="58" s="1" a="1"/>
  <c r="AB77" i="58" s="1"/>
  <c r="AC77" i="58" s="1" a="1"/>
  <c r="AC77" i="58" s="1"/>
  <c r="AV48" i="58"/>
  <c r="V48" i="58"/>
  <c r="P109" i="57"/>
  <c r="Z109" i="57" s="1"/>
  <c r="F109" i="57" s="1"/>
  <c r="P101" i="57"/>
  <c r="Z101" i="57" s="1"/>
  <c r="P56" i="57"/>
  <c r="P163" i="57" s="1"/>
  <c r="P86" i="57"/>
  <c r="T48" i="58"/>
  <c r="BJ48" i="58"/>
  <c r="S48" i="58"/>
  <c r="AJ48" i="58"/>
  <c r="F21" i="57"/>
  <c r="Q32" i="57" s="1"/>
  <c r="O64" i="60" a="1"/>
  <c r="O64" i="60" s="1"/>
  <c r="M64" i="60" a="1"/>
  <c r="M64" i="60" s="1"/>
  <c r="N64" i="60" s="1" a="1"/>
  <c r="N64" i="60" s="1"/>
  <c r="E36" i="60"/>
  <c r="R40" i="55"/>
  <c r="H128" i="47"/>
  <c r="R98" i="55"/>
  <c r="J8" i="56" a="1"/>
  <c r="J8" i="56" s="1"/>
  <c r="T8" i="56" s="1"/>
  <c r="AD8" i="56" s="1"/>
  <c r="Q33" i="29" a="1"/>
  <c r="Q33" i="29" s="1"/>
  <c r="Q5" i="29" a="1"/>
  <c r="Q5" i="29" s="1"/>
  <c r="AF27" i="44"/>
  <c r="AG27" i="44" s="1"/>
  <c r="I88" i="58"/>
  <c r="I87" i="58"/>
  <c r="AO48" i="58"/>
  <c r="G58" i="56"/>
  <c r="G54" i="56"/>
  <c r="G57" i="56"/>
  <c r="G53" i="56"/>
  <c r="H60" i="56"/>
  <c r="G51" i="56"/>
  <c r="G52" i="56"/>
  <c r="G55" i="56"/>
  <c r="G56" i="56"/>
  <c r="G59" i="56"/>
  <c r="O123" i="56" a="1"/>
  <c r="O123" i="56" s="1"/>
  <c r="L149" i="56" s="1"/>
  <c r="Q123" i="56" a="1"/>
  <c r="Q123" i="56" s="1"/>
  <c r="G88" i="56"/>
  <c r="Q88" i="56" s="1"/>
  <c r="AA88" i="56" s="1"/>
  <c r="H104" i="56"/>
  <c r="N123" i="56" a="1"/>
  <c r="N123" i="56" s="1"/>
  <c r="K149" i="56" s="1"/>
  <c r="M169" i="58"/>
  <c r="N77" i="58" a="1"/>
  <c r="N77" i="58" s="1"/>
  <c r="N105" i="60"/>
  <c r="AT48" i="58"/>
  <c r="F81" i="58"/>
  <c r="M70" i="58" a="1"/>
  <c r="M70" i="58" s="1"/>
  <c r="M162" i="58" s="1"/>
  <c r="G70" i="58"/>
  <c r="H70" i="58" s="1"/>
  <c r="Q70" i="58" a="1"/>
  <c r="Q70" i="58" s="1"/>
  <c r="AE48" i="58"/>
  <c r="M106" i="60"/>
  <c r="L38" i="60"/>
  <c r="M63" i="60" a="1"/>
  <c r="M63" i="60" s="1"/>
  <c r="N63" i="60" s="1" a="1"/>
  <c r="N63" i="60" s="1"/>
  <c r="O63" i="60" a="1"/>
  <c r="O63" i="60" s="1"/>
  <c r="R128" i="55"/>
  <c r="S39" i="55"/>
  <c r="I131" i="47"/>
  <c r="R111" i="55"/>
  <c r="L132" i="55"/>
  <c r="M132" i="55" s="1"/>
  <c r="L126" i="55"/>
  <c r="M126" i="55" s="1"/>
  <c r="L133" i="55"/>
  <c r="M133" i="55" s="1"/>
  <c r="L127" i="55"/>
  <c r="M127" i="55" s="1"/>
  <c r="L134" i="55"/>
  <c r="M134" i="55" s="1"/>
  <c r="L128" i="55"/>
  <c r="M128" i="55" s="1"/>
  <c r="L135" i="55"/>
  <c r="M135" i="55" s="1"/>
  <c r="L129" i="55"/>
  <c r="M129" i="55" s="1"/>
  <c r="L136" i="55"/>
  <c r="M136" i="55" s="1"/>
  <c r="L130" i="55"/>
  <c r="M130" i="55" s="1"/>
  <c r="L131" i="55"/>
  <c r="M131" i="55" s="1"/>
  <c r="AJ77" i="44"/>
  <c r="AJ75" i="44"/>
  <c r="AK74" i="44"/>
  <c r="AJ83" i="44"/>
  <c r="U22" i="55" a="1"/>
  <c r="U22" i="55" s="1"/>
  <c r="U114" i="55" s="1"/>
  <c r="N12" i="44"/>
  <c r="Z54" i="57"/>
  <c r="Z58" i="57" s="1"/>
  <c r="Z61" i="57" s="1"/>
  <c r="Z16" i="57"/>
  <c r="O55" i="57"/>
  <c r="O97" i="57"/>
  <c r="Y97" i="57" s="1"/>
  <c r="E97" i="57" s="1"/>
  <c r="O108" i="57"/>
  <c r="Y108" i="57" s="1"/>
  <c r="E108" i="57" s="1"/>
  <c r="O81" i="57"/>
  <c r="AA107" i="57"/>
  <c r="G107" i="57" s="1"/>
  <c r="O123" i="57"/>
  <c r="Y123" i="57" s="1"/>
  <c r="Y86" i="57"/>
  <c r="E86" i="57" s="1"/>
  <c r="O125" i="57"/>
  <c r="Y125" i="57" s="1"/>
  <c r="O124" i="57"/>
  <c r="Y124" i="57" s="1"/>
  <c r="L240" i="58"/>
  <c r="L255" i="58" s="1"/>
  <c r="AB48" i="58"/>
  <c r="AQ48" i="58"/>
  <c r="AF48" i="58"/>
  <c r="O66" i="60" a="1"/>
  <c r="O66" i="60" s="1"/>
  <c r="M66" i="60" a="1"/>
  <c r="M66" i="60" s="1"/>
  <c r="N66" i="60" s="1" a="1"/>
  <c r="N66" i="60" s="1"/>
  <c r="R134" i="55"/>
  <c r="S35" i="55"/>
  <c r="I130" i="47"/>
  <c r="K138" i="47"/>
  <c r="U10" i="55" a="1"/>
  <c r="U10" i="55" s="1"/>
  <c r="U79" i="55" s="1"/>
  <c r="N18" i="44"/>
  <c r="AI78" i="44"/>
  <c r="AI84" i="44"/>
  <c r="P41" i="29"/>
  <c r="AA48" i="58"/>
  <c r="BR48" i="58"/>
  <c r="AN48" i="58"/>
  <c r="BC48" i="58"/>
  <c r="O69" i="60" a="1"/>
  <c r="O69" i="60" s="1"/>
  <c r="M69" i="60" a="1"/>
  <c r="M69" i="60" s="1"/>
  <c r="N69" i="60" s="1" a="1"/>
  <c r="N69" i="60" s="1"/>
  <c r="T37" i="55"/>
  <c r="J129" i="47"/>
  <c r="V19" i="55" a="1"/>
  <c r="V19" i="55" s="1"/>
  <c r="V20" i="55" a="1"/>
  <c r="V20" i="55" s="1"/>
  <c r="V21" i="55" a="1"/>
  <c r="V21" i="55" s="1"/>
  <c r="V18" i="55" a="1"/>
  <c r="V18" i="55" s="1"/>
  <c r="O21" i="44"/>
  <c r="M40" i="56"/>
  <c r="AA7" i="56"/>
  <c r="Q60" i="56"/>
  <c r="Q101" i="57"/>
  <c r="AA101" i="57" s="1"/>
  <c r="G101" i="57" s="1"/>
  <c r="Q86" i="57"/>
  <c r="AA86" i="57" s="1"/>
  <c r="G86" i="57" s="1"/>
  <c r="AB47" i="56"/>
  <c r="AB87" i="56" s="1"/>
  <c r="AB46" i="56"/>
  <c r="AB77" i="56" s="1"/>
  <c r="Q48" i="56"/>
  <c r="G47" i="56"/>
  <c r="G46" i="56"/>
  <c r="H48" i="56"/>
  <c r="J87" i="58"/>
  <c r="J88" i="58"/>
  <c r="AC48" i="58"/>
  <c r="M84" i="60"/>
  <c r="N84" i="60" s="1"/>
  <c r="Q48" i="58"/>
  <c r="Q34" i="58"/>
  <c r="Y48" i="58"/>
  <c r="E34" i="60"/>
  <c r="E37" i="60" s="1"/>
  <c r="E25" i="60"/>
  <c r="E19" i="60" s="1"/>
  <c r="R115" i="55"/>
  <c r="V12" i="55" a="1"/>
  <c r="V12" i="55" s="1"/>
  <c r="V13" i="55" a="1"/>
  <c r="V13" i="55" s="1"/>
  <c r="O17" i="44"/>
  <c r="N8" i="44"/>
  <c r="AU48" i="58"/>
  <c r="O107" i="57"/>
  <c r="O93" i="57"/>
  <c r="Y93" i="57" s="1"/>
  <c r="E93" i="57" s="1"/>
  <c r="O75" i="57"/>
  <c r="O16" i="57"/>
  <c r="O54" i="57"/>
  <c r="P51" i="57"/>
  <c r="Z51" i="57" s="1"/>
  <c r="F51" i="57" s="1"/>
  <c r="Z50" i="57"/>
  <c r="F50" i="57" s="1"/>
  <c r="P110" i="57"/>
  <c r="Z110" i="57" s="1"/>
  <c r="F110" i="57" s="1"/>
  <c r="E35" i="60"/>
  <c r="E38" i="60" s="1"/>
  <c r="AE27" i="57"/>
  <c r="Y58" i="57"/>
  <c r="Y61" i="57" s="1"/>
  <c r="M111" i="60"/>
  <c r="AK48" i="58"/>
  <c r="BL48" i="58"/>
  <c r="F83" i="58"/>
  <c r="M72" i="58" a="1"/>
  <c r="M72" i="58" s="1"/>
  <c r="M164" i="58" s="1"/>
  <c r="G72" i="58"/>
  <c r="H72" i="58" s="1"/>
  <c r="Q72" i="58" a="1"/>
  <c r="Q72" i="58" s="1"/>
  <c r="M107" i="60"/>
  <c r="R126" i="55"/>
  <c r="S38" i="55"/>
  <c r="I132" i="47"/>
  <c r="R85" i="55"/>
  <c r="AQ16" i="55" a="1"/>
  <c r="AQ16" i="55" s="1"/>
  <c r="AJ93" i="44"/>
  <c r="AK93" i="44" s="1"/>
  <c r="R101" i="55"/>
  <c r="S32" i="55"/>
  <c r="I137" i="47"/>
  <c r="AK28" i="44"/>
  <c r="AK79" i="44"/>
  <c r="AJ80" i="44"/>
  <c r="N40" i="56"/>
  <c r="E147" i="58"/>
  <c r="H146" i="58"/>
  <c r="BA48" i="58"/>
  <c r="S127" i="55"/>
  <c r="M87" i="44"/>
  <c r="F85" i="58"/>
  <c r="M74" i="58" a="1"/>
  <c r="M74" i="58" s="1"/>
  <c r="M166" i="58" s="1"/>
  <c r="G74" i="58"/>
  <c r="H74" i="58" s="1"/>
  <c r="Q74" i="58" a="1"/>
  <c r="Q74" i="58" s="1"/>
  <c r="Z81" i="57"/>
  <c r="F81" i="57" s="1"/>
  <c r="O111" i="56" a="1"/>
  <c r="O111" i="56" s="1"/>
  <c r="L137" i="56" s="1"/>
  <c r="I87" i="47" s="1"/>
  <c r="G76" i="56"/>
  <c r="Q111" i="56" a="1"/>
  <c r="Q111" i="56" s="1"/>
  <c r="E136" i="58"/>
  <c r="H135" i="58"/>
  <c r="AG48" i="58"/>
  <c r="BI48" i="58"/>
  <c r="R48" i="58"/>
  <c r="F82" i="58"/>
  <c r="G71" i="58"/>
  <c r="H71" i="58" s="1"/>
  <c r="Q71" i="58" a="1"/>
  <c r="Q71" i="58" s="1"/>
  <c r="M71" i="58" a="1"/>
  <c r="M71" i="58" s="1"/>
  <c r="M163" i="58" s="1"/>
  <c r="M82" i="60"/>
  <c r="M108" i="60"/>
  <c r="M110" i="60"/>
  <c r="AJ82" i="44"/>
  <c r="AK73" i="44"/>
  <c r="AJ76" i="44"/>
  <c r="R110" i="55"/>
  <c r="AK66" i="44"/>
  <c r="AJ26" i="44"/>
  <c r="L23" i="29"/>
  <c r="K29" i="29"/>
  <c r="N104" i="60"/>
  <c r="H72" i="47"/>
  <c r="AW48" i="58"/>
  <c r="L22" i="29"/>
  <c r="M22" i="29" s="1"/>
  <c r="AE35" i="57"/>
  <c r="AF35" i="57"/>
  <c r="AD35" i="57"/>
  <c r="J35" i="57" s="1"/>
  <c r="P115" i="57"/>
  <c r="P116" i="57"/>
  <c r="P117" i="57"/>
  <c r="Z75" i="57"/>
  <c r="F75" i="57" s="1"/>
  <c r="L21" i="29"/>
  <c r="M21" i="29" s="1"/>
  <c r="B41" i="57"/>
  <c r="AC41" i="57" s="1"/>
  <c r="I41" i="57" s="1"/>
  <c r="AD30" i="57"/>
  <c r="J30" i="57" s="1"/>
  <c r="AC30" i="57"/>
  <c r="C15" i="29"/>
  <c r="U7" i="29"/>
  <c r="AA43" i="56"/>
  <c r="AA76" i="56" s="1"/>
  <c r="Q76" i="56"/>
  <c r="I76" i="58"/>
  <c r="AD76" i="58" a="1"/>
  <c r="AD76" i="58" s="1"/>
  <c r="U76" i="58" a="1"/>
  <c r="U76" i="58" s="1"/>
  <c r="V76" i="58" s="1" a="1"/>
  <c r="V76" i="58" s="1"/>
  <c r="W76" i="58" s="1" a="1"/>
  <c r="W76" i="58" s="1"/>
  <c r="X76" i="58" s="1" a="1"/>
  <c r="X76" i="58" s="1"/>
  <c r="Y76" i="58" s="1" a="1"/>
  <c r="Y76" i="58" s="1"/>
  <c r="Z76" i="58" s="1" a="1"/>
  <c r="Z76" i="58" s="1"/>
  <c r="AA76" i="58" s="1" a="1"/>
  <c r="AA76" i="58" s="1"/>
  <c r="AB76" i="58" s="1" a="1"/>
  <c r="AB76" i="58" s="1"/>
  <c r="AC76" i="58" s="1" a="1"/>
  <c r="AC76" i="58" s="1"/>
  <c r="K88" i="58"/>
  <c r="K87" i="58"/>
  <c r="E124" i="58"/>
  <c r="E123" i="58"/>
  <c r="E122" i="58"/>
  <c r="E121" i="58"/>
  <c r="E118" i="58"/>
  <c r="E117" i="58"/>
  <c r="E120" i="58"/>
  <c r="E119" i="58"/>
  <c r="E116" i="58"/>
  <c r="M168" i="58"/>
  <c r="N76" i="58" a="1"/>
  <c r="N76" i="58" s="1"/>
  <c r="AS48" i="58"/>
  <c r="F84" i="58"/>
  <c r="M73" i="58" a="1"/>
  <c r="M73" i="58" s="1"/>
  <c r="M165" i="58" s="1"/>
  <c r="G73" i="58"/>
  <c r="H73" i="58" s="1"/>
  <c r="Q73" i="58" a="1"/>
  <c r="Q73" i="58" s="1"/>
  <c r="N101" i="60"/>
  <c r="N99" i="60"/>
  <c r="O67" i="60" a="1"/>
  <c r="O67" i="60" s="1"/>
  <c r="M67" i="60" a="1"/>
  <c r="M67" i="60" s="1"/>
  <c r="N67" i="60" s="1" a="1"/>
  <c r="N67" i="60" s="1"/>
  <c r="F36" i="60"/>
  <c r="M83" i="60"/>
  <c r="M114" i="60"/>
  <c r="M118" i="60"/>
  <c r="M117" i="60"/>
  <c r="M115" i="60"/>
  <c r="M85" i="60"/>
  <c r="S80" i="55"/>
  <c r="S104" i="55"/>
  <c r="J47" i="47" s="1"/>
  <c r="R109" i="55"/>
  <c r="S96" i="55"/>
  <c r="M93" i="55"/>
  <c r="R93" i="55"/>
  <c r="G144" i="57"/>
  <c r="I143" i="57"/>
  <c r="L139" i="57"/>
  <c r="G134" i="57"/>
  <c r="G133" i="57"/>
  <c r="I132" i="57"/>
  <c r="J99" i="57"/>
  <c r="F144" i="57"/>
  <c r="H143" i="57"/>
  <c r="K139" i="57"/>
  <c r="F134" i="57"/>
  <c r="F133" i="57"/>
  <c r="H132" i="57"/>
  <c r="M103" i="57"/>
  <c r="F101" i="57"/>
  <c r="I99" i="57"/>
  <c r="K98" i="57"/>
  <c r="G143" i="57"/>
  <c r="J139" i="57"/>
  <c r="M138" i="57"/>
  <c r="G132" i="57"/>
  <c r="F108" i="57"/>
  <c r="L103" i="57"/>
  <c r="E101" i="57"/>
  <c r="H99" i="57"/>
  <c r="J98" i="57"/>
  <c r="H138" i="57"/>
  <c r="J137" i="57"/>
  <c r="L134" i="57"/>
  <c r="L133" i="57"/>
  <c r="E110" i="57"/>
  <c r="G103" i="57"/>
  <c r="I102" i="57"/>
  <c r="J95" i="57"/>
  <c r="K94" i="57"/>
  <c r="F143" i="57"/>
  <c r="M132" i="57"/>
  <c r="M139" i="57"/>
  <c r="K138" i="57"/>
  <c r="L137" i="57"/>
  <c r="M134" i="57"/>
  <c r="I133" i="57"/>
  <c r="F132" i="57"/>
  <c r="J103" i="57"/>
  <c r="K102" i="57"/>
  <c r="M98" i="57"/>
  <c r="K95" i="57"/>
  <c r="J94" i="57"/>
  <c r="F83" i="57"/>
  <c r="G79" i="57"/>
  <c r="I78" i="57"/>
  <c r="J70" i="57"/>
  <c r="L69" i="57"/>
  <c r="F67" i="57"/>
  <c r="F55" i="57"/>
  <c r="I139" i="57"/>
  <c r="J138" i="57"/>
  <c r="K137" i="57"/>
  <c r="K134" i="57"/>
  <c r="H133" i="57"/>
  <c r="I103" i="57"/>
  <c r="J102" i="57"/>
  <c r="M99" i="57"/>
  <c r="L98" i="57"/>
  <c r="I95" i="57"/>
  <c r="I94" i="57"/>
  <c r="H82" i="57"/>
  <c r="F79" i="57"/>
  <c r="H78" i="57"/>
  <c r="G75" i="57"/>
  <c r="I70" i="57"/>
  <c r="K69" i="57"/>
  <c r="E55" i="57"/>
  <c r="H139" i="57"/>
  <c r="I138" i="57"/>
  <c r="I137" i="57"/>
  <c r="J134" i="57"/>
  <c r="H103" i="57"/>
  <c r="H102" i="57"/>
  <c r="L99" i="57"/>
  <c r="I98" i="57"/>
  <c r="H95" i="57"/>
  <c r="H94" i="57"/>
  <c r="G93" i="57"/>
  <c r="F87" i="57"/>
  <c r="M84" i="57"/>
  <c r="G82" i="57"/>
  <c r="G78" i="57"/>
  <c r="H70" i="57"/>
  <c r="J69" i="57"/>
  <c r="M68" i="57"/>
  <c r="G139" i="57"/>
  <c r="G138" i="57"/>
  <c r="H137" i="57"/>
  <c r="I134" i="57"/>
  <c r="J143" i="57"/>
  <c r="I89" i="57"/>
  <c r="J88" i="57"/>
  <c r="H84" i="57"/>
  <c r="K83" i="57"/>
  <c r="L79" i="57"/>
  <c r="H68" i="57"/>
  <c r="K67" i="57"/>
  <c r="J64" i="57"/>
  <c r="L132" i="57"/>
  <c r="L94" i="57"/>
  <c r="K89" i="57"/>
  <c r="K88" i="57"/>
  <c r="I84" i="57"/>
  <c r="J83" i="57"/>
  <c r="F56" i="57"/>
  <c r="H144" i="57"/>
  <c r="M137" i="57"/>
  <c r="K132" i="57"/>
  <c r="G94" i="57"/>
  <c r="J89" i="57"/>
  <c r="I88" i="57"/>
  <c r="G84" i="57"/>
  <c r="I83" i="57"/>
  <c r="F73" i="57"/>
  <c r="Q73" i="57" s="1"/>
  <c r="M64" i="57"/>
  <c r="E56" i="57"/>
  <c r="G137" i="57"/>
  <c r="J132" i="57"/>
  <c r="E109" i="57"/>
  <c r="M95" i="57"/>
  <c r="F94" i="57"/>
  <c r="H89" i="57"/>
  <c r="H88" i="57"/>
  <c r="F84" i="57"/>
  <c r="H83" i="57"/>
  <c r="F82" i="57"/>
  <c r="M78" i="57"/>
  <c r="H77" i="57"/>
  <c r="L64" i="57"/>
  <c r="H142" i="57"/>
  <c r="F137" i="57"/>
  <c r="M133" i="57"/>
  <c r="M102" i="57"/>
  <c r="L95" i="57"/>
  <c r="G89" i="57"/>
  <c r="G88" i="57"/>
  <c r="G83" i="57"/>
  <c r="E82" i="57"/>
  <c r="E85" i="57" s="1"/>
  <c r="M79" i="57"/>
  <c r="L78" i="57"/>
  <c r="G77" i="57"/>
  <c r="M69" i="57"/>
  <c r="L68" i="57"/>
  <c r="K64" i="57"/>
  <c r="K103" i="57"/>
  <c r="G98" i="57"/>
  <c r="H79" i="57"/>
  <c r="G70" i="57"/>
  <c r="F69" i="57"/>
  <c r="G68" i="57"/>
  <c r="I67" i="57"/>
  <c r="F64" i="57"/>
  <c r="E57" i="57"/>
  <c r="M143" i="57"/>
  <c r="F103" i="57"/>
  <c r="F98" i="57"/>
  <c r="F70" i="57"/>
  <c r="F68" i="57"/>
  <c r="H67" i="57"/>
  <c r="F138" i="57"/>
  <c r="L102" i="57"/>
  <c r="F99" i="57"/>
  <c r="M94" i="57"/>
  <c r="M88" i="57"/>
  <c r="E87" i="57"/>
  <c r="E90" i="57" s="1"/>
  <c r="J79" i="57"/>
  <c r="K70" i="57"/>
  <c r="G64" i="57"/>
  <c r="F57" i="57"/>
  <c r="H43" i="57"/>
  <c r="F38" i="57"/>
  <c r="H37" i="57"/>
  <c r="G30" i="57"/>
  <c r="M25" i="57"/>
  <c r="F102" i="57"/>
  <c r="F88" i="57"/>
  <c r="F77" i="57"/>
  <c r="F48" i="57"/>
  <c r="Q48" i="57" s="1"/>
  <c r="AA48" i="57" s="1"/>
  <c r="G48" i="57" s="1"/>
  <c r="R48" i="57" s="1"/>
  <c r="AB48" i="57" s="1"/>
  <c r="F43" i="57"/>
  <c r="F37" i="57"/>
  <c r="I36" i="57"/>
  <c r="G26" i="57"/>
  <c r="K25" i="57"/>
  <c r="E77" i="57"/>
  <c r="E80" i="57" s="1"/>
  <c r="M67" i="57"/>
  <c r="G55" i="57"/>
  <c r="H36" i="57"/>
  <c r="F26" i="57"/>
  <c r="J25" i="57"/>
  <c r="F139" i="57"/>
  <c r="M89" i="57"/>
  <c r="L67" i="57"/>
  <c r="M44" i="57"/>
  <c r="H42" i="57"/>
  <c r="G36" i="57"/>
  <c r="I25" i="57"/>
  <c r="K143" i="57"/>
  <c r="J133" i="57"/>
  <c r="F107" i="57"/>
  <c r="H98" i="57"/>
  <c r="L84" i="57"/>
  <c r="I69" i="57"/>
  <c r="I68" i="57"/>
  <c r="G54" i="57"/>
  <c r="J44" i="57"/>
  <c r="G35" i="57"/>
  <c r="F32" i="57"/>
  <c r="F25" i="57"/>
  <c r="J84" i="57"/>
  <c r="J78" i="57"/>
  <c r="G69" i="57"/>
  <c r="E54" i="57"/>
  <c r="H44" i="57"/>
  <c r="G41" i="57"/>
  <c r="G31" i="57"/>
  <c r="H27" i="57"/>
  <c r="G99" i="57"/>
  <c r="F89" i="57"/>
  <c r="G42" i="57"/>
  <c r="I37" i="57"/>
  <c r="L25" i="57"/>
  <c r="K133" i="57"/>
  <c r="F78" i="57"/>
  <c r="M70" i="57"/>
  <c r="G25" i="57"/>
  <c r="G67" i="57"/>
  <c r="G43" i="57"/>
  <c r="I27" i="57"/>
  <c r="L143" i="57"/>
  <c r="K79" i="57"/>
  <c r="H38" i="57"/>
  <c r="I35" i="57"/>
  <c r="H30" i="57"/>
  <c r="G27" i="57"/>
  <c r="G102" i="57"/>
  <c r="L88" i="57"/>
  <c r="I79" i="57"/>
  <c r="K68" i="57"/>
  <c r="K44" i="57"/>
  <c r="G38" i="57"/>
  <c r="H35" i="57"/>
  <c r="F30" i="57"/>
  <c r="F27" i="57"/>
  <c r="F93" i="57"/>
  <c r="G81" i="57"/>
  <c r="J68" i="57"/>
  <c r="F49" i="57"/>
  <c r="I44" i="57"/>
  <c r="F35" i="57"/>
  <c r="G142" i="57"/>
  <c r="L138" i="57"/>
  <c r="F142" i="57"/>
  <c r="H134" i="57"/>
  <c r="G95" i="57"/>
  <c r="M83" i="57"/>
  <c r="H64" i="57"/>
  <c r="F44" i="57"/>
  <c r="H31" i="57"/>
  <c r="K99" i="57"/>
  <c r="L89" i="57"/>
  <c r="F41" i="57"/>
  <c r="L70" i="57"/>
  <c r="G37" i="57"/>
  <c r="F95" i="57"/>
  <c r="I64" i="57"/>
  <c r="F42" i="57"/>
  <c r="K84" i="57"/>
  <c r="K78" i="57"/>
  <c r="G44" i="57"/>
  <c r="F36" i="57"/>
  <c r="H69" i="57"/>
  <c r="H41" i="57"/>
  <c r="H25" i="57"/>
  <c r="I43" i="57"/>
  <c r="J67" i="57"/>
  <c r="L83" i="57"/>
  <c r="F31" i="57"/>
  <c r="H26" i="57"/>
  <c r="P161" i="57"/>
  <c r="P58" i="57"/>
  <c r="P59" i="57" s="1"/>
  <c r="P60" i="57" s="1"/>
  <c r="AF43" i="57"/>
  <c r="AE43" i="57"/>
  <c r="AD43" i="57"/>
  <c r="J43" i="57" s="1"/>
  <c r="U176" i="56" a="1"/>
  <c r="U176" i="56" s="1"/>
  <c r="H92" i="56"/>
  <c r="I43" i="56"/>
  <c r="R43" i="56"/>
  <c r="H87" i="58"/>
  <c r="H88" i="58"/>
  <c r="BE48" i="58"/>
  <c r="AP48" i="58"/>
  <c r="F86" i="58"/>
  <c r="G75" i="58"/>
  <c r="H75" i="58" s="1"/>
  <c r="Q75" i="58" a="1"/>
  <c r="Q75" i="58" s="1"/>
  <c r="M75" i="58" a="1"/>
  <c r="M75" i="58" s="1"/>
  <c r="M167" i="58" s="1"/>
  <c r="M65" i="60" a="1"/>
  <c r="M65" i="60" s="1"/>
  <c r="N65" i="60" s="1" a="1"/>
  <c r="N65" i="60" s="1"/>
  <c r="O65" i="60" a="1"/>
  <c r="O65" i="60" s="1"/>
  <c r="M19" i="60"/>
  <c r="R136" i="55"/>
  <c r="S86" i="55"/>
  <c r="R107" i="55"/>
  <c r="S102" i="55"/>
  <c r="M99" i="55"/>
  <c r="R89" i="55"/>
  <c r="R117" i="55"/>
  <c r="R99" i="55"/>
  <c r="AC71" i="44"/>
  <c r="Y33" i="55"/>
  <c r="O127" i="47"/>
  <c r="P119" i="57" l="1"/>
  <c r="Z119" i="57" s="1"/>
  <c r="J36" i="56"/>
  <c r="M36" i="56"/>
  <c r="N24" i="44"/>
  <c r="U23" i="55" a="1"/>
  <c r="U23" i="55" s="1"/>
  <c r="K31" i="57"/>
  <c r="F54" i="57"/>
  <c r="K36" i="57"/>
  <c r="P120" i="57"/>
  <c r="Z120" i="57" s="1"/>
  <c r="P121" i="57"/>
  <c r="Z121" i="57" s="1"/>
  <c r="U29" i="55"/>
  <c r="S131" i="55"/>
  <c r="V23" i="44"/>
  <c r="W23" i="44" s="1"/>
  <c r="X23" i="44" s="1"/>
  <c r="Y23" i="44" s="1"/>
  <c r="Z23" i="44" s="1"/>
  <c r="AA23" i="44" s="1"/>
  <c r="AB23" i="44" s="1"/>
  <c r="AC23" i="44" s="1"/>
  <c r="AD23" i="44" s="1"/>
  <c r="AE23" i="44" s="1"/>
  <c r="J7" i="56" a="1"/>
  <c r="J7" i="56" s="1"/>
  <c r="T7" i="56" s="1"/>
  <c r="S108" i="55"/>
  <c r="J46" i="47" s="1"/>
  <c r="N20" i="44"/>
  <c r="AD27" i="57"/>
  <c r="L27" i="57" s="1"/>
  <c r="S83" i="55"/>
  <c r="J32" i="47" s="1"/>
  <c r="L36" i="56"/>
  <c r="I78" i="58"/>
  <c r="K36" i="56"/>
  <c r="M39" i="44"/>
  <c r="Q45" i="60" s="1" a="1"/>
  <c r="Q45" i="60" s="1"/>
  <c r="AJ71" i="44"/>
  <c r="N22" i="44"/>
  <c r="M22" i="35"/>
  <c r="J5" i="47" s="1"/>
  <c r="U41" i="55"/>
  <c r="P162" i="57"/>
  <c r="Z162" i="57" s="1"/>
  <c r="F162" i="57" s="1"/>
  <c r="S122" i="55"/>
  <c r="S82" i="55"/>
  <c r="J37" i="47" s="1"/>
  <c r="E139" i="57"/>
  <c r="S106" i="55"/>
  <c r="J48" i="47" s="1"/>
  <c r="R24" i="58"/>
  <c r="S23" i="58"/>
  <c r="F19" i="60"/>
  <c r="S43" i="55"/>
  <c r="T43" i="55" s="1"/>
  <c r="AG71" i="44"/>
  <c r="R31" i="58"/>
  <c r="R34" i="58" s="1"/>
  <c r="R35" i="58" s="1"/>
  <c r="I70" i="58"/>
  <c r="AD70" i="58" a="1"/>
  <c r="AD70" i="58" s="1"/>
  <c r="AD73" i="58" a="1"/>
  <c r="AD73" i="58" s="1"/>
  <c r="I73" i="58"/>
  <c r="AD75" i="58" a="1"/>
  <c r="AD75" i="58" s="1"/>
  <c r="I75" i="58"/>
  <c r="I74" i="58"/>
  <c r="AD74" i="58" a="1"/>
  <c r="AD74" i="58" s="1"/>
  <c r="I72" i="58"/>
  <c r="AD72" i="58" a="1"/>
  <c r="AD72" i="58" s="1"/>
  <c r="G97" i="57"/>
  <c r="S133" i="55"/>
  <c r="J59" i="47" s="1"/>
  <c r="J100" i="57"/>
  <c r="S42" i="55"/>
  <c r="J134" i="47" s="1"/>
  <c r="H47" i="57"/>
  <c r="AB47" i="57" s="1"/>
  <c r="S94" i="55"/>
  <c r="AI71" i="44"/>
  <c r="S119" i="55"/>
  <c r="F58" i="57"/>
  <c r="M113" i="60"/>
  <c r="H78" i="47" s="1"/>
  <c r="S112" i="55"/>
  <c r="J44" i="47" s="1"/>
  <c r="V15" i="44"/>
  <c r="W15" i="44" s="1"/>
  <c r="X15" i="44" s="1"/>
  <c r="Y15" i="44" s="1"/>
  <c r="Z15" i="44" s="1"/>
  <c r="AA15" i="44" s="1"/>
  <c r="AB15" i="44" s="1"/>
  <c r="AC15" i="44" s="1"/>
  <c r="AD15" i="44" s="1"/>
  <c r="AE15" i="44" s="1"/>
  <c r="J9" i="56" a="1"/>
  <c r="J9" i="56" s="1"/>
  <c r="T9" i="56" s="1"/>
  <c r="AD9" i="56" s="1"/>
  <c r="S95" i="55"/>
  <c r="I136" i="47"/>
  <c r="S31" i="55"/>
  <c r="S92" i="55"/>
  <c r="T92" i="55" s="1"/>
  <c r="S118" i="55"/>
  <c r="J22" i="47" s="1"/>
  <c r="G104" i="57"/>
  <c r="S132" i="55"/>
  <c r="T132" i="55" s="1"/>
  <c r="K55" i="47" s="1"/>
  <c r="M104" i="57"/>
  <c r="AK47" i="44"/>
  <c r="AK70" i="44" s="1"/>
  <c r="AK71" i="44" s="1"/>
  <c r="L35" i="44"/>
  <c r="L38" i="44" s="1"/>
  <c r="H15" i="57" s="1" a="1"/>
  <c r="H15" i="57" s="1"/>
  <c r="N78" i="58" a="1"/>
  <c r="N78" i="58" s="1"/>
  <c r="N170" i="58" s="1"/>
  <c r="L33" i="44"/>
  <c r="L36" i="44" s="1"/>
  <c r="L34" i="44"/>
  <c r="L37" i="44" s="1"/>
  <c r="N36" i="56"/>
  <c r="S113" i="55"/>
  <c r="J51" i="47" s="1"/>
  <c r="H79" i="47"/>
  <c r="L35" i="57"/>
  <c r="L44" i="57"/>
  <c r="T123" i="55"/>
  <c r="K23" i="47" s="1"/>
  <c r="S135" i="55"/>
  <c r="J61" i="47" s="1"/>
  <c r="G96" i="57"/>
  <c r="S87" i="55"/>
  <c r="M30" i="44"/>
  <c r="M31" i="44" s="1"/>
  <c r="S120" i="55"/>
  <c r="J29" i="47" s="1"/>
  <c r="F100" i="57"/>
  <c r="L36" i="57"/>
  <c r="J36" i="57"/>
  <c r="AH71" i="44"/>
  <c r="S105" i="55"/>
  <c r="J42" i="47" s="1"/>
  <c r="U15" i="55" a="1"/>
  <c r="U15" i="55" s="1"/>
  <c r="N9" i="44"/>
  <c r="N30" i="44" s="1"/>
  <c r="E45" i="57"/>
  <c r="N81" i="60"/>
  <c r="J104" i="57"/>
  <c r="E18" i="60"/>
  <c r="T88" i="55"/>
  <c r="K33" i="47" s="1"/>
  <c r="J96" i="57"/>
  <c r="U44" i="55"/>
  <c r="L31" i="57"/>
  <c r="S100" i="55"/>
  <c r="I21" i="47"/>
  <c r="S116" i="55"/>
  <c r="H80" i="57"/>
  <c r="E17" i="60"/>
  <c r="T82" i="55"/>
  <c r="K37" i="47" s="1"/>
  <c r="M33" i="44"/>
  <c r="M36" i="44" s="1"/>
  <c r="Q22" i="60" s="1" a="1"/>
  <c r="Q22" i="60" s="1"/>
  <c r="Q34" i="60" s="1"/>
  <c r="Q37" i="60" s="1"/>
  <c r="N70" i="58" a="1"/>
  <c r="N70" i="58" s="1"/>
  <c r="N162" i="58" s="1"/>
  <c r="I30" i="47"/>
  <c r="S124" i="55"/>
  <c r="I40" i="47"/>
  <c r="S90" i="55"/>
  <c r="K100" i="57"/>
  <c r="I24" i="47"/>
  <c r="S121" i="55"/>
  <c r="I74" i="47"/>
  <c r="U36" i="55"/>
  <c r="AF37" i="57"/>
  <c r="AE37" i="57"/>
  <c r="AD37" i="57"/>
  <c r="M96" i="57"/>
  <c r="AD38" i="57"/>
  <c r="AF38" i="57"/>
  <c r="AE38" i="57"/>
  <c r="G28" i="57"/>
  <c r="L104" i="57"/>
  <c r="I100" i="57"/>
  <c r="E31" i="60"/>
  <c r="F28" i="57"/>
  <c r="L30" i="57"/>
  <c r="I104" i="57"/>
  <c r="F33" i="57"/>
  <c r="H104" i="57"/>
  <c r="N71" i="58" a="1"/>
  <c r="N71" i="58" s="1"/>
  <c r="N163" i="58" s="1"/>
  <c r="I9" i="47"/>
  <c r="M24" i="35"/>
  <c r="F45" i="57"/>
  <c r="G100" i="57"/>
  <c r="I96" i="57"/>
  <c r="AK26" i="44"/>
  <c r="I31" i="47"/>
  <c r="S81" i="55"/>
  <c r="I35" i="47"/>
  <c r="S84" i="55"/>
  <c r="I8" i="47"/>
  <c r="M23" i="35"/>
  <c r="O7" i="44"/>
  <c r="P6" i="35" a="1"/>
  <c r="P6" i="35" s="1"/>
  <c r="I56" i="47"/>
  <c r="S130" i="55"/>
  <c r="V11" i="55" a="1"/>
  <c r="V11" i="55" s="1"/>
  <c r="V30" i="55" s="1"/>
  <c r="O19" i="44"/>
  <c r="I7" i="47"/>
  <c r="M26" i="35"/>
  <c r="K30" i="57"/>
  <c r="N72" i="58" a="1"/>
  <c r="N72" i="58" s="1"/>
  <c r="I6" i="47"/>
  <c r="M25" i="35"/>
  <c r="N39" i="44"/>
  <c r="M40" i="44"/>
  <c r="I18" i="47"/>
  <c r="S97" i="55"/>
  <c r="AF71" i="44"/>
  <c r="AC48" i="57"/>
  <c r="H48" i="57"/>
  <c r="S48" i="57" s="1"/>
  <c r="I133" i="47"/>
  <c r="S136" i="55"/>
  <c r="AB43" i="56"/>
  <c r="R76" i="56"/>
  <c r="T43" i="56"/>
  <c r="X176" i="56" a="1"/>
  <c r="X176" i="56" s="1"/>
  <c r="V176" i="56" a="1"/>
  <c r="V176" i="56" s="1"/>
  <c r="S43" i="56"/>
  <c r="I92" i="56"/>
  <c r="J43" i="56"/>
  <c r="F80" i="57"/>
  <c r="F117" i="57" s="1"/>
  <c r="K104" i="57"/>
  <c r="K96" i="57"/>
  <c r="N117" i="60"/>
  <c r="H67" i="47"/>
  <c r="BN123" i="58"/>
  <c r="BB123" i="58"/>
  <c r="AP123" i="58"/>
  <c r="AD123" i="58"/>
  <c r="R123" i="58"/>
  <c r="BL123" i="58"/>
  <c r="AZ123" i="58"/>
  <c r="AN123" i="58"/>
  <c r="AB123" i="58"/>
  <c r="P123" i="58"/>
  <c r="BJ123" i="58"/>
  <c r="AX123" i="58"/>
  <c r="AL123" i="58"/>
  <c r="Z123" i="58"/>
  <c r="N123" i="58"/>
  <c r="BI123" i="58"/>
  <c r="AW123" i="58"/>
  <c r="AK123" i="58"/>
  <c r="Y123" i="58"/>
  <c r="M123" i="58"/>
  <c r="BH123" i="58"/>
  <c r="AV123" i="58"/>
  <c r="AJ123" i="58"/>
  <c r="X123" i="58"/>
  <c r="L123" i="58"/>
  <c r="BG123" i="58"/>
  <c r="AU123" i="58"/>
  <c r="AI123" i="58"/>
  <c r="W123" i="58"/>
  <c r="BQ123" i="58"/>
  <c r="BE123" i="58"/>
  <c r="AS123" i="58"/>
  <c r="AG123" i="58"/>
  <c r="U123" i="58"/>
  <c r="BO123" i="58"/>
  <c r="BC123" i="58"/>
  <c r="AQ123" i="58"/>
  <c r="AE123" i="58"/>
  <c r="S123" i="58"/>
  <c r="AT123" i="58"/>
  <c r="AR123" i="58"/>
  <c r="AO123" i="58"/>
  <c r="AM123" i="58"/>
  <c r="BR123" i="58"/>
  <c r="AH123" i="58"/>
  <c r="BP123" i="58"/>
  <c r="AF123" i="58"/>
  <c r="BM123" i="58"/>
  <c r="AC123" i="58"/>
  <c r="BK123" i="58"/>
  <c r="AA123" i="58"/>
  <c r="BF123" i="58"/>
  <c r="V123" i="58"/>
  <c r="BD123" i="58"/>
  <c r="T123" i="58"/>
  <c r="BA123" i="58"/>
  <c r="Q123" i="58"/>
  <c r="AY123" i="58"/>
  <c r="O123" i="58"/>
  <c r="I45" i="47"/>
  <c r="S110" i="55"/>
  <c r="T71" i="58" a="1"/>
  <c r="T71" i="58" s="1"/>
  <c r="R71" i="58" a="1"/>
  <c r="R71" i="58" s="1"/>
  <c r="S71" i="58" s="1" a="1"/>
  <c r="S71" i="58" s="1"/>
  <c r="N74" i="58" a="1"/>
  <c r="N74" i="58" s="1"/>
  <c r="J52" i="47"/>
  <c r="T127" i="55"/>
  <c r="K52" i="47" s="1"/>
  <c r="O162" i="57"/>
  <c r="O163" i="57"/>
  <c r="O161" i="57"/>
  <c r="O58" i="57"/>
  <c r="E58" i="57" s="1"/>
  <c r="I26" i="47"/>
  <c r="S115" i="55"/>
  <c r="V22" i="55" a="1"/>
  <c r="V22" i="55" s="1"/>
  <c r="V114" i="55" s="1"/>
  <c r="O12" i="44"/>
  <c r="I49" i="47"/>
  <c r="S111" i="55"/>
  <c r="H77" i="47"/>
  <c r="N106" i="60"/>
  <c r="T188" i="56"/>
  <c r="I99" i="47"/>
  <c r="H59" i="56"/>
  <c r="H55" i="56"/>
  <c r="H51" i="56"/>
  <c r="H57" i="56"/>
  <c r="H53" i="56"/>
  <c r="H56" i="56"/>
  <c r="H52" i="56"/>
  <c r="H54" i="56"/>
  <c r="H58" i="56"/>
  <c r="I60" i="56"/>
  <c r="S40" i="55"/>
  <c r="I128" i="47"/>
  <c r="J77" i="58"/>
  <c r="AE77" i="58" a="1"/>
  <c r="AE77" i="58" s="1"/>
  <c r="AF77" i="58" s="1" a="1"/>
  <c r="AF77" i="58" s="1"/>
  <c r="AG77" i="58" s="1" a="1"/>
  <c r="AG77" i="58" s="1"/>
  <c r="AH77" i="58" s="1" a="1"/>
  <c r="AH77" i="58" s="1"/>
  <c r="AI77" i="58" s="1" a="1"/>
  <c r="AI77" i="58" s="1"/>
  <c r="AJ77" i="58" s="1" a="1"/>
  <c r="AJ77" i="58" s="1"/>
  <c r="AK77" i="58" s="1" a="1"/>
  <c r="AK77" i="58" s="1"/>
  <c r="AL77" i="58" s="1" a="1"/>
  <c r="AL77" i="58" s="1"/>
  <c r="AM77" i="58" s="1" a="1"/>
  <c r="AM77" i="58" s="1"/>
  <c r="AN77" i="58" a="1"/>
  <c r="AN77" i="58" s="1"/>
  <c r="M89" i="58" a="1"/>
  <c r="M89" i="58" s="1"/>
  <c r="N89" i="58" s="1" a="1"/>
  <c r="N89" i="58" s="1"/>
  <c r="O89" i="58" s="1" a="1"/>
  <c r="O89" i="58" s="1"/>
  <c r="P89" i="58" s="1" a="1"/>
  <c r="P89" i="58" s="1"/>
  <c r="F100" i="58"/>
  <c r="G89" i="58"/>
  <c r="H89" i="58" s="1"/>
  <c r="Q89" i="58" a="1"/>
  <c r="Q89" i="58" s="1"/>
  <c r="P111" i="57"/>
  <c r="AD142" i="57"/>
  <c r="AF142" i="57"/>
  <c r="AE142" i="57"/>
  <c r="AK82" i="44"/>
  <c r="AK76" i="44"/>
  <c r="AK80" i="44"/>
  <c r="S184" i="56" a="1"/>
  <c r="S184" i="56" s="1"/>
  <c r="T184" i="56" a="1"/>
  <c r="T184" i="56" s="1"/>
  <c r="G100" i="56"/>
  <c r="Z33" i="55"/>
  <c r="P127" i="47"/>
  <c r="J34" i="47"/>
  <c r="T86" i="55"/>
  <c r="K34" i="47" s="1"/>
  <c r="F97" i="58"/>
  <c r="Q86" i="58" a="1"/>
  <c r="Q86" i="58" s="1"/>
  <c r="G86" i="58"/>
  <c r="M86" i="58" a="1"/>
  <c r="M86" i="58" s="1"/>
  <c r="N86" i="58" s="1" a="1"/>
  <c r="N86" i="58" s="1"/>
  <c r="O86" i="58" s="1" a="1"/>
  <c r="O86" i="58" s="1"/>
  <c r="P86" i="58" s="1" a="1"/>
  <c r="P86" i="58" s="1"/>
  <c r="H86" i="58"/>
  <c r="J55" i="47"/>
  <c r="R111" i="56" a="1"/>
  <c r="R111" i="56" s="1"/>
  <c r="P111" i="56" a="1"/>
  <c r="P111" i="56" s="1"/>
  <c r="M137" i="56" s="1"/>
  <c r="J87" i="47" s="1"/>
  <c r="N118" i="60"/>
  <c r="H66" i="47"/>
  <c r="BK124" i="58"/>
  <c r="AY124" i="58"/>
  <c r="AM124" i="58"/>
  <c r="AA124" i="58"/>
  <c r="O124" i="58"/>
  <c r="BI124" i="58"/>
  <c r="AW124" i="58"/>
  <c r="AK124" i="58"/>
  <c r="Y124" i="58"/>
  <c r="M124" i="58"/>
  <c r="BG124" i="58"/>
  <c r="AU124" i="58"/>
  <c r="AI124" i="58"/>
  <c r="W124" i="58"/>
  <c r="BR124" i="58"/>
  <c r="BF124" i="58"/>
  <c r="AT124" i="58"/>
  <c r="AH124" i="58"/>
  <c r="V124" i="58"/>
  <c r="BQ124" i="58"/>
  <c r="BE124" i="58"/>
  <c r="AS124" i="58"/>
  <c r="AG124" i="58"/>
  <c r="U124" i="58"/>
  <c r="BP124" i="58"/>
  <c r="BD124" i="58"/>
  <c r="AR124" i="58"/>
  <c r="AF124" i="58"/>
  <c r="T124" i="58"/>
  <c r="BN124" i="58"/>
  <c r="BB124" i="58"/>
  <c r="AP124" i="58"/>
  <c r="AD124" i="58"/>
  <c r="R124" i="58"/>
  <c r="BL124" i="58"/>
  <c r="AZ124" i="58"/>
  <c r="AN124" i="58"/>
  <c r="AB124" i="58"/>
  <c r="P124" i="58"/>
  <c r="AX124" i="58"/>
  <c r="N124" i="58"/>
  <c r="AV124" i="58"/>
  <c r="L124" i="58"/>
  <c r="AQ124" i="58"/>
  <c r="AO124" i="58"/>
  <c r="AL124" i="58"/>
  <c r="AJ124" i="58"/>
  <c r="BO124" i="58"/>
  <c r="AE124" i="58"/>
  <c r="BM124" i="58"/>
  <c r="AC124" i="58"/>
  <c r="BJ124" i="58"/>
  <c r="Z124" i="58"/>
  <c r="BH124" i="58"/>
  <c r="X124" i="58"/>
  <c r="BC124" i="58"/>
  <c r="S124" i="58"/>
  <c r="BA124" i="58"/>
  <c r="Q124" i="58"/>
  <c r="M23" i="29"/>
  <c r="L29" i="29"/>
  <c r="J55" i="29" s="1"/>
  <c r="G86" i="47" s="1"/>
  <c r="F93" i="58"/>
  <c r="G82" i="58"/>
  <c r="H82" i="58" s="1"/>
  <c r="M82" i="58" a="1"/>
  <c r="M82" i="58" s="1"/>
  <c r="N82" i="58" s="1" a="1"/>
  <c r="N82" i="58" s="1"/>
  <c r="O82" i="58" s="1" a="1"/>
  <c r="O82" i="58" s="1"/>
  <c r="P82" i="58" s="1" a="1"/>
  <c r="P82" i="58" s="1"/>
  <c r="Q82" i="58" a="1"/>
  <c r="Q82" i="58" s="1"/>
  <c r="J28" i="47"/>
  <c r="T122" i="55"/>
  <c r="K28" i="47" s="1"/>
  <c r="T180" i="56" a="1"/>
  <c r="T180" i="56" s="1"/>
  <c r="S180" i="56" a="1"/>
  <c r="S180" i="56" s="1"/>
  <c r="G96" i="56"/>
  <c r="N83" i="60"/>
  <c r="M91" i="60"/>
  <c r="M116" i="60" s="1"/>
  <c r="H62" i="47" s="1"/>
  <c r="T73" i="58" a="1"/>
  <c r="T73" i="58" s="1"/>
  <c r="U73" i="58" s="1" a="1"/>
  <c r="U73" i="58" s="1"/>
  <c r="V73" i="58" s="1" a="1"/>
  <c r="V73" i="58" s="1"/>
  <c r="W73" i="58" s="1" a="1"/>
  <c r="W73" i="58" s="1"/>
  <c r="X73" i="58" s="1" a="1"/>
  <c r="X73" i="58" s="1"/>
  <c r="Y73" i="58" s="1" a="1"/>
  <c r="Y73" i="58" s="1"/>
  <c r="Z73" i="58" s="1" a="1"/>
  <c r="Z73" i="58" s="1"/>
  <c r="AA73" i="58" s="1" a="1"/>
  <c r="AA73" i="58" s="1"/>
  <c r="AB73" i="58" s="1" a="1"/>
  <c r="AB73" i="58" s="1"/>
  <c r="AC73" i="58" s="1" a="1"/>
  <c r="AC73" i="58" s="1"/>
  <c r="R73" i="58" a="1"/>
  <c r="R73" i="58" s="1"/>
  <c r="S73" i="58" s="1" a="1"/>
  <c r="S73" i="58" s="1"/>
  <c r="N168" i="58"/>
  <c r="O76" i="58" a="1"/>
  <c r="O76" i="58" s="1"/>
  <c r="J76" i="58"/>
  <c r="AE76" i="58" a="1"/>
  <c r="AE76" i="58" s="1"/>
  <c r="AF76" i="58" s="1" a="1"/>
  <c r="AF76" i="58" s="1"/>
  <c r="AG76" i="58" s="1" a="1"/>
  <c r="AG76" i="58" s="1"/>
  <c r="AH76" i="58" s="1" a="1"/>
  <c r="AH76" i="58" s="1"/>
  <c r="AI76" i="58" s="1" a="1"/>
  <c r="AI76" i="58" s="1"/>
  <c r="AJ76" i="58" s="1" a="1"/>
  <c r="AJ76" i="58" s="1"/>
  <c r="AK76" i="58" s="1" a="1"/>
  <c r="AK76" i="58" s="1"/>
  <c r="AL76" i="58" s="1" a="1"/>
  <c r="AL76" i="58" s="1"/>
  <c r="AM76" i="58" s="1" a="1"/>
  <c r="AM76" i="58" s="1"/>
  <c r="AN76" i="58" a="1"/>
  <c r="AN76" i="58" s="1"/>
  <c r="E133" i="58"/>
  <c r="E132" i="58"/>
  <c r="E131" i="58"/>
  <c r="E130" i="58"/>
  <c r="E135" i="58"/>
  <c r="E129" i="58"/>
  <c r="E128" i="58"/>
  <c r="E127" i="58"/>
  <c r="E134" i="58"/>
  <c r="W10" i="58" a="1"/>
  <c r="W10" i="58" s="1"/>
  <c r="O8" i="44"/>
  <c r="T42" i="55"/>
  <c r="W56" i="29" a="1"/>
  <c r="W56" i="29" s="1"/>
  <c r="T108" i="47" s="1"/>
  <c r="O56" i="29" a="1"/>
  <c r="O56" i="29" s="1"/>
  <c r="L108" i="47" s="1"/>
  <c r="T39" i="55"/>
  <c r="J131" i="47"/>
  <c r="N169" i="58"/>
  <c r="O77" i="58" a="1"/>
  <c r="O77" i="58" s="1"/>
  <c r="S181" i="56" a="1"/>
  <c r="S181" i="56" s="1"/>
  <c r="T181" i="56" a="1"/>
  <c r="T181" i="56" s="1"/>
  <c r="G97" i="56"/>
  <c r="AN88" i="58" a="1"/>
  <c r="AN88" i="58" s="1"/>
  <c r="AO88" i="58" s="1" a="1"/>
  <c r="AO88" i="58" s="1"/>
  <c r="AP88" i="58" s="1"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K8" i="56" a="1"/>
  <c r="K8" i="56" s="1"/>
  <c r="U8" i="56" s="1"/>
  <c r="AE8" i="56" s="1"/>
  <c r="AF16" i="44"/>
  <c r="AG16" i="44" s="1"/>
  <c r="I27" i="47"/>
  <c r="S117" i="55"/>
  <c r="AE73" i="58"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J73" i="58"/>
  <c r="AN73" i="58" a="1"/>
  <c r="AN73" i="58" s="1"/>
  <c r="I10" i="47"/>
  <c r="S93" i="55"/>
  <c r="I41" i="47"/>
  <c r="S89" i="55"/>
  <c r="Q92" i="56"/>
  <c r="AA92" i="56" s="1"/>
  <c r="Z117" i="57"/>
  <c r="N110" i="60"/>
  <c r="H81" i="47"/>
  <c r="T74" i="58" a="1"/>
  <c r="T74" i="58" s="1"/>
  <c r="R74" i="58" a="1"/>
  <c r="R74" i="58" s="1"/>
  <c r="S74" i="58" s="1" a="1"/>
  <c r="S74" i="58" s="1"/>
  <c r="Y107" i="57"/>
  <c r="E107" i="57" s="1"/>
  <c r="O111" i="57"/>
  <c r="V14" i="58"/>
  <c r="I58" i="47"/>
  <c r="S128" i="55"/>
  <c r="T185" i="56" a="1"/>
  <c r="T185" i="56" s="1"/>
  <c r="S185" i="56" a="1"/>
  <c r="S185" i="56" s="1"/>
  <c r="G101" i="56"/>
  <c r="I13" i="47"/>
  <c r="S98" i="55"/>
  <c r="V17" i="55" a="1"/>
  <c r="V17" i="55" s="1"/>
  <c r="V103" i="55" s="1"/>
  <c r="O20" i="44"/>
  <c r="J60" i="47"/>
  <c r="T131" i="55"/>
  <c r="K60" i="47" s="1"/>
  <c r="O103" i="60"/>
  <c r="I73" i="47"/>
  <c r="H13" i="57" a="1"/>
  <c r="H13" i="57" s="1"/>
  <c r="P22" i="60" a="1"/>
  <c r="P22" i="60" s="1"/>
  <c r="P100" i="60" s="1"/>
  <c r="Q49" i="57"/>
  <c r="H100" i="57"/>
  <c r="N75" i="58" a="1"/>
  <c r="N75" i="58" s="1"/>
  <c r="G80" i="57"/>
  <c r="F96" i="57"/>
  <c r="J14" i="47"/>
  <c r="T96" i="55"/>
  <c r="N73" i="58" a="1"/>
  <c r="N73" i="58" s="1"/>
  <c r="BJ116" i="58"/>
  <c r="AX116" i="58"/>
  <c r="AL116" i="58"/>
  <c r="Z116" i="58"/>
  <c r="BQ116" i="58"/>
  <c r="BE116" i="58"/>
  <c r="AS116" i="58"/>
  <c r="AG116" i="58"/>
  <c r="U116" i="58"/>
  <c r="BL116" i="58"/>
  <c r="AW116" i="58"/>
  <c r="AI116" i="58"/>
  <c r="T116" i="58"/>
  <c r="BK116" i="58"/>
  <c r="AV116" i="58"/>
  <c r="AH116" i="58"/>
  <c r="S116" i="58"/>
  <c r="BI116" i="58"/>
  <c r="AU116" i="58"/>
  <c r="AF116" i="58"/>
  <c r="R116" i="58"/>
  <c r="BH116" i="58"/>
  <c r="AT116" i="58"/>
  <c r="AE116" i="58"/>
  <c r="Q116" i="58"/>
  <c r="BG116" i="58"/>
  <c r="AR116" i="58"/>
  <c r="AD116" i="58"/>
  <c r="P116" i="58"/>
  <c r="BF116" i="58"/>
  <c r="AQ116" i="58"/>
  <c r="AC116" i="58"/>
  <c r="O116" i="58"/>
  <c r="BD116" i="58"/>
  <c r="AP116" i="58"/>
  <c r="AB116" i="58"/>
  <c r="N116" i="58"/>
  <c r="BR116" i="58"/>
  <c r="BC116" i="58"/>
  <c r="AO116" i="58"/>
  <c r="AA116" i="58"/>
  <c r="M116" i="58"/>
  <c r="BP116" i="58"/>
  <c r="BB116" i="58"/>
  <c r="AN116" i="58"/>
  <c r="Y116" i="58"/>
  <c r="L116" i="58"/>
  <c r="BO116" i="58"/>
  <c r="BA116" i="58"/>
  <c r="AM116" i="58"/>
  <c r="X116" i="58"/>
  <c r="BN116" i="58"/>
  <c r="AZ116" i="58"/>
  <c r="AK116" i="58"/>
  <c r="W116" i="58"/>
  <c r="BM116" i="58"/>
  <c r="AY116" i="58"/>
  <c r="AJ116" i="58"/>
  <c r="V116" i="58"/>
  <c r="Z116" i="57"/>
  <c r="N108" i="60"/>
  <c r="H76" i="47"/>
  <c r="T38" i="55"/>
  <c r="J132" i="47"/>
  <c r="AG27" i="57"/>
  <c r="O85" i="44"/>
  <c r="Q87" i="57"/>
  <c r="AA32" i="57"/>
  <c r="Q56" i="57"/>
  <c r="I48" i="56"/>
  <c r="H47" i="56"/>
  <c r="H46" i="56"/>
  <c r="Q109" i="57"/>
  <c r="U37" i="55"/>
  <c r="K129" i="47"/>
  <c r="T104" i="55"/>
  <c r="K47" i="47" s="1"/>
  <c r="AK77" i="44"/>
  <c r="AK75" i="44"/>
  <c r="AK83" i="44"/>
  <c r="H14" i="57" a="1"/>
  <c r="H14" i="57" s="1"/>
  <c r="P23" i="60" a="1"/>
  <c r="P23" i="60" s="1"/>
  <c r="I17" i="47"/>
  <c r="S99" i="55"/>
  <c r="N114" i="60"/>
  <c r="H64" i="47"/>
  <c r="R168" i="58"/>
  <c r="R169" i="58"/>
  <c r="R36" i="58"/>
  <c r="AN87" i="58" a="1"/>
  <c r="AN87" i="58" s="1"/>
  <c r="AO87" i="58" s="1" a="1"/>
  <c r="AO87" i="58" s="1"/>
  <c r="AP87" i="58" s="1"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AG43" i="57"/>
  <c r="F104" i="57"/>
  <c r="J20" i="47"/>
  <c r="T102" i="55"/>
  <c r="G85" i="57"/>
  <c r="L100" i="57"/>
  <c r="I50" i="47"/>
  <c r="S109" i="55"/>
  <c r="F95" i="58"/>
  <c r="G84" i="58"/>
  <c r="H84" i="58" s="1"/>
  <c r="M84" i="58" a="1"/>
  <c r="M84" i="58" s="1"/>
  <c r="N84" i="58" s="1" a="1"/>
  <c r="N84" i="58" s="1"/>
  <c r="O84" i="58" s="1" a="1"/>
  <c r="O84" i="58" s="1"/>
  <c r="P84" i="58" s="1" a="1"/>
  <c r="P84" i="58" s="1"/>
  <c r="Q84" i="58" a="1"/>
  <c r="Q84" i="58" s="1"/>
  <c r="BJ119" i="58"/>
  <c r="AX119" i="58"/>
  <c r="AL119" i="58"/>
  <c r="Z119" i="58"/>
  <c r="BH119" i="58"/>
  <c r="AV119" i="58"/>
  <c r="BR119" i="58"/>
  <c r="BF119" i="58"/>
  <c r="BQ119" i="58"/>
  <c r="BE119" i="58"/>
  <c r="BP119" i="58"/>
  <c r="BD119" i="58"/>
  <c r="AR119" i="58"/>
  <c r="AF119" i="58"/>
  <c r="T119" i="58"/>
  <c r="BO119" i="58"/>
  <c r="BC119" i="58"/>
  <c r="AQ119" i="58"/>
  <c r="BK119" i="58"/>
  <c r="AY119" i="58"/>
  <c r="AM119" i="58"/>
  <c r="AA119" i="58"/>
  <c r="O119" i="58"/>
  <c r="BG119" i="58"/>
  <c r="AJ119" i="58"/>
  <c r="U119" i="58"/>
  <c r="BB119" i="58"/>
  <c r="AI119" i="58"/>
  <c r="S119" i="58"/>
  <c r="BA119" i="58"/>
  <c r="AH119" i="58"/>
  <c r="R119" i="58"/>
  <c r="AZ119" i="58"/>
  <c r="AG119" i="58"/>
  <c r="Q119" i="58"/>
  <c r="AW119" i="58"/>
  <c r="AE119" i="58"/>
  <c r="P119" i="58"/>
  <c r="AU119" i="58"/>
  <c r="AD119" i="58"/>
  <c r="N119" i="58"/>
  <c r="AT119" i="58"/>
  <c r="AC119" i="58"/>
  <c r="M119" i="58"/>
  <c r="AS119" i="58"/>
  <c r="AB119" i="58"/>
  <c r="L119" i="58"/>
  <c r="BN119" i="58"/>
  <c r="AP119" i="58"/>
  <c r="Y119" i="58"/>
  <c r="BM119" i="58"/>
  <c r="AO119" i="58"/>
  <c r="X119" i="58"/>
  <c r="BL119" i="58"/>
  <c r="AN119" i="58"/>
  <c r="W119" i="58"/>
  <c r="BI119" i="58"/>
  <c r="AK119" i="58"/>
  <c r="V119" i="58"/>
  <c r="K15" i="29"/>
  <c r="AM9" i="29"/>
  <c r="AL9" i="29"/>
  <c r="AJ9" i="29"/>
  <c r="K14" i="29"/>
  <c r="AK9" i="29"/>
  <c r="Z115" i="57"/>
  <c r="M90" i="60"/>
  <c r="M109" i="60" s="1"/>
  <c r="H75" i="47" s="1"/>
  <c r="N82" i="60"/>
  <c r="M85" i="58" a="1"/>
  <c r="M85" i="58" s="1"/>
  <c r="N85" i="58" s="1" a="1"/>
  <c r="N85" i="58" s="1"/>
  <c r="O85" i="58" s="1" a="1"/>
  <c r="O85" i="58" s="1"/>
  <c r="P85" i="58" s="1" a="1"/>
  <c r="P85" i="58" s="1"/>
  <c r="F96" i="58"/>
  <c r="Q85" i="58" a="1"/>
  <c r="Q85" i="58" s="1"/>
  <c r="G85" i="58"/>
  <c r="H85" i="58" s="1"/>
  <c r="J137" i="47"/>
  <c r="T32" i="55"/>
  <c r="I57" i="47"/>
  <c r="S126" i="55"/>
  <c r="T177" i="56" a="1"/>
  <c r="T177" i="56" s="1"/>
  <c r="S177" i="56" a="1"/>
  <c r="S177" i="56" s="1"/>
  <c r="G93" i="56"/>
  <c r="Q46" i="56"/>
  <c r="Q77" i="56" s="1"/>
  <c r="Q93" i="56" s="1"/>
  <c r="AA93" i="56" s="1"/>
  <c r="R60" i="56"/>
  <c r="AA60" i="56"/>
  <c r="Q59" i="56"/>
  <c r="Q55" i="56"/>
  <c r="Q51" i="56"/>
  <c r="Q58" i="56"/>
  <c r="Q54" i="56"/>
  <c r="Q53" i="56"/>
  <c r="Q56" i="56"/>
  <c r="Q57" i="56"/>
  <c r="Q52" i="56"/>
  <c r="L138" i="47"/>
  <c r="AJ78" i="44"/>
  <c r="AJ84" i="44"/>
  <c r="I53" i="47"/>
  <c r="S129" i="55"/>
  <c r="N86" i="44"/>
  <c r="M34" i="44"/>
  <c r="M37" i="44" s="1"/>
  <c r="Q23" i="60" s="1" a="1"/>
  <c r="Q23" i="60" s="1"/>
  <c r="N22" i="29"/>
  <c r="BH120" i="58"/>
  <c r="AV120" i="58"/>
  <c r="AJ120" i="58"/>
  <c r="X120" i="58"/>
  <c r="L120" i="58"/>
  <c r="BR120" i="58"/>
  <c r="BF120" i="58"/>
  <c r="AT120" i="58"/>
  <c r="AH120" i="58"/>
  <c r="V120" i="58"/>
  <c r="BP120" i="58"/>
  <c r="BD120" i="58"/>
  <c r="AR120" i="58"/>
  <c r="AF120" i="58"/>
  <c r="T120" i="58"/>
  <c r="BO120" i="58"/>
  <c r="BC120" i="58"/>
  <c r="AQ120" i="58"/>
  <c r="AE120" i="58"/>
  <c r="S120" i="58"/>
  <c r="BN120" i="58"/>
  <c r="BB120" i="58"/>
  <c r="AP120" i="58"/>
  <c r="AD120" i="58"/>
  <c r="R120" i="58"/>
  <c r="BM120" i="58"/>
  <c r="BA120" i="58"/>
  <c r="AO120" i="58"/>
  <c r="AC120" i="58"/>
  <c r="Q120" i="58"/>
  <c r="BK120" i="58"/>
  <c r="AY120" i="58"/>
  <c r="AM120" i="58"/>
  <c r="AA120" i="58"/>
  <c r="O120" i="58"/>
  <c r="BI120" i="58"/>
  <c r="AW120" i="58"/>
  <c r="AK120" i="58"/>
  <c r="Y120" i="58"/>
  <c r="M120" i="58"/>
  <c r="BJ120" i="58"/>
  <c r="Z120" i="58"/>
  <c r="BG120" i="58"/>
  <c r="W120" i="58"/>
  <c r="BE120" i="58"/>
  <c r="U120" i="58"/>
  <c r="AZ120" i="58"/>
  <c r="P120" i="58"/>
  <c r="AX120" i="58"/>
  <c r="N120" i="58"/>
  <c r="AU120" i="58"/>
  <c r="AS120" i="58"/>
  <c r="AN120" i="58"/>
  <c r="AL120" i="58"/>
  <c r="AI120" i="58"/>
  <c r="BQ120" i="58"/>
  <c r="AG120" i="58"/>
  <c r="BL120" i="58"/>
  <c r="AB120" i="58"/>
  <c r="AG35" i="57"/>
  <c r="J78" i="58"/>
  <c r="AN78" i="58" a="1"/>
  <c r="AN78" i="58" s="1"/>
  <c r="AE78" i="58"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I19" i="47"/>
  <c r="S101" i="55"/>
  <c r="N107" i="60"/>
  <c r="H82" i="47"/>
  <c r="G103" i="56"/>
  <c r="G87" i="56"/>
  <c r="Q47" i="56"/>
  <c r="Q87" i="56" s="1"/>
  <c r="O119" i="57"/>
  <c r="Y119" i="57" s="1"/>
  <c r="O121" i="57"/>
  <c r="Y121" i="57" s="1"/>
  <c r="Y81" i="57"/>
  <c r="E81" i="57" s="1"/>
  <c r="O120" i="57"/>
  <c r="Y120" i="57" s="1"/>
  <c r="T108" i="55"/>
  <c r="K46" i="47" s="1"/>
  <c r="G102" i="56"/>
  <c r="G86" i="56"/>
  <c r="P124" i="57"/>
  <c r="Z124" i="57" s="1"/>
  <c r="Z86" i="57"/>
  <c r="F86" i="57" s="1"/>
  <c r="F124" i="57" s="1"/>
  <c r="P125" i="57"/>
  <c r="Z125" i="57" s="1"/>
  <c r="P123" i="57"/>
  <c r="Z123" i="57"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J75" i="58"/>
  <c r="AN75" i="58" a="1"/>
  <c r="AN75" i="58" s="1"/>
  <c r="H76" i="56"/>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I71" i="58"/>
  <c r="AD71" i="58" a="1"/>
  <c r="AD71" i="58" s="1"/>
  <c r="F94" i="58"/>
  <c r="G83" i="58"/>
  <c r="H83" i="58" s="1"/>
  <c r="M83" i="58" a="1"/>
  <c r="M83" i="58" s="1"/>
  <c r="N83" i="58" s="1" a="1"/>
  <c r="N83" i="58" s="1"/>
  <c r="O83" i="58" s="1" a="1"/>
  <c r="O83" i="58" s="1"/>
  <c r="P83" i="58" s="1" a="1"/>
  <c r="P83" i="58" s="1"/>
  <c r="Q83" i="58" a="1"/>
  <c r="Q83" i="58" s="1"/>
  <c r="I43" i="47"/>
  <c r="S107" i="55"/>
  <c r="O104" i="60"/>
  <c r="I72" i="47"/>
  <c r="W13" i="55" a="1"/>
  <c r="W13" i="55" s="1"/>
  <c r="W12" i="55" a="1"/>
  <c r="W12" i="55" s="1"/>
  <c r="P17" i="44"/>
  <c r="F98" i="58"/>
  <c r="F99" i="58"/>
  <c r="S48" i="56"/>
  <c r="AA48" i="56"/>
  <c r="T35" i="55"/>
  <c r="J130" i="47"/>
  <c r="T70" i="58" a="1"/>
  <c r="T70" i="58" s="1"/>
  <c r="U70" i="58" s="1" a="1"/>
  <c r="U70" i="58" s="1"/>
  <c r="V70" i="58" s="1" a="1"/>
  <c r="V70" i="58" s="1"/>
  <c r="W70" i="58" s="1" a="1"/>
  <c r="W70" i="58" s="1"/>
  <c r="X70" i="58" s="1" a="1"/>
  <c r="X70" i="58" s="1"/>
  <c r="Y70" i="58" s="1" a="1"/>
  <c r="Y70" i="58" s="1"/>
  <c r="Z70" i="58" s="1" a="1"/>
  <c r="Z70" i="58" s="1"/>
  <c r="AA70" i="58" s="1" a="1"/>
  <c r="AA70" i="58" s="1"/>
  <c r="AB70" i="58" s="1" a="1"/>
  <c r="AB70" i="58" s="1"/>
  <c r="AC70" i="58" s="1" a="1"/>
  <c r="AC70" i="58" s="1"/>
  <c r="R70" i="58" a="1"/>
  <c r="R70" i="58" s="1"/>
  <c r="R162" i="58" s="1"/>
  <c r="S188" i="56"/>
  <c r="H99" i="47"/>
  <c r="S183" i="56" a="1"/>
  <c r="S183" i="56" s="1"/>
  <c r="T183" i="56" a="1"/>
  <c r="T183" i="56" s="1"/>
  <c r="G99" i="56"/>
  <c r="R78" i="58" a="1"/>
  <c r="R78" i="58" s="1"/>
  <c r="R170" i="58" s="1"/>
  <c r="T78" i="58" a="1"/>
  <c r="T78" i="58" s="1"/>
  <c r="U78" i="58" s="1" a="1"/>
  <c r="U78" i="58" s="1"/>
  <c r="V78" i="58" s="1" a="1"/>
  <c r="V78" i="58" s="1"/>
  <c r="W78" i="58" s="1" a="1"/>
  <c r="W78" i="58" s="1"/>
  <c r="X78" i="58" s="1" a="1"/>
  <c r="X78" i="58" s="1"/>
  <c r="Y78" i="58" s="1" a="1"/>
  <c r="Y78" i="58" s="1"/>
  <c r="Z78" i="58" s="1" a="1"/>
  <c r="Z78" i="58" s="1"/>
  <c r="AA78" i="58" s="1" a="1"/>
  <c r="AA78" i="58" s="1"/>
  <c r="AB78" i="58" s="1" a="1"/>
  <c r="AB78" i="58" s="1"/>
  <c r="AC78" i="58" s="1" a="1"/>
  <c r="AC78" i="58" s="1"/>
  <c r="M31" i="57"/>
  <c r="BH117" i="58"/>
  <c r="AV117" i="58"/>
  <c r="AJ117" i="58"/>
  <c r="X117" i="58"/>
  <c r="L117" i="58"/>
  <c r="BO117" i="58"/>
  <c r="BC117" i="58"/>
  <c r="AQ117" i="58"/>
  <c r="AE117" i="58"/>
  <c r="S117" i="58"/>
  <c r="BG117" i="58"/>
  <c r="AS117" i="58"/>
  <c r="AD117" i="58"/>
  <c r="P117" i="58"/>
  <c r="BF117" i="58"/>
  <c r="AR117" i="58"/>
  <c r="AC117" i="58"/>
  <c r="O117" i="58"/>
  <c r="BE117" i="58"/>
  <c r="AP117" i="58"/>
  <c r="AB117" i="58"/>
  <c r="N117" i="58"/>
  <c r="BR117" i="58"/>
  <c r="BD117" i="58"/>
  <c r="AO117" i="58"/>
  <c r="AA117" i="58"/>
  <c r="M117" i="58"/>
  <c r="BQ117" i="58"/>
  <c r="BB117" i="58"/>
  <c r="AN117" i="58"/>
  <c r="Z117" i="58"/>
  <c r="BP117" i="58"/>
  <c r="BA117" i="58"/>
  <c r="AM117" i="58"/>
  <c r="Y117" i="58"/>
  <c r="BN117" i="58"/>
  <c r="AZ117" i="58"/>
  <c r="AL117" i="58"/>
  <c r="W117" i="58"/>
  <c r="BM117" i="58"/>
  <c r="AY117" i="58"/>
  <c r="AK117" i="58"/>
  <c r="V117" i="58"/>
  <c r="BL117" i="58"/>
  <c r="AX117" i="58"/>
  <c r="AI117" i="58"/>
  <c r="U117" i="58"/>
  <c r="BK117" i="58"/>
  <c r="AW117" i="58"/>
  <c r="AH117" i="58"/>
  <c r="T117" i="58"/>
  <c r="BJ117" i="58"/>
  <c r="AU117" i="58"/>
  <c r="AG117" i="58"/>
  <c r="R117" i="58"/>
  <c r="BI117" i="58"/>
  <c r="AT117" i="58"/>
  <c r="AF117" i="58"/>
  <c r="Q117" i="58"/>
  <c r="AE30" i="57"/>
  <c r="J74" i="47"/>
  <c r="AD88" i="58" a="1"/>
  <c r="AD88" i="58" s="1"/>
  <c r="AE88" i="58" s="1" a="1"/>
  <c r="AE88" i="58" s="1"/>
  <c r="AF88" i="58" s="1" a="1"/>
  <c r="AF88" i="58" s="1"/>
  <c r="AG88" i="58" s="1" a="1"/>
  <c r="AG88" i="58" s="1"/>
  <c r="AH88" i="58" s="1" a="1"/>
  <c r="AH88" i="58" s="1"/>
  <c r="AI88" i="58" s="1" a="1"/>
  <c r="AI88" i="58" s="1"/>
  <c r="AJ88" i="58" s="1" a="1"/>
  <c r="AJ88" i="58" s="1"/>
  <c r="AK88" i="58" s="1" a="1"/>
  <c r="AK88" i="58" s="1"/>
  <c r="AL88" i="58" s="1" a="1"/>
  <c r="AL88" i="58" s="1"/>
  <c r="AM88" i="58" s="1" a="1"/>
  <c r="AM88" i="58" s="1"/>
  <c r="U88" i="58" a="1"/>
  <c r="U88" i="58" s="1"/>
  <c r="V88" i="58" s="1" a="1"/>
  <c r="V88" i="58" s="1"/>
  <c r="W88" i="58" s="1" a="1"/>
  <c r="W88" i="58" s="1"/>
  <c r="X88" i="58" s="1" a="1"/>
  <c r="X88" i="58" s="1"/>
  <c r="Y88" i="58" s="1" a="1"/>
  <c r="Y88" i="58" s="1"/>
  <c r="Z88" i="58" s="1" a="1"/>
  <c r="Z88" i="58" s="1"/>
  <c r="AA88" i="58" s="1" a="1"/>
  <c r="AA88" i="58" s="1"/>
  <c r="AB88" i="58" s="1" a="1"/>
  <c r="AB88" i="58" s="1"/>
  <c r="AC88" i="58" s="1" a="1"/>
  <c r="AC88" i="58" s="1"/>
  <c r="Z163" i="57"/>
  <c r="F163" i="57" s="1"/>
  <c r="I30" i="57"/>
  <c r="F90" i="57"/>
  <c r="J36" i="47"/>
  <c r="T80" i="55"/>
  <c r="K36" i="47" s="1"/>
  <c r="V41" i="55"/>
  <c r="BR118" i="58"/>
  <c r="BF118" i="58"/>
  <c r="AT118" i="58"/>
  <c r="AH118" i="58"/>
  <c r="V118" i="58"/>
  <c r="BM118" i="58"/>
  <c r="BA118" i="58"/>
  <c r="AO118" i="58"/>
  <c r="AC118" i="58"/>
  <c r="Q118" i="58"/>
  <c r="BP118" i="58"/>
  <c r="BB118" i="58"/>
  <c r="AM118" i="58"/>
  <c r="Y118" i="58"/>
  <c r="BO118" i="58"/>
  <c r="AZ118" i="58"/>
  <c r="AL118" i="58"/>
  <c r="X118" i="58"/>
  <c r="BN118" i="58"/>
  <c r="AY118" i="58"/>
  <c r="AK118" i="58"/>
  <c r="W118" i="58"/>
  <c r="BL118" i="58"/>
  <c r="AX118" i="58"/>
  <c r="AJ118" i="58"/>
  <c r="U118" i="58"/>
  <c r="BK118" i="58"/>
  <c r="AW118" i="58"/>
  <c r="AI118" i="58"/>
  <c r="T118" i="58"/>
  <c r="BJ118" i="58"/>
  <c r="AV118" i="58"/>
  <c r="AG118" i="58"/>
  <c r="S118" i="58"/>
  <c r="BI118" i="58"/>
  <c r="AU118" i="58"/>
  <c r="AF118" i="58"/>
  <c r="R118" i="58"/>
  <c r="BH118" i="58"/>
  <c r="AS118" i="58"/>
  <c r="AE118" i="58"/>
  <c r="P118" i="58"/>
  <c r="BG118" i="58"/>
  <c r="AR118" i="58"/>
  <c r="AD118" i="58"/>
  <c r="O118" i="58"/>
  <c r="BE118" i="58"/>
  <c r="AQ118" i="58"/>
  <c r="AB118" i="58"/>
  <c r="N118" i="58"/>
  <c r="BD118" i="58"/>
  <c r="AP118" i="58"/>
  <c r="AA118" i="58"/>
  <c r="M118" i="58"/>
  <c r="BQ118" i="58"/>
  <c r="BC118" i="58"/>
  <c r="AN118" i="58"/>
  <c r="Z118" i="58"/>
  <c r="L118" i="58"/>
  <c r="AF30" i="57"/>
  <c r="T72" i="58" a="1"/>
  <c r="T72" i="58" s="1"/>
  <c r="U72" i="58" s="1" a="1"/>
  <c r="U72" i="58" s="1"/>
  <c r="V72" i="58" s="1" a="1"/>
  <c r="V72" i="58" s="1"/>
  <c r="W72" i="58" s="1" a="1"/>
  <c r="W72" i="58" s="1"/>
  <c r="X72" i="58" s="1" a="1"/>
  <c r="X72" i="58" s="1"/>
  <c r="Y72" i="58" s="1" a="1"/>
  <c r="Y72" i="58" s="1"/>
  <c r="Z72" i="58" s="1" a="1"/>
  <c r="Z72" i="58" s="1"/>
  <c r="AA72" i="58" s="1" a="1"/>
  <c r="AA72" i="58" s="1"/>
  <c r="AB72" i="58" s="1" a="1"/>
  <c r="AB72" i="58" s="1"/>
  <c r="AC72" i="58" s="1" a="1"/>
  <c r="AC72" i="58" s="1"/>
  <c r="R72" i="58" a="1"/>
  <c r="R72" i="58" s="1"/>
  <c r="S72" i="58" s="1" a="1"/>
  <c r="S72" i="58" s="1"/>
  <c r="N111" i="60"/>
  <c r="H80" i="47"/>
  <c r="J25" i="47"/>
  <c r="T119" i="55"/>
  <c r="K25" i="47" s="1"/>
  <c r="T113" i="55"/>
  <c r="K51" i="47" s="1"/>
  <c r="V25" i="55" a="1"/>
  <c r="V25" i="55" s="1"/>
  <c r="V125" i="55" s="1"/>
  <c r="O22" i="44"/>
  <c r="R123" i="56" a="1"/>
  <c r="R123" i="56" s="1"/>
  <c r="P123" i="56" a="1"/>
  <c r="P123" i="56" s="1"/>
  <c r="M149" i="56" s="1"/>
  <c r="I104" i="56"/>
  <c r="H88" i="56"/>
  <c r="R88" i="56" s="1"/>
  <c r="AB88" i="56" s="1"/>
  <c r="S182" i="56" a="1"/>
  <c r="S182" i="56" s="1"/>
  <c r="T182" i="56" a="1"/>
  <c r="T182" i="56" s="1"/>
  <c r="G98" i="56"/>
  <c r="R33" i="29" a="1"/>
  <c r="R33" i="29" s="1"/>
  <c r="R5" i="29" a="1"/>
  <c r="R5" i="29" s="1"/>
  <c r="AH27" i="44"/>
  <c r="AI27" i="44" s="1"/>
  <c r="AF26" i="57"/>
  <c r="AD26" i="57"/>
  <c r="AE26" i="57"/>
  <c r="F17" i="60"/>
  <c r="O78" i="58" a="1"/>
  <c r="O78" i="58" s="1"/>
  <c r="O112" i="60"/>
  <c r="I79" i="47"/>
  <c r="L96" i="57"/>
  <c r="T75" i="58" a="1"/>
  <c r="T75" i="58" s="1"/>
  <c r="U75" i="58" s="1" a="1"/>
  <c r="U75" i="58" s="1"/>
  <c r="V75" i="58" s="1" a="1"/>
  <c r="V75" i="58" s="1"/>
  <c r="W75" i="58" s="1" a="1"/>
  <c r="W75" i="58" s="1"/>
  <c r="X75" i="58" s="1" a="1"/>
  <c r="X75" i="58" s="1"/>
  <c r="Y75" i="58" s="1" a="1"/>
  <c r="Y75" i="58" s="1"/>
  <c r="Z75" i="58" s="1" a="1"/>
  <c r="Z75" i="58" s="1"/>
  <c r="AA75" i="58" s="1" a="1"/>
  <c r="AA75" i="58" s="1"/>
  <c r="AB75" i="58" s="1" a="1"/>
  <c r="AB75" i="58" s="1"/>
  <c r="AC75" i="58" s="1" a="1"/>
  <c r="AC75" i="58" s="1"/>
  <c r="R75" i="58" a="1"/>
  <c r="R75" i="58" s="1"/>
  <c r="R167" i="58" s="1"/>
  <c r="AD87" i="58" a="1"/>
  <c r="AD87" i="58" s="1"/>
  <c r="AE87" i="58" s="1" a="1"/>
  <c r="AE87" i="58" s="1"/>
  <c r="AF87" i="58" s="1" a="1"/>
  <c r="AF87" i="58" s="1"/>
  <c r="AG87" i="58" s="1" a="1"/>
  <c r="AG87" i="58" s="1"/>
  <c r="AH87" i="58" s="1" a="1"/>
  <c r="AH87" i="58" s="1"/>
  <c r="AI87" i="58" s="1" a="1"/>
  <c r="AI87" i="58" s="1"/>
  <c r="AJ87" i="58" s="1" a="1"/>
  <c r="AJ87" i="58" s="1"/>
  <c r="AK87" i="58" s="1" a="1"/>
  <c r="AK87" i="58" s="1"/>
  <c r="AL87" i="58" s="1" a="1"/>
  <c r="AL87" i="58" s="1"/>
  <c r="AM87" i="58" s="1" a="1"/>
  <c r="AM87" i="58" s="1"/>
  <c r="U87" i="58" a="1"/>
  <c r="U87" i="58" s="1"/>
  <c r="V87" i="58" s="1" a="1"/>
  <c r="V87" i="58" s="1"/>
  <c r="W87" i="58" s="1" a="1"/>
  <c r="W87" i="58" s="1"/>
  <c r="X87" i="58" s="1" a="1"/>
  <c r="X87" i="58" s="1"/>
  <c r="Y87" i="58" s="1" a="1"/>
  <c r="Y87" i="58" s="1"/>
  <c r="Z87" i="58" s="1" a="1"/>
  <c r="Z87" i="58" s="1"/>
  <c r="AA87" i="58" s="1" a="1"/>
  <c r="AA87" i="58" s="1"/>
  <c r="AB87" i="58" s="1" a="1"/>
  <c r="AB87" i="58" s="1"/>
  <c r="AC87" i="58" s="1" a="1"/>
  <c r="AC87" i="58" s="1"/>
  <c r="Z161" i="57"/>
  <c r="K35" i="57"/>
  <c r="F85" i="57"/>
  <c r="F121" i="57" s="1"/>
  <c r="Q120" i="57"/>
  <c r="AA120" i="57" s="1"/>
  <c r="Q116" i="57"/>
  <c r="Q123" i="57"/>
  <c r="AA123" i="57" s="1"/>
  <c r="Q121" i="57"/>
  <c r="AA121" i="57" s="1"/>
  <c r="Q117" i="57"/>
  <c r="Q115" i="57"/>
  <c r="AA73" i="57"/>
  <c r="Q119" i="57"/>
  <c r="AA119" i="57" s="1"/>
  <c r="Q124" i="57"/>
  <c r="AA124" i="57" s="1"/>
  <c r="E125" i="57"/>
  <c r="E123" i="57"/>
  <c r="E124" i="57"/>
  <c r="N85" i="60"/>
  <c r="M93" i="60"/>
  <c r="M119" i="60" s="1"/>
  <c r="H65" i="47" s="1"/>
  <c r="O99" i="60"/>
  <c r="I70" i="47"/>
  <c r="BR121" i="58"/>
  <c r="BR132" i="58" s="1"/>
  <c r="BF121" i="58"/>
  <c r="AT121" i="58"/>
  <c r="AH121" i="58"/>
  <c r="V121" i="58"/>
  <c r="BP121" i="58"/>
  <c r="BD121" i="58"/>
  <c r="AR121" i="58"/>
  <c r="AF121" i="58"/>
  <c r="T121" i="58"/>
  <c r="BN121" i="58"/>
  <c r="BN132" i="58" s="1"/>
  <c r="BN143" i="58" s="1"/>
  <c r="BB121" i="58"/>
  <c r="AP121" i="58"/>
  <c r="AP132" i="58" s="1"/>
  <c r="AD121" i="58"/>
  <c r="R121" i="58"/>
  <c r="BM121" i="58"/>
  <c r="BA121" i="58"/>
  <c r="AO121" i="58"/>
  <c r="AC121" i="58"/>
  <c r="Q121" i="58"/>
  <c r="BL121" i="58"/>
  <c r="AZ121" i="58"/>
  <c r="AZ132" i="58" s="1"/>
  <c r="AN121" i="58"/>
  <c r="AN132" i="58" s="1"/>
  <c r="AN143" i="58" s="1"/>
  <c r="AB121" i="58"/>
  <c r="P121" i="58"/>
  <c r="P132" i="58" s="1"/>
  <c r="BK121" i="58"/>
  <c r="AY121" i="58"/>
  <c r="AM121" i="58"/>
  <c r="AA121" i="58"/>
  <c r="O121" i="58"/>
  <c r="BI121" i="58"/>
  <c r="AW121" i="58"/>
  <c r="AK121" i="58"/>
  <c r="Y121" i="58"/>
  <c r="Y132" i="58" s="1"/>
  <c r="M121" i="58"/>
  <c r="M132" i="58" s="1"/>
  <c r="M143" i="58" s="1"/>
  <c r="BG121" i="58"/>
  <c r="AU121" i="58"/>
  <c r="AU132" i="58" s="1"/>
  <c r="AI121" i="58"/>
  <c r="W121" i="58"/>
  <c r="BQ121" i="58"/>
  <c r="AG121" i="58"/>
  <c r="BO121" i="58"/>
  <c r="AE121" i="58"/>
  <c r="BJ121" i="58"/>
  <c r="Z121" i="58"/>
  <c r="BH121" i="58"/>
  <c r="BH132" i="58" s="1"/>
  <c r="X121" i="58"/>
  <c r="X132" i="58" s="1"/>
  <c r="X143" i="58" s="1"/>
  <c r="BE121" i="58"/>
  <c r="U121" i="58"/>
  <c r="U132" i="58" s="1"/>
  <c r="BC121" i="58"/>
  <c r="S121" i="58"/>
  <c r="AX121" i="58"/>
  <c r="N121" i="58"/>
  <c r="AV121" i="58"/>
  <c r="L121" i="58"/>
  <c r="AS121" i="58"/>
  <c r="AQ121" i="58"/>
  <c r="AL121" i="58"/>
  <c r="AL132" i="58" s="1"/>
  <c r="AJ121" i="58"/>
  <c r="AJ132" i="58" s="1"/>
  <c r="AJ143" i="58" s="1"/>
  <c r="AC77" i="57"/>
  <c r="AD41" i="57"/>
  <c r="AF41" i="57"/>
  <c r="AE41" i="57"/>
  <c r="M35" i="44"/>
  <c r="M38" i="44" s="1"/>
  <c r="Q24" i="60" s="1" a="1"/>
  <c r="Q24" i="60" s="1"/>
  <c r="N87" i="44"/>
  <c r="E145" i="58"/>
  <c r="E144" i="58"/>
  <c r="E143" i="58"/>
  <c r="E142" i="58"/>
  <c r="E141" i="58"/>
  <c r="E146" i="58"/>
  <c r="E140" i="58"/>
  <c r="E138" i="58"/>
  <c r="E139" i="58"/>
  <c r="I39" i="47"/>
  <c r="S85" i="55"/>
  <c r="Q35" i="58"/>
  <c r="W20" i="55" a="1"/>
  <c r="W20" i="55" s="1"/>
  <c r="W21" i="55" a="1"/>
  <c r="W21" i="55" s="1"/>
  <c r="W18" i="55" a="1"/>
  <c r="W18" i="55" s="1"/>
  <c r="W19" i="55" a="1"/>
  <c r="W19" i="55" s="1"/>
  <c r="P21" i="44"/>
  <c r="J74" i="58"/>
  <c r="AN74" i="58" a="1"/>
  <c r="AN74" i="58" s="1"/>
  <c r="V10" i="55" a="1"/>
  <c r="V10" i="55" s="1"/>
  <c r="V79" i="55" s="1"/>
  <c r="O18" i="44"/>
  <c r="T106" i="55"/>
  <c r="K48" i="47" s="1"/>
  <c r="U127" i="55"/>
  <c r="L52" i="47" s="1"/>
  <c r="F92" i="58"/>
  <c r="M81" i="58" a="1"/>
  <c r="M81" i="58" s="1"/>
  <c r="N81" i="58" s="1" a="1"/>
  <c r="N81" i="58" s="1"/>
  <c r="O81" i="58" s="1" a="1"/>
  <c r="O81" i="58" s="1"/>
  <c r="P81" i="58" s="1" a="1"/>
  <c r="P81" i="58" s="1"/>
  <c r="Q81" i="58" a="1"/>
  <c r="Q81" i="58" s="1"/>
  <c r="G81" i="58"/>
  <c r="H81" i="58"/>
  <c r="T179" i="56" a="1"/>
  <c r="T179" i="56" s="1"/>
  <c r="S179" i="56" a="1"/>
  <c r="S179" i="56" s="1"/>
  <c r="G95" i="56"/>
  <c r="J16" i="47"/>
  <c r="T94" i="55"/>
  <c r="H68" i="47"/>
  <c r="Y59" i="57"/>
  <c r="O115" i="57"/>
  <c r="O117" i="57"/>
  <c r="O116" i="57"/>
  <c r="Y75" i="57"/>
  <c r="E75" i="57" s="1"/>
  <c r="O105" i="60"/>
  <c r="I71" i="47"/>
  <c r="L43" i="57"/>
  <c r="K43" i="57"/>
  <c r="F120" i="57"/>
  <c r="F116" i="57"/>
  <c r="F119" i="57"/>
  <c r="F115" i="57"/>
  <c r="H96" i="57"/>
  <c r="H85" i="57"/>
  <c r="M100" i="57"/>
  <c r="N115" i="60"/>
  <c r="H63" i="47"/>
  <c r="O101" i="60"/>
  <c r="I69" i="47"/>
  <c r="BP122" i="58"/>
  <c r="BP133" i="58" s="1"/>
  <c r="BD122" i="58"/>
  <c r="AR122" i="58"/>
  <c r="AF122" i="58"/>
  <c r="T122" i="58"/>
  <c r="BN122" i="58"/>
  <c r="BN133" i="58" s="1"/>
  <c r="BB122" i="58"/>
  <c r="BB133" i="58" s="1"/>
  <c r="AP122" i="58"/>
  <c r="AP133" i="58" s="1"/>
  <c r="AD122" i="58"/>
  <c r="R122" i="58"/>
  <c r="BL122" i="58"/>
  <c r="AZ122" i="58"/>
  <c r="AN122" i="58"/>
  <c r="AN133" i="58" s="1"/>
  <c r="AB122" i="58"/>
  <c r="P122" i="58"/>
  <c r="BK122" i="58"/>
  <c r="AY122" i="58"/>
  <c r="AM122" i="58"/>
  <c r="AM133" i="58" s="1"/>
  <c r="AA122" i="58"/>
  <c r="AA133" i="58" s="1"/>
  <c r="O122" i="58"/>
  <c r="O133" i="58" s="1"/>
  <c r="BJ122" i="58"/>
  <c r="AX122" i="58"/>
  <c r="AL122" i="58"/>
  <c r="Z122" i="58"/>
  <c r="N122" i="58"/>
  <c r="N133" i="58" s="1"/>
  <c r="BI122" i="58"/>
  <c r="AW122" i="58"/>
  <c r="AK122" i="58"/>
  <c r="Y122" i="58"/>
  <c r="M122" i="58"/>
  <c r="M133" i="58" s="1"/>
  <c r="BG122" i="58"/>
  <c r="BG133" i="58" s="1"/>
  <c r="AU122" i="58"/>
  <c r="AU133" i="58" s="1"/>
  <c r="AI122" i="58"/>
  <c r="W122" i="58"/>
  <c r="BQ122" i="58"/>
  <c r="BE122" i="58"/>
  <c r="AS122" i="58"/>
  <c r="AS133" i="58" s="1"/>
  <c r="AG122" i="58"/>
  <c r="U122" i="58"/>
  <c r="AO122" i="58"/>
  <c r="AJ122" i="58"/>
  <c r="BR122" i="58"/>
  <c r="BR133" i="58" s="1"/>
  <c r="AH122" i="58"/>
  <c r="AH133" i="58" s="1"/>
  <c r="BO122" i="58"/>
  <c r="BO133" i="58" s="1"/>
  <c r="AE122" i="58"/>
  <c r="BM122" i="58"/>
  <c r="AC122" i="58"/>
  <c r="BH122" i="58"/>
  <c r="X122" i="58"/>
  <c r="X133" i="58" s="1"/>
  <c r="BF122" i="58"/>
  <c r="V122" i="58"/>
  <c r="BC122" i="58"/>
  <c r="S122" i="58"/>
  <c r="BA122" i="58"/>
  <c r="BA133" i="58" s="1"/>
  <c r="Q122" i="58"/>
  <c r="Q133" i="58" s="1"/>
  <c r="AV122" i="58"/>
  <c r="AV133" i="58" s="1"/>
  <c r="L122" i="58"/>
  <c r="AT122" i="58"/>
  <c r="AQ122" i="58"/>
  <c r="N21" i="29"/>
  <c r="P24" i="60" a="1"/>
  <c r="P24" i="60" s="1"/>
  <c r="P61" i="57"/>
  <c r="N92" i="60"/>
  <c r="N113" i="60" s="1"/>
  <c r="I78" i="47" s="1"/>
  <c r="O84" i="60"/>
  <c r="O92" i="60" s="1"/>
  <c r="O113" i="60" s="1"/>
  <c r="J78" i="47"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U88" i="55"/>
  <c r="L33" i="47" s="1"/>
  <c r="I54" i="47"/>
  <c r="S134" i="55"/>
  <c r="J72" i="58"/>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a="1"/>
  <c r="AN72" i="58" s="1"/>
  <c r="Z59" i="57"/>
  <c r="J70"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a="1"/>
  <c r="AN70" i="58" s="1"/>
  <c r="T178" i="56" a="1"/>
  <c r="T178" i="56" s="1"/>
  <c r="S178" i="56" a="1"/>
  <c r="S178" i="56" s="1"/>
  <c r="G94" i="56"/>
  <c r="Q41" i="29"/>
  <c r="AC82" i="57"/>
  <c r="AE42" i="57"/>
  <c r="AE82" i="57" s="1"/>
  <c r="AE85" i="57" s="1"/>
  <c r="AF42" i="57"/>
  <c r="AF82" i="57" s="1"/>
  <c r="AF85" i="57" s="1"/>
  <c r="AD42" i="57"/>
  <c r="V23" i="55" a="1"/>
  <c r="V23" i="55" s="1"/>
  <c r="V24" i="55" a="1"/>
  <c r="V24" i="55" s="1"/>
  <c r="O24" i="44"/>
  <c r="F31" i="60"/>
  <c r="AF144" i="57"/>
  <c r="AE144" i="57"/>
  <c r="AD144" i="57"/>
  <c r="R163" i="58" l="1"/>
  <c r="T132" i="58"/>
  <c r="J15" i="47"/>
  <c r="BI128" i="58"/>
  <c r="BL128" i="58"/>
  <c r="BP128" i="58"/>
  <c r="AP128" i="58"/>
  <c r="AQ128" i="58"/>
  <c r="T83" i="55"/>
  <c r="AV144" i="58"/>
  <c r="BO144" i="58"/>
  <c r="AU144" i="58"/>
  <c r="O144" i="58"/>
  <c r="AP144" i="58"/>
  <c r="R47" i="57"/>
  <c r="U86" i="55"/>
  <c r="L34" i="47" s="1"/>
  <c r="J135" i="47"/>
  <c r="U123" i="55"/>
  <c r="L23" i="47" s="1"/>
  <c r="AD7" i="56"/>
  <c r="AD48" i="56" s="1"/>
  <c r="T48" i="56"/>
  <c r="K7" i="56" a="1"/>
  <c r="K7" i="56" s="1"/>
  <c r="U7" i="56" s="1"/>
  <c r="AE7" i="56" s="1"/>
  <c r="AF23" i="44"/>
  <c r="AG23" i="44" s="1"/>
  <c r="V130" i="58"/>
  <c r="Q130" i="58"/>
  <c r="O130" i="58"/>
  <c r="O141" i="58" s="1"/>
  <c r="BP130" i="58"/>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J27" i="57"/>
  <c r="K27" i="57"/>
  <c r="AN129" i="58"/>
  <c r="AN140" i="58" s="1"/>
  <c r="AD129" i="58"/>
  <c r="AG129" i="58"/>
  <c r="AK129" i="58"/>
  <c r="AC129" i="58"/>
  <c r="N31" i="44"/>
  <c r="U131" i="55"/>
  <c r="L60" i="47" s="1"/>
  <c r="N22" i="35"/>
  <c r="Z129" i="58"/>
  <c r="O129" i="58"/>
  <c r="O140" i="58" s="1"/>
  <c r="S129" i="58"/>
  <c r="S140" i="58" s="1"/>
  <c r="W129" i="58"/>
  <c r="Q129" i="58"/>
  <c r="Q140" i="58" s="1"/>
  <c r="N131" i="58"/>
  <c r="AK131" i="58"/>
  <c r="BM131" i="58"/>
  <c r="AF131" i="58"/>
  <c r="AV131" i="58"/>
  <c r="AG131" i="58"/>
  <c r="BE131" i="58"/>
  <c r="BE142" i="58" s="1"/>
  <c r="AM131" i="58"/>
  <c r="AM142" i="58" s="1"/>
  <c r="BN131" i="58"/>
  <c r="BN142" i="58" s="1"/>
  <c r="AH131" i="58"/>
  <c r="AH142" i="58" s="1"/>
  <c r="T23" i="58"/>
  <c r="S31" i="58"/>
  <c r="S34" i="58" s="1"/>
  <c r="S35" i="58" s="1"/>
  <c r="S163" i="58" s="1"/>
  <c r="S24" i="58"/>
  <c r="AG128" i="58"/>
  <c r="BO128" i="58"/>
  <c r="O128" i="58"/>
  <c r="AU128" i="58"/>
  <c r="AU139" i="58" s="1"/>
  <c r="AY128" i="58"/>
  <c r="AY139" i="58" s="1"/>
  <c r="BB128" i="58"/>
  <c r="BB139" i="58" s="1"/>
  <c r="AC128" i="58"/>
  <c r="AC139" i="58" s="1"/>
  <c r="T135" i="55"/>
  <c r="AK128" i="58"/>
  <c r="T133" i="55"/>
  <c r="K59" i="47" s="1"/>
  <c r="U82" i="55"/>
  <c r="L37" i="47" s="1"/>
  <c r="M129" i="58"/>
  <c r="M140" i="58" s="1"/>
  <c r="P129" i="58"/>
  <c r="T129" i="58"/>
  <c r="T140" i="58" s="1"/>
  <c r="X129" i="58"/>
  <c r="BM129" i="58"/>
  <c r="BM140" i="58" s="1"/>
  <c r="BF128" i="58"/>
  <c r="T128" i="58"/>
  <c r="T139" i="58" s="1"/>
  <c r="W128" i="58"/>
  <c r="W139" i="58" s="1"/>
  <c r="M128" i="58"/>
  <c r="M139" i="58" s="1"/>
  <c r="AP129" i="58"/>
  <c r="AP140" i="58" s="1"/>
  <c r="AS129" i="58"/>
  <c r="AW129" i="58"/>
  <c r="AW140" i="58" s="1"/>
  <c r="AZ129" i="58"/>
  <c r="AH129" i="58"/>
  <c r="U143" i="58"/>
  <c r="AU143" i="58"/>
  <c r="P143" i="58"/>
  <c r="AP143" i="58"/>
  <c r="BR143" i="58"/>
  <c r="AW128" i="58"/>
  <c r="AW139" i="58" s="1"/>
  <c r="N129" i="58"/>
  <c r="N140" i="58" s="1"/>
  <c r="R129" i="58"/>
  <c r="R140" i="58" s="1"/>
  <c r="U129" i="58"/>
  <c r="Y129" i="58"/>
  <c r="Y140" i="58" s="1"/>
  <c r="BF129" i="58"/>
  <c r="BF140" i="58" s="1"/>
  <c r="BK128" i="58"/>
  <c r="BK139" i="58" s="1"/>
  <c r="BN128" i="58"/>
  <c r="BN139" i="58" s="1"/>
  <c r="BD128" i="58"/>
  <c r="BD139" i="58" s="1"/>
  <c r="AS128" i="58"/>
  <c r="AS139" i="58" s="1"/>
  <c r="Q128" i="58"/>
  <c r="Q139" i="58" s="1"/>
  <c r="BR128" i="58"/>
  <c r="BR139" i="58" s="1"/>
  <c r="AN128" i="58"/>
  <c r="AN139" i="58" s="1"/>
  <c r="U128" i="58"/>
  <c r="U139" i="58" s="1"/>
  <c r="Y128" i="58"/>
  <c r="Y139" i="58" s="1"/>
  <c r="BG128" i="58"/>
  <c r="BG139" i="58" s="1"/>
  <c r="BE129" i="58"/>
  <c r="BE140" i="58" s="1"/>
  <c r="BI129" i="58"/>
  <c r="BI140" i="58" s="1"/>
  <c r="BL129" i="58"/>
  <c r="BL140" i="58" s="1"/>
  <c r="BP129" i="58"/>
  <c r="I48" i="57"/>
  <c r="R128" i="58"/>
  <c r="V128" i="58"/>
  <c r="Z128" i="58"/>
  <c r="Z139" i="58" s="1"/>
  <c r="BE128" i="58"/>
  <c r="BE139" i="58" s="1"/>
  <c r="BC128" i="58"/>
  <c r="T112" i="55"/>
  <c r="K44" i="47" s="1"/>
  <c r="BJ128" i="58"/>
  <c r="BJ139" i="58" s="1"/>
  <c r="BM128" i="58"/>
  <c r="BM139" i="58" s="1"/>
  <c r="BQ128" i="58"/>
  <c r="BQ139" i="58" s="1"/>
  <c r="AR128" i="58"/>
  <c r="AR139" i="58" s="1"/>
  <c r="X128" i="58"/>
  <c r="X139" i="58" s="1"/>
  <c r="T118" i="55"/>
  <c r="AF77" i="57"/>
  <c r="AF80" i="57" s="1"/>
  <c r="AH128" i="58"/>
  <c r="AL128" i="58"/>
  <c r="AL139" i="58" s="1"/>
  <c r="AA128" i="58"/>
  <c r="AA139" i="58" s="1"/>
  <c r="P128" i="58"/>
  <c r="AV128" i="58"/>
  <c r="BL131" i="58"/>
  <c r="U131" i="58"/>
  <c r="U142" i="58" s="1"/>
  <c r="AA131" i="58"/>
  <c r="AA142" i="58" s="1"/>
  <c r="BB131" i="58"/>
  <c r="BB142" i="58" s="1"/>
  <c r="V131" i="58"/>
  <c r="T31" i="55"/>
  <c r="J136" i="47"/>
  <c r="J11" i="47"/>
  <c r="T95" i="55"/>
  <c r="K11" i="47" s="1"/>
  <c r="AT128" i="58"/>
  <c r="AT139" i="58" s="1"/>
  <c r="AX128" i="58"/>
  <c r="AX139" i="58" s="1"/>
  <c r="BA128" i="58"/>
  <c r="BA139" i="58" s="1"/>
  <c r="AB128" i="58"/>
  <c r="AE128" i="58"/>
  <c r="AE139" i="58" s="1"/>
  <c r="AN131" i="58"/>
  <c r="AN142" i="58" s="1"/>
  <c r="BJ131" i="58"/>
  <c r="BJ142" i="58" s="1"/>
  <c r="AC131" i="58"/>
  <c r="AC142" i="58" s="1"/>
  <c r="BC131" i="58"/>
  <c r="K9" i="56" a="1"/>
  <c r="K9" i="56" s="1"/>
  <c r="U9" i="56" s="1"/>
  <c r="AE9" i="56" s="1"/>
  <c r="AF15" i="44"/>
  <c r="AG15" i="44" s="1"/>
  <c r="AS131" i="58"/>
  <c r="AS142" i="58" s="1"/>
  <c r="M131" i="58"/>
  <c r="M142" i="58" s="1"/>
  <c r="AO131" i="58"/>
  <c r="AO142" i="58" s="1"/>
  <c r="BO131" i="58"/>
  <c r="BO142" i="58" s="1"/>
  <c r="X131" i="58"/>
  <c r="X142" i="58" s="1"/>
  <c r="AZ127" i="58"/>
  <c r="AZ138" i="58" s="1"/>
  <c r="AA127" i="58"/>
  <c r="AA138" i="58" s="1"/>
  <c r="P127" i="58"/>
  <c r="P138" i="58" s="1"/>
  <c r="S127" i="58"/>
  <c r="S138" i="58" s="1"/>
  <c r="BQ127" i="58"/>
  <c r="O71" i="58" a="1"/>
  <c r="O71" i="58" s="1"/>
  <c r="T120" i="55"/>
  <c r="AU131" i="58"/>
  <c r="AU142" i="58" s="1"/>
  <c r="Y131" i="58"/>
  <c r="Y142" i="58" s="1"/>
  <c r="BA131" i="58"/>
  <c r="BA142" i="58" s="1"/>
  <c r="T131" i="58"/>
  <c r="T142" i="58" s="1"/>
  <c r="AJ131" i="58"/>
  <c r="AJ142" i="58" s="1"/>
  <c r="T105" i="55"/>
  <c r="AA129" i="58"/>
  <c r="AE129" i="58"/>
  <c r="AE140" i="58" s="1"/>
  <c r="AI129" i="58"/>
  <c r="AI140" i="58" s="1"/>
  <c r="AL129" i="58"/>
  <c r="AL140" i="58" s="1"/>
  <c r="V129" i="58"/>
  <c r="V140" i="58" s="1"/>
  <c r="V36" i="55"/>
  <c r="BD129" i="58"/>
  <c r="BD140" i="58" s="1"/>
  <c r="BH129" i="58"/>
  <c r="BH140" i="58" s="1"/>
  <c r="BK129" i="58"/>
  <c r="BK140" i="58" s="1"/>
  <c r="BO129" i="58"/>
  <c r="BO140" i="58" s="1"/>
  <c r="AT129" i="58"/>
  <c r="AT140" i="58" s="1"/>
  <c r="AZ128" i="58"/>
  <c r="AZ139" i="58" s="1"/>
  <c r="AO128" i="58"/>
  <c r="AO139" i="58" s="1"/>
  <c r="AD128" i="58"/>
  <c r="AD139" i="58" s="1"/>
  <c r="BH128" i="58"/>
  <c r="BH139" i="58" s="1"/>
  <c r="AB129" i="58"/>
  <c r="AF129" i="58"/>
  <c r="AF140" i="58" s="1"/>
  <c r="AJ129" i="58"/>
  <c r="AJ140" i="58" s="1"/>
  <c r="AM129" i="58"/>
  <c r="AM140" i="58" s="1"/>
  <c r="BR129" i="58"/>
  <c r="BR140" i="58" s="1"/>
  <c r="S78" i="58" a="1"/>
  <c r="S78" i="58" s="1"/>
  <c r="AQ129" i="58"/>
  <c r="AQ140" i="58" s="1"/>
  <c r="AU129" i="58"/>
  <c r="AX129" i="58"/>
  <c r="BB129" i="58"/>
  <c r="AF128" i="58"/>
  <c r="AI128" i="58"/>
  <c r="AM128" i="58"/>
  <c r="N128" i="58"/>
  <c r="N139" i="58" s="1"/>
  <c r="S128" i="58"/>
  <c r="S139" i="58" s="1"/>
  <c r="O70" i="58" a="1"/>
  <c r="O70" i="58" s="1"/>
  <c r="P70" i="58" s="1" a="1"/>
  <c r="P70" i="58" s="1"/>
  <c r="P162" i="58" s="1"/>
  <c r="R165" i="58"/>
  <c r="J38" i="47"/>
  <c r="T87" i="55"/>
  <c r="V15" i="55" a="1"/>
  <c r="V15" i="55" s="1"/>
  <c r="V91" i="55" s="1"/>
  <c r="O9" i="44"/>
  <c r="BC129" i="58"/>
  <c r="AR129" i="58"/>
  <c r="AV129" i="58"/>
  <c r="AY129" i="58"/>
  <c r="AO129" i="58"/>
  <c r="AO140" i="58" s="1"/>
  <c r="U91" i="55"/>
  <c r="U96" i="55" s="1"/>
  <c r="U34" i="55"/>
  <c r="BQ129" i="58"/>
  <c r="BG129" i="58"/>
  <c r="BG140" i="58" s="1"/>
  <c r="BJ129" i="58"/>
  <c r="BN129" i="58"/>
  <c r="BA129" i="58"/>
  <c r="BA140" i="58" s="1"/>
  <c r="N89" i="60"/>
  <c r="N102" i="60" s="1"/>
  <c r="I68" i="47" s="1"/>
  <c r="O81" i="60"/>
  <c r="O89" i="60" s="1"/>
  <c r="O102" i="60" s="1"/>
  <c r="J68" i="47" s="1"/>
  <c r="J21" i="47"/>
  <c r="T116" i="55"/>
  <c r="AQ132" i="58"/>
  <c r="AQ143" i="58" s="1"/>
  <c r="Z132" i="58"/>
  <c r="Z143" i="58" s="1"/>
  <c r="AK132" i="58"/>
  <c r="AK143" i="58" s="1"/>
  <c r="BL132" i="58"/>
  <c r="BL143" i="58" s="1"/>
  <c r="AF132" i="58"/>
  <c r="AF143" i="58" s="1"/>
  <c r="AN130" i="58"/>
  <c r="AN141" i="58" s="1"/>
  <c r="AC130" i="58"/>
  <c r="AC141" i="58" s="1"/>
  <c r="AH130" i="58"/>
  <c r="AH141" i="58" s="1"/>
  <c r="BK130" i="58"/>
  <c r="BK141" i="58" s="1"/>
  <c r="BR130" i="58"/>
  <c r="BR141" i="58" s="1"/>
  <c r="M130" i="58"/>
  <c r="M141" i="58" s="1"/>
  <c r="R130" i="58"/>
  <c r="R141" i="58" s="1"/>
  <c r="AY130" i="58"/>
  <c r="AY141" i="58" s="1"/>
  <c r="Q132" i="58"/>
  <c r="J40" i="47"/>
  <c r="T90" i="55"/>
  <c r="W130" i="58"/>
  <c r="W141" i="58" s="1"/>
  <c r="BF130" i="58"/>
  <c r="BF141" i="58" s="1"/>
  <c r="AS132" i="58"/>
  <c r="BJ132" i="58"/>
  <c r="BJ143" i="58" s="1"/>
  <c r="AW132" i="58"/>
  <c r="AR132" i="58"/>
  <c r="AR143" i="58" s="1"/>
  <c r="BH133" i="58"/>
  <c r="BH144" i="58" s="1"/>
  <c r="BE133" i="58"/>
  <c r="BE144" i="58" s="1"/>
  <c r="Z133" i="58"/>
  <c r="Z144" i="58" s="1"/>
  <c r="AZ133" i="58"/>
  <c r="AZ144" i="58" s="1"/>
  <c r="AE132" i="58"/>
  <c r="AE143" i="58" s="1"/>
  <c r="BI132" i="58"/>
  <c r="BI143" i="58" s="1"/>
  <c r="AC132" i="58"/>
  <c r="AC143" i="58" s="1"/>
  <c r="BD132" i="58"/>
  <c r="BD143" i="58" s="1"/>
  <c r="U104" i="55"/>
  <c r="L47" i="47" s="1"/>
  <c r="J12" i="47"/>
  <c r="T100" i="55"/>
  <c r="AV132" i="58"/>
  <c r="AV143" i="58" s="1"/>
  <c r="BO132" i="58"/>
  <c r="BO143" i="58" s="1"/>
  <c r="O132" i="58"/>
  <c r="O143" i="58" s="1"/>
  <c r="AO132" i="58"/>
  <c r="AO143" i="58" s="1"/>
  <c r="BP132" i="58"/>
  <c r="BP143" i="58" s="1"/>
  <c r="J30" i="47"/>
  <c r="T124" i="55"/>
  <c r="N132" i="58"/>
  <c r="N143" i="58" s="1"/>
  <c r="AG132" i="58"/>
  <c r="AG143" i="58" s="1"/>
  <c r="AA132" i="58"/>
  <c r="AA143" i="58" s="1"/>
  <c r="BA132" i="58"/>
  <c r="BA143" i="58" s="1"/>
  <c r="V132" i="58"/>
  <c r="V143" i="58" s="1"/>
  <c r="BC142" i="58"/>
  <c r="AX132" i="58"/>
  <c r="AX143" i="58" s="1"/>
  <c r="BQ132" i="58"/>
  <c r="BQ143" i="58" s="1"/>
  <c r="AM132" i="58"/>
  <c r="AM143" i="58" s="1"/>
  <c r="BM132" i="58"/>
  <c r="BM143" i="58" s="1"/>
  <c r="AH132" i="58"/>
  <c r="AH143" i="58" s="1"/>
  <c r="S132" i="58"/>
  <c r="S143" i="58" s="1"/>
  <c r="W132" i="58"/>
  <c r="W143" i="58" s="1"/>
  <c r="AY132" i="58"/>
  <c r="AY143" i="58" s="1"/>
  <c r="R132" i="58"/>
  <c r="R143" i="58" s="1"/>
  <c r="AT132" i="58"/>
  <c r="AT143" i="58" s="1"/>
  <c r="BC132" i="58"/>
  <c r="BC143" i="58" s="1"/>
  <c r="AI132" i="58"/>
  <c r="AI143" i="58" s="1"/>
  <c r="BK132" i="58"/>
  <c r="BK143" i="58" s="1"/>
  <c r="AD132" i="58"/>
  <c r="AD143" i="58" s="1"/>
  <c r="BF132" i="58"/>
  <c r="BF143" i="58" s="1"/>
  <c r="S75" i="58" a="1"/>
  <c r="S75" i="58" s="1"/>
  <c r="BN130" i="58"/>
  <c r="AW130" i="58"/>
  <c r="AW141" i="58" s="1"/>
  <c r="BG130" i="58"/>
  <c r="BG141" i="58" s="1"/>
  <c r="BD130" i="58"/>
  <c r="AC134" i="58"/>
  <c r="AQ134" i="58"/>
  <c r="AQ145" i="58" s="1"/>
  <c r="AL134" i="58"/>
  <c r="AL145" i="58" s="1"/>
  <c r="BN134" i="58"/>
  <c r="BN145" i="58" s="1"/>
  <c r="BE132" i="58"/>
  <c r="BE143" i="58" s="1"/>
  <c r="BG132" i="58"/>
  <c r="BG143" i="58" s="1"/>
  <c r="AB132" i="58"/>
  <c r="AB143" i="58" s="1"/>
  <c r="BB132" i="58"/>
  <c r="BB143" i="58" s="1"/>
  <c r="J24" i="47"/>
  <c r="T121" i="55"/>
  <c r="S133" i="58"/>
  <c r="S144" i="58" s="1"/>
  <c r="AO133" i="58"/>
  <c r="AO144" i="58" s="1"/>
  <c r="AK133" i="58"/>
  <c r="AK144" i="58" s="1"/>
  <c r="BF133" i="58"/>
  <c r="BF144" i="58" s="1"/>
  <c r="AG133" i="58"/>
  <c r="AG144" i="58" s="1"/>
  <c r="BI133" i="58"/>
  <c r="BI144" i="58" s="1"/>
  <c r="AB133" i="58"/>
  <c r="AB144" i="58" s="1"/>
  <c r="BD133" i="58"/>
  <c r="BD144" i="58" s="1"/>
  <c r="F123" i="57"/>
  <c r="AE77" i="57"/>
  <c r="AE80" i="57" s="1"/>
  <c r="AB131" i="58"/>
  <c r="AB142" i="58" s="1"/>
  <c r="AZ131" i="58"/>
  <c r="AZ142" i="58" s="1"/>
  <c r="O131" i="58"/>
  <c r="O142" i="58" s="1"/>
  <c r="AP131" i="58"/>
  <c r="BP131" i="58"/>
  <c r="BP142" i="58" s="1"/>
  <c r="Q25" i="60"/>
  <c r="Q17" i="60" s="1"/>
  <c r="AK127" i="58"/>
  <c r="AK138" i="58" s="1"/>
  <c r="M127" i="58"/>
  <c r="M138" i="58" s="1"/>
  <c r="BF127" i="58"/>
  <c r="BF138" i="58" s="1"/>
  <c r="BI127" i="58"/>
  <c r="BI138" i="58" s="1"/>
  <c r="BE127" i="58"/>
  <c r="AA144" i="58"/>
  <c r="X144" i="58"/>
  <c r="N144" i="58"/>
  <c r="F128" i="57"/>
  <c r="U122" i="55"/>
  <c r="L28" i="47" s="1"/>
  <c r="Q6" i="35" a="1"/>
  <c r="Q6" i="35" s="1"/>
  <c r="P7" i="44"/>
  <c r="U43" i="55"/>
  <c r="L135" i="47" s="1"/>
  <c r="K135" i="47"/>
  <c r="BG144" i="58"/>
  <c r="N33" i="44"/>
  <c r="N36" i="44" s="1"/>
  <c r="R22" i="60" s="1" a="1"/>
  <c r="R22" i="60" s="1"/>
  <c r="R34" i="60" s="1"/>
  <c r="R37" i="60" s="1"/>
  <c r="AG142" i="58"/>
  <c r="BN127" i="58"/>
  <c r="BN138" i="58" s="1"/>
  <c r="AO127" i="58"/>
  <c r="AO138" i="58" s="1"/>
  <c r="AD127" i="58"/>
  <c r="AD138" i="58" s="1"/>
  <c r="AH127" i="58"/>
  <c r="AH138" i="58" s="1"/>
  <c r="Z127" i="58"/>
  <c r="Z138" i="58" s="1"/>
  <c r="J6" i="47"/>
  <c r="N25" i="35"/>
  <c r="J8" i="47"/>
  <c r="N23" i="35"/>
  <c r="J9" i="47"/>
  <c r="N24" i="35"/>
  <c r="AH144" i="58"/>
  <c r="BP144" i="58"/>
  <c r="AQ133" i="58"/>
  <c r="AQ144" i="58" s="1"/>
  <c r="AC133" i="58"/>
  <c r="AC144" i="58" s="1"/>
  <c r="BQ133" i="58"/>
  <c r="BQ144" i="58" s="1"/>
  <c r="AL133" i="58"/>
  <c r="AL144" i="58" s="1"/>
  <c r="BL133" i="58"/>
  <c r="BL144" i="58" s="1"/>
  <c r="BQ131" i="58"/>
  <c r="BQ142" i="58" s="1"/>
  <c r="W131" i="58"/>
  <c r="W142" i="58" s="1"/>
  <c r="AY131" i="58"/>
  <c r="AY142" i="58" s="1"/>
  <c r="S131" i="58"/>
  <c r="S142" i="58" s="1"/>
  <c r="AT131" i="58"/>
  <c r="AT142" i="58" s="1"/>
  <c r="X127" i="58"/>
  <c r="X138" i="58" s="1"/>
  <c r="BC127" i="58"/>
  <c r="BC138" i="58" s="1"/>
  <c r="AR127" i="58"/>
  <c r="AR138" i="58" s="1"/>
  <c r="AV127" i="58"/>
  <c r="AV138" i="58" s="1"/>
  <c r="AL127" i="58"/>
  <c r="AL138" i="58" s="1"/>
  <c r="BD134" i="58"/>
  <c r="BD145" i="58" s="1"/>
  <c r="AO134" i="58"/>
  <c r="BQ134" i="58"/>
  <c r="BQ145" i="58" s="1"/>
  <c r="AK134" i="58"/>
  <c r="AK145" i="58" s="1"/>
  <c r="BL134" i="58"/>
  <c r="AS144" i="58"/>
  <c r="AN144" i="58"/>
  <c r="AI131" i="58"/>
  <c r="AI142" i="58" s="1"/>
  <c r="BG131" i="58"/>
  <c r="BK131" i="58"/>
  <c r="BK142" i="58" s="1"/>
  <c r="AE131" i="58"/>
  <c r="BF131" i="58"/>
  <c r="BF142" i="58" s="1"/>
  <c r="AM127" i="58"/>
  <c r="AM138" i="58" s="1"/>
  <c r="BR127" i="58"/>
  <c r="BR138" i="58" s="1"/>
  <c r="BG127" i="58"/>
  <c r="BG138" i="58" s="1"/>
  <c r="BK127" i="58"/>
  <c r="BK138" i="58" s="1"/>
  <c r="AX127" i="58"/>
  <c r="AX138" i="58" s="1"/>
  <c r="N164" i="58"/>
  <c r="O72" i="58" a="1"/>
  <c r="O72" i="58" s="1"/>
  <c r="J35" i="47"/>
  <c r="T84" i="55"/>
  <c r="AT133" i="58"/>
  <c r="AT144" i="58" s="1"/>
  <c r="BM133" i="58"/>
  <c r="BM144" i="58" s="1"/>
  <c r="W133" i="58"/>
  <c r="W144" i="58" s="1"/>
  <c r="AX133" i="58"/>
  <c r="AX144" i="58" s="1"/>
  <c r="R133" i="58"/>
  <c r="R144" i="58" s="1"/>
  <c r="U132" i="55"/>
  <c r="L55" i="47" s="1"/>
  <c r="V29" i="55"/>
  <c r="AE133" i="58"/>
  <c r="AE144" i="58" s="1"/>
  <c r="AI133" i="58"/>
  <c r="AI144" i="58" s="1"/>
  <c r="BJ133" i="58"/>
  <c r="BJ144" i="58" s="1"/>
  <c r="AD133" i="58"/>
  <c r="AD144" i="58" s="1"/>
  <c r="BF139" i="58"/>
  <c r="AJ128" i="58"/>
  <c r="AJ139" i="58" s="1"/>
  <c r="AL131" i="58"/>
  <c r="Z131" i="58"/>
  <c r="Q131" i="58"/>
  <c r="Q142" i="58" s="1"/>
  <c r="AQ131" i="58"/>
  <c r="AQ142" i="58" s="1"/>
  <c r="BR131" i="58"/>
  <c r="R166" i="58"/>
  <c r="BA127" i="58"/>
  <c r="BA138" i="58" s="1"/>
  <c r="N127" i="58"/>
  <c r="Q127" i="58"/>
  <c r="Q138" i="58" s="1"/>
  <c r="T127" i="58"/>
  <c r="BJ127" i="58"/>
  <c r="BJ138" i="58" s="1"/>
  <c r="AG38" i="57"/>
  <c r="M38" i="57" s="1"/>
  <c r="J38" i="57"/>
  <c r="L38" i="57"/>
  <c r="K38" i="57"/>
  <c r="BO127" i="58"/>
  <c r="AB127" i="58"/>
  <c r="AE127" i="58"/>
  <c r="AI127" i="58"/>
  <c r="J7" i="47"/>
  <c r="N26" i="35"/>
  <c r="J31" i="47"/>
  <c r="T81" i="55"/>
  <c r="V127" i="58"/>
  <c r="V138" i="58" s="1"/>
  <c r="AP127" i="58"/>
  <c r="AP138" i="58" s="1"/>
  <c r="AT127" i="58"/>
  <c r="AT138" i="58" s="1"/>
  <c r="AW127" i="58"/>
  <c r="AG37" i="57"/>
  <c r="M37" i="57" s="1"/>
  <c r="K37" i="57"/>
  <c r="J37" i="57"/>
  <c r="L37" i="57"/>
  <c r="BR144" i="58"/>
  <c r="M144" i="58"/>
  <c r="AM144" i="58"/>
  <c r="BH127" i="58"/>
  <c r="BH138" i="58" s="1"/>
  <c r="J18" i="47"/>
  <c r="T97" i="55"/>
  <c r="W11" i="55" a="1"/>
  <c r="W11" i="55" s="1"/>
  <c r="W30" i="55" s="1"/>
  <c r="P19" i="44"/>
  <c r="Q144" i="58"/>
  <c r="AY133" i="58"/>
  <c r="AY144" i="58" s="1"/>
  <c r="AY127" i="58"/>
  <c r="AN127" i="58"/>
  <c r="AN138" i="58" s="1"/>
  <c r="O127" i="58"/>
  <c r="O138" i="58" s="1"/>
  <c r="R127" i="58"/>
  <c r="R138" i="58" s="1"/>
  <c r="U127" i="58"/>
  <c r="AF133" i="58"/>
  <c r="AF144" i="58" s="1"/>
  <c r="AX131" i="58"/>
  <c r="AX142" i="58" s="1"/>
  <c r="AW131" i="58"/>
  <c r="AW142" i="58" s="1"/>
  <c r="R131" i="58"/>
  <c r="R142" i="58" s="1"/>
  <c r="AR131" i="58"/>
  <c r="BH131" i="58"/>
  <c r="BM127" i="58"/>
  <c r="BB127" i="58"/>
  <c r="AC127" i="58"/>
  <c r="AC138" i="58" s="1"/>
  <c r="AF127" i="58"/>
  <c r="AF138" i="58" s="1"/>
  <c r="AG127" i="58"/>
  <c r="AG138" i="58" s="1"/>
  <c r="J56" i="47"/>
  <c r="T130" i="55"/>
  <c r="BB144" i="58"/>
  <c r="BA144" i="58"/>
  <c r="BN144" i="58"/>
  <c r="AJ127" i="58"/>
  <c r="Y127" i="58"/>
  <c r="Y138" i="58" s="1"/>
  <c r="BD127" i="58"/>
  <c r="BL127" i="58"/>
  <c r="AJ133" i="58"/>
  <c r="AJ144" i="58" s="1"/>
  <c r="Y133" i="58"/>
  <c r="Y144" i="58" s="1"/>
  <c r="T133" i="58"/>
  <c r="T144" i="58" s="1"/>
  <c r="BC133" i="58"/>
  <c r="BC144" i="58" s="1"/>
  <c r="BK133" i="58"/>
  <c r="BK144" i="58" s="1"/>
  <c r="U80" i="55"/>
  <c r="L36" i="47" s="1"/>
  <c r="V133" i="58"/>
  <c r="V144" i="58" s="1"/>
  <c r="U133" i="58"/>
  <c r="U144" i="58" s="1"/>
  <c r="AW133" i="58"/>
  <c r="AW144" i="58" s="1"/>
  <c r="P133" i="58"/>
  <c r="P144" i="58" s="1"/>
  <c r="AR133" i="58"/>
  <c r="AR144" i="58" s="1"/>
  <c r="F125" i="57"/>
  <c r="F129" i="57" s="1"/>
  <c r="P131" i="58"/>
  <c r="P142" i="58" s="1"/>
  <c r="BI131" i="58"/>
  <c r="BI142" i="58" s="1"/>
  <c r="AD131" i="58"/>
  <c r="AD142" i="58" s="1"/>
  <c r="BD131" i="58"/>
  <c r="W127" i="58"/>
  <c r="W138" i="58" s="1"/>
  <c r="BP127" i="58"/>
  <c r="BP138" i="58" s="1"/>
  <c r="AQ127" i="58"/>
  <c r="AQ138" i="58" s="1"/>
  <c r="AU127" i="58"/>
  <c r="AU138" i="58" s="1"/>
  <c r="AS127" i="58"/>
  <c r="AS138" i="58" s="1"/>
  <c r="R45" i="60" a="1"/>
  <c r="R45" i="60" s="1"/>
  <c r="N40" i="44"/>
  <c r="O39" i="44"/>
  <c r="M74" i="60"/>
  <c r="M77" i="60" s="1"/>
  <c r="AC85" i="57"/>
  <c r="I82" i="57"/>
  <c r="I85" i="57" s="1"/>
  <c r="R15" i="57"/>
  <c r="AB15" i="57"/>
  <c r="Y116" i="57"/>
  <c r="O128" i="57"/>
  <c r="P140" i="58"/>
  <c r="X140" i="58"/>
  <c r="AG30" i="57"/>
  <c r="J19" i="47"/>
  <c r="T101" i="55"/>
  <c r="L131" i="58"/>
  <c r="L190" i="58"/>
  <c r="Q86" i="56"/>
  <c r="AA59" i="56"/>
  <c r="AA86" i="56" s="1"/>
  <c r="AD85" i="58" a="1"/>
  <c r="AD85" i="58" s="1"/>
  <c r="R84" i="58" a="1"/>
  <c r="R84" i="58" s="1"/>
  <c r="S84" i="58" s="1" a="1"/>
  <c r="S84" i="58" s="1"/>
  <c r="T84" i="58" a="1"/>
  <c r="T84" i="58" s="1"/>
  <c r="U84" i="58" s="1" a="1"/>
  <c r="U84" i="58" s="1"/>
  <c r="V84" i="58" s="1" a="1"/>
  <c r="V84" i="58" s="1"/>
  <c r="W84" i="58" s="1" a="1"/>
  <c r="W84" i="58" s="1"/>
  <c r="X84" i="58" s="1" a="1"/>
  <c r="X84" i="58" s="1"/>
  <c r="Y84" i="58" s="1" a="1"/>
  <c r="Y84" i="58" s="1"/>
  <c r="Z84" i="58" s="1" a="1"/>
  <c r="Z84" i="58" s="1"/>
  <c r="AA84" i="58" s="1" a="1"/>
  <c r="AA84" i="58" s="1"/>
  <c r="AB84" i="58" s="1" a="1"/>
  <c r="AB84" i="58" s="1"/>
  <c r="AC84" i="58" s="1" a="1"/>
  <c r="AC84" i="58" s="1"/>
  <c r="I84" i="58"/>
  <c r="U38" i="55"/>
  <c r="K132" i="47"/>
  <c r="K73" i="58"/>
  <c r="AO73" i="58" a="1"/>
  <c r="AO73" i="58" s="1"/>
  <c r="AP73" i="58" s="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Z73" i="58" s="1" a="1"/>
  <c r="AZ73" i="58" s="1"/>
  <c r="BA73" i="58" s="1" a="1"/>
  <c r="BA73" i="58" s="1"/>
  <c r="BB73" i="58" s="1" a="1"/>
  <c r="BB73" i="58" s="1"/>
  <c r="BC73" i="58" s="1" a="1"/>
  <c r="BC73" i="58" s="1"/>
  <c r="BD73" i="58" s="1" a="1"/>
  <c r="BD73" i="58" s="1"/>
  <c r="BE73" i="58" s="1" a="1"/>
  <c r="BE73" i="58" s="1"/>
  <c r="BF73" i="58" s="1" a="1"/>
  <c r="BF73" i="58" s="1"/>
  <c r="BG73" i="58" s="1" a="1"/>
  <c r="BG73" i="58" s="1"/>
  <c r="BH73" i="58" s="1" a="1"/>
  <c r="BH73" i="58" s="1"/>
  <c r="BI73" i="58" s="1" a="1"/>
  <c r="BI73" i="58" s="1"/>
  <c r="BJ73" i="58" s="1" a="1"/>
  <c r="BJ73" i="58" s="1"/>
  <c r="BK73" i="58" s="1" a="1"/>
  <c r="BK73" i="58" s="1"/>
  <c r="BL73" i="58" s="1" a="1"/>
  <c r="BL73" i="58" s="1"/>
  <c r="BM73" i="58" s="1" a="1"/>
  <c r="BM73" i="58" s="1"/>
  <c r="BN73" i="58" s="1" a="1"/>
  <c r="BN73" i="58" s="1"/>
  <c r="BO73" i="58" s="1" a="1"/>
  <c r="BO73" i="58" s="1"/>
  <c r="BP73" i="58" s="1" a="1"/>
  <c r="BP73" i="58" s="1"/>
  <c r="BQ73" i="58" s="1" a="1"/>
  <c r="BQ73" i="58" s="1"/>
  <c r="BR73" i="58" s="1" a="1"/>
  <c r="BR73" i="58" s="1"/>
  <c r="U39" i="55"/>
  <c r="K131" i="47"/>
  <c r="U42" i="55"/>
  <c r="K134" i="47"/>
  <c r="BA135" i="58"/>
  <c r="BA146" i="58" s="1"/>
  <c r="AL135" i="58"/>
  <c r="AL146" i="58" s="1"/>
  <c r="R135" i="58"/>
  <c r="R146" i="58" s="1"/>
  <c r="AS135" i="58"/>
  <c r="AS146" i="58" s="1"/>
  <c r="M135" i="58"/>
  <c r="M146" i="58" s="1"/>
  <c r="U180" i="56" a="1"/>
  <c r="U180" i="56" s="1"/>
  <c r="H96" i="56"/>
  <c r="BK134" i="58"/>
  <c r="BK145" i="58" s="1"/>
  <c r="AE134" i="58"/>
  <c r="AE145" i="58" s="1"/>
  <c r="BG134" i="58"/>
  <c r="BG145" i="58" s="1"/>
  <c r="Z134" i="58"/>
  <c r="Z145" i="58" s="1"/>
  <c r="BB134" i="58"/>
  <c r="BB145" i="58" s="1"/>
  <c r="AC43" i="56"/>
  <c r="S76" i="56"/>
  <c r="K16" i="47"/>
  <c r="AC73" i="57"/>
  <c r="G73" i="57"/>
  <c r="S33" i="29" a="1"/>
  <c r="S33" i="29" s="1"/>
  <c r="S5" i="29" a="1"/>
  <c r="S5" i="29" s="1"/>
  <c r="AJ27" i="44"/>
  <c r="AK27" i="44" s="1"/>
  <c r="W25" i="55" a="1"/>
  <c r="W25" i="55" s="1"/>
  <c r="W125" i="55" s="1"/>
  <c r="P22" i="44"/>
  <c r="O163" i="58"/>
  <c r="P71" i="58" a="1"/>
  <c r="P71" i="58" s="1"/>
  <c r="P163" i="58" s="1"/>
  <c r="AA140" i="58"/>
  <c r="Q94" i="58" a="1"/>
  <c r="Q94" i="58" s="1"/>
  <c r="Q153" i="58" s="1"/>
  <c r="G94" i="58"/>
  <c r="M94" i="58" a="1"/>
  <c r="M94" i="58" s="1"/>
  <c r="M153" i="58" s="1"/>
  <c r="M138" i="47"/>
  <c r="P127" i="57"/>
  <c r="BE138" i="58"/>
  <c r="N167" i="58"/>
  <c r="O75" i="58" a="1"/>
  <c r="O75" i="58" s="1"/>
  <c r="W17" i="55" a="1"/>
  <c r="W17" i="55" s="1"/>
  <c r="W103" i="55" s="1"/>
  <c r="P20" i="44"/>
  <c r="AO76" i="58" a="1"/>
  <c r="AO76" i="58" s="1"/>
  <c r="AP76" i="58" s="1"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K76" i="58"/>
  <c r="AD82" i="58" a="1"/>
  <c r="AD82" i="58" s="1"/>
  <c r="S135" i="58"/>
  <c r="S146" i="58" s="1"/>
  <c r="AO135" i="58"/>
  <c r="AO146" i="58" s="1"/>
  <c r="AD135" i="58"/>
  <c r="AD146" i="58" s="1"/>
  <c r="BE135" i="58"/>
  <c r="BE146" i="58" s="1"/>
  <c r="Y135" i="58"/>
  <c r="Y146" i="58" s="1"/>
  <c r="T89" i="58" a="1"/>
  <c r="T89" i="58" s="1"/>
  <c r="U89" i="58" s="1" a="1"/>
  <c r="U89" i="58" s="1"/>
  <c r="V89" i="58" s="1" a="1"/>
  <c r="V89" i="58" s="1"/>
  <c r="W89" i="58" s="1" a="1"/>
  <c r="W89" i="58" s="1"/>
  <c r="X89" i="58" s="1" a="1"/>
  <c r="X89" i="58" s="1"/>
  <c r="Y89" i="58" s="1" a="1"/>
  <c r="Y89" i="58" s="1"/>
  <c r="Z89" i="58" s="1" a="1"/>
  <c r="Z89" i="58" s="1"/>
  <c r="AA89" i="58" s="1" a="1"/>
  <c r="AA89" i="58" s="1"/>
  <c r="AB89" i="58" s="1" a="1"/>
  <c r="AB89" i="58" s="1"/>
  <c r="AC89" i="58" s="1" a="1"/>
  <c r="AC89" i="58" s="1"/>
  <c r="R89" i="58" a="1"/>
  <c r="R89" i="58" s="1"/>
  <c r="S89" i="58" s="1" a="1"/>
  <c r="S89" i="58" s="1"/>
  <c r="I89" i="58"/>
  <c r="U184" i="56" a="1"/>
  <c r="U184" i="56" s="1"/>
  <c r="H100" i="56"/>
  <c r="J45" i="47"/>
  <c r="T110" i="55"/>
  <c r="AC145" i="58"/>
  <c r="L134" i="58"/>
  <c r="L193" i="58"/>
  <c r="AG144" i="57"/>
  <c r="M144" i="57" s="1"/>
  <c r="L144" i="57"/>
  <c r="J144" i="57"/>
  <c r="K144" i="57"/>
  <c r="O127" i="57"/>
  <c r="Y115" i="57"/>
  <c r="M35" i="57"/>
  <c r="J53" i="47"/>
  <c r="T129" i="55"/>
  <c r="R56" i="56"/>
  <c r="R52" i="56"/>
  <c r="R58" i="56"/>
  <c r="R54" i="56"/>
  <c r="R57" i="56"/>
  <c r="R53" i="56"/>
  <c r="S60" i="56"/>
  <c r="AB60" i="56"/>
  <c r="AD60" i="56" s="1"/>
  <c r="R55" i="56"/>
  <c r="R59" i="56"/>
  <c r="R51" i="56"/>
  <c r="T85" i="58" a="1"/>
  <c r="T85" i="58" s="1"/>
  <c r="U85" i="58" s="1" a="1"/>
  <c r="U85" i="58" s="1"/>
  <c r="V85" i="58" s="1" a="1"/>
  <c r="V85" i="58" s="1"/>
  <c r="W85" i="58" s="1" a="1"/>
  <c r="W85" i="58" s="1"/>
  <c r="X85" i="58" s="1" a="1"/>
  <c r="X85" i="58" s="1"/>
  <c r="Y85" i="58" s="1" a="1"/>
  <c r="Y85" i="58" s="1"/>
  <c r="Z85" i="58" s="1" a="1"/>
  <c r="Z85" i="58" s="1"/>
  <c r="AA85" i="58" s="1" a="1"/>
  <c r="AA85" i="58" s="1"/>
  <c r="AB85" i="58" s="1" a="1"/>
  <c r="AB85" i="58" s="1"/>
  <c r="AC85" i="58" s="1" a="1"/>
  <c r="AC85" i="58" s="1"/>
  <c r="R85" i="58" a="1"/>
  <c r="R85" i="58" s="1"/>
  <c r="S85" i="58" s="1" a="1"/>
  <c r="S85" i="58" s="1"/>
  <c r="I85" i="58"/>
  <c r="J85" i="58" s="1"/>
  <c r="BL130" i="58"/>
  <c r="BL141" i="58" s="1"/>
  <c r="AT130" i="58"/>
  <c r="AT141" i="58" s="1"/>
  <c r="BA130" i="58"/>
  <c r="BA141" i="58" s="1"/>
  <c r="AQ130" i="58"/>
  <c r="AQ141" i="58" s="1"/>
  <c r="AV130" i="58"/>
  <c r="AV141" i="58" s="1"/>
  <c r="M95" i="58" a="1"/>
  <c r="M95" i="58" s="1"/>
  <c r="M154" i="58" s="1"/>
  <c r="Q95" i="58" a="1"/>
  <c r="Q95" i="58" s="1"/>
  <c r="Q154" i="58" s="1"/>
  <c r="G95" i="58"/>
  <c r="O114" i="60"/>
  <c r="I64" i="47"/>
  <c r="AA56" i="57"/>
  <c r="G32" i="57"/>
  <c r="G33" i="57" s="1"/>
  <c r="BQ138" i="58"/>
  <c r="J41" i="47"/>
  <c r="T89" i="55"/>
  <c r="X10" i="58" a="1"/>
  <c r="X10" i="58" s="1"/>
  <c r="P8" i="44"/>
  <c r="O30" i="44"/>
  <c r="O31" i="44" s="1"/>
  <c r="O168" i="58"/>
  <c r="P76" i="58" a="1"/>
  <c r="P76" i="58" s="1"/>
  <c r="P168" i="58" s="1"/>
  <c r="Q115" i="56" a="1"/>
  <c r="Q115" i="56" s="1"/>
  <c r="G80" i="56"/>
  <c r="O115" i="56" a="1"/>
  <c r="O115" i="56" s="1"/>
  <c r="L141" i="56" s="1"/>
  <c r="I91" i="47" s="1"/>
  <c r="N115" i="56" a="1"/>
  <c r="N115" i="56" s="1"/>
  <c r="K141" i="56" s="1"/>
  <c r="H91" i="47" s="1"/>
  <c r="BC135" i="58"/>
  <c r="BC146" i="58" s="1"/>
  <c r="AQ135" i="58"/>
  <c r="AQ146" i="58" s="1"/>
  <c r="AP135" i="58"/>
  <c r="AP146" i="58" s="1"/>
  <c r="BQ135" i="58"/>
  <c r="BQ146" i="58" s="1"/>
  <c r="AK135" i="58"/>
  <c r="AK146" i="58" s="1"/>
  <c r="M100" i="58" a="1"/>
  <c r="M100" i="58" s="1"/>
  <c r="M159" i="58" s="1"/>
  <c r="Q100" i="58" a="1"/>
  <c r="Q100" i="58" s="1"/>
  <c r="Q159" i="58" s="1"/>
  <c r="G100" i="58"/>
  <c r="U178" i="56" a="1"/>
  <c r="U178" i="56" s="1"/>
  <c r="H94" i="56"/>
  <c r="W22" i="55" a="1"/>
  <c r="W22" i="55" s="1"/>
  <c r="W114" i="55" s="1"/>
  <c r="P12" i="44"/>
  <c r="BM134" i="58"/>
  <c r="BM145" i="58" s="1"/>
  <c r="BC134" i="58"/>
  <c r="BC145" i="58" s="1"/>
  <c r="X134" i="58"/>
  <c r="X145" i="58" s="1"/>
  <c r="AX134" i="58"/>
  <c r="AX145" i="58" s="1"/>
  <c r="AG56" i="29" a="1"/>
  <c r="AG56" i="29" s="1"/>
  <c r="AD108" i="47" s="1"/>
  <c r="X56" i="29" a="1"/>
  <c r="X56" i="29" s="1"/>
  <c r="U108" i="47" s="1"/>
  <c r="P21" i="29"/>
  <c r="O21" i="29"/>
  <c r="R41" i="29"/>
  <c r="AF139" i="58"/>
  <c r="AI139" i="58"/>
  <c r="AM139" i="58"/>
  <c r="S70" i="58" a="1"/>
  <c r="S70" i="58" s="1"/>
  <c r="P104" i="60"/>
  <c r="J72" i="47"/>
  <c r="N142" i="58"/>
  <c r="AK142" i="58"/>
  <c r="BM142" i="58"/>
  <c r="AF142" i="58"/>
  <c r="AV142" i="58"/>
  <c r="P15" i="29"/>
  <c r="P14" i="29"/>
  <c r="X130" i="58"/>
  <c r="X141" i="58" s="1"/>
  <c r="N130" i="58"/>
  <c r="N141" i="58" s="1"/>
  <c r="S130" i="58"/>
  <c r="S141" i="58" s="1"/>
  <c r="BC130" i="58"/>
  <c r="BC141" i="58" s="1"/>
  <c r="BH130" i="58"/>
  <c r="BH141" i="58" s="1"/>
  <c r="J17" i="47"/>
  <c r="T99" i="55"/>
  <c r="U106" i="55"/>
  <c r="L48" i="47" s="1"/>
  <c r="AA87" i="57"/>
  <c r="G87" i="57" s="1"/>
  <c r="G90" i="57" s="1"/>
  <c r="Q90" i="57"/>
  <c r="Q57" i="57"/>
  <c r="Q50" i="57"/>
  <c r="AA49" i="57"/>
  <c r="J13" i="47"/>
  <c r="T98" i="55"/>
  <c r="X135" i="58"/>
  <c r="X146" i="58" s="1"/>
  <c r="L135" i="58"/>
  <c r="L194" i="58"/>
  <c r="BB135" i="58"/>
  <c r="BB146" i="58" s="1"/>
  <c r="V135" i="58"/>
  <c r="V146" i="58" s="1"/>
  <c r="AW135" i="58"/>
  <c r="AW146" i="58" s="1"/>
  <c r="AA33" i="55"/>
  <c r="Q127" i="47"/>
  <c r="U182" i="56" a="1"/>
  <c r="U182" i="56" s="1"/>
  <c r="H98" i="56"/>
  <c r="O134" i="58"/>
  <c r="O145" i="58" s="1"/>
  <c r="AF134" i="58"/>
  <c r="AF145" i="58" s="1"/>
  <c r="BO134" i="58"/>
  <c r="BO145" i="58" s="1"/>
  <c r="AJ134" i="58"/>
  <c r="AJ145" i="58" s="1"/>
  <c r="BJ134" i="58"/>
  <c r="BJ145" i="58" s="1"/>
  <c r="O117" i="60"/>
  <c r="I67" i="47"/>
  <c r="AC80" i="57"/>
  <c r="I77" i="57"/>
  <c r="I80" i="57" s="1"/>
  <c r="P101" i="60"/>
  <c r="J69" i="47"/>
  <c r="P99" i="60"/>
  <c r="J70" i="47"/>
  <c r="J79" i="47"/>
  <c r="O117" i="56" a="1"/>
  <c r="O117" i="56" s="1"/>
  <c r="L143" i="56" s="1"/>
  <c r="I93" i="47" s="1"/>
  <c r="N117" i="56" a="1"/>
  <c r="N117" i="56" s="1"/>
  <c r="K143" i="56" s="1"/>
  <c r="H93" i="47" s="1"/>
  <c r="Q117" i="56" a="1"/>
  <c r="Q117" i="56" s="1"/>
  <c r="G82" i="56"/>
  <c r="U140" i="58"/>
  <c r="AB139" i="58"/>
  <c r="J43" i="47"/>
  <c r="T107" i="55"/>
  <c r="AR142" i="58"/>
  <c r="BH142" i="58"/>
  <c r="AA52" i="56"/>
  <c r="AA79" i="56" s="1"/>
  <c r="Q79" i="56"/>
  <c r="Q95" i="56" s="1"/>
  <c r="AA95" i="56" s="1"/>
  <c r="Q112" i="56" a="1"/>
  <c r="Q112" i="56" s="1"/>
  <c r="G77" i="56"/>
  <c r="O112" i="56" a="1"/>
  <c r="O112" i="56" s="1"/>
  <c r="L138" i="56" s="1"/>
  <c r="I88" i="47" s="1"/>
  <c r="N112" i="56" a="1"/>
  <c r="N112" i="56" s="1"/>
  <c r="K138" i="56" s="1"/>
  <c r="H88" i="47" s="1"/>
  <c r="L14" i="29"/>
  <c r="M14" i="29" s="1"/>
  <c r="K27" i="29"/>
  <c r="AO130" i="58"/>
  <c r="AO141" i="58" s="1"/>
  <c r="AD130" i="58"/>
  <c r="AD141" i="58" s="1"/>
  <c r="AI130" i="58"/>
  <c r="AI141" i="58" s="1"/>
  <c r="BO130" i="58"/>
  <c r="BO141" i="58" s="1"/>
  <c r="Z130" i="58"/>
  <c r="Z141" i="58" s="1"/>
  <c r="J50" i="47"/>
  <c r="T109" i="55"/>
  <c r="P85" i="44"/>
  <c r="O108" i="60"/>
  <c r="I76" i="47"/>
  <c r="J10" i="47"/>
  <c r="T93" i="55"/>
  <c r="BH135" i="58"/>
  <c r="BH146" i="58" s="1"/>
  <c r="AV135" i="58"/>
  <c r="AV146" i="58" s="1"/>
  <c r="BN135" i="58"/>
  <c r="BN146" i="58" s="1"/>
  <c r="AH135" i="58"/>
  <c r="AH146" i="58" s="1"/>
  <c r="BI135" i="58"/>
  <c r="BI146" i="58" s="1"/>
  <c r="AD86" i="58" a="1"/>
  <c r="AD86" i="58" s="1"/>
  <c r="K77" i="58"/>
  <c r="AO77" i="58" a="1"/>
  <c r="AO77" i="58" s="1"/>
  <c r="AP77" i="58" s="1"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H102" i="56"/>
  <c r="H86" i="56"/>
  <c r="AU78" i="56" s="1"/>
  <c r="K15" i="47"/>
  <c r="AY134" i="58"/>
  <c r="AY145" i="58" s="1"/>
  <c r="BP134" i="58"/>
  <c r="BP145" i="58" s="1"/>
  <c r="U134" i="58"/>
  <c r="U145" i="58" s="1"/>
  <c r="AV134" i="58"/>
  <c r="AV145" i="58" s="1"/>
  <c r="P134" i="58"/>
  <c r="P145" i="58" s="1"/>
  <c r="T76" i="56"/>
  <c r="AD82" i="57"/>
  <c r="AG42" i="57"/>
  <c r="J42" i="57"/>
  <c r="K42" i="57"/>
  <c r="L42" i="57"/>
  <c r="AD81" i="58" a="1"/>
  <c r="AD81" i="58" s="1"/>
  <c r="V131" i="55"/>
  <c r="M60" i="47" s="1"/>
  <c r="V127" i="55"/>
  <c r="M52" i="47" s="1"/>
  <c r="AS140" i="58"/>
  <c r="AZ140" i="58"/>
  <c r="Q113" i="56" a="1"/>
  <c r="Q113" i="56" s="1"/>
  <c r="G78" i="56"/>
  <c r="O113" i="56" a="1"/>
  <c r="O113" i="56" s="1"/>
  <c r="L139" i="56" s="1"/>
  <c r="I89" i="47" s="1"/>
  <c r="N113" i="56" a="1"/>
  <c r="N113" i="56" s="1"/>
  <c r="K139" i="56" s="1"/>
  <c r="H89" i="47" s="1"/>
  <c r="Y60" i="57"/>
  <c r="R81" i="58" a="1"/>
  <c r="R81" i="58" s="1"/>
  <c r="S81" i="58" s="1" a="1"/>
  <c r="S81" i="58" s="1"/>
  <c r="T81" i="58" a="1"/>
  <c r="T81" i="58" s="1"/>
  <c r="U81" i="58" s="1" a="1"/>
  <c r="U81" i="58" s="1"/>
  <c r="V81" i="58" s="1" a="1"/>
  <c r="V81" i="58" s="1"/>
  <c r="W81" i="58" s="1" a="1"/>
  <c r="W81" i="58" s="1"/>
  <c r="X81" i="58" s="1" a="1"/>
  <c r="X81" i="58" s="1"/>
  <c r="Y81" i="58" s="1" a="1"/>
  <c r="Y81" i="58" s="1"/>
  <c r="Z81" i="58" s="1" a="1"/>
  <c r="Z81" i="58" s="1"/>
  <c r="AA81" i="58" s="1" a="1"/>
  <c r="AA81" i="58" s="1"/>
  <c r="AB81" i="58" s="1" a="1"/>
  <c r="AB81" i="58" s="1"/>
  <c r="AC81" i="58" s="1" a="1"/>
  <c r="AC81" i="58" s="1"/>
  <c r="I81" i="58"/>
  <c r="J81" i="58" s="1"/>
  <c r="AA117" i="57"/>
  <c r="K72" i="58"/>
  <c r="AO72" i="58" a="1"/>
  <c r="AO72" i="58" s="1"/>
  <c r="AP72" i="58" s="1" a="1"/>
  <c r="AP72" i="58" s="1"/>
  <c r="AQ72" i="58" s="1"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Z72" i="58" s="1" a="1"/>
  <c r="AZ72" i="58" s="1"/>
  <c r="BA72" i="58" s="1" a="1"/>
  <c r="BA72" i="58" s="1"/>
  <c r="BB72" i="58" s="1" a="1"/>
  <c r="BB72" i="58" s="1"/>
  <c r="BC72" i="58" s="1" a="1"/>
  <c r="BC72" i="58" s="1"/>
  <c r="BD72" i="58" s="1" a="1"/>
  <c r="BD72" i="58" s="1"/>
  <c r="BE72" i="58" s="1" a="1"/>
  <c r="BE72" i="58" s="1"/>
  <c r="BF72" i="58" s="1" a="1"/>
  <c r="BF72" i="58" s="1"/>
  <c r="BG72" i="58" s="1" a="1"/>
  <c r="BG72" i="58" s="1"/>
  <c r="BH72" i="58" s="1" a="1"/>
  <c r="BH72" i="58" s="1"/>
  <c r="BI72" i="58" s="1" a="1"/>
  <c r="BI72" i="58" s="1"/>
  <c r="BJ72" i="58" s="1" a="1"/>
  <c r="BJ72" i="58" s="1"/>
  <c r="BK72" i="58" s="1" a="1"/>
  <c r="BK72" i="58" s="1"/>
  <c r="BL72" i="58" s="1" a="1"/>
  <c r="BL72" i="58" s="1"/>
  <c r="BM72" i="58" s="1" a="1"/>
  <c r="BM72" i="58" s="1"/>
  <c r="BN72" i="58" s="1" a="1"/>
  <c r="BN72" i="58" s="1"/>
  <c r="BO72" i="58" s="1" a="1"/>
  <c r="BO72" i="58" s="1"/>
  <c r="BP72" i="58" s="1" a="1"/>
  <c r="BP72" i="58" s="1"/>
  <c r="BQ72" i="58" s="1" a="1"/>
  <c r="BQ72" i="58" s="1"/>
  <c r="BR72" i="58" s="1" a="1"/>
  <c r="BR72" i="58" s="1"/>
  <c r="Z60" i="57"/>
  <c r="F59" i="57"/>
  <c r="F60" i="57" s="1"/>
  <c r="J54" i="47"/>
  <c r="T134" i="55"/>
  <c r="U133" i="55"/>
  <c r="L59" i="47" s="1"/>
  <c r="Q169" i="58"/>
  <c r="Q168" i="58"/>
  <c r="Q167" i="58"/>
  <c r="Q166" i="58"/>
  <c r="Q165" i="58"/>
  <c r="Q164" i="58"/>
  <c r="Q162" i="58"/>
  <c r="Q163" i="58"/>
  <c r="Q170" i="58"/>
  <c r="Q36" i="58"/>
  <c r="Q41" i="58" s="1"/>
  <c r="AL143" i="58"/>
  <c r="BH143" i="58"/>
  <c r="Y143" i="58"/>
  <c r="AZ143" i="58"/>
  <c r="T143" i="58"/>
  <c r="O170" i="58"/>
  <c r="P78" i="58" a="1"/>
  <c r="P78" i="58" s="1"/>
  <c r="P170" i="58" s="1"/>
  <c r="AB140" i="58"/>
  <c r="BI139" i="58"/>
  <c r="BL139" i="58"/>
  <c r="BP139" i="58"/>
  <c r="AP139" i="58"/>
  <c r="AQ139" i="58"/>
  <c r="BD142" i="58"/>
  <c r="Q84" i="56"/>
  <c r="Q100" i="56" s="1"/>
  <c r="AA100" i="56" s="1"/>
  <c r="AA57" i="56"/>
  <c r="AA84" i="56" s="1"/>
  <c r="G96" i="58"/>
  <c r="M96" i="58" a="1"/>
  <c r="M96" i="58" s="1"/>
  <c r="M155" i="58" s="1"/>
  <c r="Q96" i="58" a="1"/>
  <c r="Q96" i="58" s="1"/>
  <c r="Q155" i="58" s="1"/>
  <c r="BM130" i="58"/>
  <c r="BM141" i="58" s="1"/>
  <c r="AU130" i="58"/>
  <c r="AU141" i="58" s="1"/>
  <c r="BB130" i="58"/>
  <c r="BB141" i="58" s="1"/>
  <c r="T130" i="58"/>
  <c r="T141" i="58" s="1"/>
  <c r="AL130" i="58"/>
  <c r="AL141" i="58" s="1"/>
  <c r="P35" i="60"/>
  <c r="P112" i="60" s="1"/>
  <c r="N120" i="56" a="1"/>
  <c r="N120" i="56" s="1"/>
  <c r="K146" i="56" s="1"/>
  <c r="H96" i="47" s="1"/>
  <c r="Q120" i="56" a="1"/>
  <c r="Q120" i="56" s="1"/>
  <c r="G85" i="56"/>
  <c r="O120" i="56" a="1"/>
  <c r="O120" i="56" s="1"/>
  <c r="L146" i="56" s="1"/>
  <c r="I96" i="47" s="1"/>
  <c r="J27" i="47"/>
  <c r="T117" i="55"/>
  <c r="R82" i="58" a="1"/>
  <c r="R82" i="58" s="1"/>
  <c r="S82" i="58" s="1" a="1"/>
  <c r="S82" i="58" s="1"/>
  <c r="T82" i="58" a="1"/>
  <c r="T82" i="58" s="1"/>
  <c r="U82" i="58" s="1" a="1"/>
  <c r="U82" i="58" s="1"/>
  <c r="V82" i="58" s="1" a="1"/>
  <c r="V82" i="58" s="1"/>
  <c r="W82" i="58" s="1" a="1"/>
  <c r="W82" i="58" s="1"/>
  <c r="X82" i="58" s="1" a="1"/>
  <c r="X82" i="58" s="1"/>
  <c r="Y82" i="58" s="1" a="1"/>
  <c r="Y82" i="58" s="1"/>
  <c r="Z82" i="58" s="1" a="1"/>
  <c r="Z82" i="58" s="1"/>
  <c r="AA82" i="58" s="1" a="1"/>
  <c r="AA82" i="58" s="1"/>
  <c r="AB82" i="58" s="1" a="1"/>
  <c r="AB82" i="58" s="1"/>
  <c r="AC82" i="58" s="1" a="1"/>
  <c r="AC82" i="58" s="1"/>
  <c r="I82" i="58"/>
  <c r="J82" i="58" s="1"/>
  <c r="Z135" i="58"/>
  <c r="Z146" i="58" s="1"/>
  <c r="N135" i="58"/>
  <c r="N146" i="58" s="1"/>
  <c r="T135" i="58"/>
  <c r="T146" i="58" s="1"/>
  <c r="AT135" i="58"/>
  <c r="AT146" i="58" s="1"/>
  <c r="O135" i="58"/>
  <c r="O146" i="58" s="1"/>
  <c r="Q134" i="58"/>
  <c r="Q145" i="58" s="1"/>
  <c r="AH134" i="58"/>
  <c r="AH145" i="58" s="1"/>
  <c r="AG134" i="58"/>
  <c r="AG145" i="58" s="1"/>
  <c r="BH134" i="58"/>
  <c r="BH145" i="58" s="1"/>
  <c r="AB134" i="58"/>
  <c r="AB145" i="58" s="1"/>
  <c r="R92" i="56"/>
  <c r="AB92" i="56" s="1"/>
  <c r="O129" i="57"/>
  <c r="Y117" i="57"/>
  <c r="Y129" i="57" s="1"/>
  <c r="AD77" i="57"/>
  <c r="AG41" i="57"/>
  <c r="K41" i="57"/>
  <c r="L41" i="57"/>
  <c r="J41" i="57"/>
  <c r="AA115" i="57"/>
  <c r="Q127" i="57"/>
  <c r="AH140" i="58"/>
  <c r="K70" i="58"/>
  <c r="AO70" i="58" a="1"/>
  <c r="AO70" i="58" s="1"/>
  <c r="AP70" i="58" s="1"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Z70" i="58" s="1" a="1"/>
  <c r="AZ70" i="58" s="1"/>
  <c r="BA70" i="58" s="1" a="1"/>
  <c r="BA70" i="58" s="1"/>
  <c r="BB70" i="58" s="1" a="1"/>
  <c r="BB70" i="58" s="1"/>
  <c r="BC70" i="58" s="1" a="1"/>
  <c r="BC70" i="58" s="1"/>
  <c r="BD70" i="58" s="1" a="1"/>
  <c r="BD70" i="58" s="1"/>
  <c r="BE70" i="58" s="1" a="1"/>
  <c r="BE70" i="58" s="1"/>
  <c r="BF70" i="58" s="1" a="1"/>
  <c r="BF70" i="58" s="1"/>
  <c r="BG70" i="58" s="1" a="1"/>
  <c r="BG70" i="58" s="1"/>
  <c r="BH70" i="58" s="1" a="1"/>
  <c r="BH70" i="58" s="1"/>
  <c r="BI70" i="58" s="1" a="1"/>
  <c r="BI70" i="58" s="1"/>
  <c r="BJ70" i="58" s="1" a="1"/>
  <c r="BJ70" i="58" s="1"/>
  <c r="BK70" i="58" s="1" a="1"/>
  <c r="BK70" i="58" s="1"/>
  <c r="BL70" i="58" s="1" a="1"/>
  <c r="BL70" i="58" s="1"/>
  <c r="BM70" i="58" s="1" a="1"/>
  <c r="BM70" i="58" s="1"/>
  <c r="BN70" i="58" s="1" a="1"/>
  <c r="BN70" i="58" s="1"/>
  <c r="BO70" i="58" s="1" a="1"/>
  <c r="BO70" i="58" s="1"/>
  <c r="BP70" i="58" s="1" a="1"/>
  <c r="BP70" i="58" s="1"/>
  <c r="BQ70" i="58" s="1" a="1"/>
  <c r="BQ70" i="58" s="1"/>
  <c r="BR70" i="58" s="1" a="1"/>
  <c r="BR70" i="58" s="1"/>
  <c r="W23" i="55" a="1"/>
  <c r="W23" i="55" s="1"/>
  <c r="W24" i="55" a="1"/>
  <c r="W24" i="55" s="1"/>
  <c r="P24" i="44"/>
  <c r="L133" i="58"/>
  <c r="L192" i="58"/>
  <c r="O115" i="60"/>
  <c r="I63" i="47"/>
  <c r="N93" i="60"/>
  <c r="N119" i="60" s="1"/>
  <c r="I65" i="47" s="1"/>
  <c r="O85" i="60"/>
  <c r="O93" i="60" s="1"/>
  <c r="O119" i="60" s="1"/>
  <c r="J65" i="47" s="1"/>
  <c r="Q128" i="57"/>
  <c r="AA116" i="57"/>
  <c r="AU140" i="58"/>
  <c r="AX140" i="58"/>
  <c r="BB140" i="58"/>
  <c r="R139" i="58"/>
  <c r="V139" i="58"/>
  <c r="BC139" i="58"/>
  <c r="U35" i="55"/>
  <c r="K130" i="47"/>
  <c r="AD83" i="58" a="1"/>
  <c r="AD83" i="58" s="1"/>
  <c r="AP142" i="58"/>
  <c r="AA56" i="56"/>
  <c r="AA83" i="56" s="1"/>
  <c r="Q83" i="56"/>
  <c r="Q99" i="56" s="1"/>
  <c r="AA99" i="56" s="1"/>
  <c r="Q15" i="29"/>
  <c r="Q14" i="29"/>
  <c r="Y130" i="58"/>
  <c r="Y141" i="58" s="1"/>
  <c r="P130" i="58"/>
  <c r="P141" i="58" s="1"/>
  <c r="U130" i="58"/>
  <c r="U141" i="58" s="1"/>
  <c r="AF130" i="58"/>
  <c r="AF141" i="58" s="1"/>
  <c r="AX130" i="58"/>
  <c r="AX141" i="58" s="1"/>
  <c r="R14" i="57"/>
  <c r="AB14" i="57"/>
  <c r="AB55" i="57" s="1"/>
  <c r="U108" i="55"/>
  <c r="L46" i="47" s="1"/>
  <c r="M27" i="57"/>
  <c r="P128" i="57"/>
  <c r="N138" i="58"/>
  <c r="T138" i="58"/>
  <c r="P34" i="60"/>
  <c r="P37" i="60" s="1"/>
  <c r="P25" i="60"/>
  <c r="P19" i="60" s="1"/>
  <c r="O110" i="60"/>
  <c r="J81" i="47" s="1"/>
  <c r="I81" i="47"/>
  <c r="N116" i="56" a="1"/>
  <c r="N116" i="56" s="1"/>
  <c r="K142" i="56" s="1"/>
  <c r="H92" i="47" s="1"/>
  <c r="Q116" i="56" a="1"/>
  <c r="Q116" i="56" s="1"/>
  <c r="O116" i="56" a="1"/>
  <c r="O116" i="56" s="1"/>
  <c r="L142" i="56" s="1"/>
  <c r="I92" i="47" s="1"/>
  <c r="G81" i="56"/>
  <c r="P56" i="29" a="1"/>
  <c r="P56" i="29" s="1"/>
  <c r="U119" i="55"/>
  <c r="L25" i="47" s="1"/>
  <c r="BJ135" i="58"/>
  <c r="BJ146" i="58" s="1"/>
  <c r="AX135" i="58"/>
  <c r="AX146" i="58" s="1"/>
  <c r="AF135" i="58"/>
  <c r="AF146" i="58" s="1"/>
  <c r="BF135" i="58"/>
  <c r="BF146" i="58" s="1"/>
  <c r="AA135" i="58"/>
  <c r="AA146" i="58" s="1"/>
  <c r="AG142" i="57"/>
  <c r="M142" i="57" s="1"/>
  <c r="L142" i="57"/>
  <c r="J142" i="57"/>
  <c r="K142" i="57"/>
  <c r="T40" i="55"/>
  <c r="J128" i="47"/>
  <c r="J26" i="47"/>
  <c r="T115" i="55"/>
  <c r="BA134" i="58"/>
  <c r="BA145" i="58" s="1"/>
  <c r="BR134" i="58"/>
  <c r="BR145" i="58" s="1"/>
  <c r="AS134" i="58"/>
  <c r="AS145" i="58" s="1"/>
  <c r="M134" i="58"/>
  <c r="M145" i="58" s="1"/>
  <c r="AN134" i="58"/>
  <c r="AN145" i="58" s="1"/>
  <c r="AD43" i="56"/>
  <c r="AB76" i="56"/>
  <c r="J39" i="47"/>
  <c r="T85" i="55"/>
  <c r="AS143" i="58"/>
  <c r="AW143" i="58"/>
  <c r="Q143" i="58"/>
  <c r="L129" i="58"/>
  <c r="L188" i="58"/>
  <c r="BP140" i="58"/>
  <c r="AG139" i="58"/>
  <c r="AK139" i="58"/>
  <c r="O139" i="58"/>
  <c r="BO139" i="58"/>
  <c r="V44" i="55"/>
  <c r="AA46" i="56"/>
  <c r="AA77" i="56" s="1"/>
  <c r="AA47" i="56"/>
  <c r="AA87" i="56" s="1"/>
  <c r="O121" i="56" a="1"/>
  <c r="O121" i="56" s="1"/>
  <c r="L147" i="56" s="1"/>
  <c r="N121" i="56" a="1"/>
  <c r="N121" i="56" s="1"/>
  <c r="K147" i="56" s="1"/>
  <c r="Q121" i="56" a="1"/>
  <c r="Q121" i="56" s="1"/>
  <c r="Q122" i="56" a="1"/>
  <c r="Q122" i="56" s="1"/>
  <c r="O122" i="56" a="1"/>
  <c r="O122" i="56" s="1"/>
  <c r="L148" i="56" s="1"/>
  <c r="N122" i="56" a="1"/>
  <c r="N122" i="56" s="1"/>
  <c r="K148" i="56" s="1"/>
  <c r="BL142" i="58"/>
  <c r="V142" i="58"/>
  <c r="O22" i="29"/>
  <c r="P22" i="29"/>
  <c r="Q80" i="56"/>
  <c r="Q96" i="56" s="1"/>
  <c r="AA96" i="56" s="1"/>
  <c r="AA53" i="56"/>
  <c r="AA80" i="56" s="1"/>
  <c r="J57" i="47"/>
  <c r="T126" i="55"/>
  <c r="R15" i="29"/>
  <c r="R14" i="29"/>
  <c r="AP130" i="58"/>
  <c r="AP141" i="58" s="1"/>
  <c r="AE130" i="58"/>
  <c r="AE141" i="58" s="1"/>
  <c r="AJ130" i="58"/>
  <c r="AJ141" i="58" s="1"/>
  <c r="AR130" i="58"/>
  <c r="AR141" i="58" s="1"/>
  <c r="BJ130" i="58"/>
  <c r="BJ141" i="58" s="1"/>
  <c r="K20" i="47"/>
  <c r="R164" i="58"/>
  <c r="V37" i="55"/>
  <c r="L129" i="47"/>
  <c r="BO138" i="58"/>
  <c r="AB138" i="58"/>
  <c r="AE138" i="58"/>
  <c r="AI138" i="58"/>
  <c r="N165" i="58"/>
  <c r="O73" i="58" a="1"/>
  <c r="O73" i="58" s="1"/>
  <c r="R13" i="57"/>
  <c r="AB13" i="57"/>
  <c r="H16" i="57"/>
  <c r="Z129" i="57"/>
  <c r="L8" i="56" a="1"/>
  <c r="L8" i="56" s="1"/>
  <c r="V8" i="56" s="1"/>
  <c r="AF8" i="56" s="1"/>
  <c r="AH16" i="44"/>
  <c r="AI16" i="44" s="1"/>
  <c r="AC135" i="58"/>
  <c r="AC146" i="58" s="1"/>
  <c r="P135" i="58"/>
  <c r="P146" i="58" s="1"/>
  <c r="AR135" i="58"/>
  <c r="AR146" i="58" s="1"/>
  <c r="BR135" i="58"/>
  <c r="BR146" i="58" s="1"/>
  <c r="AM135" i="58"/>
  <c r="AM146" i="58" s="1"/>
  <c r="P149" i="57"/>
  <c r="Z149" i="57" s="1"/>
  <c r="F149" i="57" s="1"/>
  <c r="Z111" i="57"/>
  <c r="F111" i="57" s="1"/>
  <c r="P151" i="57"/>
  <c r="Z151" i="57" s="1"/>
  <c r="F151" i="57" s="1"/>
  <c r="F188" i="57" s="1"/>
  <c r="P150" i="57"/>
  <c r="Z150" i="57" s="1"/>
  <c r="F150" i="57" s="1"/>
  <c r="F187" i="57" s="1"/>
  <c r="I58" i="56"/>
  <c r="I54" i="56"/>
  <c r="I57" i="56"/>
  <c r="I53" i="56"/>
  <c r="J60" i="56"/>
  <c r="I59" i="56"/>
  <c r="I55" i="56"/>
  <c r="I51" i="56"/>
  <c r="I52" i="56"/>
  <c r="I56" i="56"/>
  <c r="T134" i="58"/>
  <c r="T145" i="58" s="1"/>
  <c r="AM134" i="58"/>
  <c r="AM145" i="58" s="1"/>
  <c r="BE134" i="58"/>
  <c r="BE145" i="58" s="1"/>
  <c r="Y134" i="58"/>
  <c r="Y145" i="58" s="1"/>
  <c r="AZ134" i="58"/>
  <c r="AZ145" i="58" s="1"/>
  <c r="J133" i="47"/>
  <c r="T136" i="55"/>
  <c r="U48" i="57"/>
  <c r="T48" i="57"/>
  <c r="V48" i="57"/>
  <c r="N35" i="44"/>
  <c r="N38" i="44" s="1"/>
  <c r="R24" i="60" s="1" a="1"/>
  <c r="R24" i="60" s="1"/>
  <c r="O87" i="44"/>
  <c r="L132" i="58"/>
  <c r="L191" i="58"/>
  <c r="AG26" i="57"/>
  <c r="J26" i="57"/>
  <c r="L26" i="57"/>
  <c r="K26" i="57"/>
  <c r="S123" i="56" a="1"/>
  <c r="S123" i="56" s="1"/>
  <c r="N149" i="56" s="1"/>
  <c r="I88" i="56"/>
  <c r="S88" i="56" s="1"/>
  <c r="AC88" i="56" s="1"/>
  <c r="J104" i="56"/>
  <c r="Z140" i="58"/>
  <c r="W140" i="58"/>
  <c r="L128" i="58"/>
  <c r="L187" i="58"/>
  <c r="Q118" i="56" a="1"/>
  <c r="Q118" i="56" s="1"/>
  <c r="O118" i="56" a="1"/>
  <c r="O118" i="56" s="1"/>
  <c r="L144" i="56" s="1"/>
  <c r="I94" i="47" s="1"/>
  <c r="N118" i="56" a="1"/>
  <c r="N118" i="56" s="1"/>
  <c r="K144" i="56" s="1"/>
  <c r="H94" i="47" s="1"/>
  <c r="G83" i="56"/>
  <c r="S46" i="56"/>
  <c r="S77" i="56" s="1"/>
  <c r="S93" i="56" s="1"/>
  <c r="AC93" i="56" s="1"/>
  <c r="AC48" i="56"/>
  <c r="S47" i="56"/>
  <c r="S87" i="56" s="1"/>
  <c r="AO75" i="58" a="1"/>
  <c r="AO75" i="58" s="1"/>
  <c r="AP75" i="58" s="1" a="1"/>
  <c r="AP75" i="58" s="1"/>
  <c r="AQ75" i="58" s="1"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Z75" i="58" s="1" a="1"/>
  <c r="AZ75" i="58" s="1"/>
  <c r="BA75" i="58" s="1" a="1"/>
  <c r="BA75" i="58" s="1"/>
  <c r="BB75" i="58" s="1" a="1"/>
  <c r="BB75" i="58" s="1"/>
  <c r="BC75" i="58" s="1" a="1"/>
  <c r="BC75" i="58" s="1"/>
  <c r="BD75" i="58" s="1" a="1"/>
  <c r="BD75" i="58" s="1"/>
  <c r="BE75" i="58" s="1" a="1"/>
  <c r="BE75" i="58" s="1"/>
  <c r="BF75" i="58" s="1" a="1"/>
  <c r="BF75" i="58" s="1"/>
  <c r="BG75" i="58" s="1" a="1"/>
  <c r="BG75" i="58" s="1"/>
  <c r="BH75" i="58" s="1" a="1"/>
  <c r="BH75" i="58" s="1"/>
  <c r="BI75" i="58" s="1" a="1"/>
  <c r="BI75" i="58" s="1"/>
  <c r="BJ75" i="58" s="1" a="1"/>
  <c r="BJ75" i="58" s="1"/>
  <c r="BK75" i="58" s="1" a="1"/>
  <c r="BK75" i="58" s="1"/>
  <c r="BL75" i="58" s="1" a="1"/>
  <c r="BL75" i="58" s="1"/>
  <c r="BM75" i="58" s="1" a="1"/>
  <c r="BM75" i="58" s="1"/>
  <c r="BN75" i="58" s="1" a="1"/>
  <c r="BN75" i="58" s="1"/>
  <c r="BO75" i="58" s="1" a="1"/>
  <c r="BO75" i="58" s="1"/>
  <c r="BP75" i="58" s="1" a="1"/>
  <c r="BP75" i="58" s="1"/>
  <c r="BQ75" i="58" s="1" a="1"/>
  <c r="BQ75" i="58" s="1"/>
  <c r="BR75" i="58" s="1" a="1"/>
  <c r="BR75" i="58" s="1"/>
  <c r="K75" i="58"/>
  <c r="Q81" i="56"/>
  <c r="Q97" i="56" s="1"/>
  <c r="AA97" i="56" s="1"/>
  <c r="AA54" i="56"/>
  <c r="AA81" i="56" s="1"/>
  <c r="L15" i="29"/>
  <c r="M15" i="29" s="1"/>
  <c r="K28" i="29"/>
  <c r="BN141" i="58"/>
  <c r="BD141" i="58"/>
  <c r="AD84" i="58" a="1"/>
  <c r="AD84" i="58" s="1"/>
  <c r="J84" i="58"/>
  <c r="M43" i="57"/>
  <c r="AA109" i="57"/>
  <c r="G109" i="57" s="1"/>
  <c r="L127" i="58"/>
  <c r="L186" i="58"/>
  <c r="AW138" i="58"/>
  <c r="K14" i="47"/>
  <c r="P129" i="57"/>
  <c r="N91" i="60"/>
  <c r="N116" i="60" s="1"/>
  <c r="I62" i="47" s="1"/>
  <c r="O83" i="60"/>
  <c r="O91" i="60" s="1"/>
  <c r="O116" i="60" s="1"/>
  <c r="J62" i="47" s="1"/>
  <c r="Q93" i="58" a="1"/>
  <c r="Q93" i="58" s="1"/>
  <c r="Q152" i="58" s="1"/>
  <c r="G93" i="58"/>
  <c r="M93" i="58" a="1"/>
  <c r="M93" i="58" s="1"/>
  <c r="M152" i="58" s="1"/>
  <c r="BM135" i="58"/>
  <c r="BM146" i="58" s="1"/>
  <c r="AB135" i="58"/>
  <c r="AB146" i="58" s="1"/>
  <c r="BD135" i="58"/>
  <c r="BD146" i="58" s="1"/>
  <c r="W135" i="58"/>
  <c r="W146" i="58" s="1"/>
  <c r="AY135" i="58"/>
  <c r="AY146" i="58" s="1"/>
  <c r="T86" i="58" a="1"/>
  <c r="T86" i="58" s="1"/>
  <c r="U86" i="58" s="1" a="1"/>
  <c r="U86" i="58" s="1"/>
  <c r="V86" i="58" s="1" a="1"/>
  <c r="V86" i="58" s="1"/>
  <c r="W86" i="58" s="1" a="1"/>
  <c r="W86" i="58" s="1"/>
  <c r="X86" i="58" s="1" a="1"/>
  <c r="X86" i="58" s="1"/>
  <c r="Y86" i="58" s="1" a="1"/>
  <c r="Y86" i="58" s="1"/>
  <c r="Z86" i="58" s="1" a="1"/>
  <c r="Z86" i="58" s="1"/>
  <c r="AA86" i="58" s="1" a="1"/>
  <c r="AA86" i="58" s="1"/>
  <c r="AB86" i="58" s="1" a="1"/>
  <c r="AB86" i="58" s="1"/>
  <c r="AC86" i="58" s="1" a="1"/>
  <c r="AC86" i="58" s="1"/>
  <c r="R86" i="58" a="1"/>
  <c r="R86" i="58" s="1"/>
  <c r="S86" i="58" s="1" a="1"/>
  <c r="S86" i="58" s="1"/>
  <c r="I86" i="58"/>
  <c r="J86" i="58" s="1"/>
  <c r="U185" i="56" a="1"/>
  <c r="U185" i="56" s="1"/>
  <c r="H101" i="56"/>
  <c r="I77" i="47"/>
  <c r="O106" i="60"/>
  <c r="O61" i="57"/>
  <c r="P62" i="57"/>
  <c r="O59" i="57"/>
  <c r="O60" i="57" s="1"/>
  <c r="AO145" i="58"/>
  <c r="BL145" i="58"/>
  <c r="Q92" i="58" a="1"/>
  <c r="Q92" i="58" s="1"/>
  <c r="Q151" i="58" s="1"/>
  <c r="G92" i="58"/>
  <c r="M92" i="58" a="1"/>
  <c r="M92" i="58" s="1"/>
  <c r="M151" i="58" s="1"/>
  <c r="U188" i="56"/>
  <c r="J99" i="47"/>
  <c r="O111" i="60"/>
  <c r="I80" i="47"/>
  <c r="AD140" i="58"/>
  <c r="AG140" i="58"/>
  <c r="AK140" i="58"/>
  <c r="AC140" i="58"/>
  <c r="Q99" i="58" a="1"/>
  <c r="Q99" i="58" s="1"/>
  <c r="Q158" i="58" s="1"/>
  <c r="G99" i="58"/>
  <c r="M99" i="58" a="1"/>
  <c r="M99" i="58" s="1"/>
  <c r="M158" i="58" s="1"/>
  <c r="J71" i="58"/>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a="1"/>
  <c r="AN71" i="58" s="1"/>
  <c r="Q85" i="56"/>
  <c r="Q101" i="56" s="1"/>
  <c r="AA101" i="56" s="1"/>
  <c r="AA58" i="56"/>
  <c r="AA85" i="56" s="1"/>
  <c r="U32" i="55"/>
  <c r="K137" i="47"/>
  <c r="O82" i="60"/>
  <c r="O90" i="60" s="1"/>
  <c r="O109" i="60" s="1"/>
  <c r="N90" i="60"/>
  <c r="N109" i="60" s="1"/>
  <c r="V141" i="58"/>
  <c r="L130" i="58"/>
  <c r="L189" i="58"/>
  <c r="Q141" i="58"/>
  <c r="BP141" i="58"/>
  <c r="U177" i="56" a="1"/>
  <c r="U177" i="56" s="1"/>
  <c r="H93" i="56"/>
  <c r="AJ138" i="58"/>
  <c r="BD138" i="58"/>
  <c r="BL138" i="58"/>
  <c r="O169" i="58"/>
  <c r="P77" i="58" a="1"/>
  <c r="P77" i="58" s="1"/>
  <c r="P169" i="58" s="1"/>
  <c r="AE135" i="58"/>
  <c r="AE146" i="58" s="1"/>
  <c r="AN135" i="58"/>
  <c r="AN146" i="58" s="1"/>
  <c r="BP135" i="58"/>
  <c r="BP146" i="58" s="1"/>
  <c r="AI135" i="58"/>
  <c r="AI146" i="58" s="1"/>
  <c r="BK135" i="58"/>
  <c r="BK146" i="58" s="1"/>
  <c r="Q119" i="56" a="1"/>
  <c r="Q119" i="56" s="1"/>
  <c r="G84" i="56"/>
  <c r="O119" i="56" a="1"/>
  <c r="O119" i="56" s="1"/>
  <c r="L145" i="56" s="1"/>
  <c r="I95" i="47" s="1"/>
  <c r="N119" i="56" a="1"/>
  <c r="N119" i="56" s="1"/>
  <c r="K145" i="56" s="1"/>
  <c r="H95" i="47" s="1"/>
  <c r="AD89" i="58" a="1"/>
  <c r="AD89" i="58" s="1"/>
  <c r="J89" i="58"/>
  <c r="U181" i="56" a="1"/>
  <c r="U181" i="56" s="1"/>
  <c r="H97" i="56"/>
  <c r="Y161" i="57"/>
  <c r="N166" i="58"/>
  <c r="O74" i="58" a="1"/>
  <c r="O74" i="58" s="1"/>
  <c r="V134" i="58"/>
  <c r="V145" i="58" s="1"/>
  <c r="AR134" i="58"/>
  <c r="AR145" i="58" s="1"/>
  <c r="W134" i="58"/>
  <c r="W145" i="58" s="1"/>
  <c r="AW134" i="58"/>
  <c r="AW145" i="58" s="1"/>
  <c r="R134" i="58"/>
  <c r="R145" i="58" s="1"/>
  <c r="Q36" i="60"/>
  <c r="W10" i="55" a="1"/>
  <c r="W10" i="55" s="1"/>
  <c r="W79" i="55" s="1"/>
  <c r="P18" i="44"/>
  <c r="K74" i="58"/>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Z74" i="58" s="1" a="1"/>
  <c r="AZ74" i="58" s="1"/>
  <c r="BA74" i="58" s="1" a="1"/>
  <c r="BA74" i="58" s="1"/>
  <c r="BB74" i="58" s="1" a="1"/>
  <c r="BB74" i="58" s="1"/>
  <c r="BC74" i="58" s="1" a="1"/>
  <c r="BC74" i="58" s="1"/>
  <c r="BD74" i="58" s="1" a="1"/>
  <c r="BD74" i="58" s="1"/>
  <c r="BE74" i="58" s="1" a="1"/>
  <c r="BE74" i="58" s="1"/>
  <c r="BF74" i="58" s="1" a="1"/>
  <c r="BF74" i="58" s="1"/>
  <c r="BG74" i="58" s="1" a="1"/>
  <c r="BG74" i="58" s="1"/>
  <c r="BH74" i="58" s="1" a="1"/>
  <c r="BH74" i="58" s="1"/>
  <c r="BI74" i="58" s="1" a="1"/>
  <c r="BI74" i="58" s="1"/>
  <c r="BJ74" i="58" s="1" a="1"/>
  <c r="BJ74" i="58" s="1"/>
  <c r="BK74" i="58" s="1" a="1"/>
  <c r="BK74" i="58" s="1"/>
  <c r="BL74" i="58" s="1" a="1"/>
  <c r="BL74" i="58" s="1"/>
  <c r="BM74" i="58" s="1" a="1"/>
  <c r="BM74" i="58" s="1"/>
  <c r="BN74" i="58" s="1" a="1"/>
  <c r="BN74" i="58" s="1"/>
  <c r="BO74" i="58" s="1" a="1"/>
  <c r="BO74" i="58" s="1"/>
  <c r="BP74" i="58" s="1" a="1"/>
  <c r="BP74" i="58" s="1"/>
  <c r="BQ74" i="58" s="1" a="1"/>
  <c r="BQ74" i="58" s="1"/>
  <c r="BR74" i="58" s="1" a="1"/>
  <c r="BR74" i="58" s="1"/>
  <c r="Z183" i="57"/>
  <c r="F161" i="57"/>
  <c r="BC140" i="58"/>
  <c r="AR140" i="58"/>
  <c r="AV140" i="58"/>
  <c r="AY140" i="58"/>
  <c r="G98" i="58"/>
  <c r="M98" i="58" a="1"/>
  <c r="M98" i="58" s="1"/>
  <c r="M157" i="58" s="1"/>
  <c r="Q98" i="58" a="1"/>
  <c r="Q98" i="58" s="1"/>
  <c r="Q157" i="58" s="1"/>
  <c r="E121" i="57"/>
  <c r="E120" i="57"/>
  <c r="E119" i="57"/>
  <c r="AO78" i="58" a="1"/>
  <c r="AO78" i="58" s="1"/>
  <c r="AP78" i="58" s="1"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Z78" i="58" s="1" a="1"/>
  <c r="AZ78" i="58" s="1"/>
  <c r="BA78" i="58" s="1" a="1"/>
  <c r="BA78" i="58" s="1"/>
  <c r="BB78" i="58" s="1" a="1"/>
  <c r="BB78" i="58" s="1"/>
  <c r="BC78" i="58" s="1" a="1"/>
  <c r="BC78" i="58" s="1"/>
  <c r="BD78" i="58" s="1" a="1"/>
  <c r="BD78" i="58" s="1"/>
  <c r="BE78" i="58" s="1" a="1"/>
  <c r="BE78" i="58" s="1"/>
  <c r="BF78" i="58" s="1" a="1"/>
  <c r="BF78" i="58" s="1"/>
  <c r="BG78" i="58" s="1" a="1"/>
  <c r="BG78" i="58" s="1"/>
  <c r="BH78" i="58" s="1" a="1"/>
  <c r="BH78" i="58" s="1"/>
  <c r="BI78" i="58" s="1" a="1"/>
  <c r="BI78" i="58" s="1"/>
  <c r="BJ78" i="58" s="1" a="1"/>
  <c r="BJ78" i="58" s="1"/>
  <c r="BK78" i="58" s="1" a="1"/>
  <c r="BK78" i="58" s="1"/>
  <c r="BL78" i="58" s="1" a="1"/>
  <c r="BL78" i="58" s="1"/>
  <c r="BM78" i="58" s="1" a="1"/>
  <c r="BM78" i="58" s="1"/>
  <c r="BN78" i="58" s="1" a="1"/>
  <c r="BN78" i="58" s="1"/>
  <c r="BO78" i="58" s="1" a="1"/>
  <c r="BO78" i="58" s="1"/>
  <c r="BP78" i="58" s="1" a="1"/>
  <c r="BP78" i="58" s="1"/>
  <c r="BQ78" i="58" s="1" a="1"/>
  <c r="BQ78" i="58" s="1"/>
  <c r="BR78" i="58" s="1" a="1"/>
  <c r="BR78" i="58" s="1"/>
  <c r="K78" i="58"/>
  <c r="BG142" i="58"/>
  <c r="AE142" i="58"/>
  <c r="Q35" i="60"/>
  <c r="Q38" i="60" s="1"/>
  <c r="Q78" i="56"/>
  <c r="Q94" i="56" s="1"/>
  <c r="AA94" i="56" s="1"/>
  <c r="AA51" i="56"/>
  <c r="AA78" i="56" s="1"/>
  <c r="AK130" i="58"/>
  <c r="AK141" i="58" s="1"/>
  <c r="AB130" i="58"/>
  <c r="AB141" i="58" s="1"/>
  <c r="AG130" i="58"/>
  <c r="AG141" i="58" s="1"/>
  <c r="AA130" i="58"/>
  <c r="AA141" i="58" s="1"/>
  <c r="BE130" i="58"/>
  <c r="BE141" i="58" s="1"/>
  <c r="H87" i="56"/>
  <c r="H103" i="56"/>
  <c r="AY138" i="58"/>
  <c r="U138" i="58"/>
  <c r="P103" i="60"/>
  <c r="J73" i="47"/>
  <c r="M29" i="29"/>
  <c r="N23" i="29"/>
  <c r="BO135" i="58"/>
  <c r="BO146" i="58" s="1"/>
  <c r="AZ135" i="58"/>
  <c r="AZ146" i="58" s="1"/>
  <c r="U135" i="58"/>
  <c r="U146" i="58" s="1"/>
  <c r="AU135" i="58"/>
  <c r="AU146" i="58" s="1"/>
  <c r="U179" i="56" a="1"/>
  <c r="U179" i="56" s="1"/>
  <c r="H95" i="56"/>
  <c r="J49" i="47"/>
  <c r="T111" i="55"/>
  <c r="Y163" i="57"/>
  <c r="E163" i="57" s="1"/>
  <c r="BF134" i="58"/>
  <c r="BF145" i="58" s="1"/>
  <c r="AT134" i="58"/>
  <c r="AT145" i="58" s="1"/>
  <c r="AI134" i="58"/>
  <c r="AI145" i="58" s="1"/>
  <c r="BI134" i="58"/>
  <c r="BI145" i="58" s="1"/>
  <c r="AD134" i="58"/>
  <c r="AD145" i="58" s="1"/>
  <c r="AI176" i="56" a="1"/>
  <c r="AI176" i="56" s="1"/>
  <c r="AG176" i="56" a="1"/>
  <c r="AG176" i="56" s="1"/>
  <c r="Y176" i="56" a="1"/>
  <c r="Y176" i="56" s="1"/>
  <c r="W176" i="56" a="1"/>
  <c r="W176" i="56" s="1"/>
  <c r="Z176" i="56" s="1" a="1"/>
  <c r="Z176" i="56" s="1"/>
  <c r="AA176" i="56" s="1" a="1"/>
  <c r="AA176" i="56" s="1"/>
  <c r="AB176" i="56" s="1" a="1"/>
  <c r="AB176" i="56" s="1"/>
  <c r="AC176" i="56" s="1" a="1"/>
  <c r="AC176" i="56" s="1"/>
  <c r="AD176" i="56" s="1" a="1"/>
  <c r="AD176" i="56" s="1"/>
  <c r="AE176" i="56" s="1" a="1"/>
  <c r="AE176" i="56" s="1"/>
  <c r="J92" i="56"/>
  <c r="K43" i="56"/>
  <c r="F127" i="57"/>
  <c r="P105" i="60"/>
  <c r="J71" i="47"/>
  <c r="Q114" i="56" a="1"/>
  <c r="Q114" i="56" s="1"/>
  <c r="N114" i="56" a="1"/>
  <c r="N114" i="56" s="1"/>
  <c r="K140" i="56" s="1"/>
  <c r="H90" i="47" s="1"/>
  <c r="O114" i="56" a="1"/>
  <c r="O114" i="56" s="1"/>
  <c r="L140" i="56" s="1"/>
  <c r="I90" i="47" s="1"/>
  <c r="G79" i="56"/>
  <c r="P36" i="60"/>
  <c r="E116" i="57"/>
  <c r="E115" i="57"/>
  <c r="E117" i="57"/>
  <c r="V86" i="55"/>
  <c r="M34" i="47" s="1"/>
  <c r="V88" i="55"/>
  <c r="M33" i="47" s="1"/>
  <c r="V82" i="55"/>
  <c r="M37" i="47" s="1"/>
  <c r="X21" i="55" a="1"/>
  <c r="X21" i="55" s="1"/>
  <c r="X18" i="55" a="1"/>
  <c r="X18" i="55" s="1"/>
  <c r="X19" i="55" a="1"/>
  <c r="X19" i="55" s="1"/>
  <c r="X20" i="55" a="1"/>
  <c r="X20" i="55" s="1"/>
  <c r="Q21" i="44"/>
  <c r="BQ140" i="58"/>
  <c r="BJ140" i="58"/>
  <c r="BN140" i="58"/>
  <c r="Q100" i="60"/>
  <c r="K74" i="47"/>
  <c r="AH139" i="58"/>
  <c r="P139" i="58"/>
  <c r="AV139" i="58"/>
  <c r="X13" i="55" a="1"/>
  <c r="X13" i="55" s="1"/>
  <c r="X12" i="55" a="1"/>
  <c r="X12" i="55" s="1"/>
  <c r="Q17" i="44"/>
  <c r="R83" i="58" a="1"/>
  <c r="R83" i="58" s="1"/>
  <c r="S83" i="58" s="1" a="1"/>
  <c r="S83" i="58" s="1"/>
  <c r="T83" i="58" a="1"/>
  <c r="T83" i="58" s="1"/>
  <c r="U83" i="58" s="1" a="1"/>
  <c r="U83" i="58" s="1"/>
  <c r="V83" i="58" s="1" a="1"/>
  <c r="V83" i="58" s="1"/>
  <c r="W83" i="58" s="1" a="1"/>
  <c r="W83" i="58" s="1"/>
  <c r="X83" i="58" s="1" a="1"/>
  <c r="X83" i="58" s="1"/>
  <c r="Y83" i="58" s="1" a="1"/>
  <c r="Y83" i="58" s="1"/>
  <c r="Z83" i="58" s="1" a="1"/>
  <c r="Z83" i="58" s="1"/>
  <c r="AA83" i="58" s="1" a="1"/>
  <c r="AA83" i="58" s="1"/>
  <c r="AB83" i="58" s="1" a="1"/>
  <c r="AB83" i="58" s="1"/>
  <c r="AC83" i="58" s="1" a="1"/>
  <c r="AC83" i="58" s="1"/>
  <c r="I83" i="58"/>
  <c r="J83" i="58" s="1"/>
  <c r="O107" i="60"/>
  <c r="J82" i="47" s="1"/>
  <c r="I82" i="47"/>
  <c r="AL142" i="58"/>
  <c r="Z142" i="58"/>
  <c r="BR142" i="58"/>
  <c r="O86" i="44"/>
  <c r="N34" i="44"/>
  <c r="N37" i="44" s="1"/>
  <c r="R23" i="60" s="1" a="1"/>
  <c r="R23" i="60" s="1"/>
  <c r="AA55" i="56"/>
  <c r="AA82" i="56" s="1"/>
  <c r="Q82" i="56"/>
  <c r="Q98" i="56" s="1"/>
  <c r="AA98" i="56" s="1"/>
  <c r="BI130" i="58"/>
  <c r="BI141" i="58" s="1"/>
  <c r="AS130" i="58"/>
  <c r="AS141" i="58" s="1"/>
  <c r="AZ130" i="58"/>
  <c r="AZ141" i="58" s="1"/>
  <c r="AM130" i="58"/>
  <c r="AM141" i="58" s="1"/>
  <c r="BQ130" i="58"/>
  <c r="BQ141" i="58" s="1"/>
  <c r="U113" i="55"/>
  <c r="L51" i="47" s="1"/>
  <c r="AK78" i="44"/>
  <c r="AK84" i="44"/>
  <c r="I47" i="56"/>
  <c r="J48" i="56"/>
  <c r="I46" i="56"/>
  <c r="BM138" i="58"/>
  <c r="BB138" i="58"/>
  <c r="J58" i="47"/>
  <c r="T128" i="55"/>
  <c r="O151" i="57"/>
  <c r="Y151" i="57" s="1"/>
  <c r="O149" i="57"/>
  <c r="Y149" i="57" s="1"/>
  <c r="O150" i="57"/>
  <c r="Y150" i="57" s="1"/>
  <c r="Y111" i="57"/>
  <c r="E111" i="57" s="1"/>
  <c r="Q135" i="58"/>
  <c r="Q146" i="58" s="1"/>
  <c r="AJ135" i="58"/>
  <c r="AJ146" i="58" s="1"/>
  <c r="BL135" i="58"/>
  <c r="BL146" i="58" s="1"/>
  <c r="AG135" i="58"/>
  <c r="AG146" i="58" s="1"/>
  <c r="BG135" i="58"/>
  <c r="BG146" i="58" s="1"/>
  <c r="O118" i="60"/>
  <c r="I66" i="47"/>
  <c r="G97" i="58"/>
  <c r="M97" i="58" a="1"/>
  <c r="M97" i="58" s="1"/>
  <c r="M156" i="58" s="1"/>
  <c r="Q97" i="58" a="1"/>
  <c r="Q97" i="58" s="1"/>
  <c r="Q156" i="58" s="1"/>
  <c r="U183" i="56" a="1"/>
  <c r="U183" i="56" s="1"/>
  <c r="H99" i="56"/>
  <c r="Y162" i="57"/>
  <c r="E162" i="57" s="1"/>
  <c r="AA134" i="58"/>
  <c r="AA145" i="58" s="1"/>
  <c r="S134" i="58"/>
  <c r="S145" i="58" s="1"/>
  <c r="AU134" i="58"/>
  <c r="AU145" i="58" s="1"/>
  <c r="N134" i="58"/>
  <c r="N145" i="58" s="1"/>
  <c r="AP134" i="58"/>
  <c r="AP145" i="58" s="1"/>
  <c r="S111" i="56" a="1"/>
  <c r="S111" i="56" s="1"/>
  <c r="N137" i="56" s="1"/>
  <c r="K87" i="47" s="1"/>
  <c r="I76" i="56"/>
  <c r="U43" i="56" l="1"/>
  <c r="V123" i="55"/>
  <c r="M23" i="47" s="1"/>
  <c r="S162" i="58"/>
  <c r="K32" i="47"/>
  <c r="U83" i="55"/>
  <c r="O162" i="58"/>
  <c r="S170" i="58"/>
  <c r="L7" i="56" a="1"/>
  <c r="L7" i="56" s="1"/>
  <c r="V7" i="56" s="1"/>
  <c r="AH23" i="44"/>
  <c r="AI23" i="44" s="1"/>
  <c r="T46" i="56"/>
  <c r="T77" i="56" s="1"/>
  <c r="T93" i="56" s="1"/>
  <c r="T47" i="56"/>
  <c r="T87" i="56" s="1"/>
  <c r="U48" i="56"/>
  <c r="AD47" i="56"/>
  <c r="AD87" i="56" s="1"/>
  <c r="AE48" i="56"/>
  <c r="AD46" i="56"/>
  <c r="AD77" i="56" s="1"/>
  <c r="AD93" i="56" s="1"/>
  <c r="U102" i="55"/>
  <c r="L20" i="47" s="1"/>
  <c r="U92" i="55"/>
  <c r="L15" i="47" s="1"/>
  <c r="K5" i="47"/>
  <c r="O22" i="35"/>
  <c r="S164" i="58"/>
  <c r="S165" i="58"/>
  <c r="S166" i="58"/>
  <c r="S167" i="58"/>
  <c r="V80" i="55"/>
  <c r="M36" i="47" s="1"/>
  <c r="T24" i="58"/>
  <c r="S169" i="58"/>
  <c r="S168" i="58"/>
  <c r="S36" i="58"/>
  <c r="S41" i="58" s="1"/>
  <c r="T31" i="58"/>
  <c r="T34" i="58" s="1"/>
  <c r="T35" i="58" s="1"/>
  <c r="U23" i="58"/>
  <c r="K48" i="57"/>
  <c r="L48" i="57"/>
  <c r="J48" i="57"/>
  <c r="W48" i="57" s="1"/>
  <c r="M48" i="57" s="1"/>
  <c r="K61" i="47"/>
  <c r="U135" i="55"/>
  <c r="E59" i="57"/>
  <c r="E60" i="57" s="1"/>
  <c r="U31" i="55"/>
  <c r="K136" i="47"/>
  <c r="K22" i="47"/>
  <c r="U118" i="55"/>
  <c r="U112" i="55"/>
  <c r="L44" i="47" s="1"/>
  <c r="U95" i="55"/>
  <c r="L11" i="47" s="1"/>
  <c r="Q18" i="60"/>
  <c r="L9" i="56" a="1"/>
  <c r="L9" i="56" s="1"/>
  <c r="V9" i="56" s="1"/>
  <c r="AF9" i="56" s="1"/>
  <c r="AH15" i="44"/>
  <c r="AI15" i="44" s="1"/>
  <c r="Q19" i="60"/>
  <c r="K29" i="47"/>
  <c r="U120" i="55"/>
  <c r="N94" i="58" a="1"/>
  <c r="N94" i="58" s="1"/>
  <c r="N153" i="58" s="1"/>
  <c r="V132" i="55"/>
  <c r="M55" i="47" s="1"/>
  <c r="K42" i="47"/>
  <c r="U105" i="55"/>
  <c r="U94" i="55"/>
  <c r="V94" i="55" s="1"/>
  <c r="W36" i="55"/>
  <c r="V34" i="55"/>
  <c r="N100" i="58" a="1"/>
  <c r="N100" i="58" s="1"/>
  <c r="N159" i="58" s="1"/>
  <c r="K38" i="47"/>
  <c r="U87" i="55"/>
  <c r="P9" i="44"/>
  <c r="W15" i="55" a="1"/>
  <c r="W15" i="55" s="1"/>
  <c r="R25" i="60"/>
  <c r="R17" i="60" s="1"/>
  <c r="W41" i="55"/>
  <c r="V104" i="55"/>
  <c r="M47" i="47" s="1"/>
  <c r="V43" i="55"/>
  <c r="M135" i="47" s="1"/>
  <c r="K24" i="47"/>
  <c r="U121" i="55"/>
  <c r="R41" i="58"/>
  <c r="K30" i="47"/>
  <c r="U124" i="55"/>
  <c r="K40" i="47"/>
  <c r="U90" i="55"/>
  <c r="E129" i="57"/>
  <c r="O94" i="58" a="1"/>
  <c r="O94" i="58" s="1"/>
  <c r="O153" i="58" s="1"/>
  <c r="N99" i="58" a="1"/>
  <c r="N99" i="58" s="1"/>
  <c r="N158" i="58" s="1"/>
  <c r="W44" i="55"/>
  <c r="V122" i="55"/>
  <c r="M28" i="47" s="1"/>
  <c r="K12" i="47"/>
  <c r="U100" i="55"/>
  <c r="K21" i="47"/>
  <c r="U116" i="55"/>
  <c r="K6" i="47"/>
  <c r="O25" i="35"/>
  <c r="K35" i="47"/>
  <c r="U84" i="55"/>
  <c r="Y56" i="29" a="1"/>
  <c r="Y56" i="29" s="1"/>
  <c r="N93" i="58" a="1"/>
  <c r="N93" i="58" s="1"/>
  <c r="N152" i="58" s="1"/>
  <c r="K31" i="47"/>
  <c r="U81" i="55"/>
  <c r="R6" i="35" a="1"/>
  <c r="R6" i="35" s="1"/>
  <c r="Q7" i="44"/>
  <c r="O164" i="58"/>
  <c r="P72" i="58" a="1"/>
  <c r="P72" i="58" s="1"/>
  <c r="P164" i="58" s="1"/>
  <c r="E128" i="57"/>
  <c r="K7" i="47"/>
  <c r="O26" i="35"/>
  <c r="X11" i="55" a="1"/>
  <c r="X11" i="55" s="1"/>
  <c r="Q19" i="44"/>
  <c r="K9" i="47"/>
  <c r="O24" i="35"/>
  <c r="P39" i="44"/>
  <c r="S45" i="60" a="1"/>
  <c r="S45" i="60" s="1"/>
  <c r="O40" i="44"/>
  <c r="K18" i="47"/>
  <c r="U97" i="55"/>
  <c r="K8" i="47"/>
  <c r="O23" i="35"/>
  <c r="K56" i="47"/>
  <c r="U130" i="55"/>
  <c r="AF176" i="56" a="1"/>
  <c r="AF176" i="56" s="1"/>
  <c r="AH176" i="56" a="1"/>
  <c r="AH176" i="56" s="1"/>
  <c r="Q112" i="60"/>
  <c r="K79" i="47"/>
  <c r="P118" i="60"/>
  <c r="J66" i="47"/>
  <c r="O34" i="44"/>
  <c r="O37" i="44" s="1"/>
  <c r="S23" i="60" s="1" a="1"/>
  <c r="S23" i="60" s="1"/>
  <c r="P86" i="44"/>
  <c r="Y13" i="55" a="1"/>
  <c r="Y13" i="55" s="1"/>
  <c r="Y12" i="55" a="1"/>
  <c r="Y12" i="55" s="1"/>
  <c r="R17" i="44"/>
  <c r="L55" i="29" a="1"/>
  <c r="L55" i="29" s="1"/>
  <c r="I86" i="47" s="1"/>
  <c r="K55" i="29" a="1"/>
  <c r="K55" i="29" s="1"/>
  <c r="H86" i="47" s="1"/>
  <c r="T98" i="58" a="1"/>
  <c r="T98" i="58" s="1"/>
  <c r="R98" i="58" a="1"/>
  <c r="R98" i="58" s="1"/>
  <c r="R157" i="58" s="1"/>
  <c r="H98" i="58"/>
  <c r="AD123" i="56" a="1"/>
  <c r="AD123" i="56" s="1"/>
  <c r="Y149" i="56" s="1"/>
  <c r="J88" i="56"/>
  <c r="T88" i="56" s="1"/>
  <c r="AD88" i="56" s="1"/>
  <c r="T123" i="56" a="1"/>
  <c r="T123" i="56" s="1"/>
  <c r="O149" i="56" s="1"/>
  <c r="K104" i="56"/>
  <c r="P87" i="44"/>
  <c r="O35" i="44"/>
  <c r="O38" i="44" s="1"/>
  <c r="S24" i="60" s="1" a="1"/>
  <c r="S24" i="60" s="1"/>
  <c r="X183" i="56" a="1"/>
  <c r="X183" i="56" s="1"/>
  <c r="V183" i="56" a="1"/>
  <c r="V183" i="56" s="1"/>
  <c r="I99" i="56"/>
  <c r="W37" i="55"/>
  <c r="M129" i="47"/>
  <c r="T187" i="56"/>
  <c r="I98" i="47"/>
  <c r="P17" i="60"/>
  <c r="AG82" i="57"/>
  <c r="M42" i="57"/>
  <c r="P108" i="60"/>
  <c r="J76" i="47"/>
  <c r="N14" i="29"/>
  <c r="M27" i="29"/>
  <c r="Q101" i="60"/>
  <c r="K69" i="47"/>
  <c r="W123" i="55"/>
  <c r="N23" i="47" s="1"/>
  <c r="K53" i="47"/>
  <c r="U129" i="55"/>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a="1"/>
  <c r="AN89" i="58" s="1"/>
  <c r="AO89" i="58" s="1" a="1"/>
  <c r="AO89" i="58" s="1"/>
  <c r="AP89" i="58" s="1"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Z89" i="58" s="1" a="1"/>
  <c r="AZ89" i="58" s="1"/>
  <c r="BA89" i="58" s="1" a="1"/>
  <c r="BA89" i="58" s="1"/>
  <c r="BB89" i="58" s="1" a="1"/>
  <c r="BB89" i="58" s="1"/>
  <c r="BC89" i="58" s="1" a="1"/>
  <c r="BC89" i="58" s="1"/>
  <c r="BD89" i="58" s="1" a="1"/>
  <c r="BD89" i="58" s="1"/>
  <c r="BE89" i="58" s="1" a="1"/>
  <c r="BE89" i="58" s="1"/>
  <c r="BF89" i="58" s="1" a="1"/>
  <c r="BF89" i="58" s="1"/>
  <c r="BG89" i="58" s="1" a="1"/>
  <c r="BG89" i="58" s="1"/>
  <c r="BH89" i="58" s="1" a="1"/>
  <c r="BH89" i="58" s="1"/>
  <c r="BI89" i="58" s="1" a="1"/>
  <c r="BI89" i="58" s="1"/>
  <c r="BJ89" i="58" s="1" a="1"/>
  <c r="BJ89" i="58" s="1"/>
  <c r="BK89" i="58" s="1" a="1"/>
  <c r="BK89" i="58" s="1"/>
  <c r="BL89" i="58" s="1" a="1"/>
  <c r="BL89" i="58" s="1"/>
  <c r="BM89" i="58" s="1" a="1"/>
  <c r="BM89" i="58" s="1"/>
  <c r="BN89" i="58" s="1" a="1"/>
  <c r="BN89" i="58" s="1"/>
  <c r="BO89" i="58" s="1" a="1"/>
  <c r="BO89" i="58" s="1"/>
  <c r="BP89" i="58" s="1" a="1"/>
  <c r="BP89" i="58" s="1"/>
  <c r="BQ89" i="58" s="1" a="1"/>
  <c r="BQ89" i="58" s="1"/>
  <c r="BR89" i="58" s="1" a="1"/>
  <c r="BR89" i="58" s="1"/>
  <c r="K89" i="58"/>
  <c r="X25" i="55" a="1"/>
  <c r="X25" i="55" s="1"/>
  <c r="X125" i="55" s="1"/>
  <c r="Q22" i="44"/>
  <c r="AD85" i="57"/>
  <c r="K82" i="57"/>
  <c r="K85" i="57" s="1"/>
  <c r="J82" i="57"/>
  <c r="J85" i="57" s="1"/>
  <c r="L82" i="57"/>
  <c r="L85" i="57" s="1"/>
  <c r="O33" i="44"/>
  <c r="O36" i="44" s="1"/>
  <c r="S22" i="60" s="1" a="1"/>
  <c r="S22" i="60" s="1"/>
  <c r="R113" i="56" a="1"/>
  <c r="R113" i="56" s="1"/>
  <c r="P113" i="56" a="1"/>
  <c r="P113" i="56" s="1"/>
  <c r="M139" i="56" s="1"/>
  <c r="J89" i="47" s="1"/>
  <c r="H78" i="56"/>
  <c r="R78" i="56"/>
  <c r="AB51" i="56"/>
  <c r="AB78" i="56" s="1"/>
  <c r="K94" i="58"/>
  <c r="I94" i="58"/>
  <c r="T94" i="58" a="1"/>
  <c r="T94" i="58" s="1"/>
  <c r="J94" i="58"/>
  <c r="H94" i="58"/>
  <c r="R94" i="58" a="1"/>
  <c r="R94" i="58" s="1"/>
  <c r="R153" i="58" s="1"/>
  <c r="W127" i="55"/>
  <c r="N52" i="47" s="1"/>
  <c r="W131" i="55"/>
  <c r="N60" i="47" s="1"/>
  <c r="V42" i="55"/>
  <c r="L134" i="47"/>
  <c r="V188" i="56"/>
  <c r="X188" i="56"/>
  <c r="K99" i="47"/>
  <c r="X178" i="56" a="1"/>
  <c r="X178" i="56" s="1"/>
  <c r="V178" i="56" a="1"/>
  <c r="V178" i="56" s="1"/>
  <c r="I94" i="56"/>
  <c r="H28" i="57"/>
  <c r="V102" i="55"/>
  <c r="AG77" i="57"/>
  <c r="M41" i="57"/>
  <c r="Q85" i="44"/>
  <c r="K43" i="47"/>
  <c r="U107" i="55"/>
  <c r="R86" i="56"/>
  <c r="AO78" i="56" s="1"/>
  <c r="AB59" i="56"/>
  <c r="AB86" i="56" s="1"/>
  <c r="T33" i="29" a="1"/>
  <c r="T33" i="29" s="1"/>
  <c r="T5" i="29" a="1"/>
  <c r="T5" i="29" s="1"/>
  <c r="O156" i="57"/>
  <c r="Y128" i="57"/>
  <c r="K49" i="47"/>
  <c r="U111" i="55"/>
  <c r="L141" i="58"/>
  <c r="L211" i="58" s="1"/>
  <c r="L200" i="58"/>
  <c r="X182" i="56" a="1"/>
  <c r="X182" i="56" s="1"/>
  <c r="V182" i="56" a="1"/>
  <c r="V182" i="56" s="1"/>
  <c r="I98" i="56"/>
  <c r="AB16" i="57"/>
  <c r="AB54" i="57"/>
  <c r="Q22" i="29"/>
  <c r="P28" i="29"/>
  <c r="S186" i="56"/>
  <c r="H97" i="47"/>
  <c r="K26" i="47"/>
  <c r="U115" i="55"/>
  <c r="P81" i="60"/>
  <c r="P89" i="60" s="1"/>
  <c r="P102" i="60" s="1"/>
  <c r="AD80" i="57"/>
  <c r="K77" i="57"/>
  <c r="K80" i="57" s="1"/>
  <c r="J77" i="57"/>
  <c r="J80" i="57" s="1"/>
  <c r="L77" i="57"/>
  <c r="L80" i="57" s="1"/>
  <c r="T92" i="56"/>
  <c r="P121" i="56" a="1"/>
  <c r="P121" i="56" s="1"/>
  <c r="M147" i="56" s="1"/>
  <c r="R121" i="56" a="1"/>
  <c r="R121" i="56" s="1"/>
  <c r="G89" i="56"/>
  <c r="T100" i="58" a="1"/>
  <c r="T100" i="58" s="1"/>
  <c r="R100" i="58" a="1"/>
  <c r="R100" i="58" s="1"/>
  <c r="R159" i="58" s="1"/>
  <c r="K100" i="58"/>
  <c r="J100" i="58"/>
  <c r="I100" i="58"/>
  <c r="H100" i="58"/>
  <c r="V106" i="55"/>
  <c r="M48" i="47" s="1"/>
  <c r="R82" i="56"/>
  <c r="R98" i="56" s="1"/>
  <c r="AB98" i="56" s="1"/>
  <c r="AB55" i="56"/>
  <c r="AB82" i="56" s="1"/>
  <c r="Q105" i="60"/>
  <c r="K71" i="47"/>
  <c r="I102" i="56"/>
  <c r="S121" i="56" s="1" a="1"/>
  <c r="S121" i="56" s="1"/>
  <c r="N147" i="56" s="1"/>
  <c r="I86" i="56"/>
  <c r="U76" i="56"/>
  <c r="K10" i="47"/>
  <c r="U93" i="55"/>
  <c r="K50" i="47"/>
  <c r="U109" i="55"/>
  <c r="P117" i="60"/>
  <c r="J67" i="47"/>
  <c r="L146" i="58"/>
  <c r="L216" i="58" s="1"/>
  <c r="L205" i="58"/>
  <c r="AE60" i="56"/>
  <c r="AD59" i="56"/>
  <c r="AD86" i="56" s="1"/>
  <c r="AD55" i="56"/>
  <c r="AD82" i="56" s="1"/>
  <c r="AD98" i="56" s="1"/>
  <c r="AD51" i="56"/>
  <c r="AD78" i="56" s="1"/>
  <c r="AD94" i="56" s="1"/>
  <c r="AD58" i="56"/>
  <c r="AD85" i="56" s="1"/>
  <c r="AD101" i="56" s="1"/>
  <c r="AD54" i="56"/>
  <c r="AD81" i="56" s="1"/>
  <c r="AD97" i="56" s="1"/>
  <c r="AD52" i="56"/>
  <c r="AD79" i="56" s="1"/>
  <c r="AD95" i="56" s="1"/>
  <c r="AD53" i="56"/>
  <c r="AD80" i="56" s="1"/>
  <c r="AD96" i="56" s="1"/>
  <c r="AD56" i="56"/>
  <c r="AD83" i="56" s="1"/>
  <c r="AD99" i="56" s="1"/>
  <c r="AD57" i="56"/>
  <c r="AD84" i="56" s="1"/>
  <c r="AD100" i="56" s="1"/>
  <c r="S41" i="29"/>
  <c r="AN56" i="29" s="1" a="1"/>
  <c r="AN56" i="29" s="1"/>
  <c r="V39" i="55"/>
  <c r="L131" i="47"/>
  <c r="L142" i="58"/>
  <c r="L212" i="58" s="1"/>
  <c r="L201" i="58"/>
  <c r="R107" i="57"/>
  <c r="R75" i="57"/>
  <c r="AB75" i="57" s="1"/>
  <c r="H75" i="57" s="1"/>
  <c r="R16" i="57"/>
  <c r="R54" i="57"/>
  <c r="R93" i="57"/>
  <c r="AB93" i="57" s="1"/>
  <c r="H93" i="57" s="1"/>
  <c r="R55" i="57"/>
  <c r="H55" i="57" s="1"/>
  <c r="R97" i="57"/>
  <c r="AB97" i="57" s="1"/>
  <c r="H97" i="57" s="1"/>
  <c r="R81" i="57"/>
  <c r="AB81" i="57" s="1"/>
  <c r="H81" i="57" s="1"/>
  <c r="R108" i="57"/>
  <c r="AB108" i="57" s="1"/>
  <c r="H108" i="57" s="1"/>
  <c r="P114" i="56" a="1"/>
  <c r="P114" i="56" s="1"/>
  <c r="M140" i="56" s="1"/>
  <c r="J90" i="47" s="1"/>
  <c r="R114" i="56" a="1"/>
  <c r="R114" i="56" s="1"/>
  <c r="H79" i="56"/>
  <c r="I75" i="47"/>
  <c r="N74" i="60"/>
  <c r="N77" i="60" s="1"/>
  <c r="N92" i="58" a="1"/>
  <c r="N92" i="58" s="1"/>
  <c r="L14" i="47"/>
  <c r="V96" i="55"/>
  <c r="K133" i="47"/>
  <c r="U136" i="55"/>
  <c r="K60" i="56"/>
  <c r="J55" i="56"/>
  <c r="J53" i="56"/>
  <c r="J57" i="56"/>
  <c r="J54" i="56"/>
  <c r="J51" i="56"/>
  <c r="J52" i="56"/>
  <c r="J58" i="56"/>
  <c r="J56" i="56"/>
  <c r="J59" i="56"/>
  <c r="O165" i="58"/>
  <c r="P73" i="58" a="1"/>
  <c r="P73" i="58" s="1"/>
  <c r="P165" i="58" s="1"/>
  <c r="K39" i="47"/>
  <c r="U85" i="55"/>
  <c r="M108" i="47"/>
  <c r="Q56" i="29" a="1"/>
  <c r="Q56" i="29" s="1"/>
  <c r="V35" i="55"/>
  <c r="L130" i="47"/>
  <c r="Q156" i="57"/>
  <c r="AA128" i="57"/>
  <c r="P115" i="60"/>
  <c r="J63" i="47"/>
  <c r="O155" i="57"/>
  <c r="O152" i="57"/>
  <c r="O153" i="57"/>
  <c r="Q104" i="60"/>
  <c r="K72" i="47"/>
  <c r="AH56" i="29" a="1"/>
  <c r="AH56" i="29" s="1"/>
  <c r="AE108" i="47" s="1"/>
  <c r="AM56" i="29" a="1"/>
  <c r="AM56" i="29" s="1"/>
  <c r="G56" i="57"/>
  <c r="AC60" i="56"/>
  <c r="S59" i="56"/>
  <c r="S55" i="56"/>
  <c r="S51" i="56"/>
  <c r="S58" i="56"/>
  <c r="S54" i="56"/>
  <c r="S56" i="56"/>
  <c r="S52" i="56"/>
  <c r="S57" i="56"/>
  <c r="T60" i="56"/>
  <c r="S53" i="56"/>
  <c r="L145" i="58"/>
  <c r="L215" i="58" s="1"/>
  <c r="L204" i="58"/>
  <c r="R73" i="57"/>
  <c r="G125" i="57"/>
  <c r="G116" i="57"/>
  <c r="G121" i="57"/>
  <c r="G120" i="57"/>
  <c r="G117" i="57"/>
  <c r="G115" i="57"/>
  <c r="G123" i="57"/>
  <c r="G124" i="57"/>
  <c r="G119" i="57"/>
  <c r="R115" i="56" a="1"/>
  <c r="R115" i="56" s="1"/>
  <c r="P115" i="56" a="1"/>
  <c r="P115" i="56" s="1"/>
  <c r="M141" i="56" s="1"/>
  <c r="J91" i="47" s="1"/>
  <c r="H80" i="56"/>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a="1"/>
  <c r="AN84" i="58" s="1"/>
  <c r="AO84" i="58" s="1" a="1"/>
  <c r="AO84" i="58" s="1"/>
  <c r="AP84" i="58" s="1"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Z84" i="58" s="1" a="1"/>
  <c r="AZ84" i="58" s="1"/>
  <c r="BA84" i="58" s="1" a="1"/>
  <c r="BA84" i="58" s="1"/>
  <c r="BB84" i="58" s="1" a="1"/>
  <c r="BB84" i="58" s="1"/>
  <c r="BC84" i="58" s="1" a="1"/>
  <c r="BC84" i="58" s="1"/>
  <c r="BD84" i="58" s="1" a="1"/>
  <c r="BD84" i="58" s="1"/>
  <c r="BE84" i="58" s="1" a="1"/>
  <c r="BE84" i="58" s="1"/>
  <c r="BF84" i="58" s="1" a="1"/>
  <c r="BF84" i="58" s="1"/>
  <c r="BG84" i="58" s="1" a="1"/>
  <c r="BG84" i="58" s="1"/>
  <c r="BH84" i="58" s="1" a="1"/>
  <c r="BH84" i="58" s="1"/>
  <c r="BI84" i="58" s="1" a="1"/>
  <c r="BI84" i="58" s="1"/>
  <c r="BJ84" i="58" s="1" a="1"/>
  <c r="BJ84" i="58" s="1"/>
  <c r="BK84" i="58" s="1" a="1"/>
  <c r="BK84" i="58" s="1"/>
  <c r="BL84" i="58" s="1" a="1"/>
  <c r="BL84" i="58" s="1"/>
  <c r="BM84" i="58" s="1" a="1"/>
  <c r="BM84" i="58" s="1"/>
  <c r="BN84" i="58" s="1" a="1"/>
  <c r="BN84" i="58" s="1"/>
  <c r="BO84" i="58" s="1" a="1"/>
  <c r="BO84" i="58" s="1"/>
  <c r="BP84" i="58" s="1" a="1"/>
  <c r="BP84" i="58" s="1"/>
  <c r="BQ84" i="58" s="1" a="1"/>
  <c r="BQ84" i="58" s="1"/>
  <c r="BR84" i="58" s="1" a="1"/>
  <c r="BR84" i="58" s="1"/>
  <c r="K84" i="58"/>
  <c r="K19" i="47"/>
  <c r="U101" i="55"/>
  <c r="R101" i="57"/>
  <c r="AB101" i="57" s="1"/>
  <c r="H101" i="57" s="1"/>
  <c r="R86" i="57"/>
  <c r="AB86" i="57" s="1"/>
  <c r="H86" i="57" s="1"/>
  <c r="P122" i="56" a="1"/>
  <c r="P122" i="56" s="1"/>
  <c r="M148" i="56" s="1"/>
  <c r="R122" i="56" a="1"/>
  <c r="R122" i="56" s="1"/>
  <c r="T186" i="56"/>
  <c r="I97" i="47"/>
  <c r="X177" i="56" a="1"/>
  <c r="X177" i="56" s="1"/>
  <c r="V177" i="56" a="1"/>
  <c r="V177" i="56" s="1"/>
  <c r="I93" i="56"/>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K92" i="56"/>
  <c r="L43" i="56"/>
  <c r="X10" i="55" a="1"/>
  <c r="X10" i="55" s="1"/>
  <c r="X79" i="55" s="1"/>
  <c r="Q18" i="44"/>
  <c r="O166" i="58"/>
  <c r="P74" i="58" a="1"/>
  <c r="P74" i="58" s="1"/>
  <c r="P166" i="58" s="1"/>
  <c r="P112" i="56" a="1"/>
  <c r="P112" i="56" s="1"/>
  <c r="M138" i="56" s="1"/>
  <c r="J88" i="47" s="1"/>
  <c r="R112" i="56" a="1"/>
  <c r="R112" i="56" s="1"/>
  <c r="H77" i="56"/>
  <c r="J75" i="47"/>
  <c r="O74" i="60"/>
  <c r="O77" i="60" s="1"/>
  <c r="K71" i="58"/>
  <c r="AO71" i="58" a="1"/>
  <c r="AO71" i="58" s="1"/>
  <c r="AP71" i="58" s="1"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Z71" i="58" s="1" a="1"/>
  <c r="AZ71" i="58" s="1"/>
  <c r="BA71" i="58" s="1" a="1"/>
  <c r="BA71" i="58" s="1"/>
  <c r="BB71" i="58" s="1" a="1"/>
  <c r="BB71" i="58" s="1"/>
  <c r="BC71" i="58" s="1" a="1"/>
  <c r="BC71" i="58" s="1"/>
  <c r="BD71" i="58" s="1" a="1"/>
  <c r="BD71" i="58" s="1"/>
  <c r="BE71" i="58" s="1" a="1"/>
  <c r="BE71" i="58" s="1"/>
  <c r="BF71" i="58" s="1" a="1"/>
  <c r="BF71" i="58" s="1"/>
  <c r="BG71" i="58" s="1" a="1"/>
  <c r="BG71" i="58" s="1"/>
  <c r="BH71" i="58" s="1" a="1"/>
  <c r="BH71" i="58" s="1"/>
  <c r="BI71" i="58" s="1" a="1"/>
  <c r="BI71" i="58" s="1"/>
  <c r="BJ71" i="58" s="1" a="1"/>
  <c r="BJ71" i="58" s="1"/>
  <c r="BK71" i="58" s="1" a="1"/>
  <c r="BK71" i="58" s="1"/>
  <c r="BL71" i="58" s="1" a="1"/>
  <c r="BL71" i="58" s="1"/>
  <c r="BM71" i="58" s="1" a="1"/>
  <c r="BM71" i="58" s="1"/>
  <c r="BN71" i="58" s="1" a="1"/>
  <c r="BN71" i="58" s="1"/>
  <c r="BO71" i="58" s="1" a="1"/>
  <c r="BO71" i="58" s="1"/>
  <c r="BP71" i="58" s="1" a="1"/>
  <c r="BP71" i="58" s="1"/>
  <c r="BQ71" i="58" s="1" a="1"/>
  <c r="BQ71" i="58" s="1"/>
  <c r="BR71" i="58" s="1" a="1"/>
  <c r="BR71" i="58" s="1"/>
  <c r="P106" i="60"/>
  <c r="J77" i="47"/>
  <c r="L139" i="58"/>
  <c r="L209" i="58" s="1"/>
  <c r="L198" i="58"/>
  <c r="M26" i="57"/>
  <c r="X180" i="56" a="1"/>
  <c r="X180" i="56" s="1"/>
  <c r="V180" i="56" a="1"/>
  <c r="V180" i="56" s="1"/>
  <c r="I96" i="56"/>
  <c r="AA89" i="56"/>
  <c r="L140" i="58"/>
  <c r="L210" i="58" s="1"/>
  <c r="L199" i="58"/>
  <c r="U40" i="55"/>
  <c r="K128" i="47"/>
  <c r="AN82" i="58" a="1"/>
  <c r="AN82" i="58" s="1"/>
  <c r="AO82" i="58" s="1" a="1"/>
  <c r="AO82" i="58" s="1"/>
  <c r="AP82" i="58" s="1"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Z82" i="58" s="1" a="1"/>
  <c r="AZ82" i="58" s="1"/>
  <c r="BA82" i="58" s="1" a="1"/>
  <c r="BA82" i="58" s="1"/>
  <c r="BB82" i="58" s="1" a="1"/>
  <c r="BB82" i="58" s="1"/>
  <c r="BC82" i="58" s="1" a="1"/>
  <c r="BC82" i="58" s="1"/>
  <c r="BD82" i="58" s="1" a="1"/>
  <c r="BD82" i="58" s="1"/>
  <c r="BE82" i="58" s="1" a="1"/>
  <c r="BE82" i="58" s="1"/>
  <c r="BF82" i="58" s="1" a="1"/>
  <c r="BF82" i="58" s="1"/>
  <c r="BG82" i="58" s="1" a="1"/>
  <c r="BG82" i="58" s="1"/>
  <c r="BH82" i="58" s="1" a="1"/>
  <c r="BH82" i="58" s="1"/>
  <c r="BI82" i="58" s="1" a="1"/>
  <c r="BI82" i="58" s="1"/>
  <c r="BJ82" i="58" s="1" a="1"/>
  <c r="BJ82" i="58" s="1"/>
  <c r="BK82" i="58" s="1" a="1"/>
  <c r="BK82" i="58" s="1"/>
  <c r="BL82" i="58" s="1" a="1"/>
  <c r="BL82" i="58" s="1"/>
  <c r="BM82" i="58" s="1" a="1"/>
  <c r="BM82" i="58" s="1"/>
  <c r="BN82" i="58" s="1" a="1"/>
  <c r="BN82" i="58" s="1"/>
  <c r="BO82" i="58" s="1" a="1"/>
  <c r="BO82" i="58" s="1"/>
  <c r="BP82" i="58" s="1" a="1"/>
  <c r="BP82" i="58" s="1"/>
  <c r="BQ82" i="58" s="1" a="1"/>
  <c r="BQ82" i="58" s="1"/>
  <c r="BR82" i="58" s="1" a="1"/>
  <c r="BR82"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K82" i="58"/>
  <c r="V133" i="55"/>
  <c r="M59" i="47" s="1"/>
  <c r="AA90" i="57"/>
  <c r="Q125" i="57"/>
  <c r="AB53" i="56"/>
  <c r="AB80" i="56" s="1"/>
  <c r="R80" i="56"/>
  <c r="R96" i="56" s="1"/>
  <c r="AB96" i="56" s="1"/>
  <c r="X17" i="55" a="1"/>
  <c r="X17" i="55" s="1"/>
  <c r="X103" i="55" s="1"/>
  <c r="Q20" i="44"/>
  <c r="AE73" i="57"/>
  <c r="AF73" i="57"/>
  <c r="AD73" i="57"/>
  <c r="V38" i="55"/>
  <c r="L132" i="47"/>
  <c r="F112" i="57"/>
  <c r="F186" i="57"/>
  <c r="Y18" i="55" a="1"/>
  <c r="Y18" i="55" s="1"/>
  <c r="Y19" i="55" a="1"/>
  <c r="Y19" i="55" s="1"/>
  <c r="Y20" i="55" a="1"/>
  <c r="Y20" i="55" s="1"/>
  <c r="Y21" i="55" a="1"/>
  <c r="Y21" i="55" s="1"/>
  <c r="R21" i="44"/>
  <c r="Q89" i="56"/>
  <c r="N97" i="58" a="1"/>
  <c r="N97" i="58" s="1"/>
  <c r="K48" i="56"/>
  <c r="J47" i="56"/>
  <c r="J46" i="56"/>
  <c r="T111" i="56" a="1"/>
  <c r="T111" i="56" s="1"/>
  <c r="O137" i="56" s="1"/>
  <c r="L87" i="47" s="1"/>
  <c r="AD111" i="56" a="1"/>
  <c r="AD111" i="56" s="1"/>
  <c r="Y137" i="56" s="1"/>
  <c r="T87" i="47" s="1"/>
  <c r="J76" i="56"/>
  <c r="Q103" i="60"/>
  <c r="K73" i="47"/>
  <c r="W86" i="55"/>
  <c r="N34" i="47" s="1"/>
  <c r="W80" i="55"/>
  <c r="N36" i="47" s="1"/>
  <c r="W88" i="55"/>
  <c r="N33" i="47" s="1"/>
  <c r="W82" i="55"/>
  <c r="N37" i="47" s="1"/>
  <c r="R92" i="58" a="1"/>
  <c r="R92" i="58" s="1"/>
  <c r="R151" i="58" s="1"/>
  <c r="K92" i="58"/>
  <c r="H92" i="58"/>
  <c r="T92" i="58" a="1"/>
  <c r="T92" i="58" s="1"/>
  <c r="J92" i="58"/>
  <c r="I92" i="58"/>
  <c r="X184" i="56" a="1"/>
  <c r="X184" i="56" s="1"/>
  <c r="V184" i="56" a="1"/>
  <c r="V184" i="56" s="1"/>
  <c r="I100" i="56"/>
  <c r="W29" i="55"/>
  <c r="L144" i="58"/>
  <c r="L214" i="58" s="1"/>
  <c r="L203" i="58"/>
  <c r="N96" i="58" a="1"/>
  <c r="N96" i="58" s="1"/>
  <c r="V119" i="55"/>
  <c r="M25" i="47" s="1"/>
  <c r="Q21" i="29"/>
  <c r="P27" i="29"/>
  <c r="P114" i="60"/>
  <c r="K64" i="47" s="1"/>
  <c r="J64" i="47"/>
  <c r="AB57" i="56"/>
  <c r="AB84" i="56" s="1"/>
  <c r="R84" i="56"/>
  <c r="R100" i="56" s="1"/>
  <c r="AB100" i="56" s="1"/>
  <c r="Q58" i="57"/>
  <c r="Q59" i="57" s="1"/>
  <c r="Q60" i="57" s="1"/>
  <c r="H99" i="58"/>
  <c r="T99" i="58" a="1"/>
  <c r="T99" i="58" s="1"/>
  <c r="T158" i="58" s="1"/>
  <c r="R99" i="58" a="1"/>
  <c r="R99" i="58" s="1"/>
  <c r="R158" i="58" s="1"/>
  <c r="X179" i="56" a="1"/>
  <c r="X179" i="56" s="1"/>
  <c r="V179" i="56" a="1"/>
  <c r="V179" i="56" s="1"/>
  <c r="I95" i="56"/>
  <c r="P118" i="56" a="1"/>
  <c r="P118" i="56" s="1"/>
  <c r="M144" i="56" s="1"/>
  <c r="J94" i="47" s="1"/>
  <c r="R118" i="56" a="1"/>
  <c r="R118" i="56" s="1"/>
  <c r="H83" i="56"/>
  <c r="P152" i="57"/>
  <c r="P155" i="57"/>
  <c r="P153" i="57"/>
  <c r="R97" i="58" a="1"/>
  <c r="R97" i="58" s="1"/>
  <c r="R156" i="58" s="1"/>
  <c r="J97" i="58"/>
  <c r="I97" i="58"/>
  <c r="H97" i="58"/>
  <c r="T97" i="58" a="1"/>
  <c r="T97" i="58" s="1"/>
  <c r="T156" i="58" s="1"/>
  <c r="K97" i="58"/>
  <c r="I103" i="56"/>
  <c r="S122" i="56" s="1" a="1"/>
  <c r="S122" i="56" s="1"/>
  <c r="N148" i="56" s="1"/>
  <c r="I87" i="56"/>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a="1"/>
  <c r="AN83" i="58" s="1"/>
  <c r="AO83" i="58" s="1" a="1"/>
  <c r="AO83" i="58" s="1"/>
  <c r="AP83" i="58" s="1"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Z83" i="58" s="1" a="1"/>
  <c r="AZ83" i="58" s="1"/>
  <c r="BA83" i="58" s="1" a="1"/>
  <c r="BA83" i="58" s="1"/>
  <c r="BB83" i="58" s="1" a="1"/>
  <c r="BB83" i="58" s="1"/>
  <c r="BC83" i="58" s="1" a="1"/>
  <c r="BC83" i="58" s="1"/>
  <c r="BD83" i="58" s="1" a="1"/>
  <c r="BD83" i="58" s="1"/>
  <c r="BE83" i="58" s="1" a="1"/>
  <c r="BE83" i="58" s="1"/>
  <c r="BF83" i="58" s="1" a="1"/>
  <c r="BF83" i="58" s="1"/>
  <c r="BG83" i="58" s="1" a="1"/>
  <c r="BG83" i="58" s="1"/>
  <c r="BH83" i="58" s="1" a="1"/>
  <c r="BH83" i="58" s="1"/>
  <c r="BI83" i="58" s="1" a="1"/>
  <c r="BI83" i="58" s="1"/>
  <c r="BJ83" i="58" s="1" a="1"/>
  <c r="BJ83" i="58" s="1"/>
  <c r="BK83" i="58" s="1" a="1"/>
  <c r="BK83" i="58" s="1"/>
  <c r="BL83" i="58" s="1" a="1"/>
  <c r="BL83" i="58" s="1"/>
  <c r="BM83" i="58" s="1" a="1"/>
  <c r="BM83" i="58" s="1"/>
  <c r="BN83" i="58" s="1" a="1"/>
  <c r="BN83" i="58" s="1"/>
  <c r="BO83" i="58" s="1" a="1"/>
  <c r="BO83" i="58" s="1"/>
  <c r="BP83" i="58" s="1" a="1"/>
  <c r="BP83" i="58" s="1"/>
  <c r="BQ83" i="58" s="1" a="1"/>
  <c r="BQ83" i="58" s="1"/>
  <c r="BR83" i="58" s="1" a="1"/>
  <c r="BR83" i="58" s="1"/>
  <c r="K83" i="58"/>
  <c r="E127" i="57"/>
  <c r="Y183" i="57"/>
  <c r="E161" i="57"/>
  <c r="V32" i="55"/>
  <c r="L137" i="47"/>
  <c r="R120" i="56" a="1"/>
  <c r="R120" i="56" s="1"/>
  <c r="P120" i="56" a="1"/>
  <c r="P120" i="56" s="1"/>
  <c r="M146" i="56" s="1"/>
  <c r="J96" i="47" s="1"/>
  <c r="H85" i="56"/>
  <c r="X181" i="56" a="1"/>
  <c r="X181" i="56" s="1"/>
  <c r="V181" i="56" a="1"/>
  <c r="V181" i="56" s="1"/>
  <c r="I97" i="56"/>
  <c r="I96" i="58"/>
  <c r="H96" i="58"/>
  <c r="T96" i="58" a="1"/>
  <c r="T96" i="58" s="1"/>
  <c r="T155" i="58" s="1"/>
  <c r="R96" i="58" a="1"/>
  <c r="R96" i="58" s="1"/>
  <c r="R155" i="58" s="1"/>
  <c r="J96" i="58"/>
  <c r="K96" i="58"/>
  <c r="R117" i="56" a="1"/>
  <c r="R117" i="56" s="1"/>
  <c r="P117" i="56" a="1"/>
  <c r="P117" i="56" s="1"/>
  <c r="M143" i="56" s="1"/>
  <c r="J93" i="47" s="1"/>
  <c r="H82" i="56"/>
  <c r="K13" i="47"/>
  <c r="U98" i="55"/>
  <c r="V108" i="55"/>
  <c r="M46" i="47" s="1"/>
  <c r="AB54" i="56"/>
  <c r="AB81" i="56" s="1"/>
  <c r="R81" i="56"/>
  <c r="R97" i="56" s="1"/>
  <c r="AB97" i="56" s="1"/>
  <c r="O154" i="57"/>
  <c r="Y127" i="57"/>
  <c r="K45" i="47"/>
  <c r="U110" i="55"/>
  <c r="O167" i="58"/>
  <c r="P75" i="58" a="1"/>
  <c r="P75" i="58" s="1"/>
  <c r="P167" i="58" s="1"/>
  <c r="Z127" i="57"/>
  <c r="P154" i="57"/>
  <c r="Q161" i="57"/>
  <c r="M30" i="57"/>
  <c r="R100" i="60"/>
  <c r="L74" i="47"/>
  <c r="X185" i="56" a="1"/>
  <c r="X185" i="56" s="1"/>
  <c r="V185" i="56" a="1"/>
  <c r="V185" i="56" s="1"/>
  <c r="I101" i="56"/>
  <c r="AD76" i="56"/>
  <c r="AE43" i="56"/>
  <c r="P156" i="57"/>
  <c r="Z128" i="57"/>
  <c r="X23" i="55" a="1"/>
  <c r="X23" i="55" s="1"/>
  <c r="X24" i="55" a="1"/>
  <c r="X24" i="55" s="1"/>
  <c r="Q24" i="44"/>
  <c r="AA127" i="57"/>
  <c r="Q154" i="57"/>
  <c r="P18" i="60"/>
  <c r="Q99" i="60"/>
  <c r="K70" i="47"/>
  <c r="Y10" i="58" a="1"/>
  <c r="Y10" i="58" s="1"/>
  <c r="Q8" i="44"/>
  <c r="P30" i="44"/>
  <c r="P31" i="44" s="1"/>
  <c r="AN85" i="58" a="1"/>
  <c r="AN85" i="58" s="1"/>
  <c r="AO85" i="58" s="1" a="1"/>
  <c r="AO85" i="58" s="1"/>
  <c r="AP85" i="58" s="1"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Z85" i="58" s="1" a="1"/>
  <c r="AZ85" i="58" s="1"/>
  <c r="BA85" i="58" s="1" a="1"/>
  <c r="BA85" i="58" s="1"/>
  <c r="BB85" i="58" s="1" a="1"/>
  <c r="BB85" i="58" s="1"/>
  <c r="BC85" i="58" s="1" a="1"/>
  <c r="BC85" i="58" s="1"/>
  <c r="BD85" i="58" s="1" a="1"/>
  <c r="BD85" i="58" s="1"/>
  <c r="BE85" i="58" s="1" a="1"/>
  <c r="BE85" i="58" s="1"/>
  <c r="BF85" i="58" s="1" a="1"/>
  <c r="BF85" i="58" s="1"/>
  <c r="BG85" i="58" s="1" a="1"/>
  <c r="BG85" i="58" s="1"/>
  <c r="BH85" i="58" s="1" a="1"/>
  <c r="BH85" i="58" s="1"/>
  <c r="BI85" i="58" s="1" a="1"/>
  <c r="BI85" i="58" s="1"/>
  <c r="BJ85" i="58" s="1" a="1"/>
  <c r="BJ85" i="58" s="1"/>
  <c r="BK85" i="58" s="1" a="1"/>
  <c r="BK85" i="58" s="1"/>
  <c r="BL85" i="58" s="1" a="1"/>
  <c r="BL85" i="58" s="1"/>
  <c r="BM85" i="58" s="1" a="1"/>
  <c r="BM85" i="58" s="1"/>
  <c r="BN85" i="58" s="1" a="1"/>
  <c r="BN85" i="58" s="1"/>
  <c r="BO85" i="58" s="1" a="1"/>
  <c r="BO85" i="58" s="1"/>
  <c r="BP85" i="58" s="1" a="1"/>
  <c r="BP85" i="58" s="1"/>
  <c r="BQ85" i="58" s="1" a="1"/>
  <c r="BQ85" i="58" s="1"/>
  <c r="BR85" i="58" s="1" a="1"/>
  <c r="BR85"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K85" i="58"/>
  <c r="AB58" i="56"/>
  <c r="AB85" i="56" s="1"/>
  <c r="R85" i="56"/>
  <c r="R101" i="56" s="1"/>
  <c r="AB101" i="56" s="1"/>
  <c r="Q162" i="57"/>
  <c r="R93" i="58" a="1"/>
  <c r="R93" i="58" s="1"/>
  <c r="R152" i="58" s="1"/>
  <c r="K93" i="58"/>
  <c r="I93" i="58"/>
  <c r="H93" i="58"/>
  <c r="T93" i="58" a="1"/>
  <c r="T93" i="58" s="1"/>
  <c r="T152" i="58" s="1"/>
  <c r="J93" i="58"/>
  <c r="AC46" i="56"/>
  <c r="AC77" i="56" s="1"/>
  <c r="AC47" i="56"/>
  <c r="AC87" i="56" s="1"/>
  <c r="P220" i="57" a="1"/>
  <c r="P220" i="57" s="1"/>
  <c r="I102" i="47" s="1"/>
  <c r="S201" i="57" a="1"/>
  <c r="S201" i="57" s="1"/>
  <c r="R201" i="57" a="1"/>
  <c r="R201" i="57" s="1"/>
  <c r="O220" i="57" a="1"/>
  <c r="O220" i="57" s="1"/>
  <c r="H102" i="47" s="1"/>
  <c r="K27" i="47"/>
  <c r="U117" i="55"/>
  <c r="P82" i="60"/>
  <c r="P90" i="60" s="1"/>
  <c r="P109" i="60" s="1"/>
  <c r="K75" i="47" s="1"/>
  <c r="P84" i="60"/>
  <c r="P92" i="60" s="1"/>
  <c r="P113" i="60" s="1"/>
  <c r="K78" i="47" s="1"/>
  <c r="P110" i="60"/>
  <c r="K81" i="47" s="1"/>
  <c r="P107" i="60"/>
  <c r="K82" i="47" s="1"/>
  <c r="K54" i="47"/>
  <c r="U134" i="55"/>
  <c r="AA57" i="57"/>
  <c r="G49" i="57"/>
  <c r="R49" i="57" s="1"/>
  <c r="V113" i="55"/>
  <c r="M51" i="47" s="1"/>
  <c r="N95" i="58" a="1"/>
  <c r="N95" i="58" s="1"/>
  <c r="R79" i="56"/>
  <c r="R95" i="56" s="1"/>
  <c r="AB95" i="56" s="1"/>
  <c r="AB52" i="56"/>
  <c r="AB79" i="56" s="1"/>
  <c r="R119" i="56" a="1"/>
  <c r="R119" i="56" s="1"/>
  <c r="P119" i="56" a="1"/>
  <c r="P119" i="56" s="1"/>
  <c r="M145" i="56" s="1"/>
  <c r="J95" i="47" s="1"/>
  <c r="H84" i="56"/>
  <c r="X30" i="55"/>
  <c r="N138" i="47"/>
  <c r="S92" i="56"/>
  <c r="AC92" i="56" s="1"/>
  <c r="Q163" i="57"/>
  <c r="R36" i="60"/>
  <c r="R19" i="60"/>
  <c r="K58" i="47"/>
  <c r="U128" i="55"/>
  <c r="R35" i="60"/>
  <c r="R38" i="60" s="1"/>
  <c r="R18" i="60"/>
  <c r="P83" i="60"/>
  <c r="P91" i="60" s="1"/>
  <c r="P116" i="60" s="1"/>
  <c r="K62" i="47" s="1"/>
  <c r="P85" i="60"/>
  <c r="N29" i="29"/>
  <c r="M55" i="29" s="1" a="1"/>
  <c r="M55" i="29" s="1"/>
  <c r="J86" i="47" s="1"/>
  <c r="P23" i="29"/>
  <c r="O23" i="29"/>
  <c r="O29" i="29" s="1"/>
  <c r="N55" i="29" s="1" a="1"/>
  <c r="N55" i="29" s="1"/>
  <c r="K86" i="47" s="1"/>
  <c r="N98" i="58" a="1"/>
  <c r="N98" i="58" s="1"/>
  <c r="P116" i="56" a="1"/>
  <c r="P116" i="56" s="1"/>
  <c r="M142" i="56" s="1"/>
  <c r="J92" i="47" s="1"/>
  <c r="R116" i="56" a="1"/>
  <c r="R116" i="56" s="1"/>
  <c r="H81" i="56"/>
  <c r="P111" i="60"/>
  <c r="K80" i="47" s="1"/>
  <c r="J80" i="47"/>
  <c r="AN86" i="58" a="1"/>
  <c r="AN86" i="58" s="1"/>
  <c r="AO86" i="58" s="1" a="1"/>
  <c r="AO86" i="58" s="1"/>
  <c r="AP86" i="58" s="1"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Z86" i="58" s="1" a="1"/>
  <c r="AZ86" i="58" s="1"/>
  <c r="BA86" i="58" s="1" a="1"/>
  <c r="BA86" i="58" s="1"/>
  <c r="BB86" i="58" s="1" a="1"/>
  <c r="BB86" i="58" s="1"/>
  <c r="BC86" i="58" s="1" a="1"/>
  <c r="BC86" i="58" s="1"/>
  <c r="BD86" i="58" s="1" a="1"/>
  <c r="BD86" i="58" s="1"/>
  <c r="BE86" i="58" s="1" a="1"/>
  <c r="BE86" i="58" s="1"/>
  <c r="BF86" i="58" s="1" a="1"/>
  <c r="BF86" i="58" s="1"/>
  <c r="BG86" i="58" s="1" a="1"/>
  <c r="BG86" i="58" s="1"/>
  <c r="BH86" i="58" s="1" a="1"/>
  <c r="BH86" i="58" s="1"/>
  <c r="BI86" i="58" s="1" a="1"/>
  <c r="BI86" i="58" s="1"/>
  <c r="BJ86" i="58" s="1" a="1"/>
  <c r="BJ86" i="58" s="1"/>
  <c r="BK86" i="58" s="1" a="1"/>
  <c r="BK86" i="58" s="1"/>
  <c r="BL86" i="58" s="1" a="1"/>
  <c r="BL86" i="58" s="1"/>
  <c r="BM86" i="58" s="1" a="1"/>
  <c r="BM86" i="58" s="1"/>
  <c r="BN86" i="58" s="1" a="1"/>
  <c r="BN86" i="58" s="1"/>
  <c r="BO86" i="58" s="1" a="1"/>
  <c r="BO86" i="58" s="1"/>
  <c r="BP86" i="58" s="1" a="1"/>
  <c r="BP86" i="58" s="1"/>
  <c r="BQ86" i="58" s="1" a="1"/>
  <c r="BQ86" i="58" s="1"/>
  <c r="BR86" i="58" s="1" a="1"/>
  <c r="BR86" i="58"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K86" i="58"/>
  <c r="L138" i="58"/>
  <c r="L208" i="58" s="1"/>
  <c r="L197" i="58"/>
  <c r="N15" i="29"/>
  <c r="M28" i="29"/>
  <c r="L143" i="58"/>
  <c r="L213" i="58" s="1"/>
  <c r="L202" i="58"/>
  <c r="O221" i="57" a="1"/>
  <c r="O221" i="57" s="1"/>
  <c r="H101" i="47" s="1"/>
  <c r="R202" i="57" a="1"/>
  <c r="R202" i="57" s="1"/>
  <c r="P221" i="57" a="1"/>
  <c r="P221" i="57" s="1"/>
  <c r="I101" i="47" s="1"/>
  <c r="S202" i="57" a="1"/>
  <c r="S202" i="57" s="1"/>
  <c r="M8" i="56" a="1"/>
  <c r="M8" i="56" s="1"/>
  <c r="W8" i="56" s="1"/>
  <c r="AG8" i="56" s="1"/>
  <c r="AJ16" i="44"/>
  <c r="AK16" i="44" s="1"/>
  <c r="N8" i="56" s="1" a="1"/>
  <c r="N8" i="56" s="1"/>
  <c r="X8" i="56" s="1"/>
  <c r="AH8" i="56" s="1"/>
  <c r="K57" i="47"/>
  <c r="U126" i="55"/>
  <c r="S187" i="56"/>
  <c r="H98" i="47"/>
  <c r="P38" i="60"/>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a="1"/>
  <c r="AN81" i="58" s="1"/>
  <c r="AO81" i="58" s="1" a="1"/>
  <c r="AO81" i="58" s="1"/>
  <c r="AP81" i="58" s="1"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Z81" i="58" s="1" a="1"/>
  <c r="AZ81" i="58" s="1"/>
  <c r="BA81" i="58" s="1" a="1"/>
  <c r="BA81" i="58" s="1"/>
  <c r="BB81" i="58" s="1" a="1"/>
  <c r="BB81" i="58" s="1"/>
  <c r="BC81" i="58" s="1" a="1"/>
  <c r="BC81" i="58" s="1"/>
  <c r="BD81" i="58" s="1" a="1"/>
  <c r="BD81" i="58" s="1"/>
  <c r="BE81" i="58" s="1" a="1"/>
  <c r="BE81" i="58" s="1"/>
  <c r="BF81" i="58" s="1" a="1"/>
  <c r="BF81" i="58" s="1"/>
  <c r="BG81" i="58" s="1" a="1"/>
  <c r="BG81" i="58" s="1"/>
  <c r="BH81" i="58" s="1" a="1"/>
  <c r="BH81" i="58" s="1"/>
  <c r="BI81" i="58" s="1" a="1"/>
  <c r="BI81" i="58" s="1"/>
  <c r="BJ81" i="58" s="1" a="1"/>
  <c r="BJ81" i="58" s="1"/>
  <c r="BK81" i="58" s="1" a="1"/>
  <c r="BK81" i="58" s="1"/>
  <c r="BL81" i="58" s="1" a="1"/>
  <c r="BL81" i="58" s="1"/>
  <c r="BM81" i="58" s="1" a="1"/>
  <c r="BM81" i="58" s="1"/>
  <c r="BN81" i="58" s="1" a="1"/>
  <c r="BN81" i="58" s="1"/>
  <c r="BO81" i="58" s="1" a="1"/>
  <c r="BO81" i="58" s="1"/>
  <c r="BP81" i="58" s="1" a="1"/>
  <c r="BP81" i="58" s="1"/>
  <c r="BQ81" i="58" s="1" a="1"/>
  <c r="BQ81" i="58" s="1"/>
  <c r="BR81" i="58" s="1" a="1"/>
  <c r="BR81" i="58" s="1"/>
  <c r="K81" i="58"/>
  <c r="AB33" i="55"/>
  <c r="R127" i="47"/>
  <c r="Q110" i="57"/>
  <c r="Q51" i="57"/>
  <c r="AA51" i="57" s="1"/>
  <c r="G51" i="57" s="1"/>
  <c r="AA50" i="57"/>
  <c r="G50" i="57" s="1"/>
  <c r="K17" i="47"/>
  <c r="U99" i="55"/>
  <c r="X22" i="55" a="1"/>
  <c r="X22" i="55" s="1"/>
  <c r="X114" i="55" s="1"/>
  <c r="Q12" i="44"/>
  <c r="K41" i="47"/>
  <c r="U89" i="55"/>
  <c r="K95" i="58"/>
  <c r="J95" i="58"/>
  <c r="I95" i="58"/>
  <c r="H95" i="58"/>
  <c r="T95" i="58" a="1"/>
  <c r="T95" i="58" s="1"/>
  <c r="T154" i="58" s="1"/>
  <c r="R95" i="58" a="1"/>
  <c r="R95" i="58" s="1"/>
  <c r="R154" i="58" s="1"/>
  <c r="R83" i="56"/>
  <c r="R99" i="56" s="1"/>
  <c r="AB99" i="56" s="1"/>
  <c r="AB56" i="56"/>
  <c r="AB83" i="56" s="1"/>
  <c r="AC76" i="56"/>
  <c r="L32" i="47" l="1"/>
  <c r="V83" i="55"/>
  <c r="AE46" i="56"/>
  <c r="AE77" i="56" s="1"/>
  <c r="AE93" i="56" s="1"/>
  <c r="AE47" i="56"/>
  <c r="AE87" i="56" s="1"/>
  <c r="U47" i="56"/>
  <c r="U87" i="56" s="1"/>
  <c r="U46" i="56"/>
  <c r="U77" i="56" s="1"/>
  <c r="U93" i="56" s="1"/>
  <c r="M7" i="56" a="1"/>
  <c r="M7" i="56" s="1"/>
  <c r="W7" i="56" s="1"/>
  <c r="AJ23" i="44"/>
  <c r="AK23" i="44" s="1"/>
  <c r="N7" i="56" s="1" a="1"/>
  <c r="N7" i="56" s="1"/>
  <c r="X7" i="56" s="1"/>
  <c r="AF7" i="56"/>
  <c r="V43" i="56"/>
  <c r="V76" i="56" s="1"/>
  <c r="V92" i="56" s="1"/>
  <c r="V48" i="56"/>
  <c r="W132" i="55"/>
  <c r="N55" i="47" s="1"/>
  <c r="T153" i="58"/>
  <c r="T157" i="58"/>
  <c r="V92" i="55"/>
  <c r="L16" i="47"/>
  <c r="T159" i="58"/>
  <c r="L5" i="47"/>
  <c r="P22" i="35"/>
  <c r="T151" i="58"/>
  <c r="V23" i="58"/>
  <c r="U31" i="58"/>
  <c r="U34" i="58" s="1"/>
  <c r="U35" i="58" s="1"/>
  <c r="T36" i="58"/>
  <c r="T41" i="58" s="1"/>
  <c r="T168" i="58"/>
  <c r="T166" i="58"/>
  <c r="T162" i="58"/>
  <c r="T164" i="58"/>
  <c r="T170" i="58"/>
  <c r="T169" i="58"/>
  <c r="T167" i="58"/>
  <c r="T163" i="58"/>
  <c r="T165" i="58"/>
  <c r="V95" i="55"/>
  <c r="M11" i="47" s="1"/>
  <c r="U24" i="58"/>
  <c r="O100" i="58" a="1"/>
  <c r="O100" i="58" s="1"/>
  <c r="P100" i="58" s="1" a="1"/>
  <c r="P100" i="58" s="1"/>
  <c r="P159" i="58" s="1"/>
  <c r="V112" i="55"/>
  <c r="M44" i="47" s="1"/>
  <c r="L61" i="47"/>
  <c r="V135" i="55"/>
  <c r="W122" i="55"/>
  <c r="N28" i="47" s="1"/>
  <c r="W104" i="55"/>
  <c r="N47" i="47" s="1"/>
  <c r="X36" i="55"/>
  <c r="AJ15" i="44"/>
  <c r="AK15" i="44" s="1"/>
  <c r="N9" i="56" s="1" a="1"/>
  <c r="N9" i="56" s="1"/>
  <c r="X9" i="56" s="1"/>
  <c r="AH9" i="56" s="1"/>
  <c r="M9" i="56" a="1"/>
  <c r="M9" i="56" s="1"/>
  <c r="W9" i="56" s="1"/>
  <c r="AG9" i="56" s="1"/>
  <c r="L22" i="47"/>
  <c r="V118" i="55"/>
  <c r="L225" i="58"/>
  <c r="L263" i="58" s="1"/>
  <c r="L136" i="47"/>
  <c r="V31" i="55"/>
  <c r="L42" i="47"/>
  <c r="V105" i="55"/>
  <c r="L29" i="47"/>
  <c r="V120" i="55"/>
  <c r="G128" i="57"/>
  <c r="L228" i="58"/>
  <c r="L266" i="58" s="1"/>
  <c r="AB89" i="56"/>
  <c r="S97" i="58" a="1"/>
  <c r="S97" i="58" s="1"/>
  <c r="S156" i="58" s="1"/>
  <c r="X44" i="55"/>
  <c r="L221" i="58"/>
  <c r="L259" i="58" s="1"/>
  <c r="L227" i="58"/>
  <c r="L265" i="58" s="1"/>
  <c r="W43" i="55"/>
  <c r="N135" i="47" s="1"/>
  <c r="W91" i="55"/>
  <c r="W34" i="55"/>
  <c r="X15" i="55" a="1"/>
  <c r="X15" i="55" s="1"/>
  <c r="X91" i="55" s="1"/>
  <c r="Q9" i="44"/>
  <c r="Q30" i="44" s="1"/>
  <c r="Q31" i="44" s="1"/>
  <c r="L38" i="47"/>
  <c r="V87" i="55"/>
  <c r="L222" i="58"/>
  <c r="L260" i="58" s="1"/>
  <c r="O93" i="58" a="1"/>
  <c r="O93" i="58" s="1"/>
  <c r="P93" i="58" s="1" a="1"/>
  <c r="P93" i="58" s="1"/>
  <c r="P152" i="58" s="1"/>
  <c r="U111" i="56" a="1"/>
  <c r="U111" i="56" s="1"/>
  <c r="P94" i="58" a="1"/>
  <c r="P94" i="58" s="1"/>
  <c r="P153" i="58" s="1"/>
  <c r="L40" i="47"/>
  <c r="V90" i="55"/>
  <c r="L30" i="47"/>
  <c r="V124" i="55"/>
  <c r="L21" i="47"/>
  <c r="V116" i="55"/>
  <c r="O99" i="58" a="1"/>
  <c r="O99" i="58" s="1"/>
  <c r="L12" i="47"/>
  <c r="V100" i="55"/>
  <c r="L24" i="47"/>
  <c r="V121" i="55"/>
  <c r="L226" i="58"/>
  <c r="L264" i="58" s="1"/>
  <c r="L223" i="58"/>
  <c r="L261" i="58" s="1"/>
  <c r="W106" i="55"/>
  <c r="N48" i="47" s="1"/>
  <c r="S6" i="35" a="1"/>
  <c r="S6" i="35" s="1"/>
  <c r="R7" i="44"/>
  <c r="X29" i="55"/>
  <c r="L9" i="47"/>
  <c r="P24" i="35"/>
  <c r="L31" i="47"/>
  <c r="V81" i="55"/>
  <c r="S100" i="58" a="1"/>
  <c r="S100" i="58" s="1"/>
  <c r="S159" i="58" s="1"/>
  <c r="L56" i="47"/>
  <c r="V130" i="55"/>
  <c r="R19" i="44"/>
  <c r="Y11" i="55" a="1"/>
  <c r="Y11" i="55" s="1"/>
  <c r="Y30" i="55" s="1"/>
  <c r="L220" i="58"/>
  <c r="L258" i="58" s="1"/>
  <c r="S99" i="58" a="1"/>
  <c r="S99" i="58" s="1"/>
  <c r="S158" i="58" s="1"/>
  <c r="L8" i="47"/>
  <c r="P23" i="35"/>
  <c r="L7" i="47"/>
  <c r="P26" i="35"/>
  <c r="V108" i="47"/>
  <c r="Z56" i="29" a="1"/>
  <c r="Z56" i="29" s="1"/>
  <c r="U123" i="56" a="1"/>
  <c r="U123" i="56" s="1"/>
  <c r="L18" i="47"/>
  <c r="V97" i="55"/>
  <c r="L35" i="47"/>
  <c r="V84" i="55"/>
  <c r="AI56" i="29" a="1"/>
  <c r="AI56" i="29" s="1"/>
  <c r="AF108" i="47" s="1"/>
  <c r="S93" i="58" a="1"/>
  <c r="S93" i="58" s="1"/>
  <c r="S152" i="58" s="1"/>
  <c r="W108" i="55"/>
  <c r="N46" i="47" s="1"/>
  <c r="L224" i="58"/>
  <c r="L262" i="58" s="1"/>
  <c r="L6" i="47"/>
  <c r="P25" i="35"/>
  <c r="S98" i="58" a="1"/>
  <c r="S98" i="58" s="1"/>
  <c r="S157" i="58" s="1"/>
  <c r="T45" i="60" a="1"/>
  <c r="T45" i="60" s="1"/>
  <c r="P40" i="44"/>
  <c r="Q39" i="44"/>
  <c r="Q81" i="60"/>
  <c r="Q89" i="60" s="1"/>
  <c r="Q102" i="60" s="1"/>
  <c r="U95" i="58" a="1"/>
  <c r="U95" i="58" s="1"/>
  <c r="AD95" i="58" a="1"/>
  <c r="AD95" i="58" s="1"/>
  <c r="AE95" i="58" s="1" a="1"/>
  <c r="AE95" i="58" s="1"/>
  <c r="AF95" i="58" s="1" a="1"/>
  <c r="AF95" i="58" s="1"/>
  <c r="AC33" i="55"/>
  <c r="S127" i="47"/>
  <c r="S95" i="58" a="1"/>
  <c r="S95" i="58" s="1"/>
  <c r="S154" i="58" s="1"/>
  <c r="Y22" i="55" a="1"/>
  <c r="Y22" i="55" s="1"/>
  <c r="Y114" i="55" s="1"/>
  <c r="R12" i="44"/>
  <c r="X41" i="55"/>
  <c r="N157" i="58"/>
  <c r="O98" i="58" a="1"/>
  <c r="O98" i="58" s="1"/>
  <c r="L70" i="47"/>
  <c r="R99" i="60"/>
  <c r="M70" i="47" s="1"/>
  <c r="AA161" i="57"/>
  <c r="AN96" i="58" a="1"/>
  <c r="AN96" i="58" s="1"/>
  <c r="AO96" i="58" s="1" a="1"/>
  <c r="AO96" i="58" s="1"/>
  <c r="AP96" i="58" s="1" a="1"/>
  <c r="AP96" i="58" s="1"/>
  <c r="AQ96" i="58" s="1" a="1"/>
  <c r="AQ96" i="58" s="1"/>
  <c r="S92" i="58" a="1"/>
  <c r="S92" i="58" s="1"/>
  <c r="S151" i="58" s="1"/>
  <c r="Y10" i="55" a="1"/>
  <c r="Y10" i="55" s="1"/>
  <c r="Y79" i="55" s="1"/>
  <c r="R18" i="44"/>
  <c r="AC56" i="56"/>
  <c r="AC83" i="56" s="1"/>
  <c r="S83" i="56"/>
  <c r="S99" i="56" s="1"/>
  <c r="AC99" i="56" s="1"/>
  <c r="AG184" i="56" a="1"/>
  <c r="AG184" i="56" s="1"/>
  <c r="Y184" i="56" a="1"/>
  <c r="Y184" i="56" s="1"/>
  <c r="W184" i="56" a="1"/>
  <c r="W184" i="56" s="1"/>
  <c r="Z184" i="56" s="1" a="1"/>
  <c r="Z184" i="56" s="1"/>
  <c r="AA184" i="56" s="1" a="1"/>
  <c r="AA184" i="56" s="1"/>
  <c r="AB184" i="56" s="1" a="1"/>
  <c r="AB184" i="56" s="1"/>
  <c r="AC184" i="56" s="1" a="1"/>
  <c r="AC184" i="56" s="1"/>
  <c r="AD184" i="56" s="1" a="1"/>
  <c r="AD184" i="56" s="1"/>
  <c r="AE184" i="56" s="1" a="1"/>
  <c r="AE184" i="56" s="1"/>
  <c r="AI184" i="56" a="1"/>
  <c r="AI184" i="56" s="1"/>
  <c r="J100" i="56"/>
  <c r="Q117" i="60"/>
  <c r="K67" i="47"/>
  <c r="R85" i="44"/>
  <c r="X123" i="55"/>
  <c r="O23" i="47" s="1"/>
  <c r="N154" i="58"/>
  <c r="O95" i="58" a="1"/>
  <c r="O95" i="58" s="1"/>
  <c r="L54" i="47"/>
  <c r="V134" i="55"/>
  <c r="AD89" i="56"/>
  <c r="AD92" i="56"/>
  <c r="P166" i="57"/>
  <c r="Z154" i="57"/>
  <c r="F154" i="57" s="1"/>
  <c r="F191" i="57" s="1"/>
  <c r="S119" i="56" a="1"/>
  <c r="S119" i="56" s="1"/>
  <c r="N145" i="56" s="1"/>
  <c r="K95" i="47" s="1"/>
  <c r="I84" i="56"/>
  <c r="Z18" i="55" a="1"/>
  <c r="Z18" i="55" s="1"/>
  <c r="Z19" i="55" a="1"/>
  <c r="Z19" i="55" s="1"/>
  <c r="Z20" i="55" a="1"/>
  <c r="Z20" i="55" s="1"/>
  <c r="Z21" i="55" a="1"/>
  <c r="Z21" i="55" s="1"/>
  <c r="S21" i="44"/>
  <c r="X86" i="55"/>
  <c r="O34" i="47" s="1"/>
  <c r="X80" i="55"/>
  <c r="O36" i="47" s="1"/>
  <c r="X88" i="55"/>
  <c r="O33" i="47" s="1"/>
  <c r="X82" i="55"/>
  <c r="O37" i="47" s="1"/>
  <c r="S81" i="56"/>
  <c r="S97" i="56" s="1"/>
  <c r="AC97" i="56" s="1"/>
  <c r="AC54" i="56"/>
  <c r="AC81" i="56" s="1"/>
  <c r="Q168" i="57"/>
  <c r="AA156" i="57"/>
  <c r="G156" i="57" s="1"/>
  <c r="G193" i="57" s="1"/>
  <c r="L39" i="47"/>
  <c r="V85" i="55"/>
  <c r="AI180" i="56" a="1"/>
  <c r="AI180" i="56" s="1"/>
  <c r="Y180" i="56" a="1"/>
  <c r="Y180" i="56" s="1"/>
  <c r="AG180" i="56" a="1"/>
  <c r="AG180" i="56" s="1"/>
  <c r="W180" i="56" a="1"/>
  <c r="W180" i="56" s="1"/>
  <c r="Z180" i="56" s="1" a="1"/>
  <c r="Z180" i="56" s="1"/>
  <c r="AA180" i="56" s="1" a="1"/>
  <c r="AA180" i="56" s="1"/>
  <c r="AB180" i="56" s="1" a="1"/>
  <c r="AB180" i="56" s="1"/>
  <c r="AC180" i="56" s="1" a="1"/>
  <c r="AC180" i="56" s="1"/>
  <c r="AD180" i="56" s="1" a="1"/>
  <c r="AD180" i="56" s="1"/>
  <c r="AE180" i="56" s="1" a="1"/>
  <c r="AE180" i="56" s="1"/>
  <c r="J96" i="56"/>
  <c r="L50" i="47"/>
  <c r="V109" i="55"/>
  <c r="S117" i="56" a="1"/>
  <c r="S117" i="56" s="1"/>
  <c r="N143" i="56" s="1"/>
  <c r="K93" i="47" s="1"/>
  <c r="I82" i="56"/>
  <c r="L49" i="47"/>
  <c r="V111" i="55"/>
  <c r="AO77" i="56"/>
  <c r="AO80" i="56" s="1"/>
  <c r="AO81" i="56" s="1"/>
  <c r="R94" i="56"/>
  <c r="AB94" i="56" s="1"/>
  <c r="R89" i="56"/>
  <c r="R101" i="60"/>
  <c r="L69" i="47"/>
  <c r="P34" i="44"/>
  <c r="P37" i="44" s="1"/>
  <c r="T23" i="60" s="1" a="1"/>
  <c r="T23" i="60" s="1"/>
  <c r="Q86" i="44"/>
  <c r="L54" i="29" a="1"/>
  <c r="L54" i="29" s="1"/>
  <c r="I85" i="47" s="1"/>
  <c r="K54" i="29" a="1"/>
  <c r="K54" i="29" s="1"/>
  <c r="H85" i="47" s="1"/>
  <c r="P29" i="29"/>
  <c r="Q23" i="29"/>
  <c r="AA163" i="57"/>
  <c r="G163" i="57" s="1"/>
  <c r="S120" i="56" a="1"/>
  <c r="S120" i="56" s="1"/>
  <c r="N146" i="56" s="1"/>
  <c r="K96" i="47" s="1"/>
  <c r="I85" i="56"/>
  <c r="Z153" i="57"/>
  <c r="F153" i="57" s="1"/>
  <c r="F190" i="57" s="1"/>
  <c r="P165" i="57"/>
  <c r="U99" i="58" a="1"/>
  <c r="U99" i="58" s="1"/>
  <c r="AD99" i="58" a="1"/>
  <c r="AD99" i="58" s="1"/>
  <c r="I99" i="58"/>
  <c r="AD92" i="58" a="1"/>
  <c r="AD92" i="58" s="1"/>
  <c r="AE92" i="58" s="1" a="1"/>
  <c r="AE92" i="58" s="1"/>
  <c r="U92" i="58" a="1"/>
  <c r="U92" i="58" s="1"/>
  <c r="W38" i="55"/>
  <c r="M132" i="47"/>
  <c r="AU176" i="56" a="1"/>
  <c r="AU176" i="56" s="1"/>
  <c r="AT176" i="56" a="1"/>
  <c r="AT176" i="56" s="1"/>
  <c r="L92" i="56"/>
  <c r="M43" i="56"/>
  <c r="S112" i="56" a="1"/>
  <c r="S112" i="56" s="1"/>
  <c r="N138" i="56" s="1"/>
  <c r="K88" i="47" s="1"/>
  <c r="I77" i="56"/>
  <c r="L19" i="47"/>
  <c r="V101" i="55"/>
  <c r="S85" i="56"/>
  <c r="S101" i="56" s="1"/>
  <c r="AC101" i="56" s="1"/>
  <c r="AC58" i="56"/>
  <c r="AC85" i="56" s="1"/>
  <c r="AG182" i="56" a="1"/>
  <c r="AG182" i="56" s="1"/>
  <c r="Y182" i="56" a="1"/>
  <c r="Y182" i="56" s="1"/>
  <c r="W182" i="56" a="1"/>
  <c r="W182" i="56" s="1"/>
  <c r="Z182" i="56" s="1" a="1"/>
  <c r="Z182" i="56" s="1"/>
  <c r="AA182" i="56" s="1" a="1"/>
  <c r="AA182" i="56" s="1"/>
  <c r="AB182" i="56" s="1" a="1"/>
  <c r="AB182" i="56" s="1"/>
  <c r="AC182" i="56" s="1" a="1"/>
  <c r="AC182" i="56" s="1"/>
  <c r="AD182" i="56" s="1" a="1"/>
  <c r="AD182" i="56" s="1"/>
  <c r="AE182" i="56" s="1" a="1"/>
  <c r="AE182" i="56" s="1"/>
  <c r="AI182" i="56" a="1"/>
  <c r="AI182" i="56" s="1"/>
  <c r="J98" i="56"/>
  <c r="AB107" i="57"/>
  <c r="H107" i="57" s="1"/>
  <c r="W133" i="55"/>
  <c r="N59" i="47" s="1"/>
  <c r="AU77" i="56"/>
  <c r="AU80" i="56" s="1"/>
  <c r="AU81" i="56" s="1"/>
  <c r="W119" i="55"/>
  <c r="N25" i="47" s="1"/>
  <c r="L53" i="29" a="1"/>
  <c r="L53" i="29" s="1"/>
  <c r="I84" i="47" s="1"/>
  <c r="K53" i="29" a="1"/>
  <c r="K53" i="29" s="1"/>
  <c r="H84" i="47" s="1"/>
  <c r="Q83" i="60"/>
  <c r="Q91" i="60" s="1"/>
  <c r="Q116" i="60" s="1"/>
  <c r="L62" i="47" s="1"/>
  <c r="S35" i="60"/>
  <c r="S38" i="60" s="1"/>
  <c r="O15" i="29"/>
  <c r="O28" i="29" s="1"/>
  <c r="N54" i="29" s="1" a="1"/>
  <c r="N54" i="29" s="1"/>
  <c r="K85" i="47" s="1"/>
  <c r="N28" i="29"/>
  <c r="M54" i="29" s="1" a="1"/>
  <c r="M54" i="29" s="1"/>
  <c r="J85" i="47" s="1"/>
  <c r="Q166" i="57"/>
  <c r="AA154" i="57"/>
  <c r="G154" i="57" s="1"/>
  <c r="G191" i="57" s="1"/>
  <c r="L13" i="47"/>
  <c r="V98" i="55"/>
  <c r="S116" i="56" a="1"/>
  <c r="S116" i="56" s="1"/>
  <c r="N142" i="56" s="1"/>
  <c r="K92" i="47" s="1"/>
  <c r="I81" i="56"/>
  <c r="P167" i="57"/>
  <c r="Z155" i="57"/>
  <c r="F155" i="57" s="1"/>
  <c r="F192" i="57" s="1"/>
  <c r="N155" i="58"/>
  <c r="O96" i="58" a="1"/>
  <c r="O96" i="58" s="1"/>
  <c r="AE111" i="56" a="1"/>
  <c r="AE111" i="56" s="1"/>
  <c r="Z137" i="56" s="1"/>
  <c r="U87" i="47" s="1"/>
  <c r="AN111" i="56" a="1"/>
  <c r="AN111" i="56" s="1"/>
  <c r="AK137" i="56" s="1"/>
  <c r="AD87" i="47" s="1"/>
  <c r="K76" i="56"/>
  <c r="R121" i="57"/>
  <c r="AB121" i="57" s="1"/>
  <c r="R119" i="57"/>
  <c r="AB119" i="57" s="1"/>
  <c r="R123" i="57"/>
  <c r="AB123" i="57" s="1"/>
  <c r="R120" i="57"/>
  <c r="AB120" i="57" s="1"/>
  <c r="R115" i="57"/>
  <c r="R116" i="57"/>
  <c r="R124" i="57"/>
  <c r="AB124" i="57" s="1"/>
  <c r="AB73" i="57"/>
  <c r="H73" i="57" s="1"/>
  <c r="R117" i="57"/>
  <c r="S78" i="56"/>
  <c r="AC51" i="56"/>
  <c r="AC78" i="56" s="1"/>
  <c r="W35" i="55"/>
  <c r="M130" i="47"/>
  <c r="L60" i="56"/>
  <c r="K51" i="56"/>
  <c r="K52" i="56"/>
  <c r="K56" i="56"/>
  <c r="K54" i="56"/>
  <c r="K53" i="56"/>
  <c r="K58" i="56"/>
  <c r="K55" i="56"/>
  <c r="K57" i="56"/>
  <c r="K59" i="56"/>
  <c r="L10" i="47"/>
  <c r="V93" i="55"/>
  <c r="S113" i="56" a="1"/>
  <c r="S113" i="56" s="1"/>
  <c r="N139" i="56" s="1"/>
  <c r="K89" i="47" s="1"/>
  <c r="I78" i="56"/>
  <c r="O14" i="29"/>
  <c r="O27" i="29" s="1"/>
  <c r="N53" i="29" s="1" a="1"/>
  <c r="N53" i="29" s="1"/>
  <c r="K84" i="47" s="1"/>
  <c r="N27" i="29"/>
  <c r="M53" i="29" s="1" a="1"/>
  <c r="M53" i="29" s="1"/>
  <c r="J84" i="47" s="1"/>
  <c r="Q114" i="60"/>
  <c r="L64" i="47" s="1"/>
  <c r="L57" i="47"/>
  <c r="V126" i="55"/>
  <c r="Q85" i="60"/>
  <c r="P93" i="60"/>
  <c r="P119" i="60" s="1"/>
  <c r="K65" i="47" s="1"/>
  <c r="R50" i="57"/>
  <c r="AB49" i="57"/>
  <c r="R57" i="57"/>
  <c r="AA162" i="57"/>
  <c r="G162" i="57" s="1"/>
  <c r="Z152" i="57"/>
  <c r="F152" i="57" s="1"/>
  <c r="F189" i="57" s="1"/>
  <c r="P164" i="57"/>
  <c r="Y17" i="55" a="1"/>
  <c r="Y17" i="55" s="1"/>
  <c r="Y103" i="55" s="1"/>
  <c r="R20" i="44"/>
  <c r="AC55" i="56"/>
  <c r="AC82" i="56" s="1"/>
  <c r="S82" i="56"/>
  <c r="S98" i="56" s="1"/>
  <c r="AC98" i="56" s="1"/>
  <c r="R104" i="60"/>
  <c r="L72" i="47"/>
  <c r="L133" i="47"/>
  <c r="V136" i="55"/>
  <c r="K68" i="47"/>
  <c r="P74" i="60"/>
  <c r="P77" i="60" s="1"/>
  <c r="X37" i="55"/>
  <c r="N129" i="47"/>
  <c r="U98" i="58" a="1"/>
  <c r="U98" i="58" s="1"/>
  <c r="AD98" i="58" a="1"/>
  <c r="AD98" i="58" s="1"/>
  <c r="I98" i="58"/>
  <c r="Q118" i="60"/>
  <c r="K66" i="47"/>
  <c r="G57" i="57"/>
  <c r="G45" i="57" s="1"/>
  <c r="Y23" i="55" a="1"/>
  <c r="Y23" i="55" s="1"/>
  <c r="Y24" i="55" a="1"/>
  <c r="Y24" i="55" s="1"/>
  <c r="R24" i="44"/>
  <c r="M16" i="47"/>
  <c r="W94" i="55"/>
  <c r="X106" i="55"/>
  <c r="O48" i="47" s="1"/>
  <c r="V40" i="55"/>
  <c r="L128" i="47"/>
  <c r="AC59" i="56"/>
  <c r="AC86" i="56" s="1"/>
  <c r="S86" i="56"/>
  <c r="L26" i="47"/>
  <c r="V115" i="55"/>
  <c r="W42" i="55"/>
  <c r="M134" i="47"/>
  <c r="S25" i="60"/>
  <c r="S18" i="60" s="1"/>
  <c r="S34" i="60"/>
  <c r="S37" i="60" s="1"/>
  <c r="Q108" i="60"/>
  <c r="K76" i="47"/>
  <c r="S118" i="56" a="1"/>
  <c r="S118" i="56" s="1"/>
  <c r="N144" i="56" s="1"/>
  <c r="K94" i="47" s="1"/>
  <c r="I83" i="56"/>
  <c r="AA110" i="57"/>
  <c r="G110" i="57" s="1"/>
  <c r="Q111" i="57"/>
  <c r="L45" i="47"/>
  <c r="V110" i="55"/>
  <c r="X187" i="56"/>
  <c r="V187" i="56"/>
  <c r="K98" i="47"/>
  <c r="R103" i="60"/>
  <c r="M73" i="47" s="1"/>
  <c r="L73" i="47"/>
  <c r="J86" i="56"/>
  <c r="AV78" i="56" s="1"/>
  <c r="J102" i="56"/>
  <c r="W39" i="55"/>
  <c r="M131" i="47"/>
  <c r="U92" i="56"/>
  <c r="U186" i="56"/>
  <c r="J97" i="47"/>
  <c r="Q107" i="60"/>
  <c r="L82" i="47" s="1"/>
  <c r="T41" i="29"/>
  <c r="AO56" i="29" s="1" a="1"/>
  <c r="AO56" i="29" s="1"/>
  <c r="AG80" i="57"/>
  <c r="M77" i="57"/>
  <c r="M80" i="57" s="1"/>
  <c r="S94" i="58" a="1"/>
  <c r="S94" i="58" s="1"/>
  <c r="S153" i="58" s="1"/>
  <c r="M15" i="47"/>
  <c r="W92" i="55"/>
  <c r="O138" i="47"/>
  <c r="L27" i="47"/>
  <c r="V117" i="55"/>
  <c r="Z10" i="58" a="1"/>
  <c r="Z10" i="58" s="1"/>
  <c r="R8" i="44"/>
  <c r="W177" i="56" a="1"/>
  <c r="W177" i="56" s="1"/>
  <c r="Z177" i="56" s="1" a="1"/>
  <c r="Z177" i="56" s="1"/>
  <c r="AA177" i="56" s="1" a="1"/>
  <c r="AA177" i="56" s="1"/>
  <c r="AB177" i="56" s="1" a="1"/>
  <c r="AB177" i="56" s="1"/>
  <c r="AC177" i="56" s="1" a="1"/>
  <c r="AC177" i="56" s="1"/>
  <c r="AD177" i="56" s="1" a="1"/>
  <c r="AD177" i="56" s="1"/>
  <c r="AE177" i="56" s="1" a="1"/>
  <c r="AE177" i="56" s="1"/>
  <c r="AI177" i="56" a="1"/>
  <c r="AI177" i="56" s="1"/>
  <c r="AG177" i="56" a="1"/>
  <c r="AG177" i="56" s="1"/>
  <c r="Y177" i="56" a="1"/>
  <c r="Y177" i="56" s="1"/>
  <c r="J93" i="56"/>
  <c r="AG73" i="57"/>
  <c r="H89" i="56"/>
  <c r="AA58" i="57"/>
  <c r="AA61" i="57" s="1"/>
  <c r="O165" i="57"/>
  <c r="Y153" i="57"/>
  <c r="AG183" i="56" a="1"/>
  <c r="AG183" i="56" s="1"/>
  <c r="Y183" i="56" a="1"/>
  <c r="Y183" i="56" s="1"/>
  <c r="AI183" i="56" a="1"/>
  <c r="AI183" i="56" s="1"/>
  <c r="W183" i="56" a="1"/>
  <c r="W183" i="56" s="1"/>
  <c r="Z183" i="56" s="1" a="1"/>
  <c r="Z183" i="56" s="1"/>
  <c r="AA183" i="56" s="1" a="1"/>
  <c r="AA183" i="56" s="1"/>
  <c r="AB183" i="56" s="1" a="1"/>
  <c r="AB183" i="56" s="1"/>
  <c r="AC183" i="56" s="1" a="1"/>
  <c r="AC183" i="56" s="1"/>
  <c r="AD183" i="56" s="1" a="1"/>
  <c r="AD183" i="56" s="1"/>
  <c r="AE183" i="56" s="1" a="1"/>
  <c r="AE183" i="56" s="1"/>
  <c r="J99" i="56"/>
  <c r="M14" i="47"/>
  <c r="W96" i="55"/>
  <c r="AE56" i="56"/>
  <c r="AE83" i="56" s="1"/>
  <c r="AE99" i="56" s="1"/>
  <c r="AE52" i="56"/>
  <c r="AE79" i="56" s="1"/>
  <c r="AE95" i="56" s="1"/>
  <c r="AE58" i="56"/>
  <c r="AE85" i="56" s="1"/>
  <c r="AE101" i="56" s="1"/>
  <c r="AE54" i="56"/>
  <c r="AE81" i="56" s="1"/>
  <c r="AE97" i="56" s="1"/>
  <c r="AE57" i="56"/>
  <c r="AE84" i="56" s="1"/>
  <c r="AE100" i="56" s="1"/>
  <c r="AE53" i="56"/>
  <c r="AE80" i="56" s="1"/>
  <c r="AE96" i="56" s="1"/>
  <c r="AE59" i="56"/>
  <c r="AE86" i="56" s="1"/>
  <c r="AE51" i="56"/>
  <c r="AE78" i="56" s="1"/>
  <c r="AE94" i="56" s="1"/>
  <c r="AE55" i="56"/>
  <c r="AE82" i="56" s="1"/>
  <c r="AE98" i="56" s="1"/>
  <c r="AD100" i="58" a="1"/>
  <c r="AD100" i="58" s="1"/>
  <c r="AE100" i="58" s="1" a="1"/>
  <c r="AE100" i="58" s="1"/>
  <c r="U100" i="58" a="1"/>
  <c r="U100" i="58" s="1"/>
  <c r="Q110" i="60"/>
  <c r="L81" i="47" s="1"/>
  <c r="U94" i="58" a="1"/>
  <c r="U94" i="58" s="1"/>
  <c r="AD94" i="58" a="1"/>
  <c r="AD94" i="58" s="1"/>
  <c r="AE94" i="58" s="1" a="1"/>
  <c r="AE94" i="58" s="1"/>
  <c r="AF94" i="58" s="1" a="1"/>
  <c r="AF94" i="58" s="1"/>
  <c r="AG94" i="58" s="1" a="1"/>
  <c r="AG94" i="58" s="1"/>
  <c r="AH94" i="58" s="1" a="1"/>
  <c r="AH94" i="58" s="1"/>
  <c r="AI94" i="58" s="1" a="1"/>
  <c r="AI94" i="58" s="1"/>
  <c r="AJ94" i="58" s="1" a="1"/>
  <c r="AJ94" i="58" s="1"/>
  <c r="AI188" i="56"/>
  <c r="AG188" i="56"/>
  <c r="T99" i="47"/>
  <c r="R112" i="60"/>
  <c r="L79" i="47"/>
  <c r="S114" i="56" a="1"/>
  <c r="S114" i="56" s="1"/>
  <c r="N140" i="56" s="1"/>
  <c r="K90" i="47" s="1"/>
  <c r="I79" i="56"/>
  <c r="J103" i="56"/>
  <c r="J87" i="56"/>
  <c r="AC53" i="56"/>
  <c r="AC80" i="56" s="1"/>
  <c r="S80" i="56"/>
  <c r="S96" i="56" s="1"/>
  <c r="AC96" i="56" s="1"/>
  <c r="O164" i="57"/>
  <c r="Y152" i="57"/>
  <c r="AI185" i="56" a="1"/>
  <c r="AI185" i="56" s="1"/>
  <c r="W185" i="56" a="1"/>
  <c r="W185" i="56" s="1"/>
  <c r="Z185" i="56" s="1" a="1"/>
  <c r="Z185" i="56" s="1"/>
  <c r="AA185" i="56" s="1" a="1"/>
  <c r="AA185" i="56" s="1"/>
  <c r="AB185" i="56" s="1" a="1"/>
  <c r="AB185" i="56" s="1"/>
  <c r="AC185" i="56" s="1" a="1"/>
  <c r="AC185" i="56" s="1"/>
  <c r="AD185" i="56" s="1" a="1"/>
  <c r="AD185" i="56" s="1"/>
  <c r="AE185" i="56" s="1" a="1"/>
  <c r="AE185" i="56" s="1"/>
  <c r="AG185" i="56" a="1"/>
  <c r="AG185" i="56" s="1"/>
  <c r="Y185" i="56" a="1"/>
  <c r="Y185" i="56" s="1"/>
  <c r="J101" i="56"/>
  <c r="O159" i="58"/>
  <c r="AN100" i="58" a="1"/>
  <c r="AN100" i="58" s="1"/>
  <c r="AO100" i="58" s="1" a="1"/>
  <c r="AO100" i="58" s="1"/>
  <c r="Q84" i="60"/>
  <c r="Q92" i="60" s="1"/>
  <c r="Q113" i="60" s="1"/>
  <c r="L78" i="47" s="1"/>
  <c r="S36" i="60"/>
  <c r="AN95" i="58" a="1"/>
  <c r="AN95" i="58" s="1"/>
  <c r="L58" i="47"/>
  <c r="V128" i="55"/>
  <c r="S100" i="60"/>
  <c r="M74" i="47"/>
  <c r="O166" i="57"/>
  <c r="Y154" i="57"/>
  <c r="S96" i="58" a="1"/>
  <c r="S96" i="58" s="1"/>
  <c r="S155" i="58" s="1"/>
  <c r="L48" i="56"/>
  <c r="K46" i="56"/>
  <c r="K47" i="56"/>
  <c r="Q106" i="60"/>
  <c r="K77" i="47"/>
  <c r="G127" i="57"/>
  <c r="T58" i="56"/>
  <c r="T85" i="56" s="1"/>
  <c r="T101" i="56" s="1"/>
  <c r="T54" i="56"/>
  <c r="T81" i="56" s="1"/>
  <c r="T97" i="56" s="1"/>
  <c r="T57" i="56"/>
  <c r="T84" i="56" s="1"/>
  <c r="T100" i="56" s="1"/>
  <c r="T53" i="56"/>
  <c r="T80" i="56" s="1"/>
  <c r="T96" i="56" s="1"/>
  <c r="U60" i="56"/>
  <c r="T55" i="56"/>
  <c r="T82" i="56" s="1"/>
  <c r="T98" i="56" s="1"/>
  <c r="T56" i="56"/>
  <c r="T83" i="56" s="1"/>
  <c r="T99" i="56" s="1"/>
  <c r="T59" i="56"/>
  <c r="T86" i="56" s="1"/>
  <c r="AP78" i="56" s="1"/>
  <c r="T51" i="56"/>
  <c r="T78" i="56" s="1"/>
  <c r="T52" i="56"/>
  <c r="T79" i="56" s="1"/>
  <c r="T95" i="56" s="1"/>
  <c r="O167" i="57"/>
  <c r="Y155" i="57"/>
  <c r="AI179" i="56" a="1"/>
  <c r="AI179" i="56" s="1"/>
  <c r="Y179" i="56" a="1"/>
  <c r="Y179" i="56" s="1"/>
  <c r="AG179" i="56" a="1"/>
  <c r="AG179" i="56" s="1"/>
  <c r="W179" i="56" a="1"/>
  <c r="W179" i="56" s="1"/>
  <c r="Z179" i="56" s="1" a="1"/>
  <c r="Z179" i="56" s="1"/>
  <c r="AA179" i="56" s="1" a="1"/>
  <c r="AA179" i="56" s="1"/>
  <c r="AB179" i="56" s="1" a="1"/>
  <c r="AB179" i="56" s="1"/>
  <c r="AC179" i="56" s="1" a="1"/>
  <c r="AC179" i="56" s="1"/>
  <c r="AD179" i="56" s="1" a="1"/>
  <c r="AD179" i="56" s="1"/>
  <c r="AE179" i="56" s="1" a="1"/>
  <c r="AE179" i="56" s="1"/>
  <c r="J95" i="56"/>
  <c r="N151" i="58"/>
  <c r="O92" i="58" a="1"/>
  <c r="O92" i="58" s="1"/>
  <c r="X186" i="56"/>
  <c r="V186" i="56"/>
  <c r="K97" i="47"/>
  <c r="W54" i="29" a="1"/>
  <c r="W54" i="29" s="1"/>
  <c r="T85" i="47" s="1"/>
  <c r="Q82" i="60"/>
  <c r="Q90" i="60" s="1"/>
  <c r="Q109" i="60" s="1"/>
  <c r="L75" i="47" s="1"/>
  <c r="L43" i="47"/>
  <c r="V107" i="55"/>
  <c r="AG85" i="57"/>
  <c r="M82" i="57"/>
  <c r="M85" i="57" s="1"/>
  <c r="Q87" i="44"/>
  <c r="P35" i="44"/>
  <c r="P38" i="44" s="1"/>
  <c r="T24" i="60" s="1" a="1"/>
  <c r="T24" i="60" s="1"/>
  <c r="L41" i="47"/>
  <c r="V89" i="55"/>
  <c r="AD93" i="58" a="1"/>
  <c r="AD93" i="58" s="1"/>
  <c r="AE93" i="58" s="1" a="1"/>
  <c r="AE93" i="58" s="1"/>
  <c r="AF93" i="58" s="1" a="1"/>
  <c r="AF93" i="58" s="1"/>
  <c r="U93" i="58" a="1"/>
  <c r="U93" i="58" s="1"/>
  <c r="P168" i="57"/>
  <c r="Z156" i="57"/>
  <c r="F156" i="57" s="1"/>
  <c r="F193" i="57" s="1"/>
  <c r="W32" i="55"/>
  <c r="M137" i="47"/>
  <c r="AD97" i="58" a="1"/>
  <c r="AD97" i="58" s="1"/>
  <c r="AE97" i="58" s="1" a="1"/>
  <c r="AE97" i="58" s="1"/>
  <c r="AF97" i="58" s="1" a="1"/>
  <c r="AF97" i="58" s="1"/>
  <c r="U97" i="58" a="1"/>
  <c r="U97" i="58" s="1"/>
  <c r="W113" i="55"/>
  <c r="N51" i="47" s="1"/>
  <c r="W53" i="29" a="1"/>
  <c r="W53" i="29" s="1"/>
  <c r="T84" i="47" s="1"/>
  <c r="AN92" i="58" a="1"/>
  <c r="AN92" i="58" s="1"/>
  <c r="AO92" i="58" s="1" a="1"/>
  <c r="AO92" i="58" s="1"/>
  <c r="AP92" i="58" s="1" a="1"/>
  <c r="AP92" i="58" s="1"/>
  <c r="AQ92" i="58" s="1" a="1"/>
  <c r="AQ92" i="58" s="1"/>
  <c r="N156" i="58"/>
  <c r="O97" i="58" a="1"/>
  <c r="O97" i="58" s="1"/>
  <c r="S115" i="56" a="1"/>
  <c r="S115" i="56" s="1"/>
  <c r="N141" i="56" s="1"/>
  <c r="K91" i="47" s="1"/>
  <c r="I80" i="56"/>
  <c r="U187" i="56"/>
  <c r="J98" i="47"/>
  <c r="G129" i="57"/>
  <c r="S84" i="56"/>
  <c r="S100" i="56" s="1"/>
  <c r="AC100" i="56" s="1"/>
  <c r="AC57" i="56"/>
  <c r="AC84" i="56" s="1"/>
  <c r="AI178" i="56" a="1"/>
  <c r="AI178" i="56" s="1"/>
  <c r="AG178" i="56" a="1"/>
  <c r="AG178" i="56" s="1"/>
  <c r="Y178" i="56" a="1"/>
  <c r="Y178" i="56" s="1"/>
  <c r="W178" i="56" a="1"/>
  <c r="W178" i="56" s="1"/>
  <c r="Z178" i="56" s="1" a="1"/>
  <c r="Z178" i="56" s="1"/>
  <c r="AA178" i="56" s="1" a="1"/>
  <c r="AA178" i="56" s="1"/>
  <c r="AB178" i="56" s="1" a="1"/>
  <c r="AB178" i="56" s="1"/>
  <c r="AC178" i="56" s="1" a="1"/>
  <c r="AC178" i="56" s="1"/>
  <c r="AD178" i="56" s="1" a="1"/>
  <c r="AD178" i="56" s="1"/>
  <c r="AE178" i="56" s="1" a="1"/>
  <c r="AE178" i="56" s="1"/>
  <c r="J94" i="56"/>
  <c r="R22" i="29"/>
  <c r="Q28" i="29"/>
  <c r="Q111" i="60"/>
  <c r="L80" i="47" s="1"/>
  <c r="Y156" i="57"/>
  <c r="O168" i="57"/>
  <c r="M20" i="47"/>
  <c r="W102" i="55"/>
  <c r="AN94" i="58" a="1"/>
  <c r="AN94" i="58" s="1"/>
  <c r="AO94" i="58" s="1" a="1"/>
  <c r="AO94" i="58" s="1"/>
  <c r="AP94" i="58" s="1" a="1"/>
  <c r="AP94" i="58" s="1"/>
  <c r="AQ94" i="58" s="1" a="1"/>
  <c r="AQ94" i="58" s="1"/>
  <c r="Y25" i="55" a="1"/>
  <c r="Y25" i="55" s="1"/>
  <c r="Y125" i="55" s="1"/>
  <c r="R22" i="44"/>
  <c r="AE123" i="56" a="1"/>
  <c r="AE123" i="56" s="1"/>
  <c r="Z149" i="56" s="1"/>
  <c r="AN123" i="56" a="1"/>
  <c r="AN123" i="56" s="1"/>
  <c r="AK149" i="56" s="1"/>
  <c r="K88" i="56"/>
  <c r="U88" i="56" s="1"/>
  <c r="AE88" i="56" s="1"/>
  <c r="L104" i="56"/>
  <c r="Z12" i="55" a="1"/>
  <c r="Z12" i="55" s="1"/>
  <c r="Z13" i="55" a="1"/>
  <c r="Z13" i="55" s="1"/>
  <c r="S17" i="44"/>
  <c r="L17" i="47"/>
  <c r="V99" i="55"/>
  <c r="AN93" i="58" a="1"/>
  <c r="AN93" i="58" s="1"/>
  <c r="AO93" i="58" s="1" a="1"/>
  <c r="AO93" i="58" s="1"/>
  <c r="AE76" i="56"/>
  <c r="U96" i="58" a="1"/>
  <c r="U96" i="58" s="1"/>
  <c r="AD96" i="58" a="1"/>
  <c r="AD96" i="58" s="1"/>
  <c r="AN97" i="58" a="1"/>
  <c r="AN97" i="58" s="1"/>
  <c r="R21" i="29"/>
  <c r="Q27" i="29"/>
  <c r="P219" i="57" a="1"/>
  <c r="P219" i="57" s="1"/>
  <c r="I100" i="47" s="1"/>
  <c r="O219" i="57" a="1"/>
  <c r="O219" i="57" s="1"/>
  <c r="H100" i="47" s="1"/>
  <c r="R200" i="57" a="1"/>
  <c r="R200" i="57" s="1"/>
  <c r="S200" i="57" a="1"/>
  <c r="S200" i="57" s="1"/>
  <c r="AA125" i="57"/>
  <c r="AA129" i="57" s="1"/>
  <c r="Q129" i="57"/>
  <c r="AC52" i="56"/>
  <c r="AC79" i="56" s="1"/>
  <c r="S79" i="56"/>
  <c r="S95" i="56" s="1"/>
  <c r="AC95" i="56" s="1"/>
  <c r="Q115" i="60"/>
  <c r="K63" i="47"/>
  <c r="N108" i="47"/>
  <c r="R56" i="29" a="1"/>
  <c r="R56" i="29" s="1"/>
  <c r="AG181" i="56" a="1"/>
  <c r="AG181" i="56" s="1"/>
  <c r="Y181" i="56" a="1"/>
  <c r="Y181" i="56" s="1"/>
  <c r="W181" i="56" a="1"/>
  <c r="W181" i="56" s="1"/>
  <c r="Z181" i="56" s="1" a="1"/>
  <c r="Z181" i="56" s="1"/>
  <c r="AA181" i="56" s="1" a="1"/>
  <c r="AA181" i="56" s="1"/>
  <c r="AB181" i="56" s="1" a="1"/>
  <c r="AB181" i="56" s="1"/>
  <c r="AC181" i="56" s="1" a="1"/>
  <c r="AC181" i="56" s="1"/>
  <c r="AD181" i="56" s="1" a="1"/>
  <c r="AD181" i="56" s="1"/>
  <c r="AE181" i="56" s="1" a="1"/>
  <c r="AE181" i="56" s="1"/>
  <c r="AI181" i="56" a="1"/>
  <c r="AI181" i="56" s="1"/>
  <c r="J97" i="56"/>
  <c r="R105" i="60"/>
  <c r="L71" i="47"/>
  <c r="H54" i="57"/>
  <c r="P33" i="44"/>
  <c r="P36" i="44" s="1"/>
  <c r="T22" i="60" s="1" a="1"/>
  <c r="T22" i="60" s="1"/>
  <c r="X132" i="55"/>
  <c r="O55" i="47" s="1"/>
  <c r="X133" i="55"/>
  <c r="O59" i="47" s="1"/>
  <c r="X127" i="55"/>
  <c r="O52" i="47" s="1"/>
  <c r="X131" i="55"/>
  <c r="O60" i="47" s="1"/>
  <c r="L53" i="47"/>
  <c r="V129" i="55"/>
  <c r="Q61" i="57"/>
  <c r="W188" i="56"/>
  <c r="Y188" i="56"/>
  <c r="L99" i="47"/>
  <c r="M32" i="47" l="1"/>
  <c r="W83" i="55"/>
  <c r="U156" i="58"/>
  <c r="V47" i="56"/>
  <c r="V87" i="56" s="1"/>
  <c r="V46" i="56"/>
  <c r="V77" i="56" s="1"/>
  <c r="V93" i="56" s="1"/>
  <c r="AF48" i="56"/>
  <c r="AF43" i="56"/>
  <c r="AF76" i="56" s="1"/>
  <c r="AF92" i="56" s="1"/>
  <c r="AH7" i="56"/>
  <c r="X43" i="56"/>
  <c r="X76" i="56" s="1"/>
  <c r="X92" i="56" s="1"/>
  <c r="W43" i="56"/>
  <c r="W76" i="56" s="1"/>
  <c r="W92" i="56" s="1"/>
  <c r="AG7" i="56"/>
  <c r="W48" i="56"/>
  <c r="U152" i="58"/>
  <c r="U153" i="58"/>
  <c r="AF60" i="56"/>
  <c r="U159" i="58"/>
  <c r="U155" i="58"/>
  <c r="X48" i="56"/>
  <c r="U158" i="58"/>
  <c r="V24" i="58"/>
  <c r="AJ56" i="29" a="1"/>
  <c r="AJ56" i="29" s="1"/>
  <c r="X104" i="55"/>
  <c r="O47" i="47" s="1"/>
  <c r="W95" i="55"/>
  <c r="N11" i="47" s="1"/>
  <c r="U157" i="58"/>
  <c r="X122" i="55"/>
  <c r="O28" i="47" s="1"/>
  <c r="U151" i="58"/>
  <c r="M5" i="47"/>
  <c r="Q22" i="35"/>
  <c r="W112" i="55"/>
  <c r="S19" i="60"/>
  <c r="U154" i="58"/>
  <c r="U36" i="58"/>
  <c r="U41" i="58" s="1"/>
  <c r="U167" i="58"/>
  <c r="U162" i="58"/>
  <c r="U170" i="58"/>
  <c r="U165" i="58"/>
  <c r="U164" i="58"/>
  <c r="U163" i="58"/>
  <c r="U169" i="58"/>
  <c r="U168" i="58"/>
  <c r="U166" i="58"/>
  <c r="V31" i="58"/>
  <c r="V34" i="58" s="1"/>
  <c r="V35" i="58" s="1"/>
  <c r="W23" i="58"/>
  <c r="E61" i="57"/>
  <c r="O54" i="29" a="1"/>
  <c r="O54" i="29" s="1"/>
  <c r="L85" i="47" s="1"/>
  <c r="M61" i="47"/>
  <c r="W135" i="55"/>
  <c r="S99" i="60"/>
  <c r="N70" i="47" s="1"/>
  <c r="X34" i="55"/>
  <c r="Y36" i="55"/>
  <c r="W31" i="55"/>
  <c r="M136" i="47"/>
  <c r="M22" i="47"/>
  <c r="W118" i="55"/>
  <c r="O152" i="58"/>
  <c r="Y29" i="55"/>
  <c r="M29" i="47"/>
  <c r="W120" i="55"/>
  <c r="M42" i="47"/>
  <c r="W105" i="55"/>
  <c r="M38" i="47"/>
  <c r="W87" i="55"/>
  <c r="X43" i="55"/>
  <c r="O135" i="47" s="1"/>
  <c r="Y15" i="55" a="1"/>
  <c r="Y15" i="55" s="1"/>
  <c r="Y91" i="55" s="1"/>
  <c r="R9" i="44"/>
  <c r="R30" i="44" s="1"/>
  <c r="R31" i="44" s="1"/>
  <c r="R81" i="60"/>
  <c r="R89" i="60" s="1"/>
  <c r="R102" i="60" s="1"/>
  <c r="M68" i="47" s="1"/>
  <c r="O53" i="29" a="1"/>
  <c r="O53" i="29" s="1"/>
  <c r="K257" i="57"/>
  <c r="V264" i="57" s="1" a="1"/>
  <c r="V264" i="57" s="1"/>
  <c r="W264" i="57" s="1" a="1"/>
  <c r="W264" i="57" s="1"/>
  <c r="O158" i="58"/>
  <c r="P99" i="58" a="1"/>
  <c r="P99" i="58" s="1"/>
  <c r="P158" i="58" s="1"/>
  <c r="M21" i="47"/>
  <c r="W116" i="55"/>
  <c r="Q33" i="44"/>
  <c r="Q36" i="44" s="1"/>
  <c r="U22" i="60" s="1" a="1"/>
  <c r="U22" i="60" s="1"/>
  <c r="U34" i="60" s="1"/>
  <c r="U37" i="60" s="1"/>
  <c r="L245" i="58"/>
  <c r="M30" i="47"/>
  <c r="W124" i="55"/>
  <c r="V97" i="58" a="1"/>
  <c r="V97" i="58" s="1"/>
  <c r="M40" i="47"/>
  <c r="W90" i="55"/>
  <c r="AF111" i="56" a="1"/>
  <c r="AF111" i="56" s="1"/>
  <c r="AG111" i="56" s="1" a="1"/>
  <c r="AG111" i="56" s="1"/>
  <c r="M24" i="47"/>
  <c r="W121" i="55"/>
  <c r="P137" i="56"/>
  <c r="M87" i="47" s="1"/>
  <c r="V111" i="56" a="1"/>
  <c r="V111" i="56" s="1"/>
  <c r="AC89" i="56"/>
  <c r="M12" i="47"/>
  <c r="W100" i="55"/>
  <c r="K258" i="57"/>
  <c r="X265" i="57" s="1" a="1"/>
  <c r="X265" i="57" s="1"/>
  <c r="X108" i="55"/>
  <c r="O46" i="47" s="1"/>
  <c r="W108" i="47"/>
  <c r="AA56" i="29" a="1"/>
  <c r="AA56" i="29" s="1"/>
  <c r="M7" i="47"/>
  <c r="Q26" i="35"/>
  <c r="M31" i="47"/>
  <c r="W81" i="55"/>
  <c r="V100" i="58" a="1"/>
  <c r="V100" i="58" s="1"/>
  <c r="M8" i="47"/>
  <c r="Q23" i="35"/>
  <c r="R107" i="60"/>
  <c r="M82" i="47" s="1"/>
  <c r="S17" i="60"/>
  <c r="Y41" i="55"/>
  <c r="M9" i="47"/>
  <c r="Q24" i="35"/>
  <c r="U45" i="60" a="1"/>
  <c r="U45" i="60" s="1"/>
  <c r="R39" i="44"/>
  <c r="Q40" i="44"/>
  <c r="M35" i="47"/>
  <c r="W84" i="55"/>
  <c r="M18" i="47"/>
  <c r="W97" i="55"/>
  <c r="Z11" i="55" a="1"/>
  <c r="Z11" i="55" s="1"/>
  <c r="S19" i="44"/>
  <c r="T6" i="35" a="1"/>
  <c r="T6" i="35" s="1"/>
  <c r="S7" i="44"/>
  <c r="AF123" i="56" a="1"/>
  <c r="AF123" i="56" s="1"/>
  <c r="AA149" i="56" s="1"/>
  <c r="M56" i="47"/>
  <c r="W130" i="55"/>
  <c r="V99" i="58" a="1"/>
  <c r="V99" i="58" s="1"/>
  <c r="M6" i="47"/>
  <c r="Q25" i="35"/>
  <c r="P149" i="56"/>
  <c r="V123" i="56" a="1"/>
  <c r="V123" i="56" s="1"/>
  <c r="R114" i="60"/>
  <c r="M64" i="47" s="1"/>
  <c r="R84" i="60"/>
  <c r="R92" i="60" s="1"/>
  <c r="R113" i="60" s="1"/>
  <c r="M78" i="47" s="1"/>
  <c r="AH180" i="56" a="1"/>
  <c r="AH180" i="56" s="1"/>
  <c r="AF180" i="56" a="1"/>
  <c r="AF180" i="56" s="1"/>
  <c r="AH183" i="56" a="1"/>
  <c r="AH183" i="56" s="1"/>
  <c r="AF183" i="56" a="1"/>
  <c r="AF183" i="56" s="1"/>
  <c r="AF185" i="56" a="1"/>
  <c r="AF185" i="56" s="1"/>
  <c r="AH185" i="56" a="1"/>
  <c r="AH185" i="56" s="1"/>
  <c r="AK94" i="58" a="1"/>
  <c r="AK94" i="58" s="1"/>
  <c r="AH181" i="56" a="1"/>
  <c r="AH181" i="56" s="1"/>
  <c r="AF181" i="56" a="1"/>
  <c r="AF181" i="56" s="1"/>
  <c r="AF177" i="56" a="1"/>
  <c r="AF177" i="56" s="1"/>
  <c r="AH177" i="56" a="1"/>
  <c r="AH177" i="56" s="1"/>
  <c r="AG93" i="58" a="1"/>
  <c r="AG93" i="58" s="1"/>
  <c r="AH184" i="56" a="1"/>
  <c r="AH184" i="56" s="1"/>
  <c r="AF184" i="56" a="1"/>
  <c r="AF184" i="56" s="1"/>
  <c r="AH178" i="56" a="1"/>
  <c r="AH178" i="56" s="1"/>
  <c r="AF178" i="56" a="1"/>
  <c r="AF178" i="56" s="1"/>
  <c r="AP93" i="58" a="1"/>
  <c r="AP93" i="58" s="1"/>
  <c r="AR92" i="58" a="1"/>
  <c r="AR92" i="58" s="1"/>
  <c r="AR94" i="58" a="1"/>
  <c r="AR94" i="58" s="1"/>
  <c r="AH179" i="56" a="1"/>
  <c r="AH179" i="56" s="1"/>
  <c r="AF179" i="56" a="1"/>
  <c r="AF179" i="56" s="1"/>
  <c r="AH182" i="56" a="1"/>
  <c r="AH182" i="56" s="1"/>
  <c r="AF182" i="56" a="1"/>
  <c r="AF182" i="56" s="1"/>
  <c r="Y166" i="57"/>
  <c r="E166" i="57" s="1"/>
  <c r="R82" i="60"/>
  <c r="R90" i="60" s="1"/>
  <c r="R109" i="60" s="1"/>
  <c r="M26" i="47"/>
  <c r="W115" i="55"/>
  <c r="Z23" i="55" a="1"/>
  <c r="Z23" i="55" s="1"/>
  <c r="Z24" i="55" a="1"/>
  <c r="Z24" i="55" s="1"/>
  <c r="S24" i="44"/>
  <c r="Y106" i="55"/>
  <c r="P48" i="47"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K99" i="56"/>
  <c r="AB115" i="57"/>
  <c r="R127" i="57"/>
  <c r="M13" i="47"/>
  <c r="W98" i="55"/>
  <c r="AX111" i="56" a="1"/>
  <c r="AX111" i="56" s="1"/>
  <c r="AM137" i="56" s="1"/>
  <c r="AF87" i="47" s="1"/>
  <c r="AO111" i="56" a="1"/>
  <c r="AO111" i="56" s="1"/>
  <c r="AP111" i="56" s="1" a="1"/>
  <c r="AP111" i="56" s="1"/>
  <c r="AQ111" i="56" s="1" a="1"/>
  <c r="AQ111" i="56" s="1"/>
  <c r="AR111" i="56" s="1" a="1"/>
  <c r="AR111" i="56" s="1"/>
  <c r="AS111" i="56" s="1" a="1"/>
  <c r="AS111" i="56" s="1"/>
  <c r="L76" i="56"/>
  <c r="R83" i="60"/>
  <c r="R91" i="60" s="1"/>
  <c r="R116" i="60" s="1"/>
  <c r="M62" i="47" s="1"/>
  <c r="O157" i="58"/>
  <c r="P98" i="58" a="1"/>
  <c r="P98" i="58" s="1"/>
  <c r="P157" i="58" s="1"/>
  <c r="AD114" i="56" a="1"/>
  <c r="AD114" i="56" s="1"/>
  <c r="Y140" i="56" s="1"/>
  <c r="T90" i="47" s="1"/>
  <c r="T114" i="56" a="1"/>
  <c r="T114" i="56" s="1"/>
  <c r="O140" i="56" s="1"/>
  <c r="L90" i="47" s="1"/>
  <c r="J79" i="56"/>
  <c r="Z164" i="57"/>
  <c r="P169" i="57"/>
  <c r="P176" i="57" s="1"/>
  <c r="Z176" i="57" s="1"/>
  <c r="R85" i="60"/>
  <c r="R93" i="60" s="1"/>
  <c r="R119" i="60" s="1"/>
  <c r="M65" i="47" s="1"/>
  <c r="Q93" i="60"/>
  <c r="Q119" i="60" s="1"/>
  <c r="L65" i="47" s="1"/>
  <c r="AS179" i="56" a="1"/>
  <c r="AS179"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K95" i="56"/>
  <c r="M50" i="47"/>
  <c r="W109" i="55"/>
  <c r="S85" i="44"/>
  <c r="O108" i="47"/>
  <c r="S56" i="29" a="1"/>
  <c r="S56" i="29" s="1"/>
  <c r="AG53" i="29" a="1"/>
  <c r="AG53" i="29" s="1"/>
  <c r="AD84" i="47" s="1"/>
  <c r="X53" i="29" a="1"/>
  <c r="X53" i="29" s="1"/>
  <c r="U84" i="47" s="1"/>
  <c r="S21" i="29"/>
  <c r="R27" i="29"/>
  <c r="V93" i="58" a="1"/>
  <c r="V93" i="58" s="1"/>
  <c r="Y167" i="57"/>
  <c r="E167" i="57" s="1"/>
  <c r="T100" i="60"/>
  <c r="O74" i="47" s="1"/>
  <c r="N74" i="47"/>
  <c r="AF100" i="58" a="1"/>
  <c r="AF100" i="58" s="1"/>
  <c r="R111" i="60"/>
  <c r="M80" i="47" s="1"/>
  <c r="V94" i="58" a="1"/>
  <c r="V94" i="58" s="1"/>
  <c r="R108" i="60"/>
  <c r="L76" i="47"/>
  <c r="M133" i="47"/>
  <c r="W136" i="55"/>
  <c r="P222" i="57" a="1"/>
  <c r="P222" i="57" s="1"/>
  <c r="I104" i="47" s="1"/>
  <c r="O222" i="57" a="1"/>
  <c r="O222" i="57" s="1"/>
  <c r="H104" i="47" s="1"/>
  <c r="S203" i="57" a="1"/>
  <c r="S203" i="57" s="1"/>
  <c r="R203" i="57" a="1"/>
  <c r="R203" i="57" s="1"/>
  <c r="M57" i="47"/>
  <c r="W126" i="55"/>
  <c r="L68" i="47"/>
  <c r="Q74" i="60"/>
  <c r="Q77" i="60"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Z165" i="57"/>
  <c r="F165" i="57" s="1"/>
  <c r="Q34" i="44"/>
  <c r="Q37" i="44" s="1"/>
  <c r="U23" i="60" s="1" a="1"/>
  <c r="U23" i="60" s="1"/>
  <c r="R86" i="44"/>
  <c r="AD119" i="56" a="1"/>
  <c r="AD119" i="56" s="1"/>
  <c r="Y145" i="56" s="1"/>
  <c r="T95" i="47" s="1"/>
  <c r="T119" i="56" a="1"/>
  <c r="T119" i="56" s="1"/>
  <c r="O145" i="56" s="1"/>
  <c r="L95" i="47" s="1"/>
  <c r="J84" i="56"/>
  <c r="AE92" i="56"/>
  <c r="AE89" i="56"/>
  <c r="T36" i="60"/>
  <c r="AG108" i="47"/>
  <c r="AK56" i="29" a="1"/>
  <c r="AK56" i="29" s="1"/>
  <c r="K256" i="57"/>
  <c r="N14" i="47"/>
  <c r="X96" i="55"/>
  <c r="M45" i="47"/>
  <c r="W110" i="55"/>
  <c r="X113" i="55"/>
  <c r="O51" i="47" s="1"/>
  <c r="M60" i="56"/>
  <c r="L57" i="56"/>
  <c r="L52" i="56"/>
  <c r="L53" i="56"/>
  <c r="L56" i="56"/>
  <c r="L54" i="56"/>
  <c r="L55" i="56"/>
  <c r="L51" i="56"/>
  <c r="L58" i="56"/>
  <c r="L59" i="56"/>
  <c r="V205" i="57" a="1"/>
  <c r="V205" i="57" s="1"/>
  <c r="Q224" i="57" a="1"/>
  <c r="Q224" i="57" s="1"/>
  <c r="J103" i="47" s="1"/>
  <c r="U205" i="57" a="1"/>
  <c r="U205" i="57" s="1"/>
  <c r="T205" i="57" a="1"/>
  <c r="T205" i="57" s="1"/>
  <c r="P223" i="57" a="1"/>
  <c r="P223" i="57" s="1"/>
  <c r="I106" i="47" s="1"/>
  <c r="O223" i="57" a="1"/>
  <c r="O223" i="57" s="1"/>
  <c r="H106" i="47" s="1"/>
  <c r="S204" i="57" a="1"/>
  <c r="S204" i="57" s="1"/>
  <c r="R204" i="57" a="1"/>
  <c r="R204" i="57" s="1"/>
  <c r="T35" i="60"/>
  <c r="T38" i="60" s="1"/>
  <c r="AD115" i="56" a="1"/>
  <c r="AD115" i="56" s="1"/>
  <c r="Y141" i="56" s="1"/>
  <c r="T91" i="47" s="1"/>
  <c r="T115" i="56" a="1"/>
  <c r="T115" i="56" s="1"/>
  <c r="O141" i="56" s="1"/>
  <c r="L91" i="47" s="1"/>
  <c r="J80" i="56"/>
  <c r="Z22" i="55" a="1"/>
  <c r="Z22" i="55" s="1"/>
  <c r="Z114" i="55" s="1"/>
  <c r="S12" i="44"/>
  <c r="V95" i="58" a="1"/>
  <c r="V95" i="58" s="1"/>
  <c r="Z25" i="55" a="1"/>
  <c r="Z25" i="55" s="1"/>
  <c r="Z125" i="55" s="1"/>
  <c r="S22" i="44"/>
  <c r="AO123" i="56" a="1"/>
  <c r="AO123" i="56" s="1"/>
  <c r="AP123" i="56" s="1" a="1"/>
  <c r="AP123" i="56" s="1"/>
  <c r="AQ123" i="56" s="1" a="1"/>
  <c r="AQ123" i="56" s="1"/>
  <c r="AR123" i="56" s="1" a="1"/>
  <c r="AR123" i="56" s="1"/>
  <c r="AS123" i="56" s="1" a="1"/>
  <c r="AS123" i="56" s="1"/>
  <c r="M104" i="56"/>
  <c r="AX123" i="56" a="1"/>
  <c r="AX123" i="56" s="1"/>
  <c r="AM149" i="56" s="1"/>
  <c r="L88" i="56"/>
  <c r="V88" i="56" s="1"/>
  <c r="AF88" i="56" s="1"/>
  <c r="Y168" i="57"/>
  <c r="E168" i="57" s="1"/>
  <c r="M43" i="47"/>
  <c r="W107" i="55"/>
  <c r="S112" i="60"/>
  <c r="M79" i="47"/>
  <c r="S103" i="60"/>
  <c r="N73" i="47" s="1"/>
  <c r="M10" i="47"/>
  <c r="W93" i="55"/>
  <c r="AA166" i="57"/>
  <c r="G166" i="57" s="1"/>
  <c r="T117" i="56" a="1"/>
  <c r="T117" i="56" s="1"/>
  <c r="O143" i="56" s="1"/>
  <c r="L93" i="47" s="1"/>
  <c r="AD117" i="56" a="1"/>
  <c r="AD117" i="56" s="1"/>
  <c r="Y143" i="56" s="1"/>
  <c r="T93" i="47" s="1"/>
  <c r="J82" i="56"/>
  <c r="X38" i="55"/>
  <c r="N132" i="47"/>
  <c r="M39" i="47"/>
  <c r="W85" i="55"/>
  <c r="O224" i="57" a="1"/>
  <c r="O224" i="57" s="1"/>
  <c r="H103" i="47" s="1"/>
  <c r="P224" i="57" a="1"/>
  <c r="P224" i="57" s="1"/>
  <c r="I103" i="47" s="1"/>
  <c r="S205" i="57" a="1"/>
  <c r="S205" i="57" s="1"/>
  <c r="R205" i="57" a="1"/>
  <c r="R205" i="57" s="1"/>
  <c r="X119" i="55"/>
  <c r="O25" i="47" s="1"/>
  <c r="R117" i="60"/>
  <c r="L67" i="47"/>
  <c r="Y123" i="55"/>
  <c r="P23" i="47" s="1"/>
  <c r="S105" i="60"/>
  <c r="M71" i="47"/>
  <c r="Q153" i="57"/>
  <c r="Q152" i="57"/>
  <c r="Q155" i="57"/>
  <c r="Y133" i="55"/>
  <c r="P59" i="47" s="1"/>
  <c r="Y127" i="55"/>
  <c r="P52" i="47" s="1"/>
  <c r="Y131" i="55"/>
  <c r="P60" i="47" s="1"/>
  <c r="Y132" i="55"/>
  <c r="P55" i="47" s="1"/>
  <c r="R87" i="44"/>
  <c r="Q35" i="44"/>
  <c r="Q38" i="44" s="1"/>
  <c r="U24" i="60" s="1" a="1"/>
  <c r="U24" i="60" s="1"/>
  <c r="N20" i="47"/>
  <c r="X102" i="55"/>
  <c r="T116" i="56" a="1"/>
  <c r="T116" i="56" s="1"/>
  <c r="O142" i="56" s="1"/>
  <c r="L92" i="47" s="1"/>
  <c r="AD116" i="56" a="1"/>
  <c r="AD116" i="56" s="1"/>
  <c r="Y142" i="56" s="1"/>
  <c r="T92" i="47" s="1"/>
  <c r="J81" i="56"/>
  <c r="AS188" i="56"/>
  <c r="AD99" i="47"/>
  <c r="N137" i="47"/>
  <c r="X32" i="55"/>
  <c r="T94" i="56"/>
  <c r="AP77" i="56"/>
  <c r="AP80" i="56" s="1"/>
  <c r="AP81" i="56" s="1"/>
  <c r="T89" i="56"/>
  <c r="R106" i="60"/>
  <c r="L77" i="47"/>
  <c r="M58" i="47"/>
  <c r="W128" i="55"/>
  <c r="T118" i="56" a="1"/>
  <c r="T118" i="56" s="1"/>
  <c r="O144" i="56" s="1"/>
  <c r="L94" i="47" s="1"/>
  <c r="AD118" i="56" a="1"/>
  <c r="AD118" i="56" s="1"/>
  <c r="Y144" i="56" s="1"/>
  <c r="T94" i="47" s="1"/>
  <c r="J83" i="56"/>
  <c r="AR96" i="58" a="1"/>
  <c r="AR96" i="58" s="1"/>
  <c r="M27" i="47"/>
  <c r="W117" i="55"/>
  <c r="X35" i="55"/>
  <c r="N130" i="47"/>
  <c r="O155" i="58"/>
  <c r="P96" i="58" a="1"/>
  <c r="P96" i="58" s="1"/>
  <c r="P155" i="58" s="1"/>
  <c r="J99" i="58"/>
  <c r="AE99" i="58" a="1"/>
  <c r="AE99" i="58" s="1"/>
  <c r="AN99" i="58" a="1"/>
  <c r="AN99" i="58" s="1"/>
  <c r="S101" i="60"/>
  <c r="M69" i="47"/>
  <c r="Z166" i="57"/>
  <c r="F166" i="57" s="1"/>
  <c r="Z10" i="55" a="1"/>
  <c r="Z10" i="55" s="1"/>
  <c r="Z79" i="55" s="1"/>
  <c r="S18" i="44"/>
  <c r="AA183" i="57"/>
  <c r="G161" i="57"/>
  <c r="S104" i="60"/>
  <c r="M72" i="47"/>
  <c r="U234" i="57" a="1"/>
  <c r="U234" i="57" s="1"/>
  <c r="K86" i="56"/>
  <c r="AW78" i="56" s="1"/>
  <c r="K102" i="56"/>
  <c r="U207" i="57" a="1"/>
  <c r="U207" i="57" s="1"/>
  <c r="Q226" i="57" a="1"/>
  <c r="Q226" i="57" s="1"/>
  <c r="J105" i="47" s="1"/>
  <c r="T207" i="57" a="1"/>
  <c r="T207" i="57" s="1"/>
  <c r="V207" i="57" a="1"/>
  <c r="V207" i="57" s="1"/>
  <c r="AA18" i="55" a="1"/>
  <c r="AA18" i="55" s="1"/>
  <c r="AA19" i="55" a="1"/>
  <c r="AA19" i="55" s="1"/>
  <c r="AA20" i="55" a="1"/>
  <c r="AA20" i="55" s="1"/>
  <c r="AA21" i="55" a="1"/>
  <c r="AA21" i="55" s="1"/>
  <c r="T21" i="44"/>
  <c r="Y86" i="55"/>
  <c r="P34" i="47" s="1"/>
  <c r="Y80" i="55"/>
  <c r="P36" i="47" s="1"/>
  <c r="Y88" i="55"/>
  <c r="P33" i="47" s="1"/>
  <c r="Y82" i="55"/>
  <c r="P37" i="47" s="1"/>
  <c r="M17" i="47"/>
  <c r="W99" i="55"/>
  <c r="AG54" i="29" a="1"/>
  <c r="AG54" i="29" s="1"/>
  <c r="AD85" i="47" s="1"/>
  <c r="X54" i="29" a="1"/>
  <c r="X54" i="29" s="1"/>
  <c r="U85" i="47" s="1"/>
  <c r="Y44" i="55"/>
  <c r="W97" i="58" a="1"/>
  <c r="W97" i="58" s="1"/>
  <c r="AP100" i="58" a="1"/>
  <c r="AP100" i="58" s="1"/>
  <c r="AS177" i="56" a="1"/>
  <c r="AS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K93" i="56"/>
  <c r="Y165" i="57"/>
  <c r="E165" i="57"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94" i="56"/>
  <c r="AC94" i="56" s="1"/>
  <c r="S89" i="56"/>
  <c r="O225" i="57" a="1"/>
  <c r="O225" i="57" s="1"/>
  <c r="H107" i="47" s="1"/>
  <c r="P225" i="57" a="1"/>
  <c r="P225" i="57" s="1"/>
  <c r="I107" i="47" s="1"/>
  <c r="S206" i="57" a="1"/>
  <c r="S206" i="57" s="1"/>
  <c r="R206" i="57" a="1"/>
  <c r="R206" i="57" s="1"/>
  <c r="M19" i="47"/>
  <c r="W101" i="55"/>
  <c r="V92" i="58" a="1"/>
  <c r="V92" i="58" s="1"/>
  <c r="AA168" i="57"/>
  <c r="G168" i="57" s="1"/>
  <c r="M53" i="47"/>
  <c r="W129" i="55"/>
  <c r="AA59" i="57"/>
  <c r="G58" i="57"/>
  <c r="Z30" i="55"/>
  <c r="P138" i="47"/>
  <c r="R118" i="60"/>
  <c r="L66" i="47"/>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AB117" i="57"/>
  <c r="Z167" i="57"/>
  <c r="F167" i="57" s="1"/>
  <c r="U235" i="57" a="1"/>
  <c r="U235" i="57" s="1"/>
  <c r="M54" i="47"/>
  <c r="W134" i="55"/>
  <c r="AE96" i="58" a="1"/>
  <c r="AE96" i="58" s="1"/>
  <c r="O156" i="58"/>
  <c r="P97" i="58" a="1"/>
  <c r="P97" i="58" s="1"/>
  <c r="P156" i="58" s="1"/>
  <c r="AJ188" i="56"/>
  <c r="U99" i="47"/>
  <c r="S22" i="29"/>
  <c r="R28" i="29"/>
  <c r="O226" i="57" a="1"/>
  <c r="O226" i="57" s="1"/>
  <c r="H105" i="47" s="1"/>
  <c r="P226" i="57" a="1"/>
  <c r="P226" i="57" s="1"/>
  <c r="I105" i="47" s="1"/>
  <c r="S207" i="57" a="1"/>
  <c r="S207" i="57" s="1"/>
  <c r="R207" i="57" a="1"/>
  <c r="R207" i="57" s="1"/>
  <c r="M48" i="56"/>
  <c r="L46" i="56"/>
  <c r="L47" i="56"/>
  <c r="R115" i="60"/>
  <c r="M63" i="47" s="1"/>
  <c r="L63" i="47"/>
  <c r="Z168" i="57"/>
  <c r="F168" i="57" s="1"/>
  <c r="U59" i="56"/>
  <c r="U86" i="56" s="1"/>
  <c r="AQ78" i="56" s="1"/>
  <c r="U55" i="56"/>
  <c r="U82" i="56" s="1"/>
  <c r="U98" i="56" s="1"/>
  <c r="U51" i="56"/>
  <c r="U78" i="56" s="1"/>
  <c r="U57" i="56"/>
  <c r="U84" i="56" s="1"/>
  <c r="U100" i="56" s="1"/>
  <c r="U53" i="56"/>
  <c r="U80" i="56" s="1"/>
  <c r="U96" i="56" s="1"/>
  <c r="U56" i="56"/>
  <c r="U83" i="56" s="1"/>
  <c r="U99" i="56" s="1"/>
  <c r="U52" i="56"/>
  <c r="U79" i="56" s="1"/>
  <c r="U95" i="56" s="1"/>
  <c r="U54" i="56"/>
  <c r="U81" i="56" s="1"/>
  <c r="U97" i="56" s="1"/>
  <c r="V60" i="56"/>
  <c r="U58" i="56"/>
  <c r="U85" i="56" s="1"/>
  <c r="U101" i="56" s="1"/>
  <c r="AA10" i="58" a="1"/>
  <c r="AA10" i="58" s="1"/>
  <c r="S8" i="44"/>
  <c r="N15" i="47"/>
  <c r="X92" i="55"/>
  <c r="X39" i="55"/>
  <c r="N131" i="47"/>
  <c r="Q150" i="57"/>
  <c r="AA150" i="57" s="1"/>
  <c r="G150" i="57" s="1"/>
  <c r="G187" i="57" s="1"/>
  <c r="Q149" i="57"/>
  <c r="AA149" i="57" s="1"/>
  <c r="G149" i="57" s="1"/>
  <c r="AA111" i="57"/>
  <c r="G111" i="57" s="1"/>
  <c r="Q151" i="57"/>
  <c r="AA151" i="57" s="1"/>
  <c r="G151" i="57" s="1"/>
  <c r="G188" i="57" s="1"/>
  <c r="N16" i="47"/>
  <c r="X94" i="55"/>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S185" i="56" a="1"/>
  <c r="AS185" i="56" s="1"/>
  <c r="K101" i="56"/>
  <c r="S73" i="57"/>
  <c r="I73" i="57" s="1"/>
  <c r="H115" i="57"/>
  <c r="H117" i="57"/>
  <c r="H124" i="57"/>
  <c r="H119" i="57"/>
  <c r="H121" i="57"/>
  <c r="H120" i="57"/>
  <c r="H123" i="57"/>
  <c r="H116" i="57"/>
  <c r="I89" i="56"/>
  <c r="M49" i="47"/>
  <c r="W111" i="55"/>
  <c r="AD33" i="55"/>
  <c r="T127" i="47"/>
  <c r="T120" i="56" a="1"/>
  <c r="T120" i="56" s="1"/>
  <c r="O146" i="56" s="1"/>
  <c r="L96" i="47" s="1"/>
  <c r="AD120" i="56" a="1"/>
  <c r="AD120" i="56" s="1"/>
  <c r="Y146" i="56" s="1"/>
  <c r="T96" i="47" s="1"/>
  <c r="J85" i="56"/>
  <c r="T34" i="60"/>
  <c r="T25" i="60"/>
  <c r="T18" i="60" s="1"/>
  <c r="AG97" i="58" a="1"/>
  <c r="AG97" i="58" s="1"/>
  <c r="M41" i="47"/>
  <c r="W89" i="55"/>
  <c r="Y164" i="57"/>
  <c r="O169" i="57"/>
  <c r="V96" i="58" a="1"/>
  <c r="V96" i="58" s="1"/>
  <c r="AO95" i="58" a="1"/>
  <c r="AO95" i="58" s="1"/>
  <c r="AA12" i="55" a="1"/>
  <c r="AA12" i="55" s="1"/>
  <c r="AA13" i="55" a="1"/>
  <c r="AA13" i="55" s="1"/>
  <c r="T17" i="44"/>
  <c r="AD113" i="56" a="1"/>
  <c r="AD113" i="56" s="1"/>
  <c r="Y139" i="56" s="1"/>
  <c r="T89" i="47" s="1"/>
  <c r="T113" i="56" a="1"/>
  <c r="T113" i="56" s="1"/>
  <c r="O139" i="56" s="1"/>
  <c r="L89" i="47" s="1"/>
  <c r="J78" i="56"/>
  <c r="AF92" i="58" a="1"/>
  <c r="AF92" i="58" s="1"/>
  <c r="O151" i="58"/>
  <c r="P92" i="58" a="1"/>
  <c r="P92" i="58" s="1"/>
  <c r="P151" i="58" s="1"/>
  <c r="AG95" i="58" a="1"/>
  <c r="AG95" i="58" s="1"/>
  <c r="T121" i="56" a="1"/>
  <c r="T121" i="56" s="1"/>
  <c r="O147" i="56" s="1"/>
  <c r="AD121" i="56" a="1"/>
  <c r="AD121" i="56" s="1"/>
  <c r="Y147" i="56" s="1"/>
  <c r="X42" i="55"/>
  <c r="N134" i="47"/>
  <c r="W40" i="55"/>
  <c r="M128" i="47"/>
  <c r="AE98" i="58" a="1"/>
  <c r="AE98" i="58" s="1"/>
  <c r="AF98" i="58" s="1" a="1"/>
  <c r="AF98" i="58" s="1"/>
  <c r="J98" i="58"/>
  <c r="AN98" i="58" a="1"/>
  <c r="AN98" i="58" s="1"/>
  <c r="Y37" i="55"/>
  <c r="O129" i="47"/>
  <c r="AB57" i="57"/>
  <c r="H49" i="57"/>
  <c r="AS180" i="56" a="1"/>
  <c r="AS180" i="56"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K96" i="56"/>
  <c r="R23" i="29"/>
  <c r="Q29" i="29"/>
  <c r="O154" i="58"/>
  <c r="P95" i="58" a="1"/>
  <c r="P95" i="58" s="1"/>
  <c r="P154" i="58" s="1"/>
  <c r="K103" i="56"/>
  <c r="K87" i="56"/>
  <c r="T122" i="56" a="1"/>
  <c r="T122" i="56" s="1"/>
  <c r="O148" i="56" s="1"/>
  <c r="AD122" i="56" a="1"/>
  <c r="AD122" i="56" s="1"/>
  <c r="Y148" i="56" s="1"/>
  <c r="R110" i="60"/>
  <c r="M81" i="47" s="1"/>
  <c r="T112" i="56" a="1"/>
  <c r="T112" i="56" s="1"/>
  <c r="O138" i="56" s="1"/>
  <c r="L88" i="47" s="1"/>
  <c r="AD112" i="56" a="1"/>
  <c r="AD112" i="56" s="1"/>
  <c r="Y138" i="56" s="1"/>
  <c r="T88" i="47" s="1"/>
  <c r="J77" i="56"/>
  <c r="V98" i="58" a="1"/>
  <c r="V98" i="58" s="1"/>
  <c r="Z17" i="55" a="1"/>
  <c r="Z17" i="55" s="1"/>
  <c r="Z103" i="55" s="1"/>
  <c r="S20" i="44"/>
  <c r="R110" i="57"/>
  <c r="AB110" i="57" s="1"/>
  <c r="H110" i="57" s="1"/>
  <c r="AB50" i="57"/>
  <c r="H50" i="57" s="1"/>
  <c r="R51" i="57"/>
  <c r="AB51" i="57" s="1"/>
  <c r="H51" i="57" s="1"/>
  <c r="AS181" i="56" a="1"/>
  <c r="AS181"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K97" i="56"/>
  <c r="R128" i="57"/>
  <c r="AB116" i="57"/>
  <c r="S84" i="60"/>
  <c r="S92" i="60" s="1"/>
  <c r="S113" i="60" s="1"/>
  <c r="N78" i="47" s="1"/>
  <c r="AV176" i="56" a="1"/>
  <c r="AV176" i="56" s="1"/>
  <c r="M92" i="56"/>
  <c r="N43" i="56"/>
  <c r="O55" i="29" a="1"/>
  <c r="O55" i="29" s="1"/>
  <c r="L86" i="47" s="1"/>
  <c r="W55" i="29" a="1"/>
  <c r="W55" i="29" s="1"/>
  <c r="T86" i="47" s="1"/>
  <c r="AO97" i="58" a="1"/>
  <c r="AO97" i="58" s="1"/>
  <c r="N32" i="47" l="1"/>
  <c r="X83" i="55"/>
  <c r="W47" i="56"/>
  <c r="W87" i="56" s="1"/>
  <c r="W46" i="56"/>
  <c r="W77" i="56" s="1"/>
  <c r="W93" i="56" s="1"/>
  <c r="AG48" i="56"/>
  <c r="AG43" i="56"/>
  <c r="AG76" i="56" s="1"/>
  <c r="AG92" i="56" s="1"/>
  <c r="AG60" i="56"/>
  <c r="P178" i="57"/>
  <c r="Z178" i="57" s="1"/>
  <c r="P177" i="57"/>
  <c r="Z177" i="57" s="1"/>
  <c r="AH48" i="56"/>
  <c r="AH43" i="56"/>
  <c r="AH76" i="56" s="1"/>
  <c r="AH92" i="56" s="1"/>
  <c r="AH60" i="56"/>
  <c r="P179" i="57"/>
  <c r="Z179" i="57" s="1"/>
  <c r="X46" i="56"/>
  <c r="X77" i="56" s="1"/>
  <c r="X93" i="56" s="1"/>
  <c r="X47" i="56"/>
  <c r="X87" i="56" s="1"/>
  <c r="AF47" i="56"/>
  <c r="AF87" i="56" s="1"/>
  <c r="AF46" i="56"/>
  <c r="AF77" i="56" s="1"/>
  <c r="AF93" i="56" s="1"/>
  <c r="AF54" i="56"/>
  <c r="AF81" i="56" s="1"/>
  <c r="AF97" i="56" s="1"/>
  <c r="AF56" i="56"/>
  <c r="AF83" i="56" s="1"/>
  <c r="AF99" i="56" s="1"/>
  <c r="AF52" i="56"/>
  <c r="AF79" i="56" s="1"/>
  <c r="AF95" i="56" s="1"/>
  <c r="AF53" i="56"/>
  <c r="AF80" i="56" s="1"/>
  <c r="AF96" i="56" s="1"/>
  <c r="AF51" i="56"/>
  <c r="AF78" i="56" s="1"/>
  <c r="AF94" i="56" s="1"/>
  <c r="AF57" i="56"/>
  <c r="AF84" i="56" s="1"/>
  <c r="AF100" i="56" s="1"/>
  <c r="AF59" i="56"/>
  <c r="AF86" i="56" s="1"/>
  <c r="AF55" i="56"/>
  <c r="AF82" i="56" s="1"/>
  <c r="AF98" i="56" s="1"/>
  <c r="AF58" i="56"/>
  <c r="AF85" i="56" s="1"/>
  <c r="AF101" i="56" s="1"/>
  <c r="T99" i="60"/>
  <c r="O70" i="47" s="1"/>
  <c r="V156" i="58"/>
  <c r="Y122" i="55"/>
  <c r="P28" i="47" s="1"/>
  <c r="X95" i="55"/>
  <c r="O11" i="47" s="1"/>
  <c r="Y104" i="55"/>
  <c r="P47" i="47" s="1"/>
  <c r="N44" i="47"/>
  <c r="X112" i="55"/>
  <c r="N5" i="47"/>
  <c r="R22" i="35"/>
  <c r="P54" i="29" a="1"/>
  <c r="P54" i="29" s="1"/>
  <c r="M85" i="47" s="1"/>
  <c r="AC149" i="56"/>
  <c r="AG123" i="56" a="1"/>
  <c r="AG123" i="56" s="1"/>
  <c r="AD149" i="56" s="1"/>
  <c r="X23" i="58"/>
  <c r="W31" i="58"/>
  <c r="W34" i="58" s="1"/>
  <c r="W35" i="58" s="1"/>
  <c r="W24" i="58"/>
  <c r="V36" i="58"/>
  <c r="V41" i="58" s="1"/>
  <c r="V164" i="58"/>
  <c r="V163" i="58"/>
  <c r="V162" i="58"/>
  <c r="V169" i="58"/>
  <c r="V168" i="58"/>
  <c r="V167" i="58"/>
  <c r="V170" i="58"/>
  <c r="V165" i="58"/>
  <c r="V166" i="58"/>
  <c r="T73" i="57"/>
  <c r="V73" i="57"/>
  <c r="U73" i="57"/>
  <c r="N61" i="47"/>
  <c r="X135" i="55"/>
  <c r="N22" i="47"/>
  <c r="X118" i="55"/>
  <c r="X31" i="55"/>
  <c r="N136" i="47"/>
  <c r="S82" i="60"/>
  <c r="S90" i="60" s="1"/>
  <c r="S109" i="60" s="1"/>
  <c r="N75" i="47" s="1"/>
  <c r="S111" i="60"/>
  <c r="N80" i="47" s="1"/>
  <c r="N42" i="47"/>
  <c r="X105" i="55"/>
  <c r="N29" i="47"/>
  <c r="X120" i="55"/>
  <c r="S107" i="60"/>
  <c r="N82" i="47" s="1"/>
  <c r="S81" i="60"/>
  <c r="S89" i="60" s="1"/>
  <c r="S102" i="60" s="1"/>
  <c r="N68" i="47" s="1"/>
  <c r="AC137" i="56"/>
  <c r="V87" i="47" s="1"/>
  <c r="X264" i="57" a="1"/>
  <c r="X264" i="57" s="1"/>
  <c r="T17" i="60"/>
  <c r="T37" i="60"/>
  <c r="Z15" i="55" a="1"/>
  <c r="Z15" i="55" s="1"/>
  <c r="Z91" i="55" s="1"/>
  <c r="S9" i="44"/>
  <c r="S30" i="44" s="1"/>
  <c r="S31" i="44" s="1"/>
  <c r="U122" i="56" a="1"/>
  <c r="U122" i="56" s="1"/>
  <c r="P148" i="56" s="1"/>
  <c r="Z187" i="56" s="1"/>
  <c r="U121" i="56" a="1"/>
  <c r="U121" i="56" s="1"/>
  <c r="P147" i="56" s="1"/>
  <c r="Z186" i="56" s="1"/>
  <c r="N38" i="47"/>
  <c r="X87" i="55"/>
  <c r="P175" i="57"/>
  <c r="Z175" i="57" s="1"/>
  <c r="Y43" i="55"/>
  <c r="P135" i="47" s="1"/>
  <c r="S114" i="60"/>
  <c r="N64" i="47" s="1"/>
  <c r="Y34" i="55"/>
  <c r="S83" i="60"/>
  <c r="S91" i="60" s="1"/>
  <c r="S116" i="60" s="1"/>
  <c r="N62" i="47" s="1"/>
  <c r="N30" i="47"/>
  <c r="X124" i="55"/>
  <c r="N12" i="47"/>
  <c r="X100" i="55"/>
  <c r="AA137" i="56"/>
  <c r="V265" i="57" a="1"/>
  <c r="V265" i="57" s="1"/>
  <c r="W265" i="57" s="1" a="1"/>
  <c r="W265" i="57" s="1"/>
  <c r="T103" i="60"/>
  <c r="O73" i="47" s="1"/>
  <c r="AB137" i="56"/>
  <c r="W111" i="56" a="1"/>
  <c r="W111" i="56" s="1"/>
  <c r="S137" i="56"/>
  <c r="N87" i="47" s="1"/>
  <c r="R137" i="56"/>
  <c r="Q137" i="56"/>
  <c r="N21" i="47"/>
  <c r="X116" i="55"/>
  <c r="N24" i="47"/>
  <c r="X121" i="55"/>
  <c r="Y53" i="29" a="1"/>
  <c r="Y53" i="29" s="1"/>
  <c r="V84" i="47" s="1"/>
  <c r="N40" i="47"/>
  <c r="X90" i="55"/>
  <c r="U120" i="56" a="1"/>
  <c r="U120" i="56" s="1"/>
  <c r="P146" i="56" s="1"/>
  <c r="M96" i="47" s="1"/>
  <c r="L84" i="47"/>
  <c r="P53" i="29" a="1"/>
  <c r="P53" i="29" s="1"/>
  <c r="P55" i="29" a="1"/>
  <c r="P55" i="29" s="1"/>
  <c r="AB149" i="56"/>
  <c r="N31" i="47"/>
  <c r="X81" i="55"/>
  <c r="V45" i="60" a="1"/>
  <c r="V45" i="60" s="1"/>
  <c r="S39" i="44"/>
  <c r="R40" i="44"/>
  <c r="N7" i="47"/>
  <c r="R26" i="35"/>
  <c r="S149" i="56"/>
  <c r="Q149" i="56"/>
  <c r="W123" i="56" a="1"/>
  <c r="W123" i="56" s="1"/>
  <c r="R149" i="56"/>
  <c r="U6" i="35" a="1"/>
  <c r="U6" i="35" s="1"/>
  <c r="T7" i="44"/>
  <c r="N9" i="47"/>
  <c r="R24" i="35"/>
  <c r="R33" i="44"/>
  <c r="R36" i="44" s="1"/>
  <c r="V22" i="60" s="1" a="1"/>
  <c r="V22" i="60" s="1"/>
  <c r="V34" i="60" s="1"/>
  <c r="Z188" i="56"/>
  <c r="M99" i="47"/>
  <c r="S110" i="60"/>
  <c r="N81" i="47" s="1"/>
  <c r="AV77" i="56"/>
  <c r="AV80" i="56" s="1"/>
  <c r="AV81" i="56" s="1"/>
  <c r="Y108" i="55"/>
  <c r="P46" i="47" s="1"/>
  <c r="N6" i="47"/>
  <c r="R25" i="35"/>
  <c r="AA11" i="55" a="1"/>
  <c r="AA11" i="55" s="1"/>
  <c r="AA30" i="55" s="1"/>
  <c r="T19" i="44"/>
  <c r="AB56" i="29" a="1"/>
  <c r="AB56" i="29" s="1"/>
  <c r="X108" i="47"/>
  <c r="Y119" i="55"/>
  <c r="P25" i="47" s="1"/>
  <c r="U113" i="56" a="1"/>
  <c r="U113" i="56" s="1"/>
  <c r="P139" i="56" s="1"/>
  <c r="M89" i="47" s="1"/>
  <c r="V158" i="58"/>
  <c r="W99" i="58" a="1"/>
  <c r="W99" i="58" s="1"/>
  <c r="N18" i="47"/>
  <c r="X97" i="55"/>
  <c r="Y54" i="29" a="1"/>
  <c r="Y54" i="29" s="1"/>
  <c r="N8" i="47"/>
  <c r="R23" i="35"/>
  <c r="H127" i="57"/>
  <c r="N56" i="47"/>
  <c r="X130" i="55"/>
  <c r="N35" i="47"/>
  <c r="X84" i="55"/>
  <c r="V159" i="58"/>
  <c r="W100" i="58" a="1"/>
  <c r="W100" i="58" s="1"/>
  <c r="U116" i="56" a="1"/>
  <c r="U116" i="56" s="1"/>
  <c r="P142" i="56" s="1"/>
  <c r="M92" i="47" s="1"/>
  <c r="S115" i="60"/>
  <c r="N63" i="47" s="1"/>
  <c r="AL137" i="56"/>
  <c r="AE87" i="47" s="1"/>
  <c r="AT111" i="56" a="1"/>
  <c r="AT111" i="56" s="1"/>
  <c r="AU111" i="56" s="1" a="1"/>
  <c r="AU111" i="56" s="1"/>
  <c r="AV111" i="56" s="1" a="1"/>
  <c r="AV111" i="56" s="1"/>
  <c r="AW111" i="56" s="1" a="1"/>
  <c r="AW111" i="56" s="1"/>
  <c r="AL149" i="56"/>
  <c r="AT123" i="56" a="1"/>
  <c r="AT123" i="56" s="1"/>
  <c r="AU123" i="56" s="1" a="1"/>
  <c r="AU123" i="56" s="1"/>
  <c r="AV123" i="56" s="1" a="1"/>
  <c r="AV123" i="56" s="1"/>
  <c r="AW123" i="56" s="1" a="1"/>
  <c r="AW123" i="56" s="1"/>
  <c r="AP95" i="58" a="1"/>
  <c r="AP95" i="58" s="1"/>
  <c r="AE116" i="56" a="1"/>
  <c r="AE116" i="56" s="1"/>
  <c r="Z142" i="56" s="1"/>
  <c r="U92" i="47" s="1"/>
  <c r="AN116" i="56" a="1"/>
  <c r="AN116" i="56" s="1"/>
  <c r="AK142" i="56" s="1"/>
  <c r="AD92" i="47" s="1"/>
  <c r="K81" i="56"/>
  <c r="O170" i="57"/>
  <c r="O172" i="57"/>
  <c r="O173" i="57"/>
  <c r="Y173" i="57" s="1"/>
  <c r="O174" i="57"/>
  <c r="Y174" i="57" s="1"/>
  <c r="U112" i="56" a="1"/>
  <c r="U112" i="56" s="1"/>
  <c r="AG55" i="29" a="1"/>
  <c r="AG55" i="29" s="1"/>
  <c r="AD86" i="47" s="1"/>
  <c r="X55" i="29" a="1"/>
  <c r="X55" i="29" s="1"/>
  <c r="U86" i="47" s="1"/>
  <c r="O175" i="57"/>
  <c r="Y175" i="57" s="1"/>
  <c r="Q220" i="57" a="1"/>
  <c r="Q220" i="57" s="1"/>
  <c r="J102" i="47" s="1"/>
  <c r="V201" i="57" a="1"/>
  <c r="V201" i="57" s="1"/>
  <c r="T201" i="57" a="1"/>
  <c r="T201" i="57" s="1"/>
  <c r="U201" i="57" a="1"/>
  <c r="U201" i="57" s="1"/>
  <c r="T22" i="29"/>
  <c r="T28" i="29" s="1"/>
  <c r="AO54" i="29" s="1" a="1"/>
  <c r="AO54" i="29" s="1"/>
  <c r="S28" i="29"/>
  <c r="AN54" i="29" s="1" a="1"/>
  <c r="AN54" i="29" s="1"/>
  <c r="AE112" i="56" a="1"/>
  <c r="AE112" i="56" s="1"/>
  <c r="Z138" i="56" s="1"/>
  <c r="U88" i="47" s="1"/>
  <c r="AN112" i="56" a="1"/>
  <c r="AN112" i="56" s="1"/>
  <c r="AK138" i="56" s="1"/>
  <c r="AD88" i="47" s="1"/>
  <c r="K77" i="56"/>
  <c r="Z86" i="55"/>
  <c r="Q34" i="47" s="1"/>
  <c r="Z80" i="55"/>
  <c r="Q36" i="47" s="1"/>
  <c r="Z88" i="55"/>
  <c r="Q33" i="47" s="1"/>
  <c r="Z82" i="55"/>
  <c r="Q37" i="47" s="1"/>
  <c r="AU183" i="56" a="1"/>
  <c r="AU183" i="56" s="1"/>
  <c r="AT183" i="56" a="1"/>
  <c r="AT183" i="56" s="1"/>
  <c r="L99" i="56"/>
  <c r="U35" i="60"/>
  <c r="U38" i="60" s="1"/>
  <c r="Y113" i="55"/>
  <c r="P51" i="47" s="1"/>
  <c r="AS94" i="58" a="1"/>
  <c r="AS94" i="58" s="1"/>
  <c r="AA17" i="55" a="1"/>
  <c r="AA17" i="55" s="1"/>
  <c r="AA103" i="55" s="1"/>
  <c r="T20" i="44"/>
  <c r="S23" i="29"/>
  <c r="R29" i="29"/>
  <c r="AG92" i="58" a="1"/>
  <c r="AG92" i="58" s="1"/>
  <c r="E164" i="57"/>
  <c r="Y169" i="57"/>
  <c r="Y170" i="57" s="1"/>
  <c r="AN117" i="56" a="1"/>
  <c r="AN117" i="56" s="1"/>
  <c r="AK143" i="56" s="1"/>
  <c r="AD93" i="47" s="1"/>
  <c r="AE117" i="56" a="1"/>
  <c r="AE117" i="56" s="1"/>
  <c r="Z143" i="56" s="1"/>
  <c r="U93" i="47" s="1"/>
  <c r="K82" i="56"/>
  <c r="V151" i="58"/>
  <c r="W92" i="58" a="1"/>
  <c r="W92" i="58" s="1"/>
  <c r="X97" i="58" a="1"/>
  <c r="X97" i="58" s="1"/>
  <c r="AS96" i="58" a="1"/>
  <c r="AS96" i="58" s="1"/>
  <c r="AU180" i="56" a="1"/>
  <c r="AU180" i="56" s="1"/>
  <c r="AT180" i="56" a="1"/>
  <c r="AT180" i="56" s="1"/>
  <c r="L96" i="56"/>
  <c r="AN113" i="56" a="1"/>
  <c r="AN113" i="56" s="1"/>
  <c r="AK139" i="56" s="1"/>
  <c r="AD89" i="47" s="1"/>
  <c r="AE113" i="56" a="1"/>
  <c r="AE113" i="56" s="1"/>
  <c r="Z139" i="56" s="1"/>
  <c r="U89" i="47" s="1"/>
  <c r="K78" i="56"/>
  <c r="V153" i="58"/>
  <c r="W94" i="58" a="1"/>
  <c r="W94" i="58" s="1"/>
  <c r="N50" i="47"/>
  <c r="X109" i="55"/>
  <c r="Y39" i="55"/>
  <c r="O131" i="47"/>
  <c r="L87" i="56"/>
  <c r="L103" i="56"/>
  <c r="N19" i="47"/>
  <c r="X101" i="55"/>
  <c r="Z44" i="55"/>
  <c r="N17" i="47"/>
  <c r="X99" i="55"/>
  <c r="AN121" i="56" a="1"/>
  <c r="AN121" i="56" s="1"/>
  <c r="AK147" i="56" s="1"/>
  <c r="AE121" i="56" a="1"/>
  <c r="AE121" i="56" s="1"/>
  <c r="Z147" i="56" s="1"/>
  <c r="N58" i="47"/>
  <c r="X128" i="55"/>
  <c r="T112" i="60"/>
  <c r="N79" i="47"/>
  <c r="AA25" i="55" a="1"/>
  <c r="AA25" i="55" s="1"/>
  <c r="AA125" i="55" s="1"/>
  <c r="T22" i="44"/>
  <c r="AU179" i="56" a="1"/>
  <c r="AU179" i="56" s="1"/>
  <c r="AT179" i="56" a="1"/>
  <c r="AT179" i="56" s="1"/>
  <c r="L95" i="56"/>
  <c r="N57" i="47"/>
  <c r="X126" i="55"/>
  <c r="O15" i="47"/>
  <c r="Y92" i="55"/>
  <c r="AU177" i="56" a="1"/>
  <c r="AU177" i="56" s="1"/>
  <c r="AT177" i="56" a="1"/>
  <c r="AT177" i="56" s="1"/>
  <c r="L93" i="56"/>
  <c r="S118" i="60"/>
  <c r="M66" i="47"/>
  <c r="AO99" i="58" a="1"/>
  <c r="AO99" i="58" s="1"/>
  <c r="AP99" i="58" s="1" a="1"/>
  <c r="AP99" i="58" s="1"/>
  <c r="K99" i="58"/>
  <c r="O20" i="47"/>
  <c r="Y102" i="55"/>
  <c r="N43" i="47"/>
  <c r="X107" i="55"/>
  <c r="AU188" i="56"/>
  <c r="AF99" i="47"/>
  <c r="Z133" i="55"/>
  <c r="Q59" i="47" s="1"/>
  <c r="Z127" i="55"/>
  <c r="Q52" i="47" s="1"/>
  <c r="Z131" i="55"/>
  <c r="Q60" i="47" s="1"/>
  <c r="Z132" i="55"/>
  <c r="Q55" i="47" s="1"/>
  <c r="AU184" i="56" a="1"/>
  <c r="AU184" i="56" s="1"/>
  <c r="AT184" i="56" a="1"/>
  <c r="AT184" i="56" s="1"/>
  <c r="L100" i="56"/>
  <c r="AG100" i="58" a="1"/>
  <c r="AG100" i="58" s="1"/>
  <c r="AL94" i="58" a="1"/>
  <c r="AL94" i="58" s="1"/>
  <c r="AY111" i="56" a="1"/>
  <c r="AY111" i="56" s="1"/>
  <c r="AN137" i="56" s="1"/>
  <c r="AG87" i="47" s="1"/>
  <c r="M76" i="56"/>
  <c r="AI186" i="56"/>
  <c r="AG186" i="56"/>
  <c r="T97" i="47"/>
  <c r="V157" i="58"/>
  <c r="W98" i="58" a="1"/>
  <c r="W98" i="58" s="1"/>
  <c r="Y186" i="56"/>
  <c r="W186" i="56"/>
  <c r="L97" i="47"/>
  <c r="N41" i="47"/>
  <c r="X89" i="55"/>
  <c r="N49" i="47"/>
  <c r="X111" i="55"/>
  <c r="N48" i="56"/>
  <c r="M46" i="56"/>
  <c r="M47" i="56"/>
  <c r="AY123" i="56" a="1"/>
  <c r="AY123" i="56" s="1"/>
  <c r="AN149" i="56" s="1"/>
  <c r="N104" i="56"/>
  <c r="M88" i="56"/>
  <c r="W88" i="56" s="1"/>
  <c r="AG88" i="56" s="1"/>
  <c r="V154" i="58"/>
  <c r="W95" i="58" a="1"/>
  <c r="W95" i="58" s="1"/>
  <c r="N60" i="56"/>
  <c r="M54" i="56"/>
  <c r="M53" i="56"/>
  <c r="M56" i="56"/>
  <c r="M51" i="56"/>
  <c r="M58" i="56"/>
  <c r="M55" i="56"/>
  <c r="M57" i="56"/>
  <c r="M52" i="56"/>
  <c r="M59" i="56"/>
  <c r="T19" i="60"/>
  <c r="U114" i="56" a="1"/>
  <c r="U114" i="56" s="1"/>
  <c r="U100" i="60"/>
  <c r="P74" i="47" s="1"/>
  <c r="AN115" i="56" a="1"/>
  <c r="AN115" i="56" s="1"/>
  <c r="AK141" i="56" s="1"/>
  <c r="AD91" i="47" s="1"/>
  <c r="AE115" i="56" a="1"/>
  <c r="AE115" i="56" s="1"/>
  <c r="Z141" i="56" s="1"/>
  <c r="U91" i="47" s="1"/>
  <c r="K80" i="56"/>
  <c r="H57" i="57"/>
  <c r="AG98" i="58" a="1"/>
  <c r="AG98" i="58" s="1"/>
  <c r="AE33" i="55"/>
  <c r="U127" i="47"/>
  <c r="AE120" i="56" a="1"/>
  <c r="AE120" i="56" s="1"/>
  <c r="Z146" i="56" s="1"/>
  <c r="U96" i="47" s="1"/>
  <c r="AN120" i="56" a="1"/>
  <c r="AN120" i="56" s="1"/>
  <c r="AK146" i="56" s="1"/>
  <c r="AD96" i="47" s="1"/>
  <c r="K85" i="56"/>
  <c r="U94" i="56"/>
  <c r="AQ77" i="56"/>
  <c r="AQ80" i="56" s="1"/>
  <c r="AQ81" i="56" s="1"/>
  <c r="U89" i="56"/>
  <c r="N54" i="47"/>
  <c r="X134" i="55"/>
  <c r="Q138" i="47"/>
  <c r="T101" i="60"/>
  <c r="N69" i="47"/>
  <c r="S106" i="60"/>
  <c r="M77" i="47"/>
  <c r="N39" i="47"/>
  <c r="X85" i="55"/>
  <c r="U117" i="56" a="1"/>
  <c r="U117" i="56" s="1"/>
  <c r="AA22" i="55" a="1"/>
  <c r="AA22" i="55" s="1"/>
  <c r="AA114" i="55" s="1"/>
  <c r="T12" i="44"/>
  <c r="N13" i="47"/>
  <c r="X98" i="55"/>
  <c r="AS92" i="58" a="1"/>
  <c r="AS92" i="58" s="1"/>
  <c r="S85" i="60"/>
  <c r="Z106" i="55"/>
  <c r="Q48" i="47" s="1"/>
  <c r="Z104" i="55"/>
  <c r="Q47" i="47" s="1"/>
  <c r="AB12" i="55" a="1"/>
  <c r="AB12" i="55" s="1"/>
  <c r="AB13" i="55" a="1"/>
  <c r="AB13" i="55" s="1"/>
  <c r="U17" i="44"/>
  <c r="AH97" i="58" a="1"/>
  <c r="AH97" i="58" s="1"/>
  <c r="AB10" i="58" a="1"/>
  <c r="AB10" i="58" s="1"/>
  <c r="T8" i="44"/>
  <c r="AF96" i="58" a="1"/>
  <c r="AF96" i="58" s="1"/>
  <c r="AB19" i="55" a="1"/>
  <c r="AB19" i="55" s="1"/>
  <c r="AB20" i="55" a="1"/>
  <c r="AB20" i="55" s="1"/>
  <c r="AB21" i="55" a="1"/>
  <c r="AB21" i="55" s="1"/>
  <c r="AB18" i="55" a="1"/>
  <c r="AB18" i="55" s="1"/>
  <c r="U21" i="44"/>
  <c r="U36" i="60"/>
  <c r="Z122" i="55"/>
  <c r="Q28" i="47" s="1"/>
  <c r="Z123" i="55"/>
  <c r="Q23" i="47" s="1"/>
  <c r="AD137" i="56"/>
  <c r="W87" i="47" s="1"/>
  <c r="AH111" i="56" a="1"/>
  <c r="AH111" i="56" s="1"/>
  <c r="X263" i="57" a="1"/>
  <c r="X263" i="57" s="1"/>
  <c r="V263" i="57" a="1"/>
  <c r="V263" i="57" s="1"/>
  <c r="W263" i="57" s="1" a="1"/>
  <c r="W263" i="57" s="1"/>
  <c r="AN114" i="56" a="1"/>
  <c r="AN114" i="56" s="1"/>
  <c r="AK140" i="56" s="1"/>
  <c r="AD90" i="47" s="1"/>
  <c r="AE114" i="56" a="1"/>
  <c r="AE114" i="56" s="1"/>
  <c r="Z140" i="56" s="1"/>
  <c r="U90" i="47" s="1"/>
  <c r="K79" i="56"/>
  <c r="AA24" i="55" a="1"/>
  <c r="AA24" i="55" s="1"/>
  <c r="AA23" i="55" a="1"/>
  <c r="AA23" i="55" s="1"/>
  <c r="T24" i="44"/>
  <c r="Z36" i="55"/>
  <c r="J89" i="56"/>
  <c r="AI187" i="56"/>
  <c r="AG187" i="56"/>
  <c r="T98" i="47"/>
  <c r="AN122" i="56" a="1"/>
  <c r="AN122" i="56" s="1"/>
  <c r="AK148" i="56" s="1"/>
  <c r="AE122" i="56" a="1"/>
  <c r="AE122" i="56" s="1"/>
  <c r="Z148" i="56" s="1"/>
  <c r="Z37" i="55"/>
  <c r="P129" i="47"/>
  <c r="H128" i="57"/>
  <c r="O16" i="47"/>
  <c r="Y94" i="55"/>
  <c r="AA60" i="57"/>
  <c r="G59" i="57"/>
  <c r="G60" i="57" s="1"/>
  <c r="N53" i="47"/>
  <c r="X129" i="55"/>
  <c r="T104" i="60"/>
  <c r="N72" i="47"/>
  <c r="R35" i="44"/>
  <c r="R38" i="44" s="1"/>
  <c r="V24" i="60" s="1" a="1"/>
  <c r="V24" i="60" s="1"/>
  <c r="S87" i="44"/>
  <c r="Q167" i="57"/>
  <c r="AA155" i="57"/>
  <c r="G155" i="57" s="1"/>
  <c r="G192" i="57" s="1"/>
  <c r="O179" i="57"/>
  <c r="Y179" i="57" s="1"/>
  <c r="L86" i="56"/>
  <c r="L102" i="56"/>
  <c r="N45" i="47"/>
  <c r="X110" i="55"/>
  <c r="AH108" i="47"/>
  <c r="AJ108" i="47" s="1"/>
  <c r="AL56" i="29" a="1"/>
  <c r="AL56" i="29" s="1"/>
  <c r="O178" i="57"/>
  <c r="Y178" i="57" s="1"/>
  <c r="P170" i="57"/>
  <c r="P174" i="57"/>
  <c r="Z174" i="57" s="1"/>
  <c r="P173" i="57"/>
  <c r="Z173" i="57" s="1"/>
  <c r="P172" i="57"/>
  <c r="AB127" i="57"/>
  <c r="R154" i="57"/>
  <c r="AQ93" i="58" a="1"/>
  <c r="AQ93" i="58" s="1"/>
  <c r="U25" i="60"/>
  <c r="U17" i="60" s="1"/>
  <c r="AW176" i="56" a="1"/>
  <c r="AW176" i="56" s="1"/>
  <c r="N92" i="56"/>
  <c r="Y187" i="56"/>
  <c r="W187" i="56"/>
  <c r="L98" i="47"/>
  <c r="X40" i="55"/>
  <c r="N128" i="47"/>
  <c r="AH95" i="58" a="1"/>
  <c r="AH95" i="58" s="1"/>
  <c r="U233" i="57" a="1"/>
  <c r="U233" i="57" s="1"/>
  <c r="Y35" i="55"/>
  <c r="O130" i="47"/>
  <c r="U118" i="56" a="1"/>
  <c r="U118" i="56" s="1"/>
  <c r="AA152" i="57"/>
  <c r="G152" i="57" s="1"/>
  <c r="G189" i="57" s="1"/>
  <c r="Q164" i="57"/>
  <c r="Y38" i="55"/>
  <c r="O132" i="47"/>
  <c r="N10" i="47"/>
  <c r="X93" i="55"/>
  <c r="T84" i="60"/>
  <c r="T92" i="60" s="1"/>
  <c r="T113" i="60" s="1"/>
  <c r="O78" i="47" s="1"/>
  <c r="AU185" i="56" a="1"/>
  <c r="AU185" i="56" s="1"/>
  <c r="AT185" i="56" a="1"/>
  <c r="AT185" i="56" s="1"/>
  <c r="L101" i="56"/>
  <c r="Z41" i="55"/>
  <c r="N133" i="47"/>
  <c r="X136" i="55"/>
  <c r="V152" i="58"/>
  <c r="W93" i="58" a="1"/>
  <c r="W93" i="58" s="1"/>
  <c r="P108" i="47"/>
  <c r="T56" i="29" a="1"/>
  <c r="T56" i="29" s="1"/>
  <c r="F164" i="57"/>
  <c r="Z169" i="57"/>
  <c r="Z170" i="57" s="1"/>
  <c r="Q221" i="57" a="1"/>
  <c r="Q221" i="57" s="1"/>
  <c r="J101" i="47" s="1"/>
  <c r="V202" i="57" a="1"/>
  <c r="V202" i="57" s="1"/>
  <c r="U202" i="57" a="1"/>
  <c r="U202" i="57" s="1"/>
  <c r="T202" i="57" a="1"/>
  <c r="T202" i="57" s="1"/>
  <c r="Y32" i="55"/>
  <c r="O137" i="47"/>
  <c r="AA153" i="57"/>
  <c r="G153" i="57" s="1"/>
  <c r="G190" i="57" s="1"/>
  <c r="Q165" i="57"/>
  <c r="U238" i="57" a="1"/>
  <c r="U238" i="57" s="1"/>
  <c r="AU178" i="56" a="1"/>
  <c r="AU178" i="56" s="1"/>
  <c r="AT178" i="56" a="1"/>
  <c r="AT178" i="56" s="1"/>
  <c r="L94" i="56"/>
  <c r="AM53" i="29" a="1"/>
  <c r="AM53" i="29" s="1"/>
  <c r="AH53" i="29" a="1"/>
  <c r="AH53" i="29" s="1"/>
  <c r="AE84" i="47" s="1"/>
  <c r="AN118" i="56" a="1"/>
  <c r="AN118" i="56" s="1"/>
  <c r="AK144" i="56" s="1"/>
  <c r="AD94" i="47" s="1"/>
  <c r="AE118" i="56" a="1"/>
  <c r="AE118" i="56" s="1"/>
  <c r="Z144" i="56" s="1"/>
  <c r="U94" i="47" s="1"/>
  <c r="K83" i="56"/>
  <c r="N26" i="47"/>
  <c r="X115" i="55"/>
  <c r="M75" i="47"/>
  <c r="R74" i="60"/>
  <c r="R77" i="60" s="1"/>
  <c r="AH93" i="58" a="1"/>
  <c r="AH93" i="58" s="1"/>
  <c r="AP97" i="58" a="1"/>
  <c r="AP97" i="58" s="1"/>
  <c r="R156" i="57"/>
  <c r="AB128" i="57"/>
  <c r="AO98" i="58" a="1"/>
  <c r="AO98" i="58" s="1"/>
  <c r="AP98" i="58" s="1" a="1"/>
  <c r="AP98" i="58" s="1"/>
  <c r="AQ98" i="58" s="1" a="1"/>
  <c r="AQ98" i="58" s="1"/>
  <c r="AR98" i="58" s="1" a="1"/>
  <c r="AR98" i="58" s="1"/>
  <c r="K98" i="58"/>
  <c r="Y42" i="55"/>
  <c r="O134" i="47"/>
  <c r="V155" i="58"/>
  <c r="W96" i="58" a="1"/>
  <c r="W96" i="58" s="1"/>
  <c r="K253" i="57"/>
  <c r="K254" i="57"/>
  <c r="K255" i="57"/>
  <c r="U240" i="57" a="1"/>
  <c r="U240" i="57" s="1"/>
  <c r="AE119" i="56" a="1"/>
  <c r="AE119" i="56" s="1"/>
  <c r="Z145" i="56" s="1"/>
  <c r="U95" i="47" s="1"/>
  <c r="AN119" i="56" a="1"/>
  <c r="AN119" i="56" s="1"/>
  <c r="AK145" i="56" s="1"/>
  <c r="AD95" i="47" s="1"/>
  <c r="K84" i="56"/>
  <c r="U115" i="56" a="1"/>
  <c r="U115" i="56" s="1"/>
  <c r="AT182" i="56" a="1"/>
  <c r="AT182" i="56" s="1"/>
  <c r="AU182" i="56" a="1"/>
  <c r="AU182" i="56" s="1"/>
  <c r="L98" i="56"/>
  <c r="O14" i="47"/>
  <c r="Y96" i="55"/>
  <c r="T21" i="29"/>
  <c r="T27" i="29" s="1"/>
  <c r="AO53" i="29" s="1" a="1"/>
  <c r="AO53" i="29" s="1"/>
  <c r="S27" i="29"/>
  <c r="AN53" i="29" s="1" a="1"/>
  <c r="AN53" i="29" s="1"/>
  <c r="Z29" i="55"/>
  <c r="G186" i="57"/>
  <c r="G112" i="57"/>
  <c r="V58" i="56"/>
  <c r="V85" i="56" s="1"/>
  <c r="V101" i="56" s="1"/>
  <c r="V54" i="56"/>
  <c r="V81" i="56" s="1"/>
  <c r="V97" i="56" s="1"/>
  <c r="V57" i="56"/>
  <c r="V84" i="56" s="1"/>
  <c r="V100" i="56" s="1"/>
  <c r="V53" i="56"/>
  <c r="V80" i="56" s="1"/>
  <c r="V96" i="56" s="1"/>
  <c r="W60" i="56"/>
  <c r="V59" i="56"/>
  <c r="V86" i="56" s="1"/>
  <c r="V55" i="56"/>
  <c r="V82" i="56" s="1"/>
  <c r="V98" i="56" s="1"/>
  <c r="V51" i="56"/>
  <c r="V78" i="56" s="1"/>
  <c r="V56" i="56"/>
  <c r="V83" i="56" s="1"/>
  <c r="V99" i="56" s="1"/>
  <c r="V52" i="56"/>
  <c r="V79" i="56" s="1"/>
  <c r="V95" i="56" s="1"/>
  <c r="AH54" i="29" a="1"/>
  <c r="AH54" i="29" s="1"/>
  <c r="AE85" i="47" s="1"/>
  <c r="AM54" i="29" a="1"/>
  <c r="AM54" i="29" s="1"/>
  <c r="O176" i="57"/>
  <c r="Y176" i="57" s="1"/>
  <c r="AQ100" i="58" a="1"/>
  <c r="AQ100" i="58" s="1"/>
  <c r="AA10" i="55" a="1"/>
  <c r="AA10" i="55" s="1"/>
  <c r="AA79" i="55" s="1"/>
  <c r="T18" i="44"/>
  <c r="AF99" i="58" a="1"/>
  <c r="AF99" i="58" s="1"/>
  <c r="N27" i="47"/>
  <c r="X117" i="55"/>
  <c r="T105" i="60"/>
  <c r="N71" i="47"/>
  <c r="S117" i="60"/>
  <c r="M67" i="47"/>
  <c r="AU181" i="56" a="1"/>
  <c r="AU181" i="56" s="1"/>
  <c r="AT181" i="56" a="1"/>
  <c r="AT181" i="56" s="1"/>
  <c r="L97" i="56"/>
  <c r="U119" i="56" a="1"/>
  <c r="U119" i="56" s="1"/>
  <c r="S86" i="44"/>
  <c r="R34" i="44"/>
  <c r="R37" i="44" s="1"/>
  <c r="V23" i="60" s="1" a="1"/>
  <c r="V23" i="60" s="1"/>
  <c r="S108" i="60"/>
  <c r="M76" i="47"/>
  <c r="T85" i="44"/>
  <c r="AK188" i="56"/>
  <c r="V99" i="47"/>
  <c r="O177" i="57"/>
  <c r="Y177" i="57" s="1"/>
  <c r="V116" i="56" l="1" a="1"/>
  <c r="V116" i="56" s="1"/>
  <c r="M98" i="47"/>
  <c r="AH123" i="56" a="1"/>
  <c r="AH123" i="56" s="1"/>
  <c r="O32" i="47"/>
  <c r="Y83" i="55"/>
  <c r="U99" i="60"/>
  <c r="P70" i="47" s="1"/>
  <c r="AH53" i="56"/>
  <c r="AH80" i="56" s="1"/>
  <c r="AH96" i="56" s="1"/>
  <c r="AH56" i="56"/>
  <c r="AH83" i="56" s="1"/>
  <c r="AH99" i="56" s="1"/>
  <c r="AH52" i="56"/>
  <c r="AH79" i="56" s="1"/>
  <c r="AH95" i="56" s="1"/>
  <c r="AH54" i="56"/>
  <c r="AH81" i="56" s="1"/>
  <c r="AH97" i="56" s="1"/>
  <c r="AH51" i="56"/>
  <c r="AH78" i="56" s="1"/>
  <c r="AH94" i="56" s="1"/>
  <c r="AH58" i="56"/>
  <c r="AH85" i="56" s="1"/>
  <c r="AH101" i="56" s="1"/>
  <c r="AH59" i="56"/>
  <c r="AH86" i="56" s="1"/>
  <c r="AH55" i="56"/>
  <c r="AH82" i="56" s="1"/>
  <c r="AH98" i="56" s="1"/>
  <c r="AH57" i="56"/>
  <c r="AH84" i="56" s="1"/>
  <c r="AH100" i="56" s="1"/>
  <c r="AH46" i="56"/>
  <c r="AH77" i="56" s="1"/>
  <c r="AH93" i="56" s="1"/>
  <c r="AH47" i="56"/>
  <c r="AH87" i="56" s="1"/>
  <c r="Q54" i="29" a="1"/>
  <c r="Q54" i="29" s="1"/>
  <c r="N85" i="47" s="1"/>
  <c r="AG55" i="56"/>
  <c r="AG82" i="56" s="1"/>
  <c r="AG98" i="56" s="1"/>
  <c r="AG51" i="56"/>
  <c r="AG78" i="56" s="1"/>
  <c r="AG94" i="56" s="1"/>
  <c r="AG58" i="56"/>
  <c r="AG85" i="56" s="1"/>
  <c r="AG101" i="56" s="1"/>
  <c r="AG59" i="56"/>
  <c r="AG86" i="56" s="1"/>
  <c r="AG52" i="56"/>
  <c r="AG79" i="56" s="1"/>
  <c r="AG95" i="56" s="1"/>
  <c r="AG56" i="56"/>
  <c r="AG83" i="56" s="1"/>
  <c r="AG99" i="56" s="1"/>
  <c r="AG57" i="56"/>
  <c r="AG84" i="56" s="1"/>
  <c r="AG100" i="56" s="1"/>
  <c r="AG53" i="56"/>
  <c r="AG80" i="56" s="1"/>
  <c r="AG96" i="56" s="1"/>
  <c r="AG54" i="56"/>
  <c r="AG81" i="56" s="1"/>
  <c r="AG97" i="56" s="1"/>
  <c r="AG47" i="56"/>
  <c r="AG87" i="56" s="1"/>
  <c r="AG46" i="56"/>
  <c r="AG77" i="56" s="1"/>
  <c r="AG93" i="56" s="1"/>
  <c r="AF89" i="56"/>
  <c r="T111" i="60"/>
  <c r="O80" i="47" s="1"/>
  <c r="V120" i="56" a="1"/>
  <c r="V120" i="56" s="1"/>
  <c r="Y95" i="55"/>
  <c r="P11" i="47" s="1"/>
  <c r="T110" i="60"/>
  <c r="O81" i="47" s="1"/>
  <c r="W156" i="58"/>
  <c r="V122" i="56" a="1"/>
  <c r="V122" i="56" s="1"/>
  <c r="S148" i="56" s="1"/>
  <c r="O5" i="47"/>
  <c r="S22" i="35"/>
  <c r="O44" i="47"/>
  <c r="Y112" i="55"/>
  <c r="V113" i="56" a="1"/>
  <c r="V113" i="56" s="1"/>
  <c r="X24" i="58"/>
  <c r="M97" i="47"/>
  <c r="W36" i="58"/>
  <c r="W41" i="58" s="1"/>
  <c r="W165" i="58"/>
  <c r="W169" i="58"/>
  <c r="W163" i="58"/>
  <c r="W162" i="58"/>
  <c r="W170" i="58"/>
  <c r="W168" i="58"/>
  <c r="W167" i="58"/>
  <c r="W166" i="58"/>
  <c r="W164" i="58"/>
  <c r="Y23" i="58"/>
  <c r="X31" i="58"/>
  <c r="X34" i="58" s="1"/>
  <c r="X35" i="58" s="1"/>
  <c r="T107" i="60"/>
  <c r="O82" i="47" s="1"/>
  <c r="O61" i="47"/>
  <c r="Y135" i="55"/>
  <c r="L73" i="57"/>
  <c r="K73" i="57"/>
  <c r="J73" i="57"/>
  <c r="W73" i="57" s="1"/>
  <c r="M73" i="57" s="1"/>
  <c r="Z95" i="55"/>
  <c r="Q11" i="47" s="1"/>
  <c r="O136" i="47"/>
  <c r="Y31" i="55"/>
  <c r="O22" i="47"/>
  <c r="Y118" i="55"/>
  <c r="AA36" i="55"/>
  <c r="V121" i="56" a="1"/>
  <c r="V121" i="56" s="1"/>
  <c r="S147" i="56" s="1"/>
  <c r="T82" i="60"/>
  <c r="T90" i="60" s="1"/>
  <c r="T109" i="60" s="1"/>
  <c r="O75" i="47" s="1"/>
  <c r="T83" i="60"/>
  <c r="T91" i="60" s="1"/>
  <c r="T116" i="60" s="1"/>
  <c r="O62" i="47" s="1"/>
  <c r="O29" i="47"/>
  <c r="Y120" i="55"/>
  <c r="O42" i="47"/>
  <c r="Y105" i="55"/>
  <c r="T114" i="60"/>
  <c r="O64" i="47" s="1"/>
  <c r="T81" i="60"/>
  <c r="Z43" i="55"/>
  <c r="Q135" i="47" s="1"/>
  <c r="O38" i="47"/>
  <c r="Y87" i="55"/>
  <c r="Z53" i="29" a="1"/>
  <c r="Z53" i="29" s="1"/>
  <c r="AA53" i="29" s="1" a="1"/>
  <c r="AA53" i="29" s="1"/>
  <c r="S33" i="44"/>
  <c r="S36" i="44" s="1"/>
  <c r="W22" i="60" s="1" a="1"/>
  <c r="W22" i="60" s="1"/>
  <c r="W34" i="60" s="1"/>
  <c r="W37" i="60" s="1"/>
  <c r="AA15" i="55" a="1"/>
  <c r="AA15" i="55" s="1"/>
  <c r="AA91" i="55" s="1"/>
  <c r="T9" i="44"/>
  <c r="Z34" i="55"/>
  <c r="AF116" i="56" a="1"/>
  <c r="AF116" i="56" s="1"/>
  <c r="AB142" i="56" s="1"/>
  <c r="AA44" i="55"/>
  <c r="T115" i="60"/>
  <c r="O63" i="47" s="1"/>
  <c r="S74" i="60"/>
  <c r="S77" i="60" s="1"/>
  <c r="Z108" i="55"/>
  <c r="Q46" i="47" s="1"/>
  <c r="U103" i="60"/>
  <c r="P73" i="47" s="1"/>
  <c r="M84" i="47"/>
  <c r="Q53" i="29" a="1"/>
  <c r="Q53" i="29" s="1"/>
  <c r="T137" i="56"/>
  <c r="O87" i="47" s="1"/>
  <c r="X111" i="56" a="1"/>
  <c r="X111" i="56" s="1"/>
  <c r="O40" i="47"/>
  <c r="Y90" i="55"/>
  <c r="O24" i="47"/>
  <c r="Y121" i="55"/>
  <c r="O12" i="47"/>
  <c r="Y100" i="55"/>
  <c r="O21" i="47"/>
  <c r="Y116" i="55"/>
  <c r="O30" i="47"/>
  <c r="Y124" i="55"/>
  <c r="AA41" i="55"/>
  <c r="Z119" i="55"/>
  <c r="Q25" i="47" s="1"/>
  <c r="V37" i="60"/>
  <c r="T149" i="56"/>
  <c r="X123" i="56" a="1"/>
  <c r="X123" i="56" s="1"/>
  <c r="W159" i="58"/>
  <c r="X100" i="58" a="1"/>
  <c r="X100" i="58" s="1"/>
  <c r="W158" i="58"/>
  <c r="X99" i="58" a="1"/>
  <c r="X99" i="58" s="1"/>
  <c r="AA188" i="56"/>
  <c r="N99" i="47"/>
  <c r="O35" i="47"/>
  <c r="Y84" i="55"/>
  <c r="O7" i="47"/>
  <c r="S26" i="35"/>
  <c r="AI53" i="29" a="1"/>
  <c r="AI53" i="29" s="1"/>
  <c r="Z113" i="55"/>
  <c r="Q51" i="47" s="1"/>
  <c r="AF112" i="56" a="1"/>
  <c r="AF112" i="56" s="1"/>
  <c r="AG112" i="56" s="1" a="1"/>
  <c r="AG112" i="56" s="1"/>
  <c r="AD138" i="56" s="1"/>
  <c r="W88" i="47" s="1"/>
  <c r="AF114" i="56" a="1"/>
  <c r="AF114" i="56" s="1"/>
  <c r="AG114" i="56" s="1" a="1"/>
  <c r="AG114" i="56" s="1"/>
  <c r="AD140" i="56" s="1"/>
  <c r="W90" i="47" s="1"/>
  <c r="O56" i="47"/>
  <c r="Y130" i="55"/>
  <c r="Y108" i="47"/>
  <c r="AC56" i="29" a="1"/>
  <c r="AC56" i="29" s="1"/>
  <c r="S40" i="44"/>
  <c r="T39" i="44"/>
  <c r="W45" i="60" a="1"/>
  <c r="W45" i="60" s="1"/>
  <c r="AF117" i="56" a="1"/>
  <c r="AF117" i="56" s="1"/>
  <c r="AG117" i="56" s="1" a="1"/>
  <c r="AG117" i="56" s="1"/>
  <c r="AD143" i="56" s="1"/>
  <c r="W93" i="47" s="1"/>
  <c r="AB11" i="55" a="1"/>
  <c r="AB11" i="55" s="1"/>
  <c r="AB30" i="55" s="1"/>
  <c r="U19" i="44"/>
  <c r="O9" i="47"/>
  <c r="S24" i="35"/>
  <c r="O8" i="47"/>
  <c r="S23" i="35"/>
  <c r="O31" i="47"/>
  <c r="Y81" i="55"/>
  <c r="AF121" i="56" a="1"/>
  <c r="AF121" i="56" s="1"/>
  <c r="AC147" i="56" s="1"/>
  <c r="O6" i="47"/>
  <c r="S25" i="35"/>
  <c r="U7" i="44"/>
  <c r="V6" i="35" a="1"/>
  <c r="V6" i="35" s="1"/>
  <c r="V85" i="47"/>
  <c r="Z54" i="29" a="1"/>
  <c r="Z54" i="29" s="1"/>
  <c r="O18" i="47"/>
  <c r="Y97" i="55"/>
  <c r="M86" i="47"/>
  <c r="Q55" i="29" a="1"/>
  <c r="Q55" i="29" s="1"/>
  <c r="AS98" i="58" a="1"/>
  <c r="AS98" i="58" s="1"/>
  <c r="AR100" i="58" a="1"/>
  <c r="AR100" i="58" s="1"/>
  <c r="P141" i="56"/>
  <c r="M91" i="47" s="1"/>
  <c r="V115" i="56" a="1"/>
  <c r="V115" i="56" s="1"/>
  <c r="AX116" i="56" a="1"/>
  <c r="AX116" i="56" s="1"/>
  <c r="AM142" i="56" s="1"/>
  <c r="AF92" i="47" s="1"/>
  <c r="AO116" i="56" a="1"/>
  <c r="AO116" i="56" s="1"/>
  <c r="AP116" i="56" s="1" a="1"/>
  <c r="AP116" i="56" s="1"/>
  <c r="AQ116" i="56" s="1" a="1"/>
  <c r="AQ116" i="56" s="1"/>
  <c r="AR116" i="56" s="1" a="1"/>
  <c r="AR116" i="56" s="1"/>
  <c r="AS116" i="56" s="1" a="1"/>
  <c r="AS116" i="56" s="1"/>
  <c r="L81" i="56"/>
  <c r="O27" i="47"/>
  <c r="Y117" i="55"/>
  <c r="AI54" i="29" a="1"/>
  <c r="AI54" i="29" s="1"/>
  <c r="X262" i="57" a="1"/>
  <c r="X262" i="57" s="1"/>
  <c r="V262" i="57" a="1"/>
  <c r="V262" i="57" s="1"/>
  <c r="W262" i="57" s="1" a="1"/>
  <c r="W262" i="57" s="1"/>
  <c r="AO113" i="56" a="1"/>
  <c r="AO113" i="56" s="1"/>
  <c r="AP113" i="56" s="1" a="1"/>
  <c r="AP113" i="56" s="1"/>
  <c r="AQ113" i="56" s="1" a="1"/>
  <c r="AQ113" i="56" s="1"/>
  <c r="AR113" i="56" s="1" a="1"/>
  <c r="AR113" i="56" s="1"/>
  <c r="AS113" i="56" s="1" a="1"/>
  <c r="AS113" i="56" s="1"/>
  <c r="AX113" i="56" a="1"/>
  <c r="AX113" i="56" s="1"/>
  <c r="AM139" i="56" s="1"/>
  <c r="AF89" i="47" s="1"/>
  <c r="L78" i="56"/>
  <c r="O133" i="47"/>
  <c r="Y136" i="55"/>
  <c r="O45" i="47"/>
  <c r="Y110" i="55"/>
  <c r="AF122" i="56" a="1"/>
  <c r="AF122" i="56" s="1"/>
  <c r="U19" i="60"/>
  <c r="P143" i="56"/>
  <c r="M93" i="47" s="1"/>
  <c r="V117" i="56" a="1"/>
  <c r="V117" i="56" s="1"/>
  <c r="AF120" i="56" a="1"/>
  <c r="AF120" i="56" s="1"/>
  <c r="AV182" i="56" a="1"/>
  <c r="AV182" i="56" s="1"/>
  <c r="M98" i="56"/>
  <c r="R142" i="56"/>
  <c r="S142" i="56"/>
  <c r="N92" i="47" s="1"/>
  <c r="Q142" i="56"/>
  <c r="W116" i="56" a="1"/>
  <c r="W116" i="56" s="1"/>
  <c r="O41" i="47"/>
  <c r="Y89" i="55"/>
  <c r="AM94" i="58" a="1"/>
  <c r="AM94" i="58" s="1"/>
  <c r="O43" i="47"/>
  <c r="Y107" i="55"/>
  <c r="O57" i="47"/>
  <c r="Y126" i="55"/>
  <c r="AW77" i="56"/>
  <c r="AW80" i="56" s="1"/>
  <c r="AW81" i="56" s="1"/>
  <c r="O181" i="57"/>
  <c r="Y172" i="57"/>
  <c r="AR93" i="58" a="1"/>
  <c r="AR93" i="58" s="1"/>
  <c r="O53" i="47"/>
  <c r="Y129" i="55"/>
  <c r="O39" i="47"/>
  <c r="Y85" i="55"/>
  <c r="AV185" i="56" a="1"/>
  <c r="AV185" i="56" s="1"/>
  <c r="M101" i="56"/>
  <c r="AO115" i="56" a="1"/>
  <c r="AO115" i="56" s="1"/>
  <c r="AP115" i="56" s="1" a="1"/>
  <c r="AP115" i="56" s="1"/>
  <c r="AQ115" i="56" s="1" a="1"/>
  <c r="AQ115" i="56" s="1"/>
  <c r="AR115" i="56" s="1" a="1"/>
  <c r="AR115" i="56" s="1"/>
  <c r="AS115" i="56" s="1" a="1"/>
  <c r="AS115" i="56" s="1"/>
  <c r="AX115" i="56" a="1"/>
  <c r="AX115" i="56" s="1"/>
  <c r="AM141" i="56" s="1"/>
  <c r="AF91" i="47" s="1"/>
  <c r="L80" i="56"/>
  <c r="U18" i="60"/>
  <c r="P14" i="47"/>
  <c r="Z96" i="55"/>
  <c r="X261" i="57" a="1"/>
  <c r="X261" i="57" s="1"/>
  <c r="V261" i="57" a="1"/>
  <c r="V261" i="57" s="1"/>
  <c r="W261" i="57" s="1" a="1"/>
  <c r="W261" i="57" s="1"/>
  <c r="AG99" i="58" a="1"/>
  <c r="AG99" i="58" s="1"/>
  <c r="X260" i="57" a="1"/>
  <c r="X260" i="57" s="1"/>
  <c r="V260" i="57" a="1"/>
  <c r="V260" i="57" s="1"/>
  <c r="W260" i="57" s="1" a="1"/>
  <c r="W260" i="57" s="1"/>
  <c r="Z42" i="55"/>
  <c r="P134" i="47"/>
  <c r="Z38" i="55"/>
  <c r="P132" i="47"/>
  <c r="AX121" i="56" a="1"/>
  <c r="AX121" i="56" s="1"/>
  <c r="AM147" i="56" s="1"/>
  <c r="AO121" i="56" a="1"/>
  <c r="AO121" i="56" s="1"/>
  <c r="AP121" i="56" s="1" a="1"/>
  <c r="AP121" i="56" s="1"/>
  <c r="AQ121" i="56" s="1" a="1"/>
  <c r="AQ121" i="56" s="1"/>
  <c r="AR121" i="56" s="1" a="1"/>
  <c r="AR121" i="56" s="1"/>
  <c r="AS121" i="56" s="1" a="1"/>
  <c r="AS121" i="56" s="1"/>
  <c r="S93" i="60"/>
  <c r="S119" i="60" s="1"/>
  <c r="N65" i="47" s="1"/>
  <c r="T85" i="60"/>
  <c r="AV178" i="56" a="1"/>
  <c r="AV178" i="56" s="1"/>
  <c r="M94" i="56"/>
  <c r="P20" i="47"/>
  <c r="Z102" i="55"/>
  <c r="O19" i="47"/>
  <c r="Y101" i="55"/>
  <c r="AH55" i="29" a="1"/>
  <c r="AH55" i="29" s="1"/>
  <c r="AE86" i="47" s="1"/>
  <c r="AM55" i="29" a="1"/>
  <c r="AM55" i="29" s="1"/>
  <c r="AX117" i="56" a="1"/>
  <c r="AX117" i="56" s="1"/>
  <c r="AM143" i="56" s="1"/>
  <c r="AF93" i="47" s="1"/>
  <c r="AO117" i="56" a="1"/>
  <c r="AO117" i="56" s="1"/>
  <c r="AP117" i="56" s="1" a="1"/>
  <c r="AP117" i="56" s="1"/>
  <c r="AQ117" i="56" s="1" a="1"/>
  <c r="AQ117" i="56" s="1"/>
  <c r="AR117" i="56" s="1" a="1"/>
  <c r="AR117" i="56" s="1"/>
  <c r="AS117" i="56" s="1" a="1"/>
  <c r="AS117" i="56" s="1"/>
  <c r="L82" i="56"/>
  <c r="O26" i="47"/>
  <c r="Y115" i="55"/>
  <c r="AX120" i="56" a="1"/>
  <c r="AX120" i="56" s="1"/>
  <c r="AM146" i="56" s="1"/>
  <c r="AF96" i="47" s="1"/>
  <c r="AO120" i="56" a="1"/>
  <c r="AO120" i="56" s="1"/>
  <c r="AP120" i="56" s="1" a="1"/>
  <c r="AP120" i="56" s="1"/>
  <c r="AQ120" i="56" s="1" a="1"/>
  <c r="AQ120" i="56" s="1"/>
  <c r="AR120" i="56" s="1" a="1"/>
  <c r="AR120" i="56" s="1"/>
  <c r="AS120" i="56" s="1" a="1"/>
  <c r="AS120" i="56" s="1"/>
  <c r="L85" i="56"/>
  <c r="AA164" i="57"/>
  <c r="Q169" i="57"/>
  <c r="Q178" i="57" s="1"/>
  <c r="AA178" i="57" s="1"/>
  <c r="R166" i="57"/>
  <c r="AB154" i="57"/>
  <c r="H154" i="57" s="1"/>
  <c r="H191" i="57" s="1"/>
  <c r="AC20" i="55" a="1"/>
  <c r="AC20" i="55" s="1"/>
  <c r="AC21" i="55" a="1"/>
  <c r="AC21" i="55" s="1"/>
  <c r="AC18" i="55" a="1"/>
  <c r="AC18" i="55" s="1"/>
  <c r="AC19" i="55" a="1"/>
  <c r="AC19" i="55" s="1"/>
  <c r="V21" i="44"/>
  <c r="AT92" i="58" a="1"/>
  <c r="AT92" i="58" s="1"/>
  <c r="AV183" i="56" a="1"/>
  <c r="AV183" i="56" s="1"/>
  <c r="M99" i="56"/>
  <c r="M87" i="56"/>
  <c r="M103" i="56"/>
  <c r="AY122" i="56" s="1" a="1"/>
  <c r="AY122" i="56" s="1"/>
  <c r="AN148" i="56" s="1"/>
  <c r="O49" i="47"/>
  <c r="Y111" i="55"/>
  <c r="AO114" i="56" a="1"/>
  <c r="AO114" i="56" s="1"/>
  <c r="AP114" i="56" s="1" a="1"/>
  <c r="AP114" i="56" s="1"/>
  <c r="AQ114" i="56" s="1" a="1"/>
  <c r="AQ114" i="56" s="1"/>
  <c r="AR114" i="56" s="1" a="1"/>
  <c r="AR114" i="56" s="1"/>
  <c r="AS114" i="56" s="1" a="1"/>
  <c r="AS114" i="56" s="1"/>
  <c r="AX114" i="56" a="1"/>
  <c r="AX114" i="56" s="1"/>
  <c r="AM140" i="56" s="1"/>
  <c r="AF90" i="47" s="1"/>
  <c r="L79" i="56"/>
  <c r="AJ186" i="56"/>
  <c r="U97" i="47"/>
  <c r="AF113" i="56" a="1"/>
  <c r="AF113" i="56" s="1"/>
  <c r="T23" i="29"/>
  <c r="T29" i="29" s="1"/>
  <c r="AO55" i="29" s="1" a="1"/>
  <c r="AO55" i="29" s="1"/>
  <c r="S29" i="29"/>
  <c r="AN55" i="29" s="1" a="1"/>
  <c r="AN55" i="29" s="1"/>
  <c r="AA86" i="55"/>
  <c r="R34" i="47" s="1"/>
  <c r="AA80" i="55"/>
  <c r="R36" i="47" s="1"/>
  <c r="AA88" i="55"/>
  <c r="R33" i="47" s="1"/>
  <c r="AA82" i="55"/>
  <c r="R37" i="47" s="1"/>
  <c r="Q222" i="57" a="1"/>
  <c r="Q222" i="57" s="1"/>
  <c r="J104" i="47" s="1"/>
  <c r="V203" i="57" a="1"/>
  <c r="V203" i="57" s="1"/>
  <c r="U203" i="57" a="1"/>
  <c r="U203" i="57" s="1"/>
  <c r="T203" i="57" a="1"/>
  <c r="T203" i="57" s="1"/>
  <c r="T106" i="60"/>
  <c r="N77" i="47"/>
  <c r="AF115" i="56" a="1"/>
  <c r="AF115" i="56" s="1"/>
  <c r="P140" i="56"/>
  <c r="M90" i="47" s="1"/>
  <c r="V114" i="56" a="1"/>
  <c r="V114" i="56" s="1"/>
  <c r="AV180" i="56" a="1"/>
  <c r="AV180" i="56" s="1"/>
  <c r="M96" i="56"/>
  <c r="AV177" i="56" a="1"/>
  <c r="AV177" i="56" s="1"/>
  <c r="M93" i="56"/>
  <c r="T118" i="60"/>
  <c r="N66" i="47"/>
  <c r="AT96" i="58" a="1"/>
  <c r="AT96" i="58" s="1"/>
  <c r="AB17" i="55" a="1"/>
  <c r="AB17" i="55" s="1"/>
  <c r="AB103" i="55" s="1"/>
  <c r="U20" i="44"/>
  <c r="U85" i="44"/>
  <c r="Q219" i="57" a="1"/>
  <c r="Q219" i="57" s="1"/>
  <c r="J100" i="47" s="1"/>
  <c r="V200" i="57" a="1"/>
  <c r="V200" i="57" s="1"/>
  <c r="U200" i="57" a="1"/>
  <c r="U200" i="57" s="1"/>
  <c r="T200" i="57" a="1"/>
  <c r="T200" i="57" s="1"/>
  <c r="AA165" i="57"/>
  <c r="G165" i="57" s="1"/>
  <c r="P144" i="56"/>
  <c r="M94" i="47" s="1"/>
  <c r="V118" i="56" a="1"/>
  <c r="V118" i="56" s="1"/>
  <c r="Y40" i="55"/>
  <c r="O128" i="47"/>
  <c r="P181" i="57"/>
  <c r="Z172" i="57"/>
  <c r="T206" i="57" a="1"/>
  <c r="T206" i="57" s="1"/>
  <c r="V206" i="57" a="1"/>
  <c r="V206" i="57" s="1"/>
  <c r="Q225" i="57" a="1"/>
  <c r="Q225" i="57" s="1"/>
  <c r="J107" i="47" s="1"/>
  <c r="U206" i="57" a="1"/>
  <c r="U206" i="57" s="1"/>
  <c r="AS187" i="56"/>
  <c r="AD98" i="47"/>
  <c r="AB23" i="55" a="1"/>
  <c r="AB23" i="55" s="1"/>
  <c r="AB24" i="55" a="1"/>
  <c r="AB24" i="55" s="1"/>
  <c r="U24" i="44"/>
  <c r="O13" i="47"/>
  <c r="Y98" i="55"/>
  <c r="AV181" i="56" a="1"/>
  <c r="AV181" i="56" s="1"/>
  <c r="M97" i="56"/>
  <c r="N46" i="56"/>
  <c r="N47" i="56"/>
  <c r="AH100" i="58" a="1"/>
  <c r="AH100" i="58" s="1"/>
  <c r="AA106" i="55"/>
  <c r="R48" i="47" s="1"/>
  <c r="AA104" i="55"/>
  <c r="R47" i="47" s="1"/>
  <c r="AQ95" i="58" a="1"/>
  <c r="AQ95" i="58" s="1"/>
  <c r="V204" i="57" a="1"/>
  <c r="V204" i="57" s="1"/>
  <c r="U204" i="57" a="1"/>
  <c r="U204" i="57" s="1"/>
  <c r="T204" i="57" a="1"/>
  <c r="T204" i="57" s="1"/>
  <c r="Q223" i="57" a="1"/>
  <c r="Q223" i="57" s="1"/>
  <c r="J106" i="47" s="1"/>
  <c r="AA167" i="57"/>
  <c r="G167" i="57" s="1"/>
  <c r="U101" i="60"/>
  <c r="O69" i="47"/>
  <c r="N54" i="56"/>
  <c r="N52" i="56"/>
  <c r="N57" i="56"/>
  <c r="N53" i="56"/>
  <c r="N55" i="56"/>
  <c r="N51" i="56"/>
  <c r="N58" i="56"/>
  <c r="N56" i="56"/>
  <c r="N59" i="56"/>
  <c r="AO112" i="56" a="1"/>
  <c r="AO112" i="56" s="1"/>
  <c r="AP112" i="56" s="1" a="1"/>
  <c r="AP112" i="56" s="1"/>
  <c r="AQ112" i="56" s="1" a="1"/>
  <c r="AQ112" i="56" s="1"/>
  <c r="AR112" i="56" s="1" a="1"/>
  <c r="AR112" i="56" s="1"/>
  <c r="AS112" i="56" s="1" a="1"/>
  <c r="AS112" i="56" s="1"/>
  <c r="AX112" i="56" a="1"/>
  <c r="AX112" i="56" s="1"/>
  <c r="AM138" i="56" s="1"/>
  <c r="AF88" i="47" s="1"/>
  <c r="L77" i="56"/>
  <c r="AB25" i="55" a="1"/>
  <c r="AB25" i="55" s="1"/>
  <c r="AB125" i="55" s="1"/>
  <c r="U22" i="44"/>
  <c r="AO122" i="56" a="1"/>
  <c r="AO122" i="56" s="1"/>
  <c r="AP122" i="56" s="1" a="1"/>
  <c r="AP122" i="56" s="1"/>
  <c r="AQ122" i="56" s="1" a="1"/>
  <c r="AQ122" i="56" s="1"/>
  <c r="AR122" i="56" s="1" a="1"/>
  <c r="AR122" i="56" s="1"/>
  <c r="AS122" i="56" s="1" a="1"/>
  <c r="AS122" i="56" s="1"/>
  <c r="AX122" i="56" a="1"/>
  <c r="AX122" i="56" s="1"/>
  <c r="AM148" i="56" s="1"/>
  <c r="X156" i="58"/>
  <c r="Y97" i="58" a="1"/>
  <c r="Y97" i="58" s="1"/>
  <c r="AA143" i="56"/>
  <c r="AO118" i="56" a="1"/>
  <c r="AO118" i="56" s="1"/>
  <c r="AP118" i="56" s="1" a="1"/>
  <c r="AP118" i="56" s="1"/>
  <c r="AQ118" i="56" s="1" a="1"/>
  <c r="AQ118" i="56" s="1"/>
  <c r="AR118" i="56" s="1" a="1"/>
  <c r="AR118" i="56" s="1"/>
  <c r="AS118" i="56" s="1" a="1"/>
  <c r="AS118" i="56" s="1"/>
  <c r="AX118" i="56" a="1"/>
  <c r="AX118" i="56" s="1"/>
  <c r="AM144" i="56" s="1"/>
  <c r="AF94" i="47" s="1"/>
  <c r="L83" i="56"/>
  <c r="R148" i="56"/>
  <c r="Q148" i="56"/>
  <c r="W122" i="56" a="1"/>
  <c r="W122" i="56" s="1"/>
  <c r="V100" i="60"/>
  <c r="Q74" i="47" s="1"/>
  <c r="F169" i="57"/>
  <c r="Z35" i="55"/>
  <c r="P130" i="47"/>
  <c r="S35" i="44"/>
  <c r="S38" i="44" s="1"/>
  <c r="W24" i="60" s="1" a="1"/>
  <c r="W24" i="60" s="1"/>
  <c r="T87" i="44"/>
  <c r="W154" i="58"/>
  <c r="X95" i="58" a="1"/>
  <c r="X95" i="58" s="1"/>
  <c r="AA131" i="55"/>
  <c r="R60" i="47" s="1"/>
  <c r="AA132" i="55"/>
  <c r="R55" i="47" s="1"/>
  <c r="AA133" i="55"/>
  <c r="R59" i="47" s="1"/>
  <c r="AA127" i="55"/>
  <c r="R52" i="47" s="1"/>
  <c r="AT94" i="58" a="1"/>
  <c r="AT94" i="58" s="1"/>
  <c r="P138" i="56"/>
  <c r="M88" i="47" s="1"/>
  <c r="V112" i="56" a="1"/>
  <c r="V112" i="56" s="1"/>
  <c r="Q108" i="47"/>
  <c r="U56" i="29" a="1"/>
  <c r="U56" i="29" s="1"/>
  <c r="V36" i="60"/>
  <c r="AA37" i="55"/>
  <c r="Q129" i="47"/>
  <c r="AG96" i="58" a="1"/>
  <c r="AG96" i="58" s="1"/>
  <c r="AI97" i="58" a="1"/>
  <c r="AI97" i="58" s="1"/>
  <c r="AO119" i="56" a="1"/>
  <c r="AO119" i="56" s="1"/>
  <c r="AP119" i="56" s="1" a="1"/>
  <c r="AP119" i="56" s="1"/>
  <c r="AQ119" i="56" s="1" a="1"/>
  <c r="AQ119" i="56" s="1"/>
  <c r="AR119" i="56" s="1" a="1"/>
  <c r="AR119" i="56" s="1"/>
  <c r="AS119" i="56" s="1" a="1"/>
  <c r="AS119" i="56" s="1"/>
  <c r="AX119" i="56" a="1"/>
  <c r="AX119" i="56" s="1"/>
  <c r="AM145" i="56" s="1"/>
  <c r="AF95" i="47" s="1"/>
  <c r="L84" i="56"/>
  <c r="O50" i="47"/>
  <c r="Y109" i="55"/>
  <c r="W151" i="58"/>
  <c r="X92" i="58" a="1"/>
  <c r="X92" i="58" s="1"/>
  <c r="T108" i="60"/>
  <c r="N76" i="47"/>
  <c r="V35" i="60"/>
  <c r="T117" i="60"/>
  <c r="N67" i="47"/>
  <c r="AQ97" i="58" a="1"/>
  <c r="AQ97" i="58" s="1"/>
  <c r="AF118" i="56" a="1"/>
  <c r="AF118" i="56" s="1"/>
  <c r="AZ111" i="56" a="1"/>
  <c r="AZ111" i="56" s="1"/>
  <c r="AO137" i="56" s="1"/>
  <c r="AH87" i="47" s="1"/>
  <c r="AJ87" i="47" s="1"/>
  <c r="N76" i="56"/>
  <c r="P16" i="47"/>
  <c r="Z94" i="55"/>
  <c r="R138" i="47"/>
  <c r="M86" i="56"/>
  <c r="M102" i="56"/>
  <c r="AY121" i="56" s="1" a="1"/>
  <c r="AY121" i="56" s="1"/>
  <c r="AN147" i="56" s="1"/>
  <c r="P15" i="47"/>
  <c r="Z92" i="55"/>
  <c r="AE149" i="56"/>
  <c r="AI123" i="56" a="1"/>
  <c r="AI123" i="56" s="1"/>
  <c r="U112" i="60"/>
  <c r="O79" i="47"/>
  <c r="Z39" i="55"/>
  <c r="P131" i="47"/>
  <c r="AB10" i="55" a="1"/>
  <c r="AB10" i="55" s="1"/>
  <c r="AB79" i="55" s="1"/>
  <c r="U18" i="44"/>
  <c r="V94" i="56"/>
  <c r="V89" i="56"/>
  <c r="Z32" i="55"/>
  <c r="P137" i="47"/>
  <c r="T86" i="44"/>
  <c r="S34" i="44"/>
  <c r="S37" i="44" s="1"/>
  <c r="W23" i="60" s="1" a="1"/>
  <c r="W23" i="60" s="1"/>
  <c r="AA29" i="55"/>
  <c r="AF119" i="56" a="1"/>
  <c r="AF119" i="56" s="1"/>
  <c r="W152" i="58"/>
  <c r="X93" i="58" a="1"/>
  <c r="X93" i="58" s="1"/>
  <c r="AJ187" i="56"/>
  <c r="U98" i="47"/>
  <c r="AC13" i="55" a="1"/>
  <c r="AC13" i="55" s="1"/>
  <c r="AC12" i="55" a="1"/>
  <c r="AC12" i="55" s="1"/>
  <c r="V17" i="44"/>
  <c r="AB22" i="55" a="1"/>
  <c r="AB22" i="55" s="1"/>
  <c r="AB114" i="55" s="1"/>
  <c r="U12" i="44"/>
  <c r="O54" i="47"/>
  <c r="Y134" i="55"/>
  <c r="AF33" i="55"/>
  <c r="V127" i="47"/>
  <c r="AV179" i="56" a="1"/>
  <c r="AV179" i="56" s="1"/>
  <c r="M95" i="56"/>
  <c r="AZ123" i="56" a="1"/>
  <c r="AZ123" i="56" s="1"/>
  <c r="AO149" i="56" s="1"/>
  <c r="N88" i="56"/>
  <c r="X88" i="56" s="1"/>
  <c r="AH88" i="56" s="1"/>
  <c r="AL188" i="56"/>
  <c r="W99" i="47"/>
  <c r="O58" i="47"/>
  <c r="Y128" i="55"/>
  <c r="AS186" i="56"/>
  <c r="AD97" i="47"/>
  <c r="W153" i="58"/>
  <c r="X94" i="58" a="1"/>
  <c r="X94" i="58" s="1"/>
  <c r="E169" i="57"/>
  <c r="E175" i="57" s="1"/>
  <c r="K89" i="56"/>
  <c r="V25" i="60"/>
  <c r="V17" i="60" s="1"/>
  <c r="P145" i="56"/>
  <c r="M95" i="47" s="1"/>
  <c r="V119" i="56" a="1"/>
  <c r="V119" i="56" s="1"/>
  <c r="U105" i="60"/>
  <c r="O71" i="47"/>
  <c r="W57" i="56"/>
  <c r="W84" i="56" s="1"/>
  <c r="W100" i="56" s="1"/>
  <c r="W53" i="56"/>
  <c r="W80" i="56" s="1"/>
  <c r="W96" i="56" s="1"/>
  <c r="X60" i="56"/>
  <c r="W56" i="56"/>
  <c r="W83" i="56" s="1"/>
  <c r="W99" i="56" s="1"/>
  <c r="W52" i="56"/>
  <c r="W79" i="56" s="1"/>
  <c r="W95" i="56" s="1"/>
  <c r="W59" i="56"/>
  <c r="W86" i="56" s="1"/>
  <c r="W58" i="56"/>
  <c r="W85" i="56" s="1"/>
  <c r="W101" i="56" s="1"/>
  <c r="W51" i="56"/>
  <c r="W78" i="56" s="1"/>
  <c r="W55" i="56"/>
  <c r="W82" i="56" s="1"/>
  <c r="W98" i="56" s="1"/>
  <c r="W54" i="56"/>
  <c r="W81" i="56" s="1"/>
  <c r="W97" i="56" s="1"/>
  <c r="Q139" i="56"/>
  <c r="R139" i="56"/>
  <c r="S139" i="56"/>
  <c r="N89" i="47" s="1"/>
  <c r="W113" i="56" a="1"/>
  <c r="W113" i="56" s="1"/>
  <c r="W155" i="58"/>
  <c r="X96" i="58" a="1"/>
  <c r="X96" i="58" s="1"/>
  <c r="R168" i="57"/>
  <c r="AB156" i="57"/>
  <c r="H156" i="57" s="1"/>
  <c r="H193" i="57" s="1"/>
  <c r="AI93" i="58" a="1"/>
  <c r="AI93" i="58" s="1"/>
  <c r="O10" i="47"/>
  <c r="Y93" i="55"/>
  <c r="AI95" i="58" a="1"/>
  <c r="AI95" i="58" s="1"/>
  <c r="R146" i="56"/>
  <c r="S146" i="56"/>
  <c r="N96" i="47" s="1"/>
  <c r="Q146" i="56"/>
  <c r="W120" i="56" a="1"/>
  <c r="W120" i="56" s="1"/>
  <c r="U104" i="60"/>
  <c r="O72" i="47"/>
  <c r="AE137" i="56"/>
  <c r="X87" i="47" s="1"/>
  <c r="AI111" i="56" a="1"/>
  <c r="AI111" i="56" s="1"/>
  <c r="AC10" i="58" a="1"/>
  <c r="AC10" i="58" s="1"/>
  <c r="U8" i="44"/>
  <c r="T30" i="44"/>
  <c r="T31" i="44" s="1"/>
  <c r="AA123" i="55"/>
  <c r="R23" i="47" s="1"/>
  <c r="AA122" i="55"/>
  <c r="R28" i="47" s="1"/>
  <c r="AA119" i="55"/>
  <c r="R25" i="47" s="1"/>
  <c r="AH98" i="58" a="1"/>
  <c r="AH98" i="58" s="1"/>
  <c r="AV184" i="56" a="1"/>
  <c r="AV184" i="56" s="1"/>
  <c r="M100" i="56"/>
  <c r="AV188" i="56"/>
  <c r="AG99" i="47"/>
  <c r="W157" i="58"/>
  <c r="X98" i="58" a="1"/>
  <c r="X98" i="58" s="1"/>
  <c r="AQ99" i="58" a="1"/>
  <c r="AQ99" i="58" s="1"/>
  <c r="O17" i="47"/>
  <c r="Y99" i="55"/>
  <c r="AH92" i="58" a="1"/>
  <c r="AH92" i="58" s="1"/>
  <c r="U111" i="60"/>
  <c r="P80" i="47" s="1"/>
  <c r="U84" i="60"/>
  <c r="U92" i="60" s="1"/>
  <c r="U113" i="60" s="1"/>
  <c r="P78" i="47" s="1"/>
  <c r="Y55" i="29" a="1"/>
  <c r="Y55" i="29" s="1"/>
  <c r="AT188" i="56"/>
  <c r="AE99" i="47"/>
  <c r="AC143" i="56" l="1"/>
  <c r="V93" i="47" s="1"/>
  <c r="AH117" i="56" a="1"/>
  <c r="AH117" i="56" s="1"/>
  <c r="AG116" i="56" a="1"/>
  <c r="AG116" i="56" s="1"/>
  <c r="R54" i="29" a="1"/>
  <c r="R54" i="29" s="1"/>
  <c r="P32" i="47"/>
  <c r="Z83" i="55"/>
  <c r="U110" i="60"/>
  <c r="P81" i="47" s="1"/>
  <c r="V99" i="60"/>
  <c r="Q70" i="47" s="1"/>
  <c r="AH89" i="56"/>
  <c r="AG89" i="56"/>
  <c r="AC142" i="56"/>
  <c r="V92" i="47" s="1"/>
  <c r="U82" i="60"/>
  <c r="U90" i="60" s="1"/>
  <c r="U109" i="60" s="1"/>
  <c r="P75" i="47" s="1"/>
  <c r="P44" i="47"/>
  <c r="Z112" i="55"/>
  <c r="P5" i="47"/>
  <c r="T22" i="35"/>
  <c r="AA34" i="55"/>
  <c r="AB140" i="56"/>
  <c r="AA140" i="56"/>
  <c r="AC140" i="56"/>
  <c r="V90" i="47" s="1"/>
  <c r="X36" i="58"/>
  <c r="X41" i="58" s="1"/>
  <c r="X164" i="58"/>
  <c r="X162" i="58"/>
  <c r="X170" i="58"/>
  <c r="X169" i="58"/>
  <c r="X167" i="58"/>
  <c r="X166" i="58"/>
  <c r="X165" i="58"/>
  <c r="X163" i="58"/>
  <c r="X168" i="58"/>
  <c r="Y31" i="58"/>
  <c r="Y34" i="58" s="1"/>
  <c r="Y35" i="58" s="1"/>
  <c r="Y36" i="58" s="1"/>
  <c r="Z23" i="58"/>
  <c r="Y24" i="58"/>
  <c r="U107" i="60"/>
  <c r="P82" i="47" s="1"/>
  <c r="W84" i="47"/>
  <c r="AH112" i="56" a="1"/>
  <c r="AH112" i="56" s="1"/>
  <c r="R147" i="56"/>
  <c r="P61" i="47"/>
  <c r="Z135" i="55"/>
  <c r="AA186" i="56"/>
  <c r="N97" i="47"/>
  <c r="AA95" i="55"/>
  <c r="R11" i="47" s="1"/>
  <c r="AA147" i="56"/>
  <c r="U114" i="60"/>
  <c r="P64" i="47" s="1"/>
  <c r="W121" i="56" a="1"/>
  <c r="W121" i="56" s="1"/>
  <c r="Q147" i="56"/>
  <c r="P22" i="47"/>
  <c r="Z118" i="55"/>
  <c r="P136" i="47"/>
  <c r="Z31" i="55"/>
  <c r="V103" i="60"/>
  <c r="Q73" i="47" s="1"/>
  <c r="U83" i="60"/>
  <c r="U91" i="60" s="1"/>
  <c r="U116" i="60" s="1"/>
  <c r="P62" i="47" s="1"/>
  <c r="P42" i="47"/>
  <c r="Z105" i="55"/>
  <c r="P29" i="47"/>
  <c r="Z120" i="55"/>
  <c r="W25" i="60"/>
  <c r="W17" i="60" s="1"/>
  <c r="AB143" i="56"/>
  <c r="AB147" i="56"/>
  <c r="AB29" i="55"/>
  <c r="AG121" i="56" a="1"/>
  <c r="AG121" i="56" s="1"/>
  <c r="AD147" i="56" s="1"/>
  <c r="T89" i="60"/>
  <c r="T102" i="60" s="1"/>
  <c r="U81" i="60"/>
  <c r="AA108" i="55"/>
  <c r="R46" i="47" s="1"/>
  <c r="AB15" i="55" a="1"/>
  <c r="AB15" i="55" s="1"/>
  <c r="AB91" i="55" s="1"/>
  <c r="U9" i="44"/>
  <c r="U30" i="44" s="1"/>
  <c r="AA142" i="56"/>
  <c r="P38" i="47"/>
  <c r="Z87" i="55"/>
  <c r="AA43" i="55"/>
  <c r="R135" i="47" s="1"/>
  <c r="U115" i="60"/>
  <c r="P63" i="47" s="1"/>
  <c r="Q176" i="57"/>
  <c r="AA176" i="57" s="1"/>
  <c r="P12" i="47"/>
  <c r="Z100" i="55"/>
  <c r="P24" i="47"/>
  <c r="Z121" i="55"/>
  <c r="Q175" i="57"/>
  <c r="AA175" i="57" s="1"/>
  <c r="AH114" i="56" a="1"/>
  <c r="AH114" i="56" s="1"/>
  <c r="P40" i="47"/>
  <c r="Z90" i="55"/>
  <c r="AA113" i="55"/>
  <c r="R51" i="47" s="1"/>
  <c r="AB36" i="55"/>
  <c r="U137" i="56"/>
  <c r="P87" i="47" s="1"/>
  <c r="AA111" i="56" a="1"/>
  <c r="AA111" i="56" s="1"/>
  <c r="Y111" i="56" a="1"/>
  <c r="Y111" i="56" s="1"/>
  <c r="P30" i="47"/>
  <c r="Z124" i="55"/>
  <c r="R53" i="29" a="1"/>
  <c r="R53" i="29" s="1"/>
  <c r="N84" i="47"/>
  <c r="P21" i="47"/>
  <c r="Z116" i="55"/>
  <c r="W99" i="60"/>
  <c r="R70" i="47" s="1"/>
  <c r="AB138" i="56"/>
  <c r="N86" i="47"/>
  <c r="R55" i="29" a="1"/>
  <c r="R55" i="29" s="1"/>
  <c r="P31" i="47"/>
  <c r="Z81" i="55"/>
  <c r="Z108" i="47"/>
  <c r="AD56" i="29" a="1"/>
  <c r="AD56" i="29" s="1"/>
  <c r="L89" i="56"/>
  <c r="P18" i="47"/>
  <c r="Z97" i="55"/>
  <c r="T33" i="44"/>
  <c r="T36" i="44" s="1"/>
  <c r="X22" i="60" s="1" a="1"/>
  <c r="X22" i="60" s="1"/>
  <c r="X34" i="60" s="1"/>
  <c r="X37" i="60" s="1"/>
  <c r="P8" i="47"/>
  <c r="T23" i="35"/>
  <c r="P56" i="47"/>
  <c r="Z130" i="55"/>
  <c r="X158" i="58"/>
  <c r="Y99" i="58" a="1"/>
  <c r="Y99" i="58" s="1"/>
  <c r="P9" i="47"/>
  <c r="T24" i="35"/>
  <c r="X159" i="58"/>
  <c r="Y100" i="58" a="1"/>
  <c r="Y100" i="58" s="1"/>
  <c r="AI55" i="29" a="1"/>
  <c r="AI55" i="29" s="1"/>
  <c r="AF86" i="47" s="1"/>
  <c r="W85" i="47"/>
  <c r="AA54" i="29" a="1"/>
  <c r="AA54" i="29" s="1"/>
  <c r="AC11" i="55" a="1"/>
  <c r="AC11" i="55" s="1"/>
  <c r="AC30" i="55" s="1"/>
  <c r="V19" i="44"/>
  <c r="U149" i="56"/>
  <c r="AA123" i="56" a="1"/>
  <c r="AA123" i="56" s="1"/>
  <c r="Y123" i="56" a="1"/>
  <c r="Y123" i="56" s="1"/>
  <c r="AF84" i="47"/>
  <c r="AJ53" i="29" a="1"/>
  <c r="AJ53" i="29" s="1"/>
  <c r="AB188" i="56"/>
  <c r="O99" i="47"/>
  <c r="V7" i="44"/>
  <c r="W6" i="35" a="1"/>
  <c r="W6" i="35" s="1"/>
  <c r="P7" i="47"/>
  <c r="T26" i="35"/>
  <c r="AC138" i="56"/>
  <c r="V88" i="47" s="1"/>
  <c r="T25" i="35"/>
  <c r="P6" i="47"/>
  <c r="AA138" i="56"/>
  <c r="X45" i="60" a="1"/>
  <c r="X45" i="60" s="1"/>
  <c r="T40" i="44"/>
  <c r="U39" i="44"/>
  <c r="P35" i="47"/>
  <c r="Z84" i="55"/>
  <c r="AL145" i="56"/>
  <c r="AE95" i="47" s="1"/>
  <c r="AT119" i="56" a="1"/>
  <c r="AT119" i="56" s="1"/>
  <c r="AU119" i="56" s="1" a="1"/>
  <c r="AU119" i="56" s="1"/>
  <c r="AV119" i="56" s="1" a="1"/>
  <c r="AV119" i="56" s="1"/>
  <c r="AW119" i="56" s="1" a="1"/>
  <c r="AW119" i="56" s="1"/>
  <c r="AL148" i="56"/>
  <c r="AT122" i="56" a="1"/>
  <c r="AT122" i="56" s="1"/>
  <c r="AU122" i="56" s="1" a="1"/>
  <c r="AU122" i="56" s="1"/>
  <c r="AV122" i="56" s="1" a="1"/>
  <c r="AV122" i="56" s="1"/>
  <c r="AW122" i="56" s="1" a="1"/>
  <c r="AW122" i="56" s="1"/>
  <c r="AL143" i="56"/>
  <c r="AE93" i="47" s="1"/>
  <c r="AT117" i="56" a="1"/>
  <c r="AT117" i="56" s="1"/>
  <c r="AU117" i="56" s="1" a="1"/>
  <c r="AU117" i="56" s="1"/>
  <c r="AV117" i="56" s="1" a="1"/>
  <c r="AV117" i="56" s="1"/>
  <c r="AW117" i="56" s="1" a="1"/>
  <c r="AW117" i="56" s="1"/>
  <c r="AL141" i="56"/>
  <c r="AE91" i="47" s="1"/>
  <c r="AT115" i="56" a="1"/>
  <c r="AT115" i="56" s="1"/>
  <c r="AU115" i="56" s="1" a="1"/>
  <c r="AU115" i="56" s="1"/>
  <c r="AV115" i="56" s="1" a="1"/>
  <c r="AV115" i="56" s="1"/>
  <c r="AW115" i="56" s="1" a="1"/>
  <c r="AW115" i="56" s="1"/>
  <c r="AL142" i="56"/>
  <c r="AE92" i="47" s="1"/>
  <c r="AT116" i="56" a="1"/>
  <c r="AT116" i="56" s="1"/>
  <c r="AU116" i="56" s="1" a="1"/>
  <c r="AU116" i="56" s="1"/>
  <c r="AV116" i="56" s="1" a="1"/>
  <c r="AV116" i="56" s="1"/>
  <c r="AW116" i="56" s="1" a="1"/>
  <c r="AW116" i="56" s="1"/>
  <c r="AL140" i="56"/>
  <c r="AE90" i="47" s="1"/>
  <c r="AT114" i="56" a="1"/>
  <c r="AT114" i="56" s="1"/>
  <c r="AU114" i="56" s="1" a="1"/>
  <c r="AU114" i="56" s="1"/>
  <c r="AV114" i="56" s="1" a="1"/>
  <c r="AV114" i="56" s="1"/>
  <c r="AW114" i="56" s="1" a="1"/>
  <c r="AW114" i="56" s="1"/>
  <c r="AL138" i="56"/>
  <c r="AE88" i="47" s="1"/>
  <c r="AT112" i="56" a="1"/>
  <c r="AT112" i="56" s="1"/>
  <c r="AU112" i="56" s="1" a="1"/>
  <c r="AU112" i="56" s="1"/>
  <c r="AV112" i="56" s="1" a="1"/>
  <c r="AV112" i="56" s="1"/>
  <c r="AW112" i="56" s="1" a="1"/>
  <c r="AW112" i="56" s="1"/>
  <c r="AL139" i="56"/>
  <c r="AE89" i="47" s="1"/>
  <c r="AT113" i="56" a="1"/>
  <c r="AT113" i="56" s="1"/>
  <c r="AU113" i="56" s="1" a="1"/>
  <c r="AU113" i="56" s="1"/>
  <c r="AV113" i="56" s="1" a="1"/>
  <c r="AV113" i="56" s="1"/>
  <c r="AW113" i="56" s="1" a="1"/>
  <c r="AW113" i="56" s="1"/>
  <c r="AL147" i="56"/>
  <c r="AT121" i="56" a="1"/>
  <c r="AT121" i="56" s="1"/>
  <c r="AU121" i="56" s="1" a="1"/>
  <c r="AU121" i="56" s="1"/>
  <c r="AV121" i="56" s="1" a="1"/>
  <c r="AV121" i="56" s="1"/>
  <c r="AW121" i="56" s="1" a="1"/>
  <c r="AW121" i="56" s="1"/>
  <c r="AL144" i="56"/>
  <c r="AE94" i="47" s="1"/>
  <c r="AT118" i="56" a="1"/>
  <c r="AT118" i="56" s="1"/>
  <c r="AU118" i="56" s="1" a="1"/>
  <c r="AU118" i="56" s="1"/>
  <c r="AV118" i="56" s="1" a="1"/>
  <c r="AV118" i="56" s="1"/>
  <c r="AW118" i="56" s="1" a="1"/>
  <c r="AW118" i="56" s="1"/>
  <c r="AL146" i="56"/>
  <c r="AE96" i="47" s="1"/>
  <c r="AT120" i="56" a="1"/>
  <c r="AT120" i="56" s="1"/>
  <c r="AU120" i="56" s="1" a="1"/>
  <c r="AU120" i="56" s="1"/>
  <c r="AV120" i="56" s="1" a="1"/>
  <c r="AV120" i="56" s="1"/>
  <c r="AW120" i="56" s="1" a="1"/>
  <c r="AW120" i="56" s="1"/>
  <c r="V105" i="60"/>
  <c r="P71" i="47"/>
  <c r="Q15" i="47"/>
  <c r="AA92" i="55"/>
  <c r="AU187" i="56"/>
  <c r="AF98" i="47"/>
  <c r="AW182" i="56" a="1"/>
  <c r="AW182" i="56" s="1"/>
  <c r="N98" i="56"/>
  <c r="S145" i="56"/>
  <c r="N95" i="47" s="1"/>
  <c r="Q145" i="56"/>
  <c r="R145" i="56"/>
  <c r="W119" i="56" a="1"/>
  <c r="W119" i="56" s="1"/>
  <c r="P50" i="47"/>
  <c r="Z109" i="55"/>
  <c r="F173" i="57"/>
  <c r="F174" i="57"/>
  <c r="F172" i="57"/>
  <c r="F176" i="57"/>
  <c r="F179" i="57"/>
  <c r="F178" i="57"/>
  <c r="F177" i="57"/>
  <c r="AW180" i="56" a="1"/>
  <c r="AW180" i="56" s="1"/>
  <c r="N96" i="56"/>
  <c r="U85" i="60"/>
  <c r="T93" i="60"/>
  <c r="T119" i="60" s="1"/>
  <c r="O65" i="47" s="1"/>
  <c r="AU186" i="56"/>
  <c r="AF97" i="47"/>
  <c r="AY120" i="56" a="1"/>
  <c r="AY120" i="56" s="1"/>
  <c r="AN146" i="56" s="1"/>
  <c r="AG96" i="47" s="1"/>
  <c r="M85" i="56"/>
  <c r="AY117" i="56" a="1"/>
  <c r="AY117" i="56" s="1"/>
  <c r="AN143" i="56" s="1"/>
  <c r="AG93" i="47" s="1"/>
  <c r="M82" i="56"/>
  <c r="AT98" i="58" a="1"/>
  <c r="AT98" i="58" s="1"/>
  <c r="AC144" i="56"/>
  <c r="V94" i="47" s="1"/>
  <c r="AB144" i="56"/>
  <c r="AA144" i="56"/>
  <c r="AG118" i="56" a="1"/>
  <c r="AG118" i="56" s="1"/>
  <c r="AA35" i="55"/>
  <c r="Q130" i="47"/>
  <c r="AD142" i="56"/>
  <c r="W92" i="47" s="1"/>
  <c r="AH116" i="56" a="1"/>
  <c r="AH116" i="56" s="1"/>
  <c r="P10" i="47"/>
  <c r="Z93" i="55"/>
  <c r="AE143" i="56"/>
  <c r="X93" i="47" s="1"/>
  <c r="AI117" i="56" a="1"/>
  <c r="AI117" i="56" s="1"/>
  <c r="AY114" i="56" a="1"/>
  <c r="AY114" i="56" s="1"/>
  <c r="AN140" i="56" s="1"/>
  <c r="AG90" i="47" s="1"/>
  <c r="M79" i="56"/>
  <c r="X157" i="58"/>
  <c r="Y98" i="58" a="1"/>
  <c r="Y98" i="58" s="1"/>
  <c r="X153" i="58"/>
  <c r="Y94" i="58" a="1"/>
  <c r="Y94" i="58" s="1"/>
  <c r="X152" i="58"/>
  <c r="Y93" i="58" a="1"/>
  <c r="Y93" i="58" s="1"/>
  <c r="AC10" i="55" a="1"/>
  <c r="AC10" i="55" s="1"/>
  <c r="AC79" i="55" s="1"/>
  <c r="V18" i="44"/>
  <c r="AV186" i="56"/>
  <c r="AG97" i="47"/>
  <c r="AJ97" i="58" a="1"/>
  <c r="AJ97" i="58" s="1"/>
  <c r="F175" i="57"/>
  <c r="AW184" i="56" a="1"/>
  <c r="AW184" i="56" s="1"/>
  <c r="N100" i="56"/>
  <c r="AK186" i="56"/>
  <c r="V97" i="47"/>
  <c r="AC23" i="55" a="1"/>
  <c r="AC23" i="55" s="1"/>
  <c r="AC24" i="55" a="1"/>
  <c r="AC24" i="55" s="1"/>
  <c r="V24" i="44"/>
  <c r="Z40" i="55"/>
  <c r="P128" i="47"/>
  <c r="AY115" i="56" a="1"/>
  <c r="AY115" i="56" s="1"/>
  <c r="AN141" i="56" s="1"/>
  <c r="AG91" i="47" s="1"/>
  <c r="M80" i="56"/>
  <c r="AY118" i="56" a="1"/>
  <c r="AY118" i="56" s="1"/>
  <c r="AN144" i="56" s="1"/>
  <c r="AG94" i="47" s="1"/>
  <c r="M83" i="56"/>
  <c r="AH99" i="58" a="1"/>
  <c r="AH99" i="58" s="1"/>
  <c r="AW188" i="56"/>
  <c r="AH99" i="47"/>
  <c r="AJ99" i="47" s="1"/>
  <c r="P13" i="47"/>
  <c r="Z98" i="55"/>
  <c r="V86" i="47"/>
  <c r="Z55" i="29" a="1"/>
  <c r="Z55" i="29" s="1"/>
  <c r="AR99" i="58" a="1"/>
  <c r="AR99" i="58" s="1"/>
  <c r="AR97" i="58" a="1"/>
  <c r="AR97" i="58" s="1"/>
  <c r="AJ93" i="58" a="1"/>
  <c r="AJ93" i="58" s="1"/>
  <c r="W94" i="56"/>
  <c r="W89" i="56"/>
  <c r="AB86" i="55"/>
  <c r="S34" i="47" s="1"/>
  <c r="AB80" i="55"/>
  <c r="S36" i="47" s="1"/>
  <c r="AB88" i="55"/>
  <c r="S33" i="47" s="1"/>
  <c r="AB82" i="55"/>
  <c r="S37" i="47" s="1"/>
  <c r="Z97" i="58" a="1"/>
  <c r="Z97" i="58" s="1"/>
  <c r="AW179" i="56" a="1"/>
  <c r="AW179" i="56" s="1"/>
  <c r="N95" i="56"/>
  <c r="W100" i="60"/>
  <c r="R74" i="47" s="1"/>
  <c r="S144" i="56"/>
  <c r="N94" i="47" s="1"/>
  <c r="R144" i="56"/>
  <c r="Q144" i="56"/>
  <c r="W118" i="56" a="1"/>
  <c r="W118" i="56" s="1"/>
  <c r="AE138" i="56"/>
  <c r="X88" i="47" s="1"/>
  <c r="AI112" i="56" a="1"/>
  <c r="AI112" i="56" s="1"/>
  <c r="P39" i="47"/>
  <c r="Z85" i="55"/>
  <c r="P43" i="47"/>
  <c r="Z107" i="55"/>
  <c r="AB146" i="56"/>
  <c r="AC146" i="56"/>
  <c r="V96" i="47" s="1"/>
  <c r="AA146" i="56"/>
  <c r="AG120" i="56" a="1"/>
  <c r="AG120" i="56" s="1"/>
  <c r="AG33" i="55"/>
  <c r="W127" i="47"/>
  <c r="AH96" i="58" a="1"/>
  <c r="AH96" i="58" s="1"/>
  <c r="AU94" i="58" a="1"/>
  <c r="AU94" i="58" s="1"/>
  <c r="AW181" i="56" a="1"/>
  <c r="AW181" i="56" s="1"/>
  <c r="N97" i="56"/>
  <c r="AI100" i="58" a="1"/>
  <c r="AI100" i="58" s="1"/>
  <c r="S140" i="56"/>
  <c r="N90" i="47" s="1"/>
  <c r="R140" i="56"/>
  <c r="Q140" i="56"/>
  <c r="W114" i="56" a="1"/>
  <c r="W114" i="56" s="1"/>
  <c r="AU92" i="58" a="1"/>
  <c r="AU92" i="58" s="1"/>
  <c r="R224" i="57" a="1"/>
  <c r="R224" i="57" s="1"/>
  <c r="K103" i="47" s="1"/>
  <c r="W205" i="57" a="1"/>
  <c r="W205" i="57" s="1"/>
  <c r="Y181" i="57"/>
  <c r="O182" i="57"/>
  <c r="Y182" i="57" s="1"/>
  <c r="S143" i="56"/>
  <c r="N93" i="47" s="1"/>
  <c r="R143" i="56"/>
  <c r="Q143" i="56"/>
  <c r="W117" i="56" a="1"/>
  <c r="W117" i="56" s="1"/>
  <c r="AI92" i="58" a="1"/>
  <c r="AI92" i="58" s="1"/>
  <c r="T139" i="56"/>
  <c r="O89" i="47" s="1"/>
  <c r="X113" i="56" a="1"/>
  <c r="X113" i="56" s="1"/>
  <c r="W207" i="57" a="1"/>
  <c r="W207" i="57" s="1"/>
  <c r="R226" i="57" a="1"/>
  <c r="R226" i="57" s="1"/>
  <c r="K105" i="47" s="1"/>
  <c r="P54" i="47"/>
  <c r="Z134" i="55"/>
  <c r="S138" i="47"/>
  <c r="U117" i="60"/>
  <c r="O67" i="47"/>
  <c r="X154" i="58"/>
  <c r="Y95" i="58" a="1"/>
  <c r="Y95" i="58" s="1"/>
  <c r="AC25" i="55" a="1"/>
  <c r="AC25" i="55" s="1"/>
  <c r="AC125" i="55" s="1"/>
  <c r="V22" i="44"/>
  <c r="AB166" i="57"/>
  <c r="H166" i="57" s="1"/>
  <c r="AA38" i="55"/>
  <c r="Q132" i="47"/>
  <c r="AF85" i="47"/>
  <c r="AJ54" i="29" a="1"/>
  <c r="AJ54" i="29" s="1"/>
  <c r="AD10" i="58" a="1"/>
  <c r="AD10" i="58" s="1"/>
  <c r="V8" i="44"/>
  <c r="AD13" i="55" a="1"/>
  <c r="AD13" i="55" s="1"/>
  <c r="AD12" i="55" a="1"/>
  <c r="AD12" i="55" s="1"/>
  <c r="W17" i="44"/>
  <c r="AY119" i="56" a="1"/>
  <c r="AY119" i="56" s="1"/>
  <c r="AN145" i="56" s="1"/>
  <c r="AG95" i="47" s="1"/>
  <c r="M84" i="56"/>
  <c r="P72" i="47"/>
  <c r="V104" i="60"/>
  <c r="AB168" i="57"/>
  <c r="H168" i="57" s="1"/>
  <c r="P58" i="47"/>
  <c r="Z128" i="55"/>
  <c r="AC145" i="56"/>
  <c r="V95" i="47" s="1"/>
  <c r="AB145" i="56"/>
  <c r="AA145" i="56"/>
  <c r="AG119" i="56" a="1"/>
  <c r="AG119" i="56" s="1"/>
  <c r="Q16" i="47"/>
  <c r="AA94" i="55"/>
  <c r="V18" i="60"/>
  <c r="V19" i="60"/>
  <c r="AB131" i="55"/>
  <c r="S60" i="47" s="1"/>
  <c r="AB132" i="55"/>
  <c r="S55" i="47" s="1"/>
  <c r="AB133" i="55"/>
  <c r="S59" i="47" s="1"/>
  <c r="AB127" i="55"/>
  <c r="S52" i="47" s="1"/>
  <c r="V101" i="60"/>
  <c r="P69" i="47"/>
  <c r="N87" i="56"/>
  <c r="N103" i="56"/>
  <c r="AZ122" i="56" s="1" a="1"/>
  <c r="AZ122" i="56" s="1"/>
  <c r="AO148" i="56" s="1"/>
  <c r="U237" i="57" a="1"/>
  <c r="U237" i="57" s="1"/>
  <c r="AC17" i="55" a="1"/>
  <c r="AC17" i="55" s="1"/>
  <c r="AC103" i="55" s="1"/>
  <c r="V20" i="44"/>
  <c r="AC141" i="56"/>
  <c r="V91" i="47" s="1"/>
  <c r="AB141" i="56"/>
  <c r="AA141" i="56"/>
  <c r="AG115" i="56" a="1"/>
  <c r="AG115" i="56" s="1"/>
  <c r="AC139" i="56"/>
  <c r="V89" i="47" s="1"/>
  <c r="AB139" i="56"/>
  <c r="AA139" i="56"/>
  <c r="AG113" i="56" a="1"/>
  <c r="AG113" i="56" s="1"/>
  <c r="AD21" i="55" a="1"/>
  <c r="AD21" i="55" s="1"/>
  <c r="AD18" i="55" a="1"/>
  <c r="AD18" i="55" s="1"/>
  <c r="AD19" i="55" a="1"/>
  <c r="AD19" i="55" s="1"/>
  <c r="AD20" i="55" a="1"/>
  <c r="AD20" i="55" s="1"/>
  <c r="W21" i="44"/>
  <c r="AB41" i="55"/>
  <c r="P27" i="47"/>
  <c r="Z117" i="55"/>
  <c r="T146" i="56"/>
  <c r="O96" i="47" s="1"/>
  <c r="X120" i="56" a="1"/>
  <c r="X120" i="56" s="1"/>
  <c r="X155" i="58"/>
  <c r="Y96" i="58" a="1"/>
  <c r="Y96" i="58" s="1"/>
  <c r="AC22" i="55" a="1"/>
  <c r="AC22" i="55" s="1"/>
  <c r="AC114" i="55" s="1"/>
  <c r="V12" i="44"/>
  <c r="AA39" i="55"/>
  <c r="Q131" i="47"/>
  <c r="V111" i="60"/>
  <c r="Q80" i="47" s="1"/>
  <c r="V84" i="60"/>
  <c r="V92" i="60" s="1"/>
  <c r="V113" i="60" s="1"/>
  <c r="Q78" i="47" s="1"/>
  <c r="V110" i="60"/>
  <c r="Q81" i="47" s="1"/>
  <c r="AB37" i="55"/>
  <c r="R129" i="47"/>
  <c r="R108" i="47"/>
  <c r="V56" i="29" a="1"/>
  <c r="V56" i="29" s="1"/>
  <c r="S108" i="47" s="1"/>
  <c r="T148" i="56"/>
  <c r="X122" i="56" a="1"/>
  <c r="X122" i="56" s="1"/>
  <c r="AW177" i="56" a="1"/>
  <c r="AW177" i="56" s="1"/>
  <c r="N93" i="56"/>
  <c r="AB104" i="55"/>
  <c r="S47" i="47" s="1"/>
  <c r="AB108" i="55"/>
  <c r="S46" i="47" s="1"/>
  <c r="AB106" i="55"/>
  <c r="S48" i="47" s="1"/>
  <c r="P19" i="47"/>
  <c r="Z101" i="55"/>
  <c r="Q14" i="47"/>
  <c r="AA96" i="55"/>
  <c r="P41" i="47"/>
  <c r="Z89" i="55"/>
  <c r="S141" i="56"/>
  <c r="N91" i="47" s="1"/>
  <c r="R141" i="56"/>
  <c r="Q141" i="56"/>
  <c r="W115" i="56" a="1"/>
  <c r="W115" i="56" s="1"/>
  <c r="X58" i="56"/>
  <c r="X85" i="56" s="1"/>
  <c r="X101" i="56" s="1"/>
  <c r="X54" i="56"/>
  <c r="X81" i="56" s="1"/>
  <c r="X97" i="56" s="1"/>
  <c r="X56" i="56"/>
  <c r="X83" i="56" s="1"/>
  <c r="X99" i="56" s="1"/>
  <c r="X52" i="56"/>
  <c r="X79" i="56" s="1"/>
  <c r="X95" i="56" s="1"/>
  <c r="X59" i="56"/>
  <c r="X86" i="56" s="1"/>
  <c r="AR78" i="56" s="1"/>
  <c r="X55" i="56"/>
  <c r="X82" i="56" s="1"/>
  <c r="X98" i="56" s="1"/>
  <c r="X51" i="56"/>
  <c r="X78" i="56" s="1"/>
  <c r="X57" i="56"/>
  <c r="X84" i="56" s="1"/>
  <c r="X100" i="56" s="1"/>
  <c r="X53" i="56"/>
  <c r="X80" i="56" s="1"/>
  <c r="X96" i="56" s="1"/>
  <c r="AB122" i="55"/>
  <c r="S28" i="47" s="1"/>
  <c r="AB123" i="55"/>
  <c r="S23" i="47" s="1"/>
  <c r="AB119" i="55"/>
  <c r="S25" i="47" s="1"/>
  <c r="W35" i="60"/>
  <c r="V38" i="60"/>
  <c r="N102" i="56"/>
  <c r="AZ121" i="56" s="1" a="1"/>
  <c r="AZ121" i="56" s="1"/>
  <c r="AO147" i="56" s="1"/>
  <c r="N86" i="56"/>
  <c r="AX78" i="56" s="1"/>
  <c r="U239" i="57" a="1"/>
  <c r="U239" i="57" s="1"/>
  <c r="AY116" i="56" a="1"/>
  <c r="AY116" i="56" s="1"/>
  <c r="AN142" i="56" s="1"/>
  <c r="AG92" i="47" s="1"/>
  <c r="M81" i="56"/>
  <c r="AU96" i="58" a="1"/>
  <c r="AU96" i="58" s="1"/>
  <c r="U106" i="60"/>
  <c r="O77" i="47"/>
  <c r="Q170" i="57"/>
  <c r="Q174" i="57"/>
  <c r="AA174" i="57" s="1"/>
  <c r="Q172" i="57"/>
  <c r="Q173" i="57"/>
  <c r="AA173" i="57" s="1"/>
  <c r="Q179" i="57"/>
  <c r="AA179" i="57" s="1"/>
  <c r="Q177" i="57"/>
  <c r="AA177" i="57" s="1"/>
  <c r="AI98" i="58" a="1"/>
  <c r="AI98" i="58" s="1"/>
  <c r="V85" i="44"/>
  <c r="G164" i="57"/>
  <c r="AA169" i="57"/>
  <c r="AA170" i="57" s="1"/>
  <c r="Q20" i="47"/>
  <c r="AA102" i="55"/>
  <c r="AA42" i="55"/>
  <c r="Q134" i="47"/>
  <c r="P53" i="47"/>
  <c r="Z129" i="55"/>
  <c r="T142" i="56"/>
  <c r="O92" i="47" s="1"/>
  <c r="X116" i="56" a="1"/>
  <c r="X116" i="56" s="1"/>
  <c r="AC148" i="56"/>
  <c r="AB148" i="56"/>
  <c r="AA148" i="56"/>
  <c r="AG122" i="56" a="1"/>
  <c r="AG122" i="56" s="1"/>
  <c r="AS100" i="58" a="1"/>
  <c r="AS100" i="58" s="1"/>
  <c r="V112" i="60"/>
  <c r="Q79" i="47" s="1"/>
  <c r="P79" i="47"/>
  <c r="T35" i="44"/>
  <c r="T38" i="44" s="1"/>
  <c r="X24" i="60" s="1" a="1"/>
  <c r="X24" i="60" s="1"/>
  <c r="U87" i="44"/>
  <c r="AW183" i="56" a="1"/>
  <c r="AW183" i="56" s="1"/>
  <c r="N99" i="56"/>
  <c r="U108" i="60"/>
  <c r="O76" i="47"/>
  <c r="AR95" i="58" a="1"/>
  <c r="AR95" i="58" s="1"/>
  <c r="X84" i="47"/>
  <c r="AB53" i="29" a="1"/>
  <c r="AB53" i="29" s="1"/>
  <c r="P49" i="47"/>
  <c r="Z111" i="55"/>
  <c r="P26" i="47"/>
  <c r="Z115" i="55"/>
  <c r="P45" i="47"/>
  <c r="Z110" i="55"/>
  <c r="U86" i="44"/>
  <c r="T34" i="44"/>
  <c r="T37" i="44" s="1"/>
  <c r="X23" i="60" s="1" a="1"/>
  <c r="X23" i="60" s="1"/>
  <c r="AF149" i="56"/>
  <c r="AJ123" i="56" a="1"/>
  <c r="AJ123" i="56" s="1"/>
  <c r="W36" i="60"/>
  <c r="AA187" i="56"/>
  <c r="N98" i="47"/>
  <c r="AW185" i="56" a="1"/>
  <c r="AW185" i="56" s="1"/>
  <c r="N101" i="56"/>
  <c r="P17" i="47"/>
  <c r="Z99" i="55"/>
  <c r="AF137" i="56"/>
  <c r="Y87" i="47" s="1"/>
  <c r="AJ111" i="56" a="1"/>
  <c r="AJ111" i="56" s="1"/>
  <c r="AJ95" i="58" a="1"/>
  <c r="AJ95" i="58" s="1"/>
  <c r="E173" i="57"/>
  <c r="E174" i="57"/>
  <c r="E172" i="57"/>
  <c r="E179" i="57"/>
  <c r="E177" i="57"/>
  <c r="E178" i="57"/>
  <c r="E176" i="57"/>
  <c r="AA32" i="55"/>
  <c r="Q137" i="47"/>
  <c r="AM188" i="56"/>
  <c r="X99" i="47"/>
  <c r="X151" i="58"/>
  <c r="Y92" i="58" a="1"/>
  <c r="Y92" i="58" s="1"/>
  <c r="S138" i="56"/>
  <c r="N88" i="47" s="1"/>
  <c r="R138" i="56"/>
  <c r="Q138" i="56"/>
  <c r="W112" i="56" a="1"/>
  <c r="W112" i="56" s="1"/>
  <c r="AW178" i="56" a="1"/>
  <c r="AW178" i="56" s="1"/>
  <c r="N94" i="56"/>
  <c r="U118" i="60"/>
  <c r="O66" i="47"/>
  <c r="O85" i="47"/>
  <c r="S54" i="29" a="1"/>
  <c r="S54" i="29" s="1"/>
  <c r="AY113" i="56" a="1"/>
  <c r="AY113" i="56" s="1"/>
  <c r="AN139" i="56" s="1"/>
  <c r="AG89" i="47" s="1"/>
  <c r="M78" i="56"/>
  <c r="AS93" i="58" a="1"/>
  <c r="AS93" i="58" s="1"/>
  <c r="P57" i="47"/>
  <c r="Z126" i="55"/>
  <c r="AE140" i="56"/>
  <c r="X90" i="47" s="1"/>
  <c r="AI114" i="56" a="1"/>
  <c r="AI114" i="56" s="1"/>
  <c r="Z181" i="57"/>
  <c r="P182" i="57"/>
  <c r="Z182" i="57" s="1"/>
  <c r="AY112" i="56" a="1"/>
  <c r="AY112" i="56" s="1"/>
  <c r="AN138" i="56" s="1"/>
  <c r="AG88" i="47" s="1"/>
  <c r="M77" i="56"/>
  <c r="AV187" i="56"/>
  <c r="AG98" i="47"/>
  <c r="AB44" i="55"/>
  <c r="P133" i="47"/>
  <c r="Z136" i="55"/>
  <c r="Q32" i="47" l="1"/>
  <c r="AA83" i="55"/>
  <c r="V83" i="60"/>
  <c r="V91" i="60" s="1"/>
  <c r="V116" i="60" s="1"/>
  <c r="Q62" i="47" s="1"/>
  <c r="V82" i="60"/>
  <c r="V90" i="60" s="1"/>
  <c r="V109" i="60" s="1"/>
  <c r="Q75" i="47" s="1"/>
  <c r="AC44" i="55"/>
  <c r="W18" i="60"/>
  <c r="Y41" i="58"/>
  <c r="Q5" i="47"/>
  <c r="U22" i="35"/>
  <c r="Q44" i="47"/>
  <c r="AA112" i="55"/>
  <c r="Y156" i="58"/>
  <c r="Z24" i="58"/>
  <c r="Z31" i="58"/>
  <c r="Z34" i="58" s="1"/>
  <c r="Z35" i="58" s="1"/>
  <c r="AA23" i="58"/>
  <c r="Y163" i="58"/>
  <c r="Y170" i="58"/>
  <c r="Y169" i="58"/>
  <c r="Y168" i="58"/>
  <c r="Y166" i="58"/>
  <c r="Y165" i="58"/>
  <c r="Y167" i="58"/>
  <c r="Y164" i="58"/>
  <c r="Y162" i="58"/>
  <c r="AB95" i="55"/>
  <c r="S11" i="47" s="1"/>
  <c r="V107" i="60"/>
  <c r="Q82" i="47" s="1"/>
  <c r="W103" i="60"/>
  <c r="R73" i="47" s="1"/>
  <c r="W19" i="60"/>
  <c r="Q61" i="47"/>
  <c r="AA135" i="55"/>
  <c r="AB113" i="55"/>
  <c r="S51" i="47" s="1"/>
  <c r="Q136" i="47"/>
  <c r="AA31" i="55"/>
  <c r="V114" i="60"/>
  <c r="Q64" i="47" s="1"/>
  <c r="Q22" i="47"/>
  <c r="AA118" i="55"/>
  <c r="T147" i="56"/>
  <c r="X121" i="56" a="1"/>
  <c r="X121" i="56" s="1"/>
  <c r="AH121" i="56" a="1"/>
  <c r="AH121" i="56" s="1"/>
  <c r="AE147" i="56" s="1"/>
  <c r="Q29" i="47"/>
  <c r="AA120" i="55"/>
  <c r="AB34" i="55"/>
  <c r="Q42" i="47"/>
  <c r="AA105" i="55"/>
  <c r="V115" i="60"/>
  <c r="Q63" i="47" s="1"/>
  <c r="U89" i="60"/>
  <c r="U102" i="60" s="1"/>
  <c r="V81" i="60"/>
  <c r="O68" i="47"/>
  <c r="T74" i="60"/>
  <c r="T77" i="60" s="1"/>
  <c r="Q38" i="47"/>
  <c r="AA87" i="55"/>
  <c r="AB43" i="55"/>
  <c r="S135" i="47" s="1"/>
  <c r="V9" i="44"/>
  <c r="V30" i="44" s="1"/>
  <c r="V31" i="44" s="1"/>
  <c r="AC15" i="55" a="1"/>
  <c r="AC15" i="55" s="1"/>
  <c r="X99" i="60"/>
  <c r="S70" i="47" s="1"/>
  <c r="Q21" i="47"/>
  <c r="AA116" i="55"/>
  <c r="Q40" i="47"/>
  <c r="AA90" i="55"/>
  <c r="AC29" i="55"/>
  <c r="S53" i="29" a="1"/>
  <c r="S53" i="29" s="1"/>
  <c r="O84" i="47"/>
  <c r="Q30" i="47"/>
  <c r="AA124" i="55"/>
  <c r="Q24" i="47"/>
  <c r="AA121" i="55"/>
  <c r="Q12" i="47"/>
  <c r="AA100" i="55"/>
  <c r="V137" i="56"/>
  <c r="Q87" i="47" s="1"/>
  <c r="AB111" i="56" a="1"/>
  <c r="AB111" i="56" s="1"/>
  <c r="Z111" i="56" a="1"/>
  <c r="Z111" i="56" s="1"/>
  <c r="F181" i="57"/>
  <c r="F182" i="57" s="1"/>
  <c r="Q35" i="47"/>
  <c r="AA84" i="55"/>
  <c r="X6" i="35" a="1"/>
  <c r="X6" i="35" s="1"/>
  <c r="W7" i="44"/>
  <c r="X85" i="47"/>
  <c r="AB54" i="29" a="1"/>
  <c r="AB54" i="29" s="1"/>
  <c r="Y45" i="60" a="1"/>
  <c r="Y45" i="60" s="1"/>
  <c r="G45" i="60" s="1"/>
  <c r="V39" i="44"/>
  <c r="U40" i="44"/>
  <c r="Q18" i="47"/>
  <c r="AA97" i="55"/>
  <c r="AG84" i="47"/>
  <c r="AK53" i="29" a="1"/>
  <c r="AK53" i="29" s="1"/>
  <c r="Y159" i="58"/>
  <c r="Z100" i="58" a="1"/>
  <c r="Z100" i="58" s="1"/>
  <c r="X25" i="60"/>
  <c r="X17" i="60" s="1"/>
  <c r="AJ55" i="29" a="1"/>
  <c r="AJ55" i="29" s="1"/>
  <c r="AG86" i="47" s="1"/>
  <c r="U24" i="35"/>
  <c r="Q9" i="47"/>
  <c r="AA108" i="47"/>
  <c r="AE56" i="29" a="1"/>
  <c r="AE56" i="29" s="1"/>
  <c r="U33" i="44"/>
  <c r="U36" i="44" s="1"/>
  <c r="I13" i="57" s="1" a="1"/>
  <c r="I13" i="57" s="1"/>
  <c r="Q6" i="47"/>
  <c r="U25" i="35"/>
  <c r="V149" i="56"/>
  <c r="AB123" i="56" a="1"/>
  <c r="AB123" i="56" s="1"/>
  <c r="Z123" i="56" a="1"/>
  <c r="Z123" i="56" s="1"/>
  <c r="Y158" i="58"/>
  <c r="Z99" i="58" a="1"/>
  <c r="Z99" i="58" s="1"/>
  <c r="Q31" i="47"/>
  <c r="AA81" i="55"/>
  <c r="AC36" i="55"/>
  <c r="Q7" i="47"/>
  <c r="U26" i="35"/>
  <c r="AC188" i="56"/>
  <c r="P99" i="47"/>
  <c r="Q56" i="47"/>
  <c r="AA130" i="55"/>
  <c r="S55" i="29" a="1"/>
  <c r="S55" i="29" s="1"/>
  <c r="O86" i="47"/>
  <c r="AD11" i="55" a="1"/>
  <c r="AD11" i="55" s="1"/>
  <c r="W19" i="44"/>
  <c r="M89" i="56"/>
  <c r="Q8" i="47"/>
  <c r="U23" i="35"/>
  <c r="Q49" i="47"/>
  <c r="AA111" i="55"/>
  <c r="V106" i="60"/>
  <c r="P77" i="47"/>
  <c r="AC119" i="55"/>
  <c r="T25" i="47" s="1"/>
  <c r="AC122" i="55"/>
  <c r="T28" i="47" s="1"/>
  <c r="AC123" i="55"/>
  <c r="T23" i="47" s="1"/>
  <c r="AD141" i="56"/>
  <c r="W91" i="47" s="1"/>
  <c r="AH115" i="56" a="1"/>
  <c r="AH115" i="56" s="1"/>
  <c r="AD145" i="56"/>
  <c r="W95" i="47" s="1"/>
  <c r="AH119" i="56" a="1"/>
  <c r="AH119" i="56" s="1"/>
  <c r="AE13" i="55" a="1"/>
  <c r="AE13" i="55" s="1"/>
  <c r="AE12" i="55" a="1"/>
  <c r="AE12" i="55" s="1"/>
  <c r="X17" i="44"/>
  <c r="AI96" i="58" a="1"/>
  <c r="AI96" i="58" s="1"/>
  <c r="AC88" i="55"/>
  <c r="T33" i="47" s="1"/>
  <c r="AC82" i="55"/>
  <c r="T37" i="47" s="1"/>
  <c r="AC86" i="55"/>
  <c r="T34" i="47" s="1"/>
  <c r="AC80" i="55"/>
  <c r="T36" i="47" s="1"/>
  <c r="AD148" i="56"/>
  <c r="AH122" i="56" a="1"/>
  <c r="AH122" i="56" s="1"/>
  <c r="AV96" i="58" a="1"/>
  <c r="AV96" i="58" s="1"/>
  <c r="AW186" i="56"/>
  <c r="AH97" i="47"/>
  <c r="AJ97" i="47" s="1"/>
  <c r="T143" i="56"/>
  <c r="O93" i="47" s="1"/>
  <c r="X117" i="56" a="1"/>
  <c r="X117" i="56" s="1"/>
  <c r="Y152" i="58"/>
  <c r="Z93" i="58" a="1"/>
  <c r="Z93" i="58" s="1"/>
  <c r="AE142" i="56"/>
  <c r="X92" i="47" s="1"/>
  <c r="AI116" i="56" a="1"/>
  <c r="AI116" i="56" s="1"/>
  <c r="AG137" i="56"/>
  <c r="Z87" i="47" s="1"/>
  <c r="AK111" i="56" a="1"/>
  <c r="AK111" i="56" s="1"/>
  <c r="AT93" i="58" a="1"/>
  <c r="AT93" i="58" s="1"/>
  <c r="E181" i="57"/>
  <c r="E182" i="57" s="1"/>
  <c r="Y84" i="47"/>
  <c r="AC53" i="29" a="1"/>
  <c r="AC53" i="29" s="1"/>
  <c r="U236" i="57" a="1"/>
  <c r="U236" i="57" s="1"/>
  <c r="G169" i="57"/>
  <c r="G175" i="57" s="1"/>
  <c r="AC37" i="55"/>
  <c r="S129" i="47"/>
  <c r="AC41" i="55"/>
  <c r="U139" i="56"/>
  <c r="P89" i="47" s="1"/>
  <c r="AA113" i="56" a="1"/>
  <c r="AA113" i="56" s="1"/>
  <c r="Y113" i="56" a="1"/>
  <c r="Y113" i="56" s="1"/>
  <c r="AF138" i="56"/>
  <c r="Y88" i="47" s="1"/>
  <c r="AJ112" i="56" a="1"/>
  <c r="AJ112" i="56" s="1"/>
  <c r="T144" i="56"/>
  <c r="O94" i="47" s="1"/>
  <c r="X118" i="56" a="1"/>
  <c r="X118" i="56" s="1"/>
  <c r="Q13" i="47"/>
  <c r="AA98" i="55"/>
  <c r="AI99" i="58" a="1"/>
  <c r="AI99" i="58" s="1"/>
  <c r="AZ117" i="56" a="1"/>
  <c r="AZ117" i="56" s="1"/>
  <c r="AO143" i="56" s="1"/>
  <c r="AH93" i="47" s="1"/>
  <c r="AJ93" i="47" s="1"/>
  <c r="N82" i="56"/>
  <c r="Q41" i="47"/>
  <c r="AA89" i="55"/>
  <c r="Y155" i="58"/>
  <c r="Z96" i="58" a="1"/>
  <c r="Z96" i="58" s="1"/>
  <c r="Q27" i="47"/>
  <c r="AA117" i="55"/>
  <c r="AE18" i="55" a="1"/>
  <c r="AE18" i="55" s="1"/>
  <c r="AE19" i="55" a="1"/>
  <c r="AE19" i="55" s="1"/>
  <c r="AE20" i="55" a="1"/>
  <c r="AE20" i="55" s="1"/>
  <c r="AE21" i="55" a="1"/>
  <c r="AE21" i="55" s="1"/>
  <c r="X21" i="44"/>
  <c r="AD146" i="56"/>
  <c r="W96" i="47" s="1"/>
  <c r="AH120" i="56" a="1"/>
  <c r="AH120" i="56" s="1"/>
  <c r="AZ119" i="56" a="1"/>
  <c r="AZ119" i="56" s="1"/>
  <c r="AO145" i="56" s="1"/>
  <c r="AH95" i="47" s="1"/>
  <c r="AJ95" i="47" s="1"/>
  <c r="N84" i="56"/>
  <c r="Y153" i="58"/>
  <c r="Z94" i="58" a="1"/>
  <c r="Z94" i="58" s="1"/>
  <c r="Y151" i="58"/>
  <c r="Z92" i="58" a="1"/>
  <c r="Z92" i="58" s="1"/>
  <c r="AS95" i="58" a="1"/>
  <c r="AS95" i="58" s="1"/>
  <c r="AK187" i="56"/>
  <c r="V98" i="47"/>
  <c r="W85" i="44"/>
  <c r="AD17" i="55" a="1"/>
  <c r="AD17" i="55" s="1"/>
  <c r="AD103" i="55" s="1"/>
  <c r="W20" i="44"/>
  <c r="Q58" i="47"/>
  <c r="AA128" i="55"/>
  <c r="X238" i="57" a="1"/>
  <c r="X238" i="57" s="1"/>
  <c r="V238" i="57" a="1"/>
  <c r="V238" i="57" s="1"/>
  <c r="W238" i="57" s="1" a="1"/>
  <c r="W238" i="57" s="1"/>
  <c r="AD25" i="55" a="1"/>
  <c r="AD25" i="55" s="1"/>
  <c r="AD125" i="55" s="1"/>
  <c r="W22" i="44"/>
  <c r="V117" i="60"/>
  <c r="P67" i="47"/>
  <c r="AJ92" i="58" a="1"/>
  <c r="AJ92" i="58" s="1"/>
  <c r="AK55" i="29" a="1"/>
  <c r="AK55" i="29" s="1"/>
  <c r="AB35" i="55"/>
  <c r="R130" i="47"/>
  <c r="V85" i="60"/>
  <c r="U93" i="60"/>
  <c r="U119" i="60" s="1"/>
  <c r="P65" i="47" s="1"/>
  <c r="Q133" i="47"/>
  <c r="AA136" i="55"/>
  <c r="P85" i="47"/>
  <c r="T54" i="29" a="1"/>
  <c r="T54" i="29" s="1"/>
  <c r="AK95" i="58" a="1"/>
  <c r="AK95" i="58" s="1"/>
  <c r="U142" i="56"/>
  <c r="P92" i="47" s="1"/>
  <c r="Y116" i="56" a="1"/>
  <c r="Y116" i="56" s="1"/>
  <c r="AA116" i="56" a="1"/>
  <c r="AA116" i="56" s="1"/>
  <c r="AJ98" i="58" a="1"/>
  <c r="AJ98" i="58" s="1"/>
  <c r="R14" i="47"/>
  <c r="AB96" i="55"/>
  <c r="AZ112" i="56" a="1"/>
  <c r="AZ112" i="56" s="1"/>
  <c r="AO138" i="56" s="1"/>
  <c r="AH88" i="47" s="1"/>
  <c r="AJ88" i="47" s="1"/>
  <c r="N77" i="56"/>
  <c r="U146" i="56"/>
  <c r="P96" i="47" s="1"/>
  <c r="Y120" i="56" a="1"/>
  <c r="Y120" i="56" s="1"/>
  <c r="AA120" i="56" a="1"/>
  <c r="AA120" i="56" s="1"/>
  <c r="AC106" i="55"/>
  <c r="T48" i="47" s="1"/>
  <c r="AC113" i="55"/>
  <c r="T51" i="47" s="1"/>
  <c r="AC104" i="55"/>
  <c r="T47" i="47" s="1"/>
  <c r="AC108" i="55"/>
  <c r="T46" i="47" s="1"/>
  <c r="I47" i="57"/>
  <c r="U31" i="44"/>
  <c r="AC131" i="55"/>
  <c r="T60" i="47" s="1"/>
  <c r="AC132" i="55"/>
  <c r="T55" i="47" s="1"/>
  <c r="AC133" i="55"/>
  <c r="T59" i="47" s="1"/>
  <c r="AC127" i="55"/>
  <c r="T52" i="47" s="1"/>
  <c r="AJ100" i="58" a="1"/>
  <c r="AJ100" i="58" s="1"/>
  <c r="AK93" i="58" a="1"/>
  <c r="AK93" i="58" s="1"/>
  <c r="Y157" i="58"/>
  <c r="Z98" i="58" a="1"/>
  <c r="Z98" i="58" s="1"/>
  <c r="AU98" i="58" a="1"/>
  <c r="AU98" i="58" s="1"/>
  <c r="Q181" i="57"/>
  <c r="AA172" i="57"/>
  <c r="W112" i="60"/>
  <c r="R79" i="47" s="1"/>
  <c r="W111" i="60"/>
  <c r="R80" i="47" s="1"/>
  <c r="W84" i="60"/>
  <c r="W92" i="60" s="1"/>
  <c r="W113" i="60" s="1"/>
  <c r="R78" i="47" s="1"/>
  <c r="W110" i="60"/>
  <c r="R81" i="47" s="1"/>
  <c r="AW187" i="56"/>
  <c r="AH98" i="47"/>
  <c r="AJ98" i="47" s="1"/>
  <c r="AE10" i="58" a="1"/>
  <c r="AE10" i="58" s="1"/>
  <c r="W8" i="44"/>
  <c r="AG85" i="47"/>
  <c r="AK54" i="29" a="1"/>
  <c r="AK54" i="29" s="1"/>
  <c r="T138" i="47"/>
  <c r="AD30" i="55"/>
  <c r="AD144" i="56"/>
  <c r="W94" i="47" s="1"/>
  <c r="AH118" i="56" a="1"/>
  <c r="AH118" i="56" s="1"/>
  <c r="R15" i="47"/>
  <c r="AB92" i="55"/>
  <c r="V108" i="60"/>
  <c r="Q76" i="47" s="1"/>
  <c r="P76" i="47"/>
  <c r="Q53" i="47"/>
  <c r="AA129" i="55"/>
  <c r="W38" i="60"/>
  <c r="Q19" i="47"/>
  <c r="AA101" i="55"/>
  <c r="U148" i="56"/>
  <c r="Y122" i="56" a="1"/>
  <c r="Y122" i="56" s="1"/>
  <c r="AA122" i="56" a="1"/>
  <c r="AA122" i="56" s="1"/>
  <c r="X240" i="57" a="1"/>
  <c r="X240" i="57" s="1"/>
  <c r="V240" i="57" a="1"/>
  <c r="V240" i="57" s="1"/>
  <c r="W240" i="57" s="1" a="1"/>
  <c r="W240" i="57" s="1"/>
  <c r="Q54" i="47"/>
  <c r="AA134" i="55"/>
  <c r="AZ116" i="56" a="1"/>
  <c r="AZ116" i="56" s="1"/>
  <c r="AO142" i="56" s="1"/>
  <c r="AH92" i="47" s="1"/>
  <c r="AJ92" i="47" s="1"/>
  <c r="N81" i="56"/>
  <c r="AH33" i="55"/>
  <c r="X127" i="47"/>
  <c r="Q43" i="47"/>
  <c r="AA107" i="55"/>
  <c r="AZ114" i="56" a="1"/>
  <c r="AZ114" i="56" s="1"/>
  <c r="AO140" i="56" s="1"/>
  <c r="AH90" i="47" s="1"/>
  <c r="AJ90" i="47" s="1"/>
  <c r="N79" i="56"/>
  <c r="AS97" i="58" a="1"/>
  <c r="AS97" i="58" s="1"/>
  <c r="AK97" i="58" a="1"/>
  <c r="AK97" i="58" s="1"/>
  <c r="AZ115" i="56" a="1"/>
  <c r="AZ115" i="56" s="1"/>
  <c r="AO141" i="56" s="1"/>
  <c r="AH91" i="47" s="1"/>
  <c r="AJ91" i="47" s="1"/>
  <c r="N80" i="56"/>
  <c r="AT186" i="56"/>
  <c r="AE97" i="47"/>
  <c r="X100" i="60"/>
  <c r="S74" i="47" s="1"/>
  <c r="V118" i="60"/>
  <c r="P66" i="47"/>
  <c r="AG149" i="56"/>
  <c r="AK123" i="56" a="1"/>
  <c r="AK123" i="56" s="1"/>
  <c r="Q45" i="47"/>
  <c r="AA110" i="55"/>
  <c r="AZ118" i="56" a="1"/>
  <c r="AZ118" i="56" s="1"/>
  <c r="AO144" i="56" s="1"/>
  <c r="AH94" i="47" s="1"/>
  <c r="AJ94" i="47" s="1"/>
  <c r="N83" i="56"/>
  <c r="X94" i="56"/>
  <c r="AR77" i="56"/>
  <c r="AR80" i="56" s="1"/>
  <c r="AR81" i="56" s="1"/>
  <c r="X89" i="56"/>
  <c r="AB187" i="56"/>
  <c r="O98" i="47"/>
  <c r="AD139" i="56"/>
  <c r="W89" i="47" s="1"/>
  <c r="AH113" i="56" a="1"/>
  <c r="AH113" i="56" s="1"/>
  <c r="Q72" i="47"/>
  <c r="W104" i="60"/>
  <c r="Y154" i="58"/>
  <c r="Z95" i="58" a="1"/>
  <c r="Z95" i="58" s="1"/>
  <c r="AA40" i="55"/>
  <c r="Q128" i="47"/>
  <c r="Q50" i="47"/>
  <c r="AA109" i="55"/>
  <c r="AF140" i="56"/>
  <c r="Y90" i="47" s="1"/>
  <c r="AJ114" i="56" a="1"/>
  <c r="AJ114" i="56" s="1"/>
  <c r="AZ113" i="56" a="1"/>
  <c r="AZ113" i="56" s="1"/>
  <c r="AO139" i="56" s="1"/>
  <c r="AH89" i="47" s="1"/>
  <c r="AJ89" i="47" s="1"/>
  <c r="N78" i="56"/>
  <c r="AB32" i="55"/>
  <c r="R137" i="47"/>
  <c r="Q17" i="47"/>
  <c r="AA99" i="55"/>
  <c r="AN188" i="56"/>
  <c r="Y99" i="47"/>
  <c r="AB39" i="55"/>
  <c r="R131" i="47"/>
  <c r="W101" i="60"/>
  <c r="Q69" i="47"/>
  <c r="AV92" i="58" a="1"/>
  <c r="AV92" i="58" s="1"/>
  <c r="AV94" i="58" a="1"/>
  <c r="AV94" i="58" s="1"/>
  <c r="Q39" i="47"/>
  <c r="AA85" i="55"/>
  <c r="Z156" i="58"/>
  <c r="AA97" i="58" a="1"/>
  <c r="AA97" i="58" s="1"/>
  <c r="AS99" i="58" a="1"/>
  <c r="AS99" i="58" s="1"/>
  <c r="AD23" i="55" a="1"/>
  <c r="AD23" i="55" s="1"/>
  <c r="AD24" i="55" a="1"/>
  <c r="AD24" i="55" s="1"/>
  <c r="W24" i="44"/>
  <c r="AF143" i="56"/>
  <c r="Y93" i="47" s="1"/>
  <c r="AJ117" i="56" a="1"/>
  <c r="AJ117" i="56" s="1"/>
  <c r="W105" i="60"/>
  <c r="Q71" i="47"/>
  <c r="AT187" i="56"/>
  <c r="AE98" i="47"/>
  <c r="X35" i="60"/>
  <c r="X38" i="60" s="1"/>
  <c r="Q26" i="47"/>
  <c r="AA115" i="55"/>
  <c r="V87" i="44"/>
  <c r="U35" i="44"/>
  <c r="U38" i="44" s="1"/>
  <c r="AB42" i="55"/>
  <c r="R134" i="47"/>
  <c r="R16" i="47"/>
  <c r="AB94" i="55"/>
  <c r="AB38" i="55"/>
  <c r="R132" i="47"/>
  <c r="T145" i="56"/>
  <c r="O95" i="47" s="1"/>
  <c r="X119" i="56" a="1"/>
  <c r="X119" i="56" s="1"/>
  <c r="Q57" i="47"/>
  <c r="AA126" i="55"/>
  <c r="T138" i="56"/>
  <c r="O88" i="47" s="1"/>
  <c r="X112" i="56" a="1"/>
  <c r="X112" i="56" s="1"/>
  <c r="AZ120" i="56" a="1"/>
  <c r="AZ120" i="56" s="1"/>
  <c r="AO146" i="56" s="1"/>
  <c r="AH96" i="47" s="1"/>
  <c r="AJ96" i="47" s="1"/>
  <c r="N85" i="56"/>
  <c r="U34" i="44"/>
  <c r="U37" i="44" s="1"/>
  <c r="V86" i="44"/>
  <c r="X19" i="60"/>
  <c r="X36" i="60"/>
  <c r="AT100" i="58" a="1"/>
  <c r="AT100" i="58" s="1"/>
  <c r="R20" i="47"/>
  <c r="AB102" i="55"/>
  <c r="T141" i="56"/>
  <c r="O91" i="47" s="1"/>
  <c r="X115" i="56" a="1"/>
  <c r="X115" i="56" s="1"/>
  <c r="AD22" i="55" a="1"/>
  <c r="AD22" i="55" s="1"/>
  <c r="AD114" i="55" s="1"/>
  <c r="W12" i="44"/>
  <c r="AL186" i="56"/>
  <c r="W97" i="47"/>
  <c r="T140" i="56"/>
  <c r="O90" i="47" s="1"/>
  <c r="X114" i="56" a="1"/>
  <c r="X114" i="56" s="1"/>
  <c r="W86" i="47"/>
  <c r="AA55" i="29" a="1"/>
  <c r="AA55" i="29" s="1"/>
  <c r="AD10" i="55" a="1"/>
  <c r="AD10" i="55" s="1"/>
  <c r="AD79" i="55" s="1"/>
  <c r="W18" i="44"/>
  <c r="Q10" i="47"/>
  <c r="AA93" i="55"/>
  <c r="W83" i="60" l="1"/>
  <c r="W91" i="60" s="1"/>
  <c r="W116" i="60" s="1"/>
  <c r="R62" i="47" s="1"/>
  <c r="R32" i="47"/>
  <c r="AB83" i="55"/>
  <c r="W82" i="60"/>
  <c r="W90" i="60" s="1"/>
  <c r="W109" i="60" s="1"/>
  <c r="R75" i="47" s="1"/>
  <c r="X103" i="60"/>
  <c r="S73" i="47" s="1"/>
  <c r="AA24" i="58"/>
  <c r="AI121" i="56" a="1"/>
  <c r="AI121" i="56" s="1"/>
  <c r="R44" i="47"/>
  <c r="AB112" i="55"/>
  <c r="R5" i="47"/>
  <c r="V22" i="35"/>
  <c r="W107" i="60"/>
  <c r="R82" i="47" s="1"/>
  <c r="AA31" i="58"/>
  <c r="AA34" i="58" s="1"/>
  <c r="AA35" i="58" s="1"/>
  <c r="AB23" i="58"/>
  <c r="Z36" i="58"/>
  <c r="Z41" i="58" s="1"/>
  <c r="Z165" i="58"/>
  <c r="Z166" i="58"/>
  <c r="Z164" i="58"/>
  <c r="Z163" i="58"/>
  <c r="Z162" i="58"/>
  <c r="Z170" i="58"/>
  <c r="Z168" i="58"/>
  <c r="Z169" i="58"/>
  <c r="Z167" i="58"/>
  <c r="AC43" i="55"/>
  <c r="T135" i="47" s="1"/>
  <c r="R61" i="47"/>
  <c r="AB135" i="55"/>
  <c r="W115" i="60"/>
  <c r="R63" i="47" s="1"/>
  <c r="W114" i="60"/>
  <c r="R64" i="47" s="1"/>
  <c r="Y121" i="56" a="1"/>
  <c r="Y121" i="56" s="1"/>
  <c r="U147" i="56"/>
  <c r="AA121" i="56" a="1"/>
  <c r="AA121" i="56" s="1"/>
  <c r="O97" i="47"/>
  <c r="AB186" i="56"/>
  <c r="R22" i="47"/>
  <c r="AB118" i="55"/>
  <c r="AB31" i="55"/>
  <c r="R136" i="47"/>
  <c r="R42" i="47"/>
  <c r="AB105" i="55"/>
  <c r="R29" i="47"/>
  <c r="AB120" i="55"/>
  <c r="V89" i="60"/>
  <c r="V102" i="60" s="1"/>
  <c r="W81" i="60"/>
  <c r="P68" i="47"/>
  <c r="U74" i="60"/>
  <c r="U77" i="60" s="1"/>
  <c r="AC91" i="55"/>
  <c r="AC95" i="55" s="1"/>
  <c r="T11" i="47" s="1"/>
  <c r="AC34" i="55"/>
  <c r="W9" i="44"/>
  <c r="W30" i="44" s="1"/>
  <c r="W31" i="44" s="1"/>
  <c r="AD15" i="55" a="1"/>
  <c r="AD15" i="55" s="1"/>
  <c r="AD91" i="55" s="1"/>
  <c r="R38" i="47"/>
  <c r="AB87" i="55"/>
  <c r="R30" i="47"/>
  <c r="AB124" i="55"/>
  <c r="Y22" i="60" a="1"/>
  <c r="Y22" i="60" s="1"/>
  <c r="Y99" i="60" s="1"/>
  <c r="T70" i="47" s="1"/>
  <c r="P84" i="47"/>
  <c r="T53" i="29" a="1"/>
  <c r="T53" i="29" s="1"/>
  <c r="W137" i="56"/>
  <c r="R87" i="47" s="1"/>
  <c r="AC111" i="56" a="1"/>
  <c r="AC111" i="56" s="1"/>
  <c r="X137" i="56" s="1"/>
  <c r="S87" i="47" s="1"/>
  <c r="R40" i="47"/>
  <c r="AB90" i="55"/>
  <c r="R21" i="47"/>
  <c r="AB116" i="55"/>
  <c r="R12" i="47"/>
  <c r="AB100" i="55"/>
  <c r="R24" i="47"/>
  <c r="AB121" i="55"/>
  <c r="R7" i="47"/>
  <c r="V26" i="35"/>
  <c r="R18" i="47"/>
  <c r="AB97" i="55"/>
  <c r="AB108" i="47"/>
  <c r="AF56" i="29" a="1"/>
  <c r="AF56" i="29" s="1"/>
  <c r="AC108" i="47" s="1"/>
  <c r="X18" i="60"/>
  <c r="AD44" i="55"/>
  <c r="R31" i="47"/>
  <c r="AB81" i="55"/>
  <c r="Z45" i="60" a="1"/>
  <c r="Z45" i="60" s="1"/>
  <c r="W39" i="44"/>
  <c r="V40" i="44"/>
  <c r="AE11" i="55" a="1"/>
  <c r="AE11" i="55" s="1"/>
  <c r="AE30" i="55" s="1"/>
  <c r="X19" i="44"/>
  <c r="V24" i="35"/>
  <c r="R9" i="47"/>
  <c r="G65" i="60"/>
  <c r="I21" i="57"/>
  <c r="H21" i="57" s="1"/>
  <c r="R32" i="57" s="1"/>
  <c r="G67" i="60"/>
  <c r="G64" i="60"/>
  <c r="G69" i="60"/>
  <c r="G50" i="60"/>
  <c r="G66" i="60"/>
  <c r="G68" i="60"/>
  <c r="G63" i="60"/>
  <c r="Z158" i="58"/>
  <c r="AA99" i="58" a="1"/>
  <c r="AA99" i="58" s="1"/>
  <c r="Y85" i="47"/>
  <c r="AC54" i="29" a="1"/>
  <c r="AC54" i="29" s="1"/>
  <c r="P86" i="47"/>
  <c r="T55" i="29" a="1"/>
  <c r="T55" i="29" s="1"/>
  <c r="W149" i="56"/>
  <c r="AC123" i="56" a="1"/>
  <c r="AC123" i="56" s="1"/>
  <c r="X149" i="56" s="1"/>
  <c r="Y6" i="35" a="1"/>
  <c r="Y6" i="35" s="1"/>
  <c r="X7" i="44"/>
  <c r="R56" i="47"/>
  <c r="AB130" i="55"/>
  <c r="Z159" i="58"/>
  <c r="AA100" i="58" a="1"/>
  <c r="AA100" i="58" s="1"/>
  <c r="AD188" i="56"/>
  <c r="Q99" i="47"/>
  <c r="R35" i="47"/>
  <c r="AB84" i="55"/>
  <c r="V25" i="35"/>
  <c r="R6" i="47"/>
  <c r="AH84" i="47"/>
  <c r="AJ84" i="47" s="1"/>
  <c r="AL53" i="29" a="1"/>
  <c r="AL53" i="29" s="1"/>
  <c r="R8" i="47"/>
  <c r="V23" i="35"/>
  <c r="AU100" i="58" a="1"/>
  <c r="AU100" i="58" s="1"/>
  <c r="AE148" i="56"/>
  <c r="AI122" i="56" a="1"/>
  <c r="AI122" i="56" s="1"/>
  <c r="U140" i="56"/>
  <c r="P90" i="47" s="1"/>
  <c r="AA114" i="56" a="1"/>
  <c r="AA114" i="56" s="1"/>
  <c r="Y114" i="56" a="1"/>
  <c r="Y114" i="56" s="1"/>
  <c r="AG140" i="56"/>
  <c r="Z90" i="47" s="1"/>
  <c r="AK114" i="56" a="1"/>
  <c r="AK114" i="56" s="1"/>
  <c r="AE139" i="56"/>
  <c r="X89" i="47" s="1"/>
  <c r="AI113" i="56" a="1"/>
  <c r="AI113" i="56" s="1"/>
  <c r="AH149" i="56"/>
  <c r="AL123" i="56" a="1"/>
  <c r="AL123" i="56" s="1"/>
  <c r="U138" i="47"/>
  <c r="AA181" i="57"/>
  <c r="Q182" i="57"/>
  <c r="AA182" i="57" s="1"/>
  <c r="Q85" i="47"/>
  <c r="U54" i="29" a="1"/>
  <c r="U54" i="29" s="1"/>
  <c r="AJ99" i="58" a="1"/>
  <c r="AJ99" i="58" s="1"/>
  <c r="U143" i="56"/>
  <c r="P93" i="47" s="1"/>
  <c r="AA117" i="56" a="1"/>
  <c r="AA117" i="56" s="1"/>
  <c r="Y117" i="56" a="1"/>
  <c r="Y117" i="56" s="1"/>
  <c r="AL187" i="56"/>
  <c r="W98" i="47"/>
  <c r="R45" i="47"/>
  <c r="AB110" i="55"/>
  <c r="AE144" i="56"/>
  <c r="X94" i="47" s="1"/>
  <c r="AI118" i="56" a="1"/>
  <c r="AI118" i="56" s="1"/>
  <c r="Z84" i="47"/>
  <c r="AD53" i="29" a="1"/>
  <c r="AD53" i="29" s="1"/>
  <c r="AT99" i="58" a="1"/>
  <c r="AT99" i="58" s="1"/>
  <c r="R58" i="47"/>
  <c r="AB128" i="55"/>
  <c r="AE141" i="56"/>
  <c r="X91" i="47" s="1"/>
  <c r="AI115" i="56" a="1"/>
  <c r="AI115" i="56" s="1"/>
  <c r="AD29" i="55"/>
  <c r="AA156" i="58"/>
  <c r="AB97" i="58" a="1"/>
  <c r="AB97" i="58" s="1"/>
  <c r="AC39" i="55"/>
  <c r="S131" i="47"/>
  <c r="AO188" i="56"/>
  <c r="Z99" i="47"/>
  <c r="R53" i="47"/>
  <c r="AB129" i="55"/>
  <c r="AC47" i="57"/>
  <c r="AC49" i="57" s="1"/>
  <c r="S47" i="57"/>
  <c r="S49" i="57" s="1"/>
  <c r="AK92" i="58" a="1"/>
  <c r="AK92" i="58" s="1"/>
  <c r="AE17" i="55" a="1"/>
  <c r="AE17" i="55" s="1"/>
  <c r="AE103" i="55" s="1"/>
  <c r="X20" i="44"/>
  <c r="Z153" i="58"/>
  <c r="AA94" i="58" a="1"/>
  <c r="AA94" i="58" s="1"/>
  <c r="AD41" i="55"/>
  <c r="AU93" i="58" a="1"/>
  <c r="AU93" i="58" s="1"/>
  <c r="X112" i="60"/>
  <c r="S79" i="47" s="1"/>
  <c r="X111" i="60"/>
  <c r="S80" i="47" s="1"/>
  <c r="X82" i="60"/>
  <c r="X90" i="60" s="1"/>
  <c r="X109" i="60" s="1"/>
  <c r="S75" i="47" s="1"/>
  <c r="X84" i="60"/>
  <c r="X92" i="60" s="1"/>
  <c r="X113" i="60" s="1"/>
  <c r="S78" i="47" s="1"/>
  <c r="X110" i="60"/>
  <c r="S81" i="47" s="1"/>
  <c r="AT97" i="58" a="1"/>
  <c r="AT97" i="58" s="1"/>
  <c r="AK100" i="58" a="1"/>
  <c r="AK100" i="58" s="1"/>
  <c r="Z151" i="58"/>
  <c r="AA92" i="58" a="1"/>
  <c r="AA92" i="58" s="1"/>
  <c r="X83" i="60"/>
  <c r="X91" i="60" s="1"/>
  <c r="X116" i="60" s="1"/>
  <c r="S62" i="47" s="1"/>
  <c r="R50" i="47"/>
  <c r="AB109" i="55"/>
  <c r="V146" i="56"/>
  <c r="Q96" i="47" s="1"/>
  <c r="AB120" i="56" a="1"/>
  <c r="AB120" i="56" s="1"/>
  <c r="Z120" i="56" a="1"/>
  <c r="Z120" i="56" s="1"/>
  <c r="AK98" i="58" a="1"/>
  <c r="AK98" i="58" s="1"/>
  <c r="AD113" i="55"/>
  <c r="U51" i="47" s="1"/>
  <c r="AD104" i="55"/>
  <c r="U47" i="47" s="1"/>
  <c r="AD108" i="55"/>
  <c r="U46" i="47" s="1"/>
  <c r="AD106" i="55"/>
  <c r="U48" i="47" s="1"/>
  <c r="R27" i="47"/>
  <c r="AB117" i="55"/>
  <c r="R13" i="47"/>
  <c r="AB98" i="55"/>
  <c r="AF142" i="56"/>
  <c r="Y92" i="47" s="1"/>
  <c r="AJ116" i="56" a="1"/>
  <c r="AJ116" i="56" s="1"/>
  <c r="AD36" i="55"/>
  <c r="AJ96" i="58" a="1"/>
  <c r="AJ96" i="58" s="1"/>
  <c r="W106" i="60"/>
  <c r="Q77" i="47"/>
  <c r="AC38" i="55"/>
  <c r="S132" i="47"/>
  <c r="AL95" i="58" a="1"/>
  <c r="AL95" i="58" s="1"/>
  <c r="V139" i="56"/>
  <c r="Q89" i="47" s="1"/>
  <c r="Z113" i="56" a="1"/>
  <c r="Z113" i="56" s="1"/>
  <c r="AB113" i="56" a="1"/>
  <c r="AB113" i="56" s="1"/>
  <c r="R10" i="47"/>
  <c r="AB93" i="55"/>
  <c r="V34" i="44"/>
  <c r="V37" i="44" s="1"/>
  <c r="Z23" i="60" s="1" a="1"/>
  <c r="Z23" i="60" s="1"/>
  <c r="W86" i="44"/>
  <c r="X105" i="60"/>
  <c r="S71" i="47" s="1"/>
  <c r="R71" i="47"/>
  <c r="R39" i="47"/>
  <c r="AB85" i="55"/>
  <c r="W118" i="60"/>
  <c r="Q66" i="47"/>
  <c r="R43" i="47"/>
  <c r="AB107" i="55"/>
  <c r="R133" i="47"/>
  <c r="AB136" i="55"/>
  <c r="AH137" i="56"/>
  <c r="AA87" i="47" s="1"/>
  <c r="AL111" i="56" a="1"/>
  <c r="AL111" i="56" s="1"/>
  <c r="R49" i="47"/>
  <c r="AB111" i="55"/>
  <c r="S20" i="47"/>
  <c r="AC32" i="55"/>
  <c r="S137" i="47"/>
  <c r="S16" i="47"/>
  <c r="R69" i="47"/>
  <c r="X101" i="60"/>
  <c r="AH85" i="47"/>
  <c r="AJ85" i="47" s="1"/>
  <c r="AL54" i="29" a="1"/>
  <c r="AL54" i="29" s="1"/>
  <c r="N89" i="56"/>
  <c r="W117" i="60"/>
  <c r="Q67" i="47"/>
  <c r="Z155" i="58"/>
  <c r="AA96" i="58" a="1"/>
  <c r="AA96" i="58" s="1"/>
  <c r="U144" i="56"/>
  <c r="P94" i="47" s="1"/>
  <c r="AA118" i="56" a="1"/>
  <c r="AA118" i="56" s="1"/>
  <c r="Y118" i="56" a="1"/>
  <c r="Y118" i="56" s="1"/>
  <c r="Z152" i="58"/>
  <c r="AA93" i="58" a="1"/>
  <c r="AA93" i="58" s="1"/>
  <c r="R57" i="47"/>
  <c r="AB126" i="55"/>
  <c r="AV98" i="58" a="1"/>
  <c r="AV98" i="58" s="1"/>
  <c r="V142" i="56"/>
  <c r="Q92" i="47" s="1"/>
  <c r="AB116" i="56" a="1"/>
  <c r="AB116" i="56" s="1"/>
  <c r="Z116" i="56" a="1"/>
  <c r="Z116" i="56" s="1"/>
  <c r="AE25" i="55" a="1"/>
  <c r="AE25" i="55" s="1"/>
  <c r="AE125" i="55" s="1"/>
  <c r="X22" i="44"/>
  <c r="V33" i="44"/>
  <c r="V36" i="44" s="1"/>
  <c r="Z22" i="60" s="1" a="1"/>
  <c r="Z22" i="60" s="1"/>
  <c r="AE146" i="56"/>
  <c r="X96" i="47" s="1"/>
  <c r="AI120" i="56" a="1"/>
  <c r="AI120" i="56" s="1"/>
  <c r="AD37" i="55"/>
  <c r="T129" i="47"/>
  <c r="U145" i="56"/>
  <c r="P95" i="47" s="1"/>
  <c r="Y119" i="56" a="1"/>
  <c r="Y119" i="56" s="1"/>
  <c r="AA119" i="56" a="1"/>
  <c r="AA119" i="56" s="1"/>
  <c r="AC42" i="55"/>
  <c r="S134" i="47"/>
  <c r="AE10" i="55" a="1"/>
  <c r="AE10" i="55" s="1"/>
  <c r="AE79" i="55" s="1"/>
  <c r="X18" i="44"/>
  <c r="I15" i="57" a="1"/>
  <c r="I15" i="57" s="1"/>
  <c r="S15" i="57" s="1"/>
  <c r="Y24" i="60" a="1"/>
  <c r="Y24" i="60" s="1"/>
  <c r="AB40" i="55"/>
  <c r="R128" i="47"/>
  <c r="AD88" i="55"/>
  <c r="U33" i="47" s="1"/>
  <c r="AD82" i="55"/>
  <c r="U37" i="47" s="1"/>
  <c r="AD86" i="55"/>
  <c r="U34" i="47" s="1"/>
  <c r="AD80" i="55"/>
  <c r="U36" i="47" s="1"/>
  <c r="AD123" i="55"/>
  <c r="U23" i="47" s="1"/>
  <c r="AD119" i="55"/>
  <c r="U25" i="47" s="1"/>
  <c r="AD122" i="55"/>
  <c r="U28" i="47" s="1"/>
  <c r="AF147" i="56"/>
  <c r="AJ121" i="56" a="1"/>
  <c r="AJ121" i="56" s="1"/>
  <c r="W87" i="44"/>
  <c r="V35" i="44"/>
  <c r="V38" i="44" s="1"/>
  <c r="Z24" i="60" s="1" a="1"/>
  <c r="Z24" i="60" s="1"/>
  <c r="AG143" i="56"/>
  <c r="Z93" i="47" s="1"/>
  <c r="AK117" i="56" a="1"/>
  <c r="AK117" i="56" s="1"/>
  <c r="R17" i="47"/>
  <c r="AB99" i="55"/>
  <c r="Z154" i="58"/>
  <c r="AA95" i="58" a="1"/>
  <c r="AA95" i="58" s="1"/>
  <c r="AI33" i="55"/>
  <c r="Y127" i="47"/>
  <c r="V148" i="56"/>
  <c r="Z122" i="56" a="1"/>
  <c r="Z122" i="56" s="1"/>
  <c r="AB122" i="56" a="1"/>
  <c r="AB122" i="56" s="1"/>
  <c r="S15" i="47"/>
  <c r="W108" i="60"/>
  <c r="R76" i="47" s="1"/>
  <c r="S14" i="47"/>
  <c r="W85" i="60"/>
  <c r="V93" i="60"/>
  <c r="V119" i="60" s="1"/>
  <c r="Q65" i="47" s="1"/>
  <c r="AD131" i="55"/>
  <c r="U60" i="47" s="1"/>
  <c r="AD132" i="55"/>
  <c r="U55" i="47" s="1"/>
  <c r="AD133" i="55"/>
  <c r="U59" i="47" s="1"/>
  <c r="AD127" i="55"/>
  <c r="U52" i="47" s="1"/>
  <c r="X85" i="44"/>
  <c r="R41" i="47"/>
  <c r="AB89" i="55"/>
  <c r="AG138" i="56"/>
  <c r="Z88" i="47" s="1"/>
  <c r="AK112" i="56" a="1"/>
  <c r="AK112" i="56" s="1"/>
  <c r="AF12" i="55" a="1"/>
  <c r="AF12" i="55" s="1"/>
  <c r="AF13" i="55" a="1"/>
  <c r="AF13" i="55" s="1"/>
  <c r="Y17" i="44"/>
  <c r="S13" i="57"/>
  <c r="AX77" i="56"/>
  <c r="AX80" i="56" s="1"/>
  <c r="AX81" i="56" s="1"/>
  <c r="AE22" i="55" a="1"/>
  <c r="AE22" i="55" s="1"/>
  <c r="AE114" i="55" s="1"/>
  <c r="X12" i="44"/>
  <c r="AW94" i="58" a="1"/>
  <c r="AW94" i="58" s="1"/>
  <c r="X86" i="47"/>
  <c r="AB55" i="29" a="1"/>
  <c r="AB55" i="29" s="1"/>
  <c r="U141" i="56"/>
  <c r="P91" i="47" s="1"/>
  <c r="AA115" i="56" a="1"/>
  <c r="AA115" i="56" s="1"/>
  <c r="Y115" i="56" a="1"/>
  <c r="Y115" i="56" s="1"/>
  <c r="U138" i="56"/>
  <c r="P88" i="47" s="1"/>
  <c r="Y112" i="56" a="1"/>
  <c r="Y112" i="56" s="1"/>
  <c r="AA112" i="56" a="1"/>
  <c r="AA112" i="56" s="1"/>
  <c r="AM186" i="56"/>
  <c r="X97" i="47"/>
  <c r="R26" i="47"/>
  <c r="AB115" i="55"/>
  <c r="AW92" i="58" a="1"/>
  <c r="AW92" i="58" s="1"/>
  <c r="AC187" i="56"/>
  <c r="P98" i="47"/>
  <c r="AF10" i="58" a="1"/>
  <c r="AF10" i="58" s="1"/>
  <c r="X8" i="44"/>
  <c r="Z157" i="58"/>
  <c r="AA98" i="58" a="1"/>
  <c r="AA98" i="58" s="1"/>
  <c r="G174" i="57"/>
  <c r="G173" i="57"/>
  <c r="G172" i="57"/>
  <c r="G179" i="57"/>
  <c r="G177" i="57"/>
  <c r="G178" i="57"/>
  <c r="G176" i="57"/>
  <c r="R72" i="47"/>
  <c r="X104" i="60"/>
  <c r="S72" i="47" s="1"/>
  <c r="I14" i="57" a="1"/>
  <c r="I14" i="57" s="1"/>
  <c r="S14" i="57" s="1"/>
  <c r="Y23" i="60" a="1"/>
  <c r="Y23" i="60" s="1"/>
  <c r="AE23" i="55" a="1"/>
  <c r="AE23" i="55" s="1"/>
  <c r="AE24" i="55" a="1"/>
  <c r="AE24" i="55" s="1"/>
  <c r="X24" i="44"/>
  <c r="R19" i="47"/>
  <c r="AB101" i="55"/>
  <c r="AC35" i="55"/>
  <c r="S130" i="47"/>
  <c r="AL97" i="58" a="1"/>
  <c r="AL97" i="58" s="1"/>
  <c r="R54" i="47"/>
  <c r="AB134" i="55"/>
  <c r="AL93" i="58" a="1"/>
  <c r="AL93" i="58" s="1"/>
  <c r="AH86" i="47"/>
  <c r="AJ86" i="47" s="1"/>
  <c r="AL55" i="29" a="1"/>
  <c r="AL55" i="29" s="1"/>
  <c r="AT95" i="58" a="1"/>
  <c r="AT95" i="58" s="1"/>
  <c r="AF18" i="55" a="1"/>
  <c r="AF18" i="55" s="1"/>
  <c r="AF19" i="55" a="1"/>
  <c r="AF19" i="55" s="1"/>
  <c r="AF20" i="55" a="1"/>
  <c r="AF20" i="55" s="1"/>
  <c r="AF21" i="55" a="1"/>
  <c r="AF21" i="55" s="1"/>
  <c r="Y21" i="44"/>
  <c r="AW96" i="58" a="1"/>
  <c r="AW96" i="58" s="1"/>
  <c r="AE145" i="56"/>
  <c r="X95" i="47" s="1"/>
  <c r="AI119" i="56" a="1"/>
  <c r="AI119" i="56" s="1"/>
  <c r="AC92" i="55" l="1"/>
  <c r="AC94" i="55"/>
  <c r="S32" i="47"/>
  <c r="AC83" i="55"/>
  <c r="AC96" i="55"/>
  <c r="AB24" i="58"/>
  <c r="X114" i="60"/>
  <c r="S64" i="47" s="1"/>
  <c r="X107" i="60"/>
  <c r="S82" i="47" s="1"/>
  <c r="W33" i="44"/>
  <c r="W36" i="44" s="1"/>
  <c r="AA22" i="60" s="1" a="1"/>
  <c r="AA22" i="60" s="1"/>
  <c r="AD43" i="55"/>
  <c r="U135" i="47" s="1"/>
  <c r="S5" i="47"/>
  <c r="W22" i="35"/>
  <c r="S44" i="47"/>
  <c r="AC112" i="55"/>
  <c r="AB31" i="58"/>
  <c r="AB34" i="58" s="1"/>
  <c r="AB35" i="58" s="1"/>
  <c r="AC23" i="58"/>
  <c r="AC24" i="58" s="1"/>
  <c r="AA36" i="58"/>
  <c r="AA41" i="58" s="1"/>
  <c r="AA166" i="58"/>
  <c r="AA164" i="58"/>
  <c r="AA163" i="58"/>
  <c r="AA162" i="58"/>
  <c r="AA168" i="58"/>
  <c r="AA165" i="58"/>
  <c r="AA167" i="58"/>
  <c r="AA170" i="58"/>
  <c r="AA169" i="58"/>
  <c r="X115" i="60"/>
  <c r="S63" i="47" s="1"/>
  <c r="S61" i="47"/>
  <c r="AC135" i="55"/>
  <c r="AC31" i="55"/>
  <c r="S136" i="47"/>
  <c r="S22" i="47"/>
  <c r="AC118" i="55"/>
  <c r="AC186" i="56"/>
  <c r="P97" i="47"/>
  <c r="V147" i="56"/>
  <c r="Z121" i="56" a="1"/>
  <c r="Z121" i="56" s="1"/>
  <c r="AB121" i="56" a="1"/>
  <c r="AB121" i="56" s="1"/>
  <c r="AD34" i="55"/>
  <c r="S29" i="47"/>
  <c r="AC120" i="55"/>
  <c r="S42" i="47"/>
  <c r="AC105" i="55"/>
  <c r="X81" i="60"/>
  <c r="X89" i="60" s="1"/>
  <c r="X102" i="60" s="1"/>
  <c r="S68" i="47" s="1"/>
  <c r="W89" i="60"/>
  <c r="W102" i="60" s="1"/>
  <c r="Q68" i="47"/>
  <c r="V74" i="60"/>
  <c r="V77" i="60" s="1"/>
  <c r="Y103" i="60"/>
  <c r="T73" i="47" s="1"/>
  <c r="Y100" i="60"/>
  <c r="T74" i="47" s="1"/>
  <c r="AC102" i="55"/>
  <c r="AD102" i="55" s="1"/>
  <c r="G22" i="60"/>
  <c r="G34" i="60" s="1"/>
  <c r="G37" i="60" s="1"/>
  <c r="S38" i="47"/>
  <c r="AC87" i="55"/>
  <c r="Y34" i="60"/>
  <c r="AD95" i="55"/>
  <c r="U11" i="47" s="1"/>
  <c r="AE15" i="55" a="1"/>
  <c r="AE15" i="55" s="1"/>
  <c r="X9" i="44"/>
  <c r="S21" i="47"/>
  <c r="AC116" i="55"/>
  <c r="S40" i="47"/>
  <c r="AC90" i="55"/>
  <c r="AE44" i="55"/>
  <c r="Q84" i="47"/>
  <c r="U53" i="29" a="1"/>
  <c r="U53" i="29" s="1"/>
  <c r="S24" i="47"/>
  <c r="AC121" i="55"/>
  <c r="S30" i="47"/>
  <c r="AC124" i="55"/>
  <c r="S12" i="47"/>
  <c r="AC100" i="55"/>
  <c r="AE36" i="55"/>
  <c r="S6" i="47"/>
  <c r="W25" i="35"/>
  <c r="S35" i="47"/>
  <c r="AC84" i="55"/>
  <c r="AH188" i="56"/>
  <c r="AF188" i="56"/>
  <c r="S99" i="47"/>
  <c r="Y69" i="60" a="1"/>
  <c r="Y69" i="60" s="1"/>
  <c r="P69" i="60" a="1"/>
  <c r="P69" i="60" s="1"/>
  <c r="Q69" i="60" s="1" a="1"/>
  <c r="Q69" i="60" s="1"/>
  <c r="R69" i="60" s="1" a="1"/>
  <c r="R69" i="60" s="1"/>
  <c r="S69" i="60" s="1" a="1"/>
  <c r="S69" i="60" s="1"/>
  <c r="T69" i="60" s="1" a="1"/>
  <c r="T69" i="60" s="1"/>
  <c r="U69" i="60" s="1" a="1"/>
  <c r="U69" i="60" s="1"/>
  <c r="V69" i="60" s="1" a="1"/>
  <c r="V69" i="60" s="1"/>
  <c r="W69" i="60" s="1" a="1"/>
  <c r="W69" i="60" s="1"/>
  <c r="X69" i="60" s="1" a="1"/>
  <c r="X69" i="60" s="1"/>
  <c r="S31" i="47"/>
  <c r="AC81" i="55"/>
  <c r="AE188" i="56"/>
  <c r="R99" i="47"/>
  <c r="Y64" i="60" a="1"/>
  <c r="Y64" i="60" s="1"/>
  <c r="P64" i="60" a="1"/>
  <c r="P64" i="60" s="1"/>
  <c r="Q64" i="60" s="1" a="1"/>
  <c r="Q64" i="60" s="1"/>
  <c r="R64" i="60" s="1" a="1"/>
  <c r="R64" i="60" s="1"/>
  <c r="S64" i="60" s="1" a="1"/>
  <c r="S64" i="60" s="1"/>
  <c r="T64" i="60" s="1" a="1"/>
  <c r="T64" i="60" s="1"/>
  <c r="U64" i="60" s="1" a="1"/>
  <c r="U64" i="60" s="1"/>
  <c r="V64" i="60" s="1" a="1"/>
  <c r="V64" i="60" s="1"/>
  <c r="W64" i="60" s="1" a="1"/>
  <c r="W64" i="60" s="1"/>
  <c r="X64" i="60" s="1" a="1"/>
  <c r="X64" i="60" s="1"/>
  <c r="U55" i="29" a="1"/>
  <c r="U55" i="29" s="1"/>
  <c r="Q86" i="47"/>
  <c r="Y67" i="60" a="1"/>
  <c r="Y67" i="60" s="1"/>
  <c r="P67" i="60" a="1"/>
  <c r="P67" i="60" s="1"/>
  <c r="Q67" i="60" s="1" a="1"/>
  <c r="Q67" i="60" s="1"/>
  <c r="R67" i="60" s="1" a="1"/>
  <c r="R67" i="60" s="1"/>
  <c r="S67" i="60" s="1" a="1"/>
  <c r="S67" i="60" s="1"/>
  <c r="T67" i="60" s="1" a="1"/>
  <c r="T67" i="60" s="1"/>
  <c r="U67" i="60" s="1" a="1"/>
  <c r="U67" i="60" s="1"/>
  <c r="V67" i="60" s="1" a="1"/>
  <c r="V67" i="60" s="1"/>
  <c r="W67" i="60" s="1" a="1"/>
  <c r="W67" i="60" s="1"/>
  <c r="X67" i="60" s="1" a="1"/>
  <c r="X67" i="60" s="1"/>
  <c r="R56" i="57"/>
  <c r="S32" i="57"/>
  <c r="S109" i="57" s="1"/>
  <c r="R87" i="57"/>
  <c r="AB32" i="57"/>
  <c r="R109" i="57"/>
  <c r="I16" i="57"/>
  <c r="G181" i="57"/>
  <c r="G182" i="57" s="1"/>
  <c r="Z85" i="47"/>
  <c r="AD54" i="29" a="1"/>
  <c r="AD54" i="29" s="1"/>
  <c r="Y65" i="60" a="1"/>
  <c r="Y65" i="60" s="1"/>
  <c r="P65" i="60" a="1"/>
  <c r="P65" i="60" s="1"/>
  <c r="Q65" i="60" s="1" a="1"/>
  <c r="Q65" i="60" s="1"/>
  <c r="R65" i="60" s="1" a="1"/>
  <c r="R65" i="60" s="1"/>
  <c r="S65" i="60" s="1" a="1"/>
  <c r="S65" i="60" s="1"/>
  <c r="T65" i="60" s="1" a="1"/>
  <c r="T65" i="60" s="1"/>
  <c r="U65" i="60" s="1" a="1"/>
  <c r="U65" i="60" s="1"/>
  <c r="V65" i="60" s="1" a="1"/>
  <c r="V65" i="60" s="1"/>
  <c r="W65" i="60" s="1" a="1"/>
  <c r="W65" i="60" s="1"/>
  <c r="X65" i="60" s="1" a="1"/>
  <c r="X65" i="60" s="1"/>
  <c r="S8" i="47"/>
  <c r="W23" i="35"/>
  <c r="AA159" i="58"/>
  <c r="AB100" i="58" a="1"/>
  <c r="AB100" i="58" s="1"/>
  <c r="AA158" i="58"/>
  <c r="AB99" i="58" a="1"/>
  <c r="AB99" i="58" s="1"/>
  <c r="S9" i="47"/>
  <c r="W24" i="35"/>
  <c r="S18" i="47"/>
  <c r="AC97" i="55"/>
  <c r="AF11" i="55" a="1"/>
  <c r="AF11" i="55" s="1"/>
  <c r="AF30" i="55" s="1"/>
  <c r="Y19" i="44"/>
  <c r="S56" i="47"/>
  <c r="AC130" i="55"/>
  <c r="Y63" i="60" a="1"/>
  <c r="Y63" i="60" s="1"/>
  <c r="P63" i="60" a="1"/>
  <c r="P63" i="60" s="1"/>
  <c r="Q63" i="60" s="1" a="1"/>
  <c r="Q63" i="60" s="1"/>
  <c r="R63" i="60" s="1" a="1"/>
  <c r="R63" i="60" s="1"/>
  <c r="S63" i="60" s="1" a="1"/>
  <c r="S63" i="60" s="1"/>
  <c r="T63" i="60" s="1" a="1"/>
  <c r="T63" i="60" s="1"/>
  <c r="U63" i="60" s="1" a="1"/>
  <c r="U63" i="60" s="1"/>
  <c r="V63" i="60" s="1" a="1"/>
  <c r="V63" i="60" s="1"/>
  <c r="W63" i="60" s="1" a="1"/>
  <c r="W63" i="60" s="1"/>
  <c r="X63" i="60" s="1" a="1"/>
  <c r="X63" i="60" s="1"/>
  <c r="S7" i="47"/>
  <c r="W26" i="35"/>
  <c r="P68" i="60" a="1"/>
  <c r="P68" i="60" s="1"/>
  <c r="Q68" i="60" s="1" a="1"/>
  <c r="Q68" i="60" s="1"/>
  <c r="R68" i="60" s="1" a="1"/>
  <c r="R68" i="60" s="1"/>
  <c r="S68" i="60" s="1" a="1"/>
  <c r="S68" i="60" s="1"/>
  <c r="T68" i="60" s="1" a="1"/>
  <c r="T68" i="60" s="1"/>
  <c r="U68" i="60" s="1" a="1"/>
  <c r="U68" i="60" s="1"/>
  <c r="V68" i="60" s="1" a="1"/>
  <c r="V68" i="60" s="1"/>
  <c r="W68" i="60" s="1" a="1"/>
  <c r="W68" i="60" s="1"/>
  <c r="X68" i="60" s="1" a="1"/>
  <c r="X68" i="60" s="1"/>
  <c r="Y68" i="60" a="1"/>
  <c r="Y68" i="60" s="1"/>
  <c r="Z6" i="35" a="1"/>
  <c r="Z6" i="35" s="1"/>
  <c r="Y7" i="44"/>
  <c r="Y66" i="60" a="1"/>
  <c r="Y66" i="60" s="1"/>
  <c r="P66" i="60" a="1"/>
  <c r="P66" i="60" s="1"/>
  <c r="Q66" i="60" s="1" a="1"/>
  <c r="Q66" i="60" s="1"/>
  <c r="R66" i="60" s="1" a="1"/>
  <c r="R66" i="60" s="1"/>
  <c r="S66" i="60" s="1" a="1"/>
  <c r="S66" i="60" s="1"/>
  <c r="T66" i="60" s="1" a="1"/>
  <c r="T66" i="60" s="1"/>
  <c r="U66" i="60" s="1" a="1"/>
  <c r="U66" i="60" s="1"/>
  <c r="V66" i="60" s="1" a="1"/>
  <c r="V66" i="60" s="1"/>
  <c r="W66" i="60" s="1" a="1"/>
  <c r="W66" i="60" s="1"/>
  <c r="X66" i="60" s="1" a="1"/>
  <c r="X66" i="60" s="1"/>
  <c r="X39" i="44"/>
  <c r="AA45" i="60" a="1"/>
  <c r="AA45" i="60" s="1"/>
  <c r="W40" i="44"/>
  <c r="Y104" i="60"/>
  <c r="T72" i="47" s="1"/>
  <c r="Y36" i="60"/>
  <c r="G24" i="60"/>
  <c r="G36" i="60" s="1"/>
  <c r="AA34" i="60"/>
  <c r="AA37" i="60" s="1"/>
  <c r="AX96" i="58" a="1"/>
  <c r="AX96" i="58" s="1"/>
  <c r="AM93" i="58" a="1"/>
  <c r="AM93" i="58" s="1"/>
  <c r="W148" i="56"/>
  <c r="AC122" i="56" a="1"/>
  <c r="AC122" i="56" s="1"/>
  <c r="X148" i="56" s="1"/>
  <c r="AG147" i="56"/>
  <c r="AK121" i="56" a="1"/>
  <c r="AK121" i="56" s="1"/>
  <c r="AC40" i="55"/>
  <c r="S128" i="47"/>
  <c r="AE37" i="55"/>
  <c r="U129" i="47"/>
  <c r="AD38" i="55"/>
  <c r="T132" i="47"/>
  <c r="AU97" i="58" a="1"/>
  <c r="AU97" i="58" s="1"/>
  <c r="AL92" i="58" a="1"/>
  <c r="AL92" i="58" s="1"/>
  <c r="AD39" i="55"/>
  <c r="T131" i="47"/>
  <c r="X108" i="60"/>
  <c r="S76" i="47" s="1"/>
  <c r="AB156" i="58"/>
  <c r="AC97" i="58" a="1"/>
  <c r="AC97" i="58" s="1"/>
  <c r="V138" i="47"/>
  <c r="V140" i="56"/>
  <c r="Q90" i="47" s="1"/>
  <c r="AB114" i="56" a="1"/>
  <c r="AB114" i="56" s="1"/>
  <c r="Z114" i="56" a="1"/>
  <c r="Z114" i="56" s="1"/>
  <c r="S41" i="47"/>
  <c r="AC89" i="55"/>
  <c r="AF146" i="56"/>
  <c r="Y96" i="47" s="1"/>
  <c r="AJ120" i="56" a="1"/>
  <c r="AJ120" i="56" s="1"/>
  <c r="AA152" i="58"/>
  <c r="AB93" i="58" a="1"/>
  <c r="AB93" i="58" s="1"/>
  <c r="AI137" i="56"/>
  <c r="AB87" i="47" s="1"/>
  <c r="AM111" i="56" a="1"/>
  <c r="AM111" i="56" s="1"/>
  <c r="AJ137" i="56" s="1"/>
  <c r="AC87" i="47" s="1"/>
  <c r="W146" i="56"/>
  <c r="R96" i="47" s="1"/>
  <c r="AC120" i="56" a="1"/>
  <c r="AC120" i="56" s="1"/>
  <c r="X146" i="56" s="1"/>
  <c r="S96" i="47" s="1"/>
  <c r="AX92" i="58" a="1"/>
  <c r="AX92" i="58" s="1"/>
  <c r="Y86" i="47"/>
  <c r="AC55" i="29" a="1"/>
  <c r="AC55" i="29" s="1"/>
  <c r="S101" i="57"/>
  <c r="S86" i="57"/>
  <c r="AC15" i="57"/>
  <c r="Y105" i="60"/>
  <c r="T71" i="47" s="1"/>
  <c r="W34" i="44"/>
  <c r="W37" i="44" s="1"/>
  <c r="AA23" i="60" s="1" a="1"/>
  <c r="AA23" i="60" s="1"/>
  <c r="X86" i="44"/>
  <c r="X106" i="60"/>
  <c r="R77" i="47"/>
  <c r="S50" i="57"/>
  <c r="S57" i="57"/>
  <c r="V143" i="56"/>
  <c r="Q93" i="47" s="1"/>
  <c r="AB117" i="56" a="1"/>
  <c r="AB117" i="56" s="1"/>
  <c r="Z117" i="56" a="1"/>
  <c r="Z117" i="56" s="1"/>
  <c r="AC50" i="57"/>
  <c r="AC57" i="57"/>
  <c r="I49" i="57"/>
  <c r="AE29" i="55"/>
  <c r="S10" i="47"/>
  <c r="AC93" i="55"/>
  <c r="AF141" i="56"/>
  <c r="Y91" i="47" s="1"/>
  <c r="AJ115" i="56" a="1"/>
  <c r="AJ115" i="56" s="1"/>
  <c r="AI149" i="56"/>
  <c r="AM123" i="56" a="1"/>
  <c r="AM123" i="56" s="1"/>
  <c r="AJ149" i="56" s="1"/>
  <c r="AF148" i="56"/>
  <c r="AJ122" i="56" a="1"/>
  <c r="AJ122" i="56" s="1"/>
  <c r="AF23" i="55" a="1"/>
  <c r="AF23" i="55" s="1"/>
  <c r="AF24" i="55" a="1"/>
  <c r="AF24" i="55" s="1"/>
  <c r="Y24" i="44"/>
  <c r="AF10" i="55" a="1"/>
  <c r="AF10" i="55" s="1"/>
  <c r="AF79" i="55" s="1"/>
  <c r="Y18" i="44"/>
  <c r="Z25" i="60"/>
  <c r="Z17" i="60" s="1"/>
  <c r="Z34" i="60"/>
  <c r="Z99" i="60"/>
  <c r="U70" i="47" s="1"/>
  <c r="Y101" i="60"/>
  <c r="S69" i="47"/>
  <c r="S133" i="47"/>
  <c r="AC136" i="55"/>
  <c r="AK96" i="58" a="1"/>
  <c r="AK96" i="58" s="1"/>
  <c r="S54" i="47"/>
  <c r="AC134" i="55"/>
  <c r="G23" i="60"/>
  <c r="Y35" i="60"/>
  <c r="Y38" i="60" s="1"/>
  <c r="S26" i="47"/>
  <c r="AC115" i="55"/>
  <c r="AF25" i="55" a="1"/>
  <c r="AF25" i="55" s="1"/>
  <c r="AF125" i="55" s="1"/>
  <c r="Y22" i="44"/>
  <c r="S108" i="57"/>
  <c r="S55" i="57"/>
  <c r="S81" i="57"/>
  <c r="S97" i="57"/>
  <c r="AC14" i="57"/>
  <c r="S93" i="57"/>
  <c r="S75" i="57"/>
  <c r="S107" i="57"/>
  <c r="S54" i="57"/>
  <c r="AC13" i="57"/>
  <c r="S16" i="57"/>
  <c r="AC16" i="57" s="1"/>
  <c r="X85" i="60"/>
  <c r="X93" i="60" s="1"/>
  <c r="X119" i="60" s="1"/>
  <c r="S65" i="47" s="1"/>
  <c r="W93" i="60"/>
  <c r="W119" i="60" s="1"/>
  <c r="R65" i="47" s="1"/>
  <c r="AE131" i="55"/>
  <c r="V60" i="47" s="1"/>
  <c r="AE132" i="55"/>
  <c r="V55" i="47" s="1"/>
  <c r="AE133" i="55"/>
  <c r="V59" i="47" s="1"/>
  <c r="AE127" i="55"/>
  <c r="V52" i="47" s="1"/>
  <c r="T16" i="47"/>
  <c r="AD94" i="55"/>
  <c r="AA151" i="58"/>
  <c r="AB92" i="58" a="1"/>
  <c r="AB92" i="58" s="1"/>
  <c r="AV93" i="58" a="1"/>
  <c r="AV93" i="58" s="1"/>
  <c r="AP188" i="56"/>
  <c r="AA99" i="47"/>
  <c r="AM187" i="56"/>
  <c r="X98" i="47"/>
  <c r="AN186" i="56"/>
  <c r="Y97" i="47"/>
  <c r="V144" i="56"/>
  <c r="Q94" i="47" s="1"/>
  <c r="AB118" i="56" a="1"/>
  <c r="AB118" i="56" s="1"/>
  <c r="Z118" i="56" a="1"/>
  <c r="Z118" i="56" s="1"/>
  <c r="Z35" i="60"/>
  <c r="Z38" i="60" s="1"/>
  <c r="AD35" i="55"/>
  <c r="T130" i="47"/>
  <c r="AA157" i="58"/>
  <c r="AB98" i="58" a="1"/>
  <c r="AB98" i="58" s="1"/>
  <c r="AX94" i="58" a="1"/>
  <c r="AX94" i="58" s="1"/>
  <c r="Y85" i="44"/>
  <c r="AA154" i="58"/>
  <c r="AB95" i="58" a="1"/>
  <c r="AB95" i="58" s="1"/>
  <c r="AE88" i="55"/>
  <c r="V33" i="47" s="1"/>
  <c r="AE82" i="55"/>
  <c r="V37" i="47" s="1"/>
  <c r="AE86" i="55"/>
  <c r="V34" i="47" s="1"/>
  <c r="AE80" i="55"/>
  <c r="V36" i="47" s="1"/>
  <c r="AM97" i="58" a="1"/>
  <c r="AM97" i="58" s="1"/>
  <c r="AF22" i="55" a="1"/>
  <c r="AF22" i="55" s="1"/>
  <c r="AF114" i="55" s="1"/>
  <c r="Y12" i="44"/>
  <c r="AG12" i="55" a="1"/>
  <c r="AG12" i="55" s="1"/>
  <c r="AG13" i="55" a="1"/>
  <c r="AG13" i="55" s="1"/>
  <c r="Z17" i="44"/>
  <c r="T14" i="47"/>
  <c r="AD96" i="55"/>
  <c r="S17" i="47"/>
  <c r="AC99" i="55"/>
  <c r="AD42" i="55"/>
  <c r="T134" i="47"/>
  <c r="W142" i="56"/>
  <c r="R92" i="47" s="1"/>
  <c r="AC116" i="56" a="1"/>
  <c r="AC116" i="56" s="1"/>
  <c r="X142" i="56" s="1"/>
  <c r="S92" i="47" s="1"/>
  <c r="AA155" i="58"/>
  <c r="AB96" i="58" a="1"/>
  <c r="AB96" i="58" s="1"/>
  <c r="S43" i="47"/>
  <c r="AC107" i="55"/>
  <c r="AG142" i="56"/>
  <c r="Z92" i="47" s="1"/>
  <c r="AK116" i="56" a="1"/>
  <c r="AK116" i="56" s="1"/>
  <c r="S58" i="47"/>
  <c r="AC128" i="55"/>
  <c r="AA84" i="47"/>
  <c r="AE53" i="29" a="1"/>
  <c r="AE53" i="29" s="1"/>
  <c r="AK99" i="58" a="1"/>
  <c r="AK99" i="58" s="1"/>
  <c r="AF139" i="56"/>
  <c r="Y89" i="47" s="1"/>
  <c r="AJ113" i="56" a="1"/>
  <c r="AJ113" i="56" s="1"/>
  <c r="AE119" i="55"/>
  <c r="V25" i="47" s="1"/>
  <c r="AE122" i="55"/>
  <c r="V28" i="47" s="1"/>
  <c r="AE123" i="55"/>
  <c r="V23" i="47" s="1"/>
  <c r="Y25" i="60"/>
  <c r="Y17" i="60" s="1"/>
  <c r="W139" i="56"/>
  <c r="R89" i="47" s="1"/>
  <c r="AC113" i="56" a="1"/>
  <c r="AC113" i="56" s="1"/>
  <c r="X139" i="56" s="1"/>
  <c r="S89" i="47" s="1"/>
  <c r="AE41" i="55"/>
  <c r="S53" i="47"/>
  <c r="AC129" i="55"/>
  <c r="AV100" i="58" a="1"/>
  <c r="AV100" i="58" s="1"/>
  <c r="AH143" i="56"/>
  <c r="AA93" i="47" s="1"/>
  <c r="AL117" i="56" a="1"/>
  <c r="AL117" i="56" s="1"/>
  <c r="V145" i="56"/>
  <c r="Q95" i="47" s="1"/>
  <c r="AB119" i="56" a="1"/>
  <c r="AB119" i="56" s="1"/>
  <c r="Z119" i="56" a="1"/>
  <c r="Z119" i="56" s="1"/>
  <c r="AD32" i="55"/>
  <c r="T137" i="47"/>
  <c r="S13" i="47"/>
  <c r="AC98" i="55"/>
  <c r="S50" i="47"/>
  <c r="AC109" i="55"/>
  <c r="AA153" i="58"/>
  <c r="AB94" i="58" a="1"/>
  <c r="AB94" i="58" s="1"/>
  <c r="AF144" i="56"/>
  <c r="Y94" i="47" s="1"/>
  <c r="AJ118" i="56" a="1"/>
  <c r="AJ118" i="56" s="1"/>
  <c r="R85" i="47"/>
  <c r="V54" i="29" a="1"/>
  <c r="V54" i="29" s="1"/>
  <c r="S85" i="47" s="1"/>
  <c r="AH140" i="56"/>
  <c r="AA90" i="47" s="1"/>
  <c r="AL114" i="56" a="1"/>
  <c r="AL114" i="56" s="1"/>
  <c r="S19" i="47"/>
  <c r="AC101" i="55"/>
  <c r="V138" i="56"/>
  <c r="Q88" i="47" s="1"/>
  <c r="Z112" i="56" a="1"/>
  <c r="Z112" i="56" s="1"/>
  <c r="AB112" i="56" a="1"/>
  <c r="AB112" i="56" s="1"/>
  <c r="T15" i="47"/>
  <c r="AD92" i="55"/>
  <c r="AW98" i="58" a="1"/>
  <c r="AW98" i="58" s="1"/>
  <c r="T20" i="47"/>
  <c r="X118" i="60"/>
  <c r="R66" i="47"/>
  <c r="AM95" i="58" a="1"/>
  <c r="AM95" i="58" s="1"/>
  <c r="AD187" i="56"/>
  <c r="Q98" i="47"/>
  <c r="AG18" i="55" a="1"/>
  <c r="AG18" i="55" s="1"/>
  <c r="AG19" i="55" a="1"/>
  <c r="AG19" i="55" s="1"/>
  <c r="AG20" i="55" a="1"/>
  <c r="AG20" i="55" s="1"/>
  <c r="AG21" i="55" a="1"/>
  <c r="AG21" i="55" s="1"/>
  <c r="Z21" i="44"/>
  <c r="AU95" i="58" a="1"/>
  <c r="AU95" i="58" s="1"/>
  <c r="S39" i="47"/>
  <c r="AC85" i="55"/>
  <c r="S27" i="47"/>
  <c r="AC117" i="55"/>
  <c r="AL100" i="58" a="1"/>
  <c r="AL100" i="58" s="1"/>
  <c r="AF17" i="55" a="1"/>
  <c r="AF17" i="55" s="1"/>
  <c r="AF103" i="55" s="1"/>
  <c r="Y20" i="44"/>
  <c r="AU99" i="58" a="1"/>
  <c r="AU99" i="58" s="1"/>
  <c r="S45" i="47"/>
  <c r="AC110" i="55"/>
  <c r="AJ33" i="55"/>
  <c r="Z127" i="47"/>
  <c r="AF145" i="56"/>
  <c r="Y95" i="47" s="1"/>
  <c r="AJ119" i="56" a="1"/>
  <c r="AJ119" i="56" s="1"/>
  <c r="AG10" i="58" a="1"/>
  <c r="AG10" i="58" s="1"/>
  <c r="Y8" i="44"/>
  <c r="X30" i="44"/>
  <c r="X31" i="44" s="1"/>
  <c r="Z36" i="60"/>
  <c r="V141" i="56"/>
  <c r="Q91" i="47" s="1"/>
  <c r="AB115" i="56" a="1"/>
  <c r="AB115" i="56" s="1"/>
  <c r="Z115" i="56" a="1"/>
  <c r="Z115" i="56" s="1"/>
  <c r="AH138" i="56"/>
  <c r="AA88" i="47" s="1"/>
  <c r="AL112" i="56" a="1"/>
  <c r="AL112" i="56" s="1"/>
  <c r="X87" i="44"/>
  <c r="W35" i="44"/>
  <c r="W38" i="44" s="1"/>
  <c r="AA24" i="60" s="1" a="1"/>
  <c r="AA24" i="60" s="1"/>
  <c r="S57" i="47"/>
  <c r="AC126" i="55"/>
  <c r="X117" i="60"/>
  <c r="R67" i="47"/>
  <c r="S49" i="47"/>
  <c r="AC111" i="55"/>
  <c r="AL98" i="58" a="1"/>
  <c r="AL98" i="58" s="1"/>
  <c r="AE113" i="55"/>
  <c r="V51" i="47" s="1"/>
  <c r="AE104" i="55"/>
  <c r="V47" i="47" s="1"/>
  <c r="AE108" i="55"/>
  <c r="V46" i="47" s="1"/>
  <c r="AE106" i="55"/>
  <c r="V48" i="47" s="1"/>
  <c r="T32" i="47" l="1"/>
  <c r="AD83" i="55"/>
  <c r="AE43" i="55"/>
  <c r="V135" i="47" s="1"/>
  <c r="S56" i="57"/>
  <c r="S162" i="57" s="1"/>
  <c r="T44" i="47"/>
  <c r="AD112" i="55"/>
  <c r="T5" i="47"/>
  <c r="X22" i="35"/>
  <c r="Z18" i="60"/>
  <c r="AC31" i="58"/>
  <c r="AC34" i="58" s="1"/>
  <c r="AC35" i="58" s="1"/>
  <c r="AD23" i="58"/>
  <c r="AB36" i="58"/>
  <c r="AB41" i="58" s="1"/>
  <c r="AB163" i="58"/>
  <c r="AB162" i="58"/>
  <c r="AB164" i="58"/>
  <c r="AB165" i="58"/>
  <c r="AB170" i="58"/>
  <c r="AB169" i="58"/>
  <c r="AB168" i="58"/>
  <c r="AB167" i="58"/>
  <c r="AB166" i="58"/>
  <c r="T61" i="47"/>
  <c r="AD135" i="55"/>
  <c r="X74" i="60"/>
  <c r="X77" i="60" s="1"/>
  <c r="AC121" i="56" a="1"/>
  <c r="AC121" i="56" s="1"/>
  <c r="X147" i="56" s="1"/>
  <c r="W147" i="56"/>
  <c r="AD186" i="56"/>
  <c r="Q97" i="47"/>
  <c r="T22" i="47"/>
  <c r="AD118" i="55"/>
  <c r="AD31" i="55"/>
  <c r="T136" i="47"/>
  <c r="Z103" i="60"/>
  <c r="U73" i="47" s="1"/>
  <c r="Z100" i="60"/>
  <c r="U74" i="47" s="1"/>
  <c r="T42" i="47"/>
  <c r="AD105" i="55"/>
  <c r="Y81" i="60"/>
  <c r="Y89" i="60" s="1"/>
  <c r="Y102" i="60" s="1"/>
  <c r="T68" i="47" s="1"/>
  <c r="Z19" i="60"/>
  <c r="T29" i="47"/>
  <c r="AD120" i="55"/>
  <c r="R68" i="47"/>
  <c r="W74" i="60"/>
  <c r="W77" i="60" s="1"/>
  <c r="AF15" i="55" a="1"/>
  <c r="AF15" i="55" s="1"/>
  <c r="AF91" i="55" s="1"/>
  <c r="Y9" i="44"/>
  <c r="Y30" i="44" s="1"/>
  <c r="Y31" i="44" s="1"/>
  <c r="AE91" i="55"/>
  <c r="AE95" i="55" s="1"/>
  <c r="V11" i="47" s="1"/>
  <c r="AE34" i="55"/>
  <c r="T38" i="47"/>
  <c r="AD87" i="55"/>
  <c r="AF44" i="55"/>
  <c r="X33" i="44"/>
  <c r="X36" i="44" s="1"/>
  <c r="AB22" i="60" s="1" a="1"/>
  <c r="AB22" i="60" s="1"/>
  <c r="AB34" i="60" s="1"/>
  <c r="AB37" i="60" s="1"/>
  <c r="Y37" i="60"/>
  <c r="T30" i="47"/>
  <c r="AD124" i="55"/>
  <c r="T24" i="47"/>
  <c r="AD121" i="55"/>
  <c r="AF41" i="55"/>
  <c r="Z105" i="60"/>
  <c r="U71" i="47" s="1"/>
  <c r="R84" i="47"/>
  <c r="V53" i="29" a="1"/>
  <c r="V53" i="29" s="1"/>
  <c r="S84" i="47" s="1"/>
  <c r="T40" i="47"/>
  <c r="AD90" i="55"/>
  <c r="T12" i="47"/>
  <c r="AD100" i="55"/>
  <c r="T21" i="47"/>
  <c r="AD116" i="55"/>
  <c r="G25" i="60"/>
  <c r="G31" i="60" s="1"/>
  <c r="S87" i="57"/>
  <c r="S90" i="57" s="1"/>
  <c r="S125" i="57" s="1"/>
  <c r="AC32" i="57"/>
  <c r="AC109" i="57" s="1"/>
  <c r="I109" i="57" s="1"/>
  <c r="AB45" i="60" a="1"/>
  <c r="AB45" i="60" s="1"/>
  <c r="X40" i="44"/>
  <c r="Y39" i="44"/>
  <c r="T56" i="47"/>
  <c r="AD130" i="55"/>
  <c r="T8" i="47"/>
  <c r="X23" i="35"/>
  <c r="R162" i="57"/>
  <c r="AB162" i="57" s="1"/>
  <c r="H162" i="57" s="1"/>
  <c r="R58" i="57"/>
  <c r="R163" i="57"/>
  <c r="AB163" i="57" s="1"/>
  <c r="H163" i="57" s="1"/>
  <c r="R161" i="57"/>
  <c r="AB161" i="57" s="1"/>
  <c r="AG11" i="55" a="1"/>
  <c r="AG11" i="55" s="1"/>
  <c r="AG30" i="55" s="1"/>
  <c r="Z19" i="44"/>
  <c r="AA6" i="35" a="1"/>
  <c r="AA6" i="35" s="1"/>
  <c r="Z7" i="44"/>
  <c r="Y18" i="60"/>
  <c r="T18" i="47"/>
  <c r="AD97" i="55"/>
  <c r="AA85" i="47"/>
  <c r="AE54" i="29" a="1"/>
  <c r="AE54" i="29" s="1"/>
  <c r="V55" i="29" a="1"/>
  <c r="V55" i="29" s="1"/>
  <c r="S86" i="47" s="1"/>
  <c r="R86" i="47"/>
  <c r="T35" i="47"/>
  <c r="AD84" i="55"/>
  <c r="T9" i="47"/>
  <c r="X24" i="35"/>
  <c r="I28" i="57"/>
  <c r="T7" i="47"/>
  <c r="X26" i="35"/>
  <c r="AC99" i="58" a="1"/>
  <c r="AC99" i="58" s="1"/>
  <c r="AC158" i="58" s="1"/>
  <c r="AB158" i="58"/>
  <c r="AB109" i="57"/>
  <c r="H109" i="57" s="1"/>
  <c r="R111" i="57"/>
  <c r="X25" i="35"/>
  <c r="T6" i="47"/>
  <c r="H32" i="57"/>
  <c r="H33" i="57" s="1"/>
  <c r="AB56" i="57"/>
  <c r="T31" i="47"/>
  <c r="AD81" i="55"/>
  <c r="AB159" i="58"/>
  <c r="AC100" i="58" a="1"/>
  <c r="AC100" i="58" s="1"/>
  <c r="R90" i="57"/>
  <c r="AB87" i="57"/>
  <c r="H87" i="57" s="1"/>
  <c r="H90" i="57" s="1"/>
  <c r="H125" i="57" s="1"/>
  <c r="H129" i="57" s="1"/>
  <c r="Z104" i="60"/>
  <c r="U72" i="47" s="1"/>
  <c r="T39" i="47"/>
  <c r="AD85" i="55"/>
  <c r="AF106" i="55"/>
  <c r="W48" i="47" s="1"/>
  <c r="AF113" i="55"/>
  <c r="W51" i="47" s="1"/>
  <c r="AF108" i="55"/>
  <c r="W46" i="47" s="1"/>
  <c r="AF104" i="55"/>
  <c r="W47" i="47" s="1"/>
  <c r="AM100" i="58" a="1"/>
  <c r="AM100" i="58" s="1"/>
  <c r="AI138" i="56"/>
  <c r="AB88" i="47" s="1"/>
  <c r="AM112" i="56" a="1"/>
  <c r="AM112" i="56" s="1"/>
  <c r="AJ138" i="56" s="1"/>
  <c r="AC88" i="47" s="1"/>
  <c r="Z85" i="44"/>
  <c r="W144" i="56"/>
  <c r="R94" i="47" s="1"/>
  <c r="AC118" i="56" a="1"/>
  <c r="AC118" i="56" s="1"/>
  <c r="X144" i="56" s="1"/>
  <c r="S94" i="47" s="1"/>
  <c r="U16" i="47"/>
  <c r="T26" i="47"/>
  <c r="AD115" i="55"/>
  <c r="AF88" i="55"/>
  <c r="W33" i="47" s="1"/>
  <c r="AF82" i="55"/>
  <c r="W37" i="47" s="1"/>
  <c r="AF86" i="55"/>
  <c r="W34" i="47" s="1"/>
  <c r="AF80" i="55"/>
  <c r="W36" i="47" s="1"/>
  <c r="AQ188" i="56"/>
  <c r="AB99" i="47"/>
  <c r="Y106" i="60"/>
  <c r="S77" i="47"/>
  <c r="AO186" i="56"/>
  <c r="Z97" i="47"/>
  <c r="AG141" i="56"/>
  <c r="Z91" i="47" s="1"/>
  <c r="AK115" i="56" a="1"/>
  <c r="AK115" i="56" s="1"/>
  <c r="Y86" i="44"/>
  <c r="X34" i="44"/>
  <c r="X37" i="44" s="1"/>
  <c r="AB23" i="60" s="1" a="1"/>
  <c r="AB23" i="60" s="1"/>
  <c r="W140" i="56"/>
  <c r="R90" i="47" s="1"/>
  <c r="AC114" i="56" a="1"/>
  <c r="AC114" i="56" s="1"/>
  <c r="X140" i="56" s="1"/>
  <c r="S90" i="47" s="1"/>
  <c r="AV97" i="58" a="1"/>
  <c r="AV97" i="58" s="1"/>
  <c r="AF187" i="56"/>
  <c r="AH187" i="56"/>
  <c r="S98" i="47"/>
  <c r="AG139" i="56"/>
  <c r="Z89" i="47" s="1"/>
  <c r="AK113" i="56" a="1"/>
  <c r="AK113" i="56" s="1"/>
  <c r="T43" i="47"/>
  <c r="AD107" i="55"/>
  <c r="AH12" i="55" a="1"/>
  <c r="AH12" i="55" s="1"/>
  <c r="AH13" i="55" a="1"/>
  <c r="AH13" i="55" s="1"/>
  <c r="AA17" i="44"/>
  <c r="Z101" i="60"/>
  <c r="T69" i="47"/>
  <c r="AM98" i="58" a="1"/>
  <c r="AM98" i="58" s="1"/>
  <c r="T27" i="47"/>
  <c r="AD117" i="55"/>
  <c r="W138" i="56"/>
  <c r="R88" i="47" s="1"/>
  <c r="AC112" i="56" a="1"/>
  <c r="AC112" i="56" s="1"/>
  <c r="X138" i="56" s="1"/>
  <c r="S88" i="47" s="1"/>
  <c r="AB153" i="58"/>
  <c r="AC94" i="58" a="1"/>
  <c r="AC94" i="58" s="1"/>
  <c r="AC153" i="58" s="1"/>
  <c r="W143" i="56"/>
  <c r="R93" i="47" s="1"/>
  <c r="AC117" i="56" a="1"/>
  <c r="AC117" i="56" s="1"/>
  <c r="X143" i="56" s="1"/>
  <c r="S93" i="47" s="1"/>
  <c r="AA35" i="60"/>
  <c r="AA38" i="60" s="1"/>
  <c r="AE187" i="56"/>
  <c r="R98" i="47"/>
  <c r="AB155" i="58"/>
  <c r="AC96" i="58" a="1"/>
  <c r="AC96" i="58" s="1"/>
  <c r="AC155" i="58" s="1"/>
  <c r="AY94" i="58" a="1"/>
  <c r="AY94" i="58" s="1"/>
  <c r="T10" i="47"/>
  <c r="AD93" i="55"/>
  <c r="AC75" i="57"/>
  <c r="AC93" i="57"/>
  <c r="I93" i="57" s="1"/>
  <c r="AC107" i="57"/>
  <c r="AC54" i="57"/>
  <c r="Y112" i="60"/>
  <c r="T79" i="47" s="1"/>
  <c r="Y108" i="60"/>
  <c r="T76" i="47" s="1"/>
  <c r="Y111" i="60"/>
  <c r="T80" i="47" s="1"/>
  <c r="Y84" i="60"/>
  <c r="Y92" i="60" s="1"/>
  <c r="Y113" i="60" s="1"/>
  <c r="T78" i="47" s="1"/>
  <c r="Y82" i="60"/>
  <c r="Y90" i="60" s="1"/>
  <c r="Y109" i="60" s="1"/>
  <c r="Y107" i="60"/>
  <c r="T82" i="47" s="1"/>
  <c r="Y110" i="60"/>
  <c r="T81" i="47" s="1"/>
  <c r="AF119" i="55"/>
  <c r="W25" i="47" s="1"/>
  <c r="AF122" i="55"/>
  <c r="W28" i="47" s="1"/>
  <c r="AF123" i="55"/>
  <c r="W23" i="47" s="1"/>
  <c r="AB157" i="58"/>
  <c r="AC98" i="58" a="1"/>
  <c r="AC98" i="58" s="1"/>
  <c r="AC157" i="58" s="1"/>
  <c r="S161" i="57"/>
  <c r="G35" i="60"/>
  <c r="G38" i="60" s="1"/>
  <c r="AF29" i="55"/>
  <c r="AC101" i="57"/>
  <c r="I101" i="57" s="1"/>
  <c r="AC86" i="57"/>
  <c r="W138" i="47"/>
  <c r="AA25" i="60"/>
  <c r="AA17" i="60" s="1"/>
  <c r="T49" i="47"/>
  <c r="AD111" i="55"/>
  <c r="T19" i="47"/>
  <c r="AD101" i="55"/>
  <c r="AG22" i="55" a="1"/>
  <c r="AG22" i="55" s="1"/>
  <c r="AG114" i="55" s="1"/>
  <c r="Z12" i="44"/>
  <c r="W141" i="56"/>
  <c r="R91" i="47" s="1"/>
  <c r="AC115" i="56" a="1"/>
  <c r="AC115" i="56" s="1"/>
  <c r="X141" i="56" s="1"/>
  <c r="S91" i="47" s="1"/>
  <c r="AV99" i="58" a="1"/>
  <c r="AV99" i="58" s="1"/>
  <c r="U20" i="47"/>
  <c r="AB84" i="47"/>
  <c r="AF53" i="29" a="1"/>
  <c r="AF53" i="29" s="1"/>
  <c r="AC84" i="47" s="1"/>
  <c r="AH10" i="58" a="1"/>
  <c r="AH10" i="58" s="1"/>
  <c r="Z8" i="44"/>
  <c r="AH19" i="55" a="1"/>
  <c r="AH19" i="55" s="1"/>
  <c r="AH20" i="55" a="1"/>
  <c r="AH20" i="55" s="1"/>
  <c r="AH21" i="55" a="1"/>
  <c r="AH21" i="55" s="1"/>
  <c r="AH18" i="55" a="1"/>
  <c r="AH18" i="55" s="1"/>
  <c r="AA21" i="44"/>
  <c r="AI140" i="56"/>
  <c r="AB90" i="47" s="1"/>
  <c r="AM114" i="56" a="1"/>
  <c r="AM114" i="56" s="1"/>
  <c r="AJ140" i="56" s="1"/>
  <c r="AC90" i="47" s="1"/>
  <c r="T50" i="47"/>
  <c r="AD109" i="55"/>
  <c r="AI143" i="56"/>
  <c r="AB93" i="47" s="1"/>
  <c r="AM117" i="56" a="1"/>
  <c r="AM117" i="56" s="1"/>
  <c r="AJ143" i="56" s="1"/>
  <c r="AC93" i="47" s="1"/>
  <c r="AG25" i="55" a="1"/>
  <c r="AG25" i="55" s="1"/>
  <c r="AG125" i="55" s="1"/>
  <c r="Z22" i="44"/>
  <c r="T54" i="47"/>
  <c r="AD134" i="55"/>
  <c r="AG24" i="55" a="1"/>
  <c r="AG24" i="55" s="1"/>
  <c r="AG23" i="55" a="1"/>
  <c r="AG23" i="55" s="1"/>
  <c r="Z24" i="44"/>
  <c r="S110" i="57"/>
  <c r="S111" i="57" s="1"/>
  <c r="S51" i="57"/>
  <c r="S124" i="57"/>
  <c r="S123" i="57"/>
  <c r="AE38" i="55"/>
  <c r="U132" i="47"/>
  <c r="Y117" i="60"/>
  <c r="S67" i="47"/>
  <c r="AG17" i="55" a="1"/>
  <c r="AG17" i="55" s="1"/>
  <c r="AG103" i="55" s="1"/>
  <c r="Z20" i="44"/>
  <c r="AX98" i="58" a="1"/>
  <c r="AX98" i="58" s="1"/>
  <c r="T58" i="47"/>
  <c r="AD128" i="55"/>
  <c r="S115" i="57"/>
  <c r="S116" i="57"/>
  <c r="S117" i="57"/>
  <c r="AF131" i="55"/>
  <c r="W60" i="47" s="1"/>
  <c r="AF132" i="55"/>
  <c r="W55" i="47" s="1"/>
  <c r="AF133" i="55"/>
  <c r="W59" i="47" s="1"/>
  <c r="AF127" i="55"/>
  <c r="W52" i="47" s="1"/>
  <c r="Z37" i="60"/>
  <c r="AB152" i="58"/>
  <c r="AC93" i="58" a="1"/>
  <c r="AC93" i="58" s="1"/>
  <c r="AC152" i="58" s="1"/>
  <c r="AY96" i="58" a="1"/>
  <c r="AY96" i="58" s="1"/>
  <c r="Y115" i="60"/>
  <c r="T63" i="47" s="1"/>
  <c r="Y114" i="60"/>
  <c r="T64" i="47" s="1"/>
  <c r="Y83" i="60"/>
  <c r="Y91" i="60" s="1"/>
  <c r="Y116" i="60" s="1"/>
  <c r="T62" i="47" s="1"/>
  <c r="Y85" i="60"/>
  <c r="AV95" i="58" a="1"/>
  <c r="AV95" i="58" s="1"/>
  <c r="Y118" i="60"/>
  <c r="S66" i="47"/>
  <c r="T13" i="47"/>
  <c r="AD98" i="55"/>
  <c r="AW100" i="58" a="1"/>
  <c r="AW100" i="58" s="1"/>
  <c r="AE42" i="55"/>
  <c r="U134" i="47"/>
  <c r="AE35" i="55"/>
  <c r="U130" i="47"/>
  <c r="AL96" i="58" a="1"/>
  <c r="AL96" i="58" s="1"/>
  <c r="I57" i="57"/>
  <c r="AF37" i="55"/>
  <c r="V129" i="47"/>
  <c r="Y19" i="60"/>
  <c r="W145" i="56"/>
  <c r="R95" i="47" s="1"/>
  <c r="AC119" i="56" a="1"/>
  <c r="AC119" i="56" s="1"/>
  <c r="X145" i="56" s="1"/>
  <c r="S95" i="47" s="1"/>
  <c r="T57" i="47"/>
  <c r="AD126" i="55"/>
  <c r="T17" i="47"/>
  <c r="AD99" i="55"/>
  <c r="AW93" i="58" a="1"/>
  <c r="AW93" i="58" s="1"/>
  <c r="AB151" i="58"/>
  <c r="AC92" i="58" a="1"/>
  <c r="AC92" i="58" s="1"/>
  <c r="AC151" i="58" s="1"/>
  <c r="AC81" i="57"/>
  <c r="AC108" i="57"/>
  <c r="I108" i="57" s="1"/>
  <c r="AC55" i="57"/>
  <c r="I55" i="57" s="1"/>
  <c r="AC97" i="57"/>
  <c r="I97" i="57" s="1"/>
  <c r="AG148" i="56"/>
  <c r="AK122" i="56" a="1"/>
  <c r="AK122" i="56" s="1"/>
  <c r="Z86" i="47"/>
  <c r="AD55" i="29" a="1"/>
  <c r="AD55" i="29" s="1"/>
  <c r="AG146" i="56"/>
  <c r="Z96" i="47" s="1"/>
  <c r="AK120" i="56" a="1"/>
  <c r="AK120" i="56" s="1"/>
  <c r="AA99" i="60"/>
  <c r="V70" i="47" s="1"/>
  <c r="T45" i="47"/>
  <c r="AD110" i="55"/>
  <c r="AL99" i="58" a="1"/>
  <c r="AL99" i="58" s="1"/>
  <c r="AA36" i="60"/>
  <c r="AG144" i="56"/>
  <c r="Z94" i="47" s="1"/>
  <c r="AK118" i="56" a="1"/>
  <c r="AK118" i="56" s="1"/>
  <c r="T53" i="47"/>
  <c r="AD129" i="55"/>
  <c r="AB154" i="58"/>
  <c r="AC95" i="58" a="1"/>
  <c r="AC95" i="58" s="1"/>
  <c r="AC154" i="58" s="1"/>
  <c r="T133" i="47"/>
  <c r="AD136" i="55"/>
  <c r="AN187" i="56"/>
  <c r="Y98" i="47"/>
  <c r="AE39" i="55"/>
  <c r="U131" i="47"/>
  <c r="AD40" i="55"/>
  <c r="T128" i="47"/>
  <c r="AG145" i="56"/>
  <c r="Z95" i="47" s="1"/>
  <c r="AK119" i="56" a="1"/>
  <c r="AK119" i="56" s="1"/>
  <c r="X35" i="44"/>
  <c r="X38" i="44" s="1"/>
  <c r="AB24" i="60" s="1" a="1"/>
  <c r="AB24" i="60" s="1"/>
  <c r="Y87" i="44"/>
  <c r="AK33" i="55"/>
  <c r="AA127" i="47"/>
  <c r="U15" i="47"/>
  <c r="AE32" i="55"/>
  <c r="U137" i="47"/>
  <c r="AH142" i="56"/>
  <c r="AA92" i="47" s="1"/>
  <c r="AL116" i="56" a="1"/>
  <c r="AL116" i="56" s="1"/>
  <c r="U14" i="47"/>
  <c r="AF36" i="55"/>
  <c r="S119" i="57"/>
  <c r="S120" i="57"/>
  <c r="S121" i="57"/>
  <c r="AG10" i="55" a="1"/>
  <c r="AG10" i="55" s="1"/>
  <c r="AG79" i="55" s="1"/>
  <c r="Z18" i="44"/>
  <c r="AR188" i="56"/>
  <c r="AC99" i="47"/>
  <c r="AC51" i="57"/>
  <c r="I51" i="57" s="1"/>
  <c r="AC110" i="57"/>
  <c r="I50" i="57"/>
  <c r="AY92" i="58" a="1"/>
  <c r="AY92" i="58" s="1"/>
  <c r="T41" i="47"/>
  <c r="AD89" i="55"/>
  <c r="AM92" i="58" a="1"/>
  <c r="AM92" i="58" s="1"/>
  <c r="AH147" i="56"/>
  <c r="AL121" i="56" a="1"/>
  <c r="AL121" i="56" s="1"/>
  <c r="AA100" i="60" l="1"/>
  <c r="V74" i="47" s="1"/>
  <c r="S163" i="57"/>
  <c r="U32" i="47"/>
  <c r="AE83" i="55"/>
  <c r="S58" i="57"/>
  <c r="S59" i="57" s="1"/>
  <c r="S60" i="57" s="1"/>
  <c r="AF43" i="55"/>
  <c r="W135" i="47" s="1"/>
  <c r="AF34" i="55"/>
  <c r="U5" i="47"/>
  <c r="Y22" i="35"/>
  <c r="U44" i="47"/>
  <c r="AE112" i="55"/>
  <c r="AC159" i="58"/>
  <c r="AD31" i="58"/>
  <c r="AE23" i="58"/>
  <c r="AC36" i="58"/>
  <c r="AC41" i="58" s="1"/>
  <c r="AC164" i="58"/>
  <c r="AC162" i="58"/>
  <c r="AC170" i="58"/>
  <c r="AC169" i="58"/>
  <c r="AC168" i="58"/>
  <c r="AC167" i="58"/>
  <c r="AC166" i="58"/>
  <c r="AC163" i="58"/>
  <c r="AC165" i="58"/>
  <c r="AC156" i="58"/>
  <c r="AD24" i="58"/>
  <c r="AE96" i="55"/>
  <c r="V14" i="47" s="1"/>
  <c r="AA103" i="60"/>
  <c r="V73" i="47" s="1"/>
  <c r="I110" i="57"/>
  <c r="AC56" i="57"/>
  <c r="I56" i="57" s="1"/>
  <c r="U61" i="47"/>
  <c r="AE135" i="55"/>
  <c r="AE94" i="55"/>
  <c r="AF94" i="55" s="1"/>
  <c r="U136" i="47"/>
  <c r="AE31" i="55"/>
  <c r="U22" i="47"/>
  <c r="AE118" i="55"/>
  <c r="AE92" i="55"/>
  <c r="V15" i="47" s="1"/>
  <c r="AE102" i="55"/>
  <c r="V20" i="47" s="1"/>
  <c r="AE186" i="56"/>
  <c r="R97" i="47"/>
  <c r="AH186" i="56"/>
  <c r="AF186" i="56"/>
  <c r="S97" i="47"/>
  <c r="Z81" i="60"/>
  <c r="Z111" i="60"/>
  <c r="U80" i="47" s="1"/>
  <c r="Z112" i="60"/>
  <c r="U79" i="47" s="1"/>
  <c r="U29" i="47"/>
  <c r="AE120" i="55"/>
  <c r="U42" i="47"/>
  <c r="AE105" i="55"/>
  <c r="U38" i="47"/>
  <c r="AE87" i="55"/>
  <c r="AA18" i="60"/>
  <c r="AG15" i="55" a="1"/>
  <c r="AG15" i="55" s="1"/>
  <c r="Z9" i="44"/>
  <c r="AF95" i="55"/>
  <c r="W11" i="47" s="1"/>
  <c r="Z110" i="60"/>
  <c r="U81" i="47" s="1"/>
  <c r="U12" i="47"/>
  <c r="AE100" i="55"/>
  <c r="U40" i="47"/>
  <c r="AE90" i="55"/>
  <c r="AA105" i="60"/>
  <c r="V71" i="47" s="1"/>
  <c r="AG36" i="55"/>
  <c r="AA19" i="60"/>
  <c r="U24" i="47"/>
  <c r="AE121" i="55"/>
  <c r="U21" i="47"/>
  <c r="AE116" i="55"/>
  <c r="U30" i="47"/>
  <c r="AE124" i="55"/>
  <c r="Z107" i="60"/>
  <c r="U82" i="47" s="1"/>
  <c r="Z108" i="60"/>
  <c r="U76" i="47" s="1"/>
  <c r="AB90" i="57"/>
  <c r="R125" i="57"/>
  <c r="R59" i="57"/>
  <c r="R60" i="57" s="1"/>
  <c r="R61" i="57"/>
  <c r="U7" i="47"/>
  <c r="Y26" i="35"/>
  <c r="U18" i="47"/>
  <c r="AE97" i="55"/>
  <c r="V234" i="57" a="1"/>
  <c r="V234" i="57" s="1"/>
  <c r="W234" i="57" s="1" a="1"/>
  <c r="W234" i="57" s="1"/>
  <c r="X234" i="57" a="1"/>
  <c r="X234" i="57" s="1"/>
  <c r="U8" i="47"/>
  <c r="Y23" i="35"/>
  <c r="U31" i="47"/>
  <c r="AE81" i="55"/>
  <c r="AB100" i="60"/>
  <c r="W74" i="47" s="1"/>
  <c r="U56" i="47"/>
  <c r="AE130" i="55"/>
  <c r="H56" i="57"/>
  <c r="H45" i="57" s="1"/>
  <c r="AB58" i="57"/>
  <c r="U9" i="47"/>
  <c r="Y24" i="35"/>
  <c r="AB6" i="35" a="1"/>
  <c r="AB6" i="35" s="1"/>
  <c r="AA7" i="44"/>
  <c r="AC45" i="60" a="1"/>
  <c r="AC45" i="60" s="1"/>
  <c r="Y40" i="44"/>
  <c r="Z39" i="44"/>
  <c r="U35" i="47"/>
  <c r="AE84" i="55"/>
  <c r="U6" i="47"/>
  <c r="Y25" i="35"/>
  <c r="AA19" i="44"/>
  <c r="AH11" i="55" a="1"/>
  <c r="AH11" i="55" s="1"/>
  <c r="AH30" i="55" s="1"/>
  <c r="R149" i="57"/>
  <c r="AB149" i="57" s="1"/>
  <c r="H149" i="57" s="1"/>
  <c r="R151" i="57"/>
  <c r="AB151" i="57" s="1"/>
  <c r="H151" i="57" s="1"/>
  <c r="H188" i="57" s="1"/>
  <c r="R150" i="57"/>
  <c r="AB150" i="57" s="1"/>
  <c r="H150" i="57" s="1"/>
  <c r="H187" i="57" s="1"/>
  <c r="AB111" i="57"/>
  <c r="H111" i="57" s="1"/>
  <c r="Z82" i="60"/>
  <c r="Z90" i="60" s="1"/>
  <c r="Z109" i="60" s="1"/>
  <c r="U75" i="47" s="1"/>
  <c r="S129" i="57"/>
  <c r="S152" i="57" s="1"/>
  <c r="S164" i="57" s="1"/>
  <c r="H161" i="57"/>
  <c r="AB183" i="57"/>
  <c r="AC87" i="57"/>
  <c r="I32" i="57"/>
  <c r="I33" i="57" s="1"/>
  <c r="AF54" i="29" a="1"/>
  <c r="AF54" i="29" s="1"/>
  <c r="AC85" i="47" s="1"/>
  <c r="AB85" i="47"/>
  <c r="V235" i="57" a="1"/>
  <c r="V235" i="57" s="1"/>
  <c r="W235" i="57" s="1" a="1"/>
  <c r="W235" i="57" s="1"/>
  <c r="X235" i="57" a="1"/>
  <c r="X235" i="57" s="1"/>
  <c r="AA104" i="60"/>
  <c r="Z84" i="60"/>
  <c r="Z92" i="60" s="1"/>
  <c r="Z113" i="60" s="1"/>
  <c r="U78" i="47" s="1"/>
  <c r="S150" i="57"/>
  <c r="S151" i="57"/>
  <c r="S149" i="57"/>
  <c r="AH145" i="56"/>
  <c r="AA95" i="47" s="1"/>
  <c r="AL119" i="56" a="1"/>
  <c r="AL119" i="56" s="1"/>
  <c r="U13" i="47"/>
  <c r="AE98" i="55"/>
  <c r="AH148" i="56"/>
  <c r="AL122" i="56" a="1"/>
  <c r="AL122" i="56" s="1"/>
  <c r="AO187" i="56"/>
  <c r="Z98" i="47"/>
  <c r="AM96" i="58" a="1"/>
  <c r="AM96" i="58" s="1"/>
  <c r="AH23" i="55" a="1"/>
  <c r="AH23" i="55" s="1"/>
  <c r="AH24" i="55" a="1"/>
  <c r="AH24" i="55" s="1"/>
  <c r="AA24" i="44"/>
  <c r="AP186" i="56"/>
  <c r="AA97" i="47"/>
  <c r="AH10" i="55" a="1"/>
  <c r="AH10" i="55" s="1"/>
  <c r="AH79" i="55" s="1"/>
  <c r="AA18" i="44"/>
  <c r="U133" i="47"/>
  <c r="AE136" i="55"/>
  <c r="AB36" i="60"/>
  <c r="Y93" i="60"/>
  <c r="Y119" i="60" s="1"/>
  <c r="T65" i="47" s="1"/>
  <c r="Z85" i="60"/>
  <c r="Z93" i="60" s="1"/>
  <c r="Z119" i="60" s="1"/>
  <c r="U65" i="47" s="1"/>
  <c r="AH25" i="55" a="1"/>
  <c r="AH25" i="55" s="1"/>
  <c r="AH125" i="55" s="1"/>
  <c r="AA22" i="44"/>
  <c r="AC111" i="57"/>
  <c r="I107" i="57"/>
  <c r="AG131" i="55"/>
  <c r="X60" i="47" s="1"/>
  <c r="AG132" i="55"/>
  <c r="X55" i="47" s="1"/>
  <c r="AG133" i="55"/>
  <c r="X59" i="47" s="1"/>
  <c r="AG127" i="55"/>
  <c r="X52" i="47" s="1"/>
  <c r="AH146" i="56"/>
  <c r="AA96" i="47" s="1"/>
  <c r="AL120" i="56" a="1"/>
  <c r="AL120" i="56" s="1"/>
  <c r="AX93" i="58" a="1"/>
  <c r="AX93" i="58" s="1"/>
  <c r="AI20" i="55" a="1"/>
  <c r="AI20" i="55" s="1"/>
  <c r="AI21" i="55" a="1"/>
  <c r="AI21" i="55" s="1"/>
  <c r="AI18" i="55" a="1"/>
  <c r="AI18" i="55" s="1"/>
  <c r="AI19" i="55" a="1"/>
  <c r="AI19" i="55" s="1"/>
  <c r="AB21" i="44"/>
  <c r="AW99" i="58" a="1"/>
  <c r="AW99" i="58" s="1"/>
  <c r="I75" i="57"/>
  <c r="AC117" i="57"/>
  <c r="AC116" i="57"/>
  <c r="AC115" i="57"/>
  <c r="Z114" i="60"/>
  <c r="U64" i="47" s="1"/>
  <c r="AB35" i="60"/>
  <c r="AB38" i="60" s="1"/>
  <c r="AH17" i="55" a="1"/>
  <c r="AH17" i="55" s="1"/>
  <c r="AH103" i="55" s="1"/>
  <c r="AA20" i="44"/>
  <c r="X138" i="47"/>
  <c r="Z115" i="60"/>
  <c r="U63" i="47" s="1"/>
  <c r="Z86" i="44"/>
  <c r="Y34" i="44"/>
  <c r="Y37" i="44" s="1"/>
  <c r="AC23" i="60" s="1" a="1"/>
  <c r="AC23" i="60" s="1"/>
  <c r="U26" i="47"/>
  <c r="AE115" i="55"/>
  <c r="AH139" i="56"/>
  <c r="AA89" i="47" s="1"/>
  <c r="AL113" i="56" a="1"/>
  <c r="AL113" i="56" s="1"/>
  <c r="AA86" i="47"/>
  <c r="AE55" i="29" a="1"/>
  <c r="AE55" i="29" s="1"/>
  <c r="AG37" i="55"/>
  <c r="W129" i="47"/>
  <c r="Z118" i="60"/>
  <c r="T66" i="47"/>
  <c r="AZ96" i="58" a="1"/>
  <c r="AZ96" i="58" s="1"/>
  <c r="AG108" i="55"/>
  <c r="X46" i="47" s="1"/>
  <c r="AG113" i="55"/>
  <c r="X51" i="47" s="1"/>
  <c r="AG106" i="55"/>
  <c r="X48" i="47" s="1"/>
  <c r="AG104" i="55"/>
  <c r="X47" i="47" s="1"/>
  <c r="AH141" i="56"/>
  <c r="AA91" i="47" s="1"/>
  <c r="AL115" i="56" a="1"/>
  <c r="AL115" i="56" s="1"/>
  <c r="AZ92" i="58" a="1"/>
  <c r="AZ92" i="58" s="1"/>
  <c r="AH144" i="56"/>
  <c r="AA94" i="47" s="1"/>
  <c r="AL118" i="56" a="1"/>
  <c r="AL118" i="56" s="1"/>
  <c r="V137" i="47"/>
  <c r="AF32" i="55"/>
  <c r="AE40" i="55"/>
  <c r="U128" i="47"/>
  <c r="U17" i="47"/>
  <c r="AE99" i="55"/>
  <c r="AW95" i="58" a="1"/>
  <c r="AW95" i="58" s="1"/>
  <c r="I86" i="57"/>
  <c r="AC124" i="57"/>
  <c r="AC123" i="57"/>
  <c r="U10" i="47"/>
  <c r="AE93" i="55"/>
  <c r="AB25" i="60"/>
  <c r="AB17" i="60" s="1"/>
  <c r="V16" i="47"/>
  <c r="AH22" i="55" a="1"/>
  <c r="AH22" i="55" s="1"/>
  <c r="AH114" i="55" s="1"/>
  <c r="AA12" i="44"/>
  <c r="T75" i="47"/>
  <c r="Y74" i="60"/>
  <c r="Y77" i="60" s="1"/>
  <c r="U41" i="47"/>
  <c r="AE89" i="55"/>
  <c r="U53" i="47"/>
  <c r="AE129" i="55"/>
  <c r="AG122" i="55"/>
  <c r="X28" i="47" s="1"/>
  <c r="AG119" i="55"/>
  <c r="X25" i="47" s="1"/>
  <c r="AG123" i="55"/>
  <c r="X23" i="47" s="1"/>
  <c r="U39" i="47"/>
  <c r="AE85" i="55"/>
  <c r="AY98" i="58" a="1"/>
  <c r="AY98" i="58" s="1"/>
  <c r="Z83" i="60"/>
  <c r="Z91" i="60" s="1"/>
  <c r="Z116" i="60" s="1"/>
  <c r="U62" i="47" s="1"/>
  <c r="AI10" i="58" a="1"/>
  <c r="AI10" i="58" s="1"/>
  <c r="AA8" i="44"/>
  <c r="Z30" i="44"/>
  <c r="Z31" i="44" s="1"/>
  <c r="U19" i="47"/>
  <c r="AE101" i="55"/>
  <c r="AZ94" i="58" a="1"/>
  <c r="AZ94" i="58" s="1"/>
  <c r="AI13" i="55" a="1"/>
  <c r="AI13" i="55" s="1"/>
  <c r="AI12" i="55" a="1"/>
  <c r="AI12" i="55" s="1"/>
  <c r="AB17" i="44"/>
  <c r="AF35" i="55"/>
  <c r="V130" i="47"/>
  <c r="Z117" i="60"/>
  <c r="T67" i="47"/>
  <c r="AI147" i="56"/>
  <c r="AM121" i="56" a="1"/>
  <c r="AM121" i="56" s="1"/>
  <c r="AJ147" i="56" s="1"/>
  <c r="AM99" i="58" a="1"/>
  <c r="AM99" i="58" s="1"/>
  <c r="U57" i="47"/>
  <c r="AE126" i="55"/>
  <c r="S128" i="57"/>
  <c r="S156" i="57" s="1"/>
  <c r="S168" i="57" s="1"/>
  <c r="AG29" i="55"/>
  <c r="AA85" i="44"/>
  <c r="AG44" i="55"/>
  <c r="AI142" i="56"/>
  <c r="AB92" i="47" s="1"/>
  <c r="AM116" i="56" a="1"/>
  <c r="AM116" i="56" s="1"/>
  <c r="AJ142" i="56" s="1"/>
  <c r="AC92" i="47" s="1"/>
  <c r="AF39" i="55"/>
  <c r="V131" i="47"/>
  <c r="AF42" i="55"/>
  <c r="V134" i="47"/>
  <c r="S127" i="57"/>
  <c r="S154" i="57" s="1"/>
  <c r="S166" i="57" s="1"/>
  <c r="AF38" i="55"/>
  <c r="V132" i="47"/>
  <c r="U54" i="47"/>
  <c r="AE134" i="55"/>
  <c r="U50" i="47"/>
  <c r="AE109" i="55"/>
  <c r="AW97" i="58" a="1"/>
  <c r="AW97" i="58" s="1"/>
  <c r="Z106" i="60"/>
  <c r="U77" i="47" s="1"/>
  <c r="T77" i="47"/>
  <c r="Y33" i="44"/>
  <c r="Y36" i="44" s="1"/>
  <c r="AC22" i="60" s="1" a="1"/>
  <c r="AC22" i="60" s="1"/>
  <c r="AL33" i="55"/>
  <c r="AB127" i="47"/>
  <c r="U49" i="47"/>
  <c r="AE111" i="55"/>
  <c r="AA101" i="60"/>
  <c r="U69" i="47"/>
  <c r="AG86" i="55"/>
  <c r="X34" i="47" s="1"/>
  <c r="AG80" i="55"/>
  <c r="X36" i="47" s="1"/>
  <c r="AG88" i="55"/>
  <c r="X33" i="47" s="1"/>
  <c r="AG82" i="55"/>
  <c r="X37" i="47" s="1"/>
  <c r="Y35" i="44"/>
  <c r="Y38" i="44" s="1"/>
  <c r="AC24" i="60" s="1" a="1"/>
  <c r="AC24" i="60" s="1"/>
  <c r="Z87" i="44"/>
  <c r="U45" i="47"/>
  <c r="AE110" i="55"/>
  <c r="I81" i="57"/>
  <c r="AC120" i="57"/>
  <c r="AC121" i="57"/>
  <c r="AC119" i="57"/>
  <c r="AX100" i="58" a="1"/>
  <c r="AX100" i="58" s="1"/>
  <c r="U58" i="47"/>
  <c r="AE128" i="55"/>
  <c r="AC162" i="57"/>
  <c r="I54" i="57"/>
  <c r="U27" i="47"/>
  <c r="AE117" i="55"/>
  <c r="AB99" i="60"/>
  <c r="W70" i="47" s="1"/>
  <c r="U43" i="47"/>
  <c r="AE107" i="55"/>
  <c r="AG41" i="55"/>
  <c r="I45" i="57" l="1"/>
  <c r="S61" i="57"/>
  <c r="AC161" i="57"/>
  <c r="AC183" i="57" s="1"/>
  <c r="AC58" i="57"/>
  <c r="V32" i="47"/>
  <c r="AF83" i="55"/>
  <c r="AC163" i="57"/>
  <c r="AF92" i="55"/>
  <c r="AA82" i="60"/>
  <c r="AA90" i="60" s="1"/>
  <c r="AA109" i="60" s="1"/>
  <c r="V75" i="47" s="1"/>
  <c r="AG43" i="55"/>
  <c r="X135" i="47" s="1"/>
  <c r="AB103" i="60"/>
  <c r="W73" i="47" s="1"/>
  <c r="V44" i="47"/>
  <c r="AF112" i="55"/>
  <c r="V5" i="47"/>
  <c r="Z22" i="35"/>
  <c r="AF102" i="55"/>
  <c r="W20" i="47" s="1"/>
  <c r="AF96" i="55"/>
  <c r="W14" i="47" s="1"/>
  <c r="AE24" i="58"/>
  <c r="AE31" i="58"/>
  <c r="AE34" i="58" s="1"/>
  <c r="AF23" i="58"/>
  <c r="AD34" i="58"/>
  <c r="AI60" i="58"/>
  <c r="AD60" i="58"/>
  <c r="V61" i="47"/>
  <c r="AF135" i="55"/>
  <c r="AA112" i="60"/>
  <c r="V79" i="47" s="1"/>
  <c r="V22" i="47"/>
  <c r="AF118" i="55"/>
  <c r="S155" i="57"/>
  <c r="S167" i="57" s="1"/>
  <c r="AF31" i="55"/>
  <c r="V136" i="47"/>
  <c r="AH29" i="55"/>
  <c r="AA111" i="60"/>
  <c r="V80" i="47" s="1"/>
  <c r="AA81" i="60"/>
  <c r="Z89" i="60"/>
  <c r="Z102" i="60" s="1"/>
  <c r="U68" i="47" s="1"/>
  <c r="V42" i="47"/>
  <c r="AF105" i="55"/>
  <c r="S153" i="57"/>
  <c r="S165" i="57" s="1"/>
  <c r="AA110" i="60"/>
  <c r="V81" i="47" s="1"/>
  <c r="V29" i="47"/>
  <c r="AF120" i="55"/>
  <c r="AB105" i="60"/>
  <c r="W71" i="47" s="1"/>
  <c r="AA84" i="60"/>
  <c r="AA92" i="60" s="1"/>
  <c r="AA113" i="60" s="1"/>
  <c r="V78" i="47" s="1"/>
  <c r="AH15" i="55" a="1"/>
  <c r="AH15" i="55" s="1"/>
  <c r="AH91" i="55" s="1"/>
  <c r="AA9" i="44"/>
  <c r="AA30" i="44" s="1"/>
  <c r="AA31" i="44" s="1"/>
  <c r="AG91" i="55"/>
  <c r="AG95" i="55" s="1"/>
  <c r="X11" i="47" s="1"/>
  <c r="AG34" i="55"/>
  <c r="V38" i="47"/>
  <c r="AF87" i="55"/>
  <c r="AA107" i="60"/>
  <c r="V82" i="47" s="1"/>
  <c r="V21" i="47"/>
  <c r="AF116" i="55"/>
  <c r="V24" i="47"/>
  <c r="AF121" i="55"/>
  <c r="AA108" i="60"/>
  <c r="V76" i="47" s="1"/>
  <c r="V40" i="47"/>
  <c r="AF90" i="55"/>
  <c r="V12" i="47"/>
  <c r="AF100" i="55"/>
  <c r="AH36" i="55"/>
  <c r="V30" i="47"/>
  <c r="AF124" i="55"/>
  <c r="AA115" i="60"/>
  <c r="V63" i="47" s="1"/>
  <c r="AC90" i="57"/>
  <c r="AC125" i="57" s="1"/>
  <c r="AC129" i="57" s="1"/>
  <c r="I87" i="57"/>
  <c r="I90" i="57" s="1"/>
  <c r="I125" i="57" s="1"/>
  <c r="H58" i="57"/>
  <c r="AB59" i="57"/>
  <c r="AB61" i="57"/>
  <c r="V18" i="47"/>
  <c r="AF97" i="55"/>
  <c r="AB18" i="60"/>
  <c r="V233" i="57" a="1"/>
  <c r="V233" i="57" s="1"/>
  <c r="W233" i="57" s="1" a="1"/>
  <c r="W233" i="57" s="1"/>
  <c r="X233" i="57" a="1"/>
  <c r="X233" i="57" s="1"/>
  <c r="V35" i="47"/>
  <c r="AF84" i="55"/>
  <c r="V56" i="47"/>
  <c r="AF130" i="55"/>
  <c r="V7" i="47"/>
  <c r="Z26" i="35"/>
  <c r="AH41" i="55"/>
  <c r="AH44" i="55"/>
  <c r="AD45" i="60" a="1"/>
  <c r="AD45" i="60" s="1"/>
  <c r="AA39" i="44"/>
  <c r="Z40" i="44"/>
  <c r="W201" i="57" a="1"/>
  <c r="W201" i="57" s="1"/>
  <c r="R220" i="57" a="1"/>
  <c r="R220" i="57" s="1"/>
  <c r="K102" i="47" s="1"/>
  <c r="V31" i="47"/>
  <c r="AF81" i="55"/>
  <c r="R221" i="57" a="1"/>
  <c r="R221" i="57" s="1"/>
  <c r="K101" i="47" s="1"/>
  <c r="W202" i="57" a="1"/>
  <c r="W202" i="57" s="1"/>
  <c r="H186" i="57"/>
  <c r="H112" i="57"/>
  <c r="AC6" i="35" a="1"/>
  <c r="AC6" i="35" s="1"/>
  <c r="AB7" i="44"/>
  <c r="V8" i="47"/>
  <c r="Z23" i="35"/>
  <c r="AB125" i="57"/>
  <c r="AB129" i="57" s="1"/>
  <c r="R129" i="57"/>
  <c r="AI11" i="55" a="1"/>
  <c r="AI11" i="55" s="1"/>
  <c r="AI30" i="55" s="1"/>
  <c r="AB19" i="44"/>
  <c r="V9" i="47"/>
  <c r="Z24" i="35"/>
  <c r="Z25" i="35"/>
  <c r="V6" i="47"/>
  <c r="AA85" i="60"/>
  <c r="AA93" i="60" s="1"/>
  <c r="AA119" i="60" s="1"/>
  <c r="V65" i="47" s="1"/>
  <c r="AA83" i="60"/>
  <c r="AA91" i="60" s="1"/>
  <c r="AA116" i="60" s="1"/>
  <c r="V62" i="47" s="1"/>
  <c r="AA114" i="60"/>
  <c r="V64" i="47" s="1"/>
  <c r="V72" i="47"/>
  <c r="AB104" i="60"/>
  <c r="W72" i="47" s="1"/>
  <c r="AI139" i="56"/>
  <c r="AB89" i="47" s="1"/>
  <c r="AM113" i="56" a="1"/>
  <c r="AM113" i="56" s="1"/>
  <c r="AJ139" i="56" s="1"/>
  <c r="AC89" i="47" s="1"/>
  <c r="Y138" i="47"/>
  <c r="AC127" i="57"/>
  <c r="AC154" i="57" s="1"/>
  <c r="AC149" i="57"/>
  <c r="I149" i="57" s="1"/>
  <c r="AC150" i="57"/>
  <c r="I150" i="57" s="1"/>
  <c r="I187" i="57" s="1"/>
  <c r="AC151" i="57"/>
  <c r="I151" i="57" s="1"/>
  <c r="I188" i="57" s="1"/>
  <c r="I111" i="57"/>
  <c r="L253" i="57" s="1"/>
  <c r="V54" i="47"/>
  <c r="AF134" i="55"/>
  <c r="V41" i="47"/>
  <c r="AF89" i="55"/>
  <c r="V10" i="47"/>
  <c r="AF93" i="55"/>
  <c r="BA96" i="58" a="1"/>
  <c r="BA96" i="58" s="1"/>
  <c r="AI17" i="55" a="1"/>
  <c r="AI17" i="55" s="1"/>
  <c r="AI103" i="55" s="1"/>
  <c r="AB20" i="44"/>
  <c r="AC128" i="57"/>
  <c r="AC156" i="57" s="1"/>
  <c r="AY93" i="58" a="1"/>
  <c r="AY93" i="58" s="1"/>
  <c r="AI10" i="55" a="1"/>
  <c r="AI10" i="55" s="1"/>
  <c r="AI79" i="55" s="1"/>
  <c r="AB18" i="44"/>
  <c r="AI148" i="56"/>
  <c r="AM122" i="56" a="1"/>
  <c r="AM122" i="56" s="1"/>
  <c r="AJ148" i="56" s="1"/>
  <c r="Z35" i="44"/>
  <c r="Z38" i="44" s="1"/>
  <c r="AD24" i="60" s="1" a="1"/>
  <c r="AD24" i="60" s="1"/>
  <c r="AA87" i="44"/>
  <c r="AM33" i="55"/>
  <c r="AC127" i="47"/>
  <c r="AR186" i="56"/>
  <c r="AC97" i="47"/>
  <c r="BA94" i="58" a="1"/>
  <c r="BA94" i="58" s="1"/>
  <c r="AI141" i="56"/>
  <c r="AB91" i="47" s="1"/>
  <c r="AM115" i="56" a="1"/>
  <c r="AM115" i="56" s="1"/>
  <c r="AJ141" i="56" s="1"/>
  <c r="AC91" i="47" s="1"/>
  <c r="AA106" i="60"/>
  <c r="V26" i="47"/>
  <c r="AF115" i="55"/>
  <c r="AH113" i="55"/>
  <c r="Y51" i="47" s="1"/>
  <c r="AH108" i="55"/>
  <c r="Y46" i="47" s="1"/>
  <c r="AH106" i="55"/>
  <c r="Y48" i="47" s="1"/>
  <c r="AH104" i="55"/>
  <c r="Y47" i="47" s="1"/>
  <c r="AH86" i="55"/>
  <c r="Y34" i="47" s="1"/>
  <c r="AH80" i="55"/>
  <c r="Y36" i="47" s="1"/>
  <c r="AH88" i="55"/>
  <c r="Y33" i="47" s="1"/>
  <c r="AH82" i="55"/>
  <c r="Y37" i="47" s="1"/>
  <c r="AP187" i="56"/>
  <c r="AA98" i="47"/>
  <c r="I116" i="57"/>
  <c r="I115" i="57"/>
  <c r="I117" i="57"/>
  <c r="AI146" i="56"/>
  <c r="AB96" i="47" s="1"/>
  <c r="AM120" i="56" a="1"/>
  <c r="AM120" i="56" s="1"/>
  <c r="AJ146" i="56" s="1"/>
  <c r="AC96" i="47" s="1"/>
  <c r="V13" i="47"/>
  <c r="AF98" i="55"/>
  <c r="V49" i="47"/>
  <c r="AF111" i="55"/>
  <c r="AQ186" i="56"/>
  <c r="AB97" i="47"/>
  <c r="AG42" i="55"/>
  <c r="W134" i="47"/>
  <c r="Z33" i="44"/>
  <c r="Z36" i="44" s="1"/>
  <c r="AD22" i="60" s="1" a="1"/>
  <c r="AD22" i="60" s="1"/>
  <c r="AZ98" i="58" a="1"/>
  <c r="AZ98" i="58" s="1"/>
  <c r="AF40" i="55"/>
  <c r="V128" i="47"/>
  <c r="AA118" i="60"/>
  <c r="U66" i="47"/>
  <c r="AC35" i="60"/>
  <c r="AC38" i="60" s="1"/>
  <c r="AI25" i="55" a="1"/>
  <c r="AI25" i="55" s="1"/>
  <c r="AI125" i="55" s="1"/>
  <c r="AB22" i="44"/>
  <c r="I163" i="57"/>
  <c r="I58" i="57"/>
  <c r="AC61" i="57"/>
  <c r="AC59" i="57"/>
  <c r="V43" i="47"/>
  <c r="AF107" i="55"/>
  <c r="AC36" i="60"/>
  <c r="AB85" i="44"/>
  <c r="V19" i="47"/>
  <c r="AF101" i="55"/>
  <c r="AI22" i="55" a="1"/>
  <c r="AI22" i="55" s="1"/>
  <c r="AI114" i="55" s="1"/>
  <c r="AB12" i="44"/>
  <c r="W16" i="47"/>
  <c r="W15" i="47"/>
  <c r="AA86" i="44"/>
  <c r="Z34" i="44"/>
  <c r="Z37" i="44" s="1"/>
  <c r="AD23" i="60" s="1" a="1"/>
  <c r="AD23" i="60" s="1"/>
  <c r="AX99" i="58" a="1"/>
  <c r="AX99" i="58" s="1"/>
  <c r="AH131" i="55"/>
  <c r="Y60" i="47" s="1"/>
  <c r="AH132" i="55"/>
  <c r="Y55" i="47" s="1"/>
  <c r="AH133" i="55"/>
  <c r="Y59" i="47" s="1"/>
  <c r="AH127" i="55"/>
  <c r="Y52" i="47" s="1"/>
  <c r="AI145" i="56"/>
  <c r="AB95" i="47" s="1"/>
  <c r="AM119" i="56" a="1"/>
  <c r="AM119" i="56" s="1"/>
  <c r="AJ145" i="56" s="1"/>
  <c r="AC95" i="47" s="1"/>
  <c r="V45" i="47"/>
  <c r="AF110" i="55"/>
  <c r="V58" i="47"/>
  <c r="AF128" i="55"/>
  <c r="AG38" i="55"/>
  <c r="W132" i="47"/>
  <c r="AC34" i="60"/>
  <c r="AC25" i="60"/>
  <c r="AC19" i="60" s="1"/>
  <c r="AC100" i="60"/>
  <c r="X74" i="47" s="1"/>
  <c r="AC99" i="60"/>
  <c r="X70" i="47" s="1"/>
  <c r="AA117" i="60"/>
  <c r="U67" i="47"/>
  <c r="V27" i="47"/>
  <c r="AF117" i="55"/>
  <c r="AX97" i="58" a="1"/>
  <c r="AX97" i="58" s="1"/>
  <c r="V39" i="47"/>
  <c r="AF85" i="55"/>
  <c r="AH119" i="55"/>
  <c r="Y25" i="47" s="1"/>
  <c r="AH123" i="55"/>
  <c r="Y23" i="47" s="1"/>
  <c r="AH122" i="55"/>
  <c r="Y28" i="47" s="1"/>
  <c r="I123" i="57"/>
  <c r="I124" i="57"/>
  <c r="AI23" i="55" a="1"/>
  <c r="AI23" i="55" s="1"/>
  <c r="AI24" i="55" a="1"/>
  <c r="AI24" i="55" s="1"/>
  <c r="AB24" i="44"/>
  <c r="BA92" i="58" a="1"/>
  <c r="BA92" i="58" s="1"/>
  <c r="AY100" i="58" a="1"/>
  <c r="AY100" i="58" s="1"/>
  <c r="AB101" i="60"/>
  <c r="V69" i="47"/>
  <c r="AG35" i="55"/>
  <c r="W130" i="47"/>
  <c r="AX95" i="58" a="1"/>
  <c r="AX95" i="58" s="1"/>
  <c r="AG32" i="55"/>
  <c r="W137" i="47"/>
  <c r="AH37" i="55"/>
  <c r="X129" i="47"/>
  <c r="AJ21" i="55" a="1"/>
  <c r="AJ21" i="55" s="1"/>
  <c r="AJ18" i="55" a="1"/>
  <c r="AJ18" i="55" s="1"/>
  <c r="AJ19" i="55" a="1"/>
  <c r="AJ19" i="55" s="1"/>
  <c r="AJ20" i="55" a="1"/>
  <c r="AJ20" i="55" s="1"/>
  <c r="AC21" i="44"/>
  <c r="AJ10" i="58" a="1"/>
  <c r="AJ10" i="58" s="1"/>
  <c r="AB8" i="44"/>
  <c r="V50" i="47"/>
  <c r="AF109" i="55"/>
  <c r="AG39" i="55"/>
  <c r="W131" i="47"/>
  <c r="AB86" i="47"/>
  <c r="AF55" i="29" a="1"/>
  <c r="AF55" i="29" s="1"/>
  <c r="AC86" i="47" s="1"/>
  <c r="AB82" i="60"/>
  <c r="AB90" i="60" s="1"/>
  <c r="AB109" i="60" s="1"/>
  <c r="W75" i="47" s="1"/>
  <c r="AB19" i="60"/>
  <c r="V57" i="47"/>
  <c r="AF126" i="55"/>
  <c r="I162" i="57"/>
  <c r="AI144" i="56"/>
  <c r="AB94" i="47" s="1"/>
  <c r="AM118" i="56" a="1"/>
  <c r="AM118" i="56" s="1"/>
  <c r="AJ144" i="56" s="1"/>
  <c r="AC94" i="47" s="1"/>
  <c r="I119" i="57"/>
  <c r="I121" i="57"/>
  <c r="I120" i="57"/>
  <c r="AJ13" i="55" a="1"/>
  <c r="AJ13" i="55" s="1"/>
  <c r="AJ12" i="55" a="1"/>
  <c r="AJ12" i="55" s="1"/>
  <c r="AC17" i="44"/>
  <c r="V53" i="47"/>
  <c r="AF129" i="55"/>
  <c r="V17" i="47"/>
  <c r="AF99" i="55"/>
  <c r="V133" i="47"/>
  <c r="AF136" i="55"/>
  <c r="I161" i="57" l="1"/>
  <c r="W32" i="47"/>
  <c r="AG83" i="55"/>
  <c r="AC103" i="60"/>
  <c r="X73" i="47" s="1"/>
  <c r="AH43" i="55"/>
  <c r="Y135" i="47" s="1"/>
  <c r="AB111" i="60"/>
  <c r="W80" i="47" s="1"/>
  <c r="AH34" i="55"/>
  <c r="AA22" i="35"/>
  <c r="W5" i="47"/>
  <c r="W44" i="47"/>
  <c r="AG112" i="55"/>
  <c r="AB112" i="60"/>
  <c r="W79" i="47" s="1"/>
  <c r="AD35" i="58"/>
  <c r="AD156" i="58"/>
  <c r="AD155" i="58"/>
  <c r="AD154" i="58"/>
  <c r="AD153" i="58"/>
  <c r="AD152" i="58"/>
  <c r="AD157" i="58"/>
  <c r="AD151" i="58"/>
  <c r="AD159" i="58"/>
  <c r="AD158" i="58"/>
  <c r="AF24" i="58"/>
  <c r="AF31" i="58"/>
  <c r="AF34" i="58" s="1"/>
  <c r="AG23" i="58"/>
  <c r="AE157" i="58"/>
  <c r="AE35" i="58"/>
  <c r="AE153" i="58"/>
  <c r="AE152" i="58"/>
  <c r="AE159" i="58"/>
  <c r="AE158" i="58"/>
  <c r="AE156" i="58"/>
  <c r="AE151" i="58"/>
  <c r="AE154" i="58"/>
  <c r="AE155" i="58"/>
  <c r="AG102" i="55"/>
  <c r="AH102" i="55" s="1"/>
  <c r="S169" i="57"/>
  <c r="S179" i="57" s="1"/>
  <c r="AI179" i="57" s="1"/>
  <c r="W61" i="47"/>
  <c r="AG135" i="55"/>
  <c r="AB83" i="60"/>
  <c r="AB91" i="60" s="1"/>
  <c r="AB116" i="60" s="1"/>
  <c r="W62" i="47" s="1"/>
  <c r="AB110" i="60"/>
  <c r="W81" i="47" s="1"/>
  <c r="Z74" i="60"/>
  <c r="Z77" i="60" s="1"/>
  <c r="AG31" i="55"/>
  <c r="W136" i="47"/>
  <c r="W22" i="47"/>
  <c r="AG118" i="55"/>
  <c r="AA89" i="60"/>
  <c r="AA102" i="60" s="1"/>
  <c r="V68" i="47" s="1"/>
  <c r="AB81" i="60"/>
  <c r="AB89" i="60" s="1"/>
  <c r="AB102" i="60" s="1"/>
  <c r="W68" i="47" s="1"/>
  <c r="AG96" i="55"/>
  <c r="X14" i="47" s="1"/>
  <c r="AB85" i="60"/>
  <c r="AB93" i="60" s="1"/>
  <c r="AB119" i="60" s="1"/>
  <c r="W65" i="47" s="1"/>
  <c r="W29" i="47"/>
  <c r="AG120" i="55"/>
  <c r="W42" i="47"/>
  <c r="AG105" i="55"/>
  <c r="AI36" i="55"/>
  <c r="AC105" i="60"/>
  <c r="X71" i="47" s="1"/>
  <c r="AB84" i="60"/>
  <c r="AB92" i="60" s="1"/>
  <c r="AB113" i="60" s="1"/>
  <c r="W78" i="47" s="1"/>
  <c r="AG94" i="55"/>
  <c r="AH94" i="55" s="1"/>
  <c r="W38" i="47"/>
  <c r="AG87" i="55"/>
  <c r="AG92" i="55"/>
  <c r="X15" i="47" s="1"/>
  <c r="AI15" i="55" a="1"/>
  <c r="AI15" i="55" s="1"/>
  <c r="AB9" i="44"/>
  <c r="AB30" i="44" s="1"/>
  <c r="AB31" i="44" s="1"/>
  <c r="AH95" i="55"/>
  <c r="Y11" i="47" s="1"/>
  <c r="AB107" i="60"/>
  <c r="W82" i="47" s="1"/>
  <c r="AB108" i="60"/>
  <c r="W76" i="47" s="1"/>
  <c r="W12" i="47"/>
  <c r="AG100" i="55"/>
  <c r="AB114" i="60"/>
  <c r="W64" i="47" s="1"/>
  <c r="W40" i="47"/>
  <c r="AG90" i="55"/>
  <c r="AI29" i="55"/>
  <c r="W24" i="47"/>
  <c r="AG121" i="55"/>
  <c r="AA33" i="44"/>
  <c r="AA36" i="44" s="1"/>
  <c r="AE22" i="60" s="1" a="1"/>
  <c r="AE22" i="60" s="1"/>
  <c r="AE34" i="60" s="1"/>
  <c r="AE37" i="60" s="1"/>
  <c r="W21" i="47"/>
  <c r="AG116" i="55"/>
  <c r="W30" i="47"/>
  <c r="AG124" i="55"/>
  <c r="AB115" i="60"/>
  <c r="W63" i="47" s="1"/>
  <c r="R153" i="57"/>
  <c r="R152" i="57"/>
  <c r="R155" i="57"/>
  <c r="W35" i="47"/>
  <c r="AG84" i="55"/>
  <c r="W8" i="47"/>
  <c r="AA23" i="35"/>
  <c r="AC7" i="44"/>
  <c r="AD6" i="35" a="1"/>
  <c r="AD6" i="35" s="1"/>
  <c r="AE45" i="60" a="1"/>
  <c r="AE45" i="60" s="1"/>
  <c r="AA40" i="44"/>
  <c r="AB39" i="44"/>
  <c r="W6" i="47"/>
  <c r="AA25" i="35"/>
  <c r="W18" i="47"/>
  <c r="AG97" i="55"/>
  <c r="W9" i="47"/>
  <c r="AA24" i="35"/>
  <c r="W200" i="57" a="1"/>
  <c r="W200" i="57" s="1"/>
  <c r="R219" i="57" a="1"/>
  <c r="R219" i="57" s="1"/>
  <c r="K100" i="47" s="1"/>
  <c r="AC104" i="60"/>
  <c r="X72" i="47" s="1"/>
  <c r="AJ11" i="55" a="1"/>
  <c r="AJ11" i="55" s="1"/>
  <c r="AJ30" i="55" s="1"/>
  <c r="AC19" i="44"/>
  <c r="W7" i="47"/>
  <c r="AA26" i="35"/>
  <c r="AB60" i="57"/>
  <c r="H59" i="57"/>
  <c r="H60" i="57" s="1"/>
  <c r="W56" i="47"/>
  <c r="AG130" i="55"/>
  <c r="W31" i="47"/>
  <c r="AG81" i="55"/>
  <c r="W45" i="47"/>
  <c r="AG110" i="55"/>
  <c r="AZ100" i="58" a="1"/>
  <c r="AZ100" i="58" s="1"/>
  <c r="AI37" i="55"/>
  <c r="Y129" i="47"/>
  <c r="BA98" i="58" a="1"/>
  <c r="BA98" i="58" s="1"/>
  <c r="W17" i="47"/>
  <c r="AG99" i="55"/>
  <c r="AH32" i="55"/>
  <c r="X137" i="47"/>
  <c r="W53" i="47"/>
  <c r="AG129" i="55"/>
  <c r="AH39" i="55"/>
  <c r="X131" i="47"/>
  <c r="AK18" i="55" a="1"/>
  <c r="AK18" i="55" s="1"/>
  <c r="AK19" i="55" a="1"/>
  <c r="AK19" i="55" s="1"/>
  <c r="AK20" i="55" a="1"/>
  <c r="AK20" i="55" s="1"/>
  <c r="AK21" i="55" a="1"/>
  <c r="AK21" i="55" s="1"/>
  <c r="AD21" i="44"/>
  <c r="AJ23" i="55" a="1"/>
  <c r="AJ23" i="55" s="1"/>
  <c r="AJ24" i="55" a="1"/>
  <c r="AJ24" i="55" s="1"/>
  <c r="AC24" i="44"/>
  <c r="W58" i="47"/>
  <c r="AG128" i="55"/>
  <c r="AH42" i="55"/>
  <c r="X134" i="47"/>
  <c r="I129" i="57"/>
  <c r="AR187" i="56"/>
  <c r="AC98" i="47"/>
  <c r="AC220" i="57" a="1"/>
  <c r="AC220" i="57" s="1"/>
  <c r="T102" i="47" s="1"/>
  <c r="AH201" i="57" a="1"/>
  <c r="AH201" i="57" s="1"/>
  <c r="S220" i="57" a="1"/>
  <c r="S220" i="57" s="1"/>
  <c r="L102" i="47" s="1"/>
  <c r="X201" i="57" a="1"/>
  <c r="X201" i="57" s="1"/>
  <c r="Y201" i="57" s="1" a="1"/>
  <c r="Y201" i="57" s="1"/>
  <c r="Z201" i="57" s="1" a="1"/>
  <c r="Z201" i="57" s="1"/>
  <c r="AA201" i="57" s="1" a="1"/>
  <c r="AA201" i="57" s="1"/>
  <c r="AB201" i="57" s="1" a="1"/>
  <c r="AB201" i="57" s="1"/>
  <c r="AC201" i="57" s="1" a="1"/>
  <c r="AC201" i="57" s="1"/>
  <c r="AD201" i="57" s="1" a="1"/>
  <c r="AD201" i="57" s="1"/>
  <c r="W39" i="47"/>
  <c r="AG85" i="55"/>
  <c r="AJ22" i="55" a="1"/>
  <c r="AJ22" i="55" s="1"/>
  <c r="AJ114" i="55" s="1"/>
  <c r="AC12" i="44"/>
  <c r="I61" i="57"/>
  <c r="F61" i="57"/>
  <c r="W50" i="47"/>
  <c r="AG109" i="55"/>
  <c r="W43" i="47"/>
  <c r="AG107" i="55"/>
  <c r="AC18" i="60"/>
  <c r="I127" i="57"/>
  <c r="AQ187" i="56"/>
  <c r="AB98" i="47"/>
  <c r="W10" i="47"/>
  <c r="AG93" i="55"/>
  <c r="I186" i="57"/>
  <c r="I112" i="57"/>
  <c r="Y234" i="57" a="1"/>
  <c r="Y234" i="57" s="1"/>
  <c r="Z234" i="57" s="1" a="1"/>
  <c r="Z234" i="57" s="1"/>
  <c r="AJ234" i="57" a="1"/>
  <c r="AJ234" i="57" s="1"/>
  <c r="AK234" i="57" s="1" a="1"/>
  <c r="AK234" i="57" s="1"/>
  <c r="AH35" i="55"/>
  <c r="X130" i="47"/>
  <c r="AC82" i="60"/>
  <c r="AC90" i="60" s="1"/>
  <c r="AC109" i="60" s="1"/>
  <c r="X75" i="47" s="1"/>
  <c r="I128" i="57"/>
  <c r="AI44" i="55"/>
  <c r="AJ10" i="55" a="1"/>
  <c r="AJ10" i="55" s="1"/>
  <c r="AJ79" i="55" s="1"/>
  <c r="AC18" i="44"/>
  <c r="AC166" i="57"/>
  <c r="I154" i="57"/>
  <c r="I191" i="57" s="1"/>
  <c r="AI86" i="55"/>
  <c r="Z34" i="47" s="1"/>
  <c r="AI80" i="55"/>
  <c r="Z36" i="47" s="1"/>
  <c r="AI88" i="55"/>
  <c r="Z33" i="47" s="1"/>
  <c r="AI82" i="55"/>
  <c r="Z37" i="47" s="1"/>
  <c r="W41" i="47"/>
  <c r="AG89" i="55"/>
  <c r="AZ93" i="58" a="1"/>
  <c r="AZ93" i="58" s="1"/>
  <c r="Z138" i="47"/>
  <c r="W26" i="47"/>
  <c r="AG115" i="55"/>
  <c r="AN33" i="55"/>
  <c r="AD127" i="47"/>
  <c r="AC60" i="57"/>
  <c r="I59" i="57"/>
  <c r="I60" i="57" s="1"/>
  <c r="AI122" i="55"/>
  <c r="Z28" i="47" s="1"/>
  <c r="AI119" i="55"/>
  <c r="Z25" i="47" s="1"/>
  <c r="AI123" i="55"/>
  <c r="Z23" i="47" s="1"/>
  <c r="AC17" i="60"/>
  <c r="W19" i="47"/>
  <c r="AG101" i="55"/>
  <c r="W49" i="47"/>
  <c r="AG111" i="55"/>
  <c r="AC152" i="57"/>
  <c r="AC155" i="57"/>
  <c r="AC153" i="57"/>
  <c r="AB87" i="44"/>
  <c r="AA35" i="44"/>
  <c r="AA38" i="44" s="1"/>
  <c r="AE24" i="60" s="1" a="1"/>
  <c r="AE24" i="60" s="1"/>
  <c r="AC168" i="57"/>
  <c r="I156" i="57"/>
  <c r="I193" i="57" s="1"/>
  <c r="W27" i="47"/>
  <c r="AG117" i="55"/>
  <c r="Y235" i="57" a="1"/>
  <c r="Y235" i="57" s="1"/>
  <c r="Z235" i="57" s="1" a="1"/>
  <c r="Z235" i="57" s="1"/>
  <c r="AJ235" i="57" a="1"/>
  <c r="AJ235" i="57" s="1"/>
  <c r="AK235" i="57" s="1" a="1"/>
  <c r="AK235" i="57" s="1"/>
  <c r="AB106" i="60"/>
  <c r="V77" i="47"/>
  <c r="AD36" i="60"/>
  <c r="AJ17" i="55" a="1"/>
  <c r="AJ17" i="55" s="1"/>
  <c r="AJ103" i="55" s="1"/>
  <c r="AC20" i="44"/>
  <c r="AI41" i="55"/>
  <c r="AI113" i="55"/>
  <c r="Z51" i="47" s="1"/>
  <c r="AI108" i="55"/>
  <c r="Z46" i="47" s="1"/>
  <c r="AI106" i="55"/>
  <c r="Z48" i="47" s="1"/>
  <c r="AI104" i="55"/>
  <c r="Z47" i="47" s="1"/>
  <c r="W54" i="47"/>
  <c r="AG134" i="55"/>
  <c r="AK13" i="55" a="1"/>
  <c r="AK13" i="55" s="1"/>
  <c r="AK12" i="55" a="1"/>
  <c r="AK12" i="55" s="1"/>
  <c r="AD17" i="44"/>
  <c r="AC101" i="60"/>
  <c r="W69" i="47"/>
  <c r="W133" i="47"/>
  <c r="AG136" i="55"/>
  <c r="AY99" i="58" a="1"/>
  <c r="AY99" i="58" s="1"/>
  <c r="AK10" i="58" a="1"/>
  <c r="AK10" i="58" s="1"/>
  <c r="AC8" i="44"/>
  <c r="BB92" i="58" a="1"/>
  <c r="BB92" i="58" s="1"/>
  <c r="AC37" i="60"/>
  <c r="AJ25" i="55" a="1"/>
  <c r="AJ25" i="55" s="1"/>
  <c r="AJ125" i="55" s="1"/>
  <c r="AC22" i="44"/>
  <c r="AG40" i="55"/>
  <c r="W128" i="47"/>
  <c r="BB96" i="58" a="1"/>
  <c r="BB96" i="58" s="1"/>
  <c r="AY97" i="58" a="1"/>
  <c r="AY97" i="58" s="1"/>
  <c r="AB118" i="60"/>
  <c r="V66" i="47"/>
  <c r="AJ260" i="57" a="1"/>
  <c r="AJ260" i="57" s="1"/>
  <c r="AK260" i="57" s="1" a="1"/>
  <c r="AK260" i="57" s="1"/>
  <c r="Y260" i="57" a="1"/>
  <c r="Y260" i="57" s="1"/>
  <c r="Z260" i="57" s="1" a="1"/>
  <c r="Z260" i="57" s="1"/>
  <c r="Y233" i="57" a="1"/>
  <c r="Y233" i="57" s="1"/>
  <c r="Z233" i="57" s="1" a="1"/>
  <c r="Z233" i="57" s="1"/>
  <c r="AJ233" i="57" a="1"/>
  <c r="AJ233" i="57" s="1"/>
  <c r="AK233" i="57" s="1" a="1"/>
  <c r="AK233" i="57" s="1"/>
  <c r="W57" i="47"/>
  <c r="AG126" i="55"/>
  <c r="AC85" i="44"/>
  <c r="AI132" i="55"/>
  <c r="Z55" i="47" s="1"/>
  <c r="AI133" i="55"/>
  <c r="Z59" i="47" s="1"/>
  <c r="AI127" i="55"/>
  <c r="Z52" i="47" s="1"/>
  <c r="AI131" i="55"/>
  <c r="Z60" i="47" s="1"/>
  <c r="AD25" i="60"/>
  <c r="AD19" i="60" s="1"/>
  <c r="AD34" i="60"/>
  <c r="AD100" i="60"/>
  <c r="Y74" i="47" s="1"/>
  <c r="AD99" i="60"/>
  <c r="Y70" i="47" s="1"/>
  <c r="BB94" i="58" a="1"/>
  <c r="BB94" i="58" s="1"/>
  <c r="L255" i="57"/>
  <c r="L254" i="57"/>
  <c r="W13" i="47"/>
  <c r="AG98" i="55"/>
  <c r="AD35" i="60"/>
  <c r="AD38" i="60" s="1"/>
  <c r="AY95" i="58" a="1"/>
  <c r="AY95" i="58" s="1"/>
  <c r="AB117" i="60"/>
  <c r="V67" i="47"/>
  <c r="AH38" i="55"/>
  <c r="X132" i="47"/>
  <c r="AA34" i="44"/>
  <c r="AA37" i="44" s="1"/>
  <c r="AE23" i="60" s="1" a="1"/>
  <c r="AE23" i="60" s="1"/>
  <c r="AB86" i="44"/>
  <c r="S221" i="57" a="1"/>
  <c r="S221" i="57" s="1"/>
  <c r="L101" i="47" s="1"/>
  <c r="AC221" i="57" a="1"/>
  <c r="AC221" i="57" s="1"/>
  <c r="T101" i="47" s="1"/>
  <c r="AH202" i="57" a="1"/>
  <c r="AH202" i="57" s="1"/>
  <c r="X202" i="57" a="1"/>
  <c r="X202" i="57" s="1"/>
  <c r="Y202" i="57" s="1" a="1"/>
  <c r="Y202" i="57" s="1"/>
  <c r="Z202" i="57" s="1" a="1"/>
  <c r="Z202" i="57" s="1"/>
  <c r="AA202" i="57" s="1" a="1"/>
  <c r="AA202" i="57" s="1"/>
  <c r="AB202" i="57" s="1" a="1"/>
  <c r="AB202" i="57" s="1"/>
  <c r="AC202" i="57" s="1" a="1"/>
  <c r="AC202" i="57" s="1"/>
  <c r="AD202" i="57" s="1" a="1"/>
  <c r="AD202" i="57" s="1"/>
  <c r="X16" i="47" l="1"/>
  <c r="AI43" i="55"/>
  <c r="Z135" i="47" s="1"/>
  <c r="X32" i="47"/>
  <c r="AH83" i="55"/>
  <c r="AJ43" i="55"/>
  <c r="AH92" i="55"/>
  <c r="AC111" i="60"/>
  <c r="X80" i="47" s="1"/>
  <c r="AD103" i="60"/>
  <c r="Y73" i="47" s="1"/>
  <c r="S176" i="57"/>
  <c r="AI176" i="57" s="1"/>
  <c r="AB33" i="44"/>
  <c r="AB36" i="44" s="1"/>
  <c r="AF22" i="60" s="1" a="1"/>
  <c r="AF22" i="60" s="1"/>
  <c r="S178" i="57"/>
  <c r="AI178" i="57" s="1"/>
  <c r="S173" i="57"/>
  <c r="AC83" i="60"/>
  <c r="AC91" i="60" s="1"/>
  <c r="AC116" i="60" s="1"/>
  <c r="X62" i="47" s="1"/>
  <c r="AC112" i="60"/>
  <c r="X79" i="47" s="1"/>
  <c r="AC110" i="60"/>
  <c r="X81" i="47" s="1"/>
  <c r="S172" i="57"/>
  <c r="S177" i="57"/>
  <c r="AI177" i="57" s="1"/>
  <c r="AG24" i="58"/>
  <c r="X44" i="47"/>
  <c r="AH112" i="55"/>
  <c r="S174" i="57"/>
  <c r="S175" i="57"/>
  <c r="AI175" i="57" s="1"/>
  <c r="X5" i="47"/>
  <c r="AB22" i="35"/>
  <c r="S170" i="57"/>
  <c r="X20" i="47"/>
  <c r="AF153" i="58"/>
  <c r="AF152" i="58"/>
  <c r="AF156" i="58"/>
  <c r="AF154" i="58"/>
  <c r="AF158" i="58"/>
  <c r="AF157" i="58"/>
  <c r="AF159" i="58"/>
  <c r="AF155" i="58"/>
  <c r="AF151" i="58"/>
  <c r="AF35" i="58"/>
  <c r="AA74" i="60"/>
  <c r="AA77" i="60" s="1"/>
  <c r="AE165" i="58"/>
  <c r="AE164" i="58"/>
  <c r="AE162" i="58"/>
  <c r="AE163" i="58"/>
  <c r="AE170" i="58"/>
  <c r="AE169" i="58"/>
  <c r="AE168" i="58"/>
  <c r="AE166" i="58"/>
  <c r="AE167" i="58"/>
  <c r="AE36" i="58"/>
  <c r="AG31" i="58"/>
  <c r="AG34" i="58" s="1"/>
  <c r="AH23" i="58"/>
  <c r="AD163" i="58"/>
  <c r="AD169" i="58"/>
  <c r="AD36" i="58"/>
  <c r="AD41" i="58" s="1"/>
  <c r="AD162" i="58"/>
  <c r="AD166" i="58"/>
  <c r="AD167" i="58"/>
  <c r="AD170" i="58"/>
  <c r="AD165" i="58"/>
  <c r="AD168" i="58"/>
  <c r="AD164" i="58"/>
  <c r="AC108" i="60"/>
  <c r="X76" i="47" s="1"/>
  <c r="AC84" i="60"/>
  <c r="AC92" i="60" s="1"/>
  <c r="AC113" i="60" s="1"/>
  <c r="X78" i="47" s="1"/>
  <c r="AJ29" i="55"/>
  <c r="X61" i="47"/>
  <c r="AH135" i="55"/>
  <c r="AC85" i="60"/>
  <c r="AC93" i="60" s="1"/>
  <c r="AC119" i="60" s="1"/>
  <c r="X65" i="47" s="1"/>
  <c r="AH96" i="55"/>
  <c r="Y14" i="47" s="1"/>
  <c r="V220" i="57" a="1"/>
  <c r="V220" i="57" s="1"/>
  <c r="X22" i="47"/>
  <c r="AH118" i="55"/>
  <c r="X136" i="47"/>
  <c r="AH31" i="55"/>
  <c r="AD104" i="60"/>
  <c r="Y72" i="47" s="1"/>
  <c r="AD105" i="60"/>
  <c r="Y71" i="47" s="1"/>
  <c r="AB74" i="60"/>
  <c r="AB77" i="60" s="1"/>
  <c r="AC81" i="60"/>
  <c r="AC89" i="60" s="1"/>
  <c r="AC102" i="60" s="1"/>
  <c r="X68" i="47" s="1"/>
  <c r="X42" i="47"/>
  <c r="AH105" i="55"/>
  <c r="X29" i="47"/>
  <c r="AH120" i="55"/>
  <c r="AC107" i="60"/>
  <c r="X82" i="47" s="1"/>
  <c r="L256" i="57"/>
  <c r="Y263" i="57" s="1" a="1"/>
  <c r="Y263" i="57" s="1"/>
  <c r="Z263" i="57" s="1" a="1"/>
  <c r="Z263" i="57" s="1"/>
  <c r="AC115" i="60"/>
  <c r="X63" i="47" s="1"/>
  <c r="AD17" i="60"/>
  <c r="AJ15" i="55" a="1"/>
  <c r="AJ15" i="55" s="1"/>
  <c r="AJ91" i="55" s="1"/>
  <c r="AC9" i="44"/>
  <c r="AC30" i="44" s="1"/>
  <c r="AC31" i="44" s="1"/>
  <c r="AI91" i="55"/>
  <c r="AI95" i="55" s="1"/>
  <c r="Z11" i="47" s="1"/>
  <c r="AI34" i="55"/>
  <c r="AJ36" i="55"/>
  <c r="X38" i="47"/>
  <c r="AH87" i="55"/>
  <c r="X21" i="47"/>
  <c r="AH116" i="55"/>
  <c r="X24" i="47"/>
  <c r="AH121" i="55"/>
  <c r="X30" i="47"/>
  <c r="AH124" i="55"/>
  <c r="X40" i="47"/>
  <c r="AH90" i="55"/>
  <c r="X12" i="47"/>
  <c r="AH100" i="55"/>
  <c r="AC114" i="60"/>
  <c r="X64" i="47" s="1"/>
  <c r="L257" i="57"/>
  <c r="AJ264" i="57" s="1" a="1"/>
  <c r="AJ264" i="57" s="1"/>
  <c r="AK264" i="57" s="1" a="1"/>
  <c r="AK264" i="57" s="1"/>
  <c r="AJ41" i="55"/>
  <c r="AB233" i="57" a="1"/>
  <c r="AB233" i="57" s="1"/>
  <c r="AC233" i="57" a="1"/>
  <c r="AC233" i="57" s="1"/>
  <c r="AA233" i="57" a="1"/>
  <c r="AA233" i="57" s="1"/>
  <c r="AD233" i="57" s="1" a="1"/>
  <c r="AD233" i="57" s="1"/>
  <c r="AE233" i="57" s="1" a="1"/>
  <c r="AE233" i="57" s="1"/>
  <c r="AF233" i="57" s="1" a="1"/>
  <c r="AF233" i="57" s="1"/>
  <c r="AG233" i="57" s="1" a="1"/>
  <c r="AG233" i="57" s="1"/>
  <c r="AH233" i="57" s="1" a="1"/>
  <c r="AH233" i="57" s="1"/>
  <c r="AI233" i="57" s="1" a="1"/>
  <c r="AI233" i="57" s="1"/>
  <c r="U221" i="57" a="1"/>
  <c r="U221" i="57" s="1"/>
  <c r="V221" i="57" a="1"/>
  <c r="V221" i="57" s="1"/>
  <c r="AB40" i="44"/>
  <c r="AF45" i="60" a="1"/>
  <c r="AF45" i="60" s="1"/>
  <c r="AC39" i="44"/>
  <c r="X31" i="47"/>
  <c r="AH81" i="55"/>
  <c r="X56" i="47"/>
  <c r="AH130" i="55"/>
  <c r="AB24" i="35"/>
  <c r="X9" i="47"/>
  <c r="AD7" i="44"/>
  <c r="AE6" i="35" a="1"/>
  <c r="AE6" i="35" s="1"/>
  <c r="AD18" i="60"/>
  <c r="X8" i="47"/>
  <c r="AB23" i="35"/>
  <c r="X18" i="47"/>
  <c r="AH97" i="55"/>
  <c r="X35" i="47"/>
  <c r="AH84" i="55"/>
  <c r="X7" i="47"/>
  <c r="AB26" i="35"/>
  <c r="L258" i="57"/>
  <c r="AJ265" i="57" s="1" a="1"/>
  <c r="AJ265" i="57" s="1"/>
  <c r="AK265" i="57" s="1" a="1"/>
  <c r="AK265" i="57" s="1"/>
  <c r="R167" i="57"/>
  <c r="AB155" i="57"/>
  <c r="H155" i="57" s="1"/>
  <c r="H192" i="57" s="1"/>
  <c r="T221" i="57" a="1"/>
  <c r="T221" i="57" s="1"/>
  <c r="AK11" i="55" a="1"/>
  <c r="AK11" i="55" s="1"/>
  <c r="AK30" i="55" s="1"/>
  <c r="AD19" i="44"/>
  <c r="X6" i="47"/>
  <c r="AB25" i="35"/>
  <c r="R164" i="57"/>
  <c r="AB152" i="57"/>
  <c r="H152" i="57" s="1"/>
  <c r="H189" i="57" s="1"/>
  <c r="AD37" i="60"/>
  <c r="R165" i="57"/>
  <c r="AB153" i="57"/>
  <c r="H153" i="57" s="1"/>
  <c r="H190" i="57" s="1"/>
  <c r="AE99" i="60"/>
  <c r="Z70" i="47" s="1"/>
  <c r="AE103" i="60"/>
  <c r="Z73" i="47" s="1"/>
  <c r="AG201" i="57" a="1"/>
  <c r="AG201" i="57" s="1"/>
  <c r="AF201" i="57" a="1"/>
  <c r="AF201" i="57" s="1"/>
  <c r="AE201" i="57" a="1"/>
  <c r="AE201" i="57" s="1"/>
  <c r="AF34" i="60"/>
  <c r="AF37" i="60" s="1"/>
  <c r="AC234" i="57" a="1"/>
  <c r="AC234" i="57" s="1"/>
  <c r="AB234" i="57" a="1"/>
  <c r="AB234" i="57" s="1"/>
  <c r="AA234" i="57" a="1"/>
  <c r="AA234" i="57" s="1"/>
  <c r="AD234" i="57" s="1" a="1"/>
  <c r="AD234" i="57" s="1"/>
  <c r="AE234" i="57" s="1" a="1"/>
  <c r="AE234" i="57" s="1"/>
  <c r="AF234" i="57" s="1" a="1"/>
  <c r="AF234" i="57" s="1"/>
  <c r="AG234" i="57" s="1" a="1"/>
  <c r="AG234" i="57" s="1"/>
  <c r="AH234" i="57" s="1" a="1"/>
  <c r="AH234" i="57" s="1"/>
  <c r="AI234" i="57" s="1" a="1"/>
  <c r="AI234" i="57" s="1"/>
  <c r="AC260" i="57" a="1"/>
  <c r="AC260" i="57" s="1"/>
  <c r="AA260" i="57" a="1"/>
  <c r="AA260" i="57" s="1"/>
  <c r="AD260" i="57" s="1" a="1"/>
  <c r="AD260" i="57" s="1"/>
  <c r="AE260" i="57" s="1" a="1"/>
  <c r="AE260" i="57" s="1"/>
  <c r="AF260" i="57" s="1" a="1"/>
  <c r="AF260" i="57" s="1"/>
  <c r="AG260" i="57" s="1" a="1"/>
  <c r="AG260" i="57" s="1"/>
  <c r="AH260" i="57" s="1" a="1"/>
  <c r="AH260" i="57" s="1"/>
  <c r="AI260" i="57" s="1" a="1"/>
  <c r="AI260" i="57" s="1"/>
  <c r="AB260" i="57" a="1"/>
  <c r="AB260" i="57" s="1"/>
  <c r="AE202" i="57" a="1"/>
  <c r="AE202" i="57" s="1"/>
  <c r="AG202" i="57" a="1"/>
  <c r="AG202" i="57" s="1"/>
  <c r="AF202" i="57" a="1"/>
  <c r="AF202" i="57" s="1"/>
  <c r="AA235" i="57" a="1"/>
  <c r="AA235" i="57" s="1"/>
  <c r="AD235" i="57" s="1" a="1"/>
  <c r="AD235" i="57" s="1"/>
  <c r="AE235" i="57" s="1" a="1"/>
  <c r="AE235" i="57" s="1"/>
  <c r="AF235" i="57" s="1" a="1"/>
  <c r="AF235" i="57" s="1"/>
  <c r="AG235" i="57" s="1" a="1"/>
  <c r="AG235" i="57" s="1"/>
  <c r="AH235" i="57" s="1" a="1"/>
  <c r="AH235" i="57" s="1"/>
  <c r="AI235" i="57" s="1" a="1"/>
  <c r="AI235" i="57" s="1"/>
  <c r="AB235" i="57" a="1"/>
  <c r="AB235" i="57" s="1"/>
  <c r="AC235" i="57" a="1"/>
  <c r="AC235" i="57" s="1"/>
  <c r="X13" i="47"/>
  <c r="AH98" i="55"/>
  <c r="AD83" i="60"/>
  <c r="AD91" i="60" s="1"/>
  <c r="AD116" i="60" s="1"/>
  <c r="Y62" i="47" s="1"/>
  <c r="AK10" i="55" a="1"/>
  <c r="AK10" i="55" s="1"/>
  <c r="AK79" i="55" s="1"/>
  <c r="AD18" i="44"/>
  <c r="AN234" i="57" a="1"/>
  <c r="AN234" i="57" s="1"/>
  <c r="AL234" i="57" a="1"/>
  <c r="AL234" i="57" s="1"/>
  <c r="AO234" i="57" s="1" a="1"/>
  <c r="AO234" i="57" s="1"/>
  <c r="AP234" i="57" s="1" a="1"/>
  <c r="AP234" i="57" s="1"/>
  <c r="AQ234" i="57" s="1" a="1"/>
  <c r="AQ234" i="57" s="1"/>
  <c r="AR234" i="57" s="1" a="1"/>
  <c r="AR234" i="57" s="1"/>
  <c r="AS234" i="57" s="1" a="1"/>
  <c r="AS234" i="57" s="1"/>
  <c r="AM234" i="57" a="1"/>
  <c r="AM234" i="57" s="1"/>
  <c r="X43" i="47"/>
  <c r="AH107" i="55"/>
  <c r="AZ99" i="58" a="1"/>
  <c r="AZ99" i="58" s="1"/>
  <c r="AL12" i="55" a="1"/>
  <c r="AL12" i="55" s="1"/>
  <c r="AL13" i="55" a="1"/>
  <c r="AL13" i="55" s="1"/>
  <c r="AE17" i="44"/>
  <c r="I168" i="57"/>
  <c r="AJ86" i="55"/>
  <c r="AA34" i="47" s="1"/>
  <c r="AJ80" i="55"/>
  <c r="AA36" i="47" s="1"/>
  <c r="AJ88" i="55"/>
  <c r="AA33" i="47" s="1"/>
  <c r="AJ82" i="55"/>
  <c r="AA37" i="47" s="1"/>
  <c r="AL10" i="58" a="1"/>
  <c r="AL10" i="58" s="1"/>
  <c r="AD8" i="44"/>
  <c r="I166" i="57"/>
  <c r="AE100" i="60"/>
  <c r="Z74" i="47" s="1"/>
  <c r="AC106" i="60"/>
  <c r="W77" i="47"/>
  <c r="AN235" i="57" a="1"/>
  <c r="AN235" i="57" s="1"/>
  <c r="AL235" i="57" a="1"/>
  <c r="AL235" i="57" s="1"/>
  <c r="AO235" i="57" s="1" a="1"/>
  <c r="AO235" i="57" s="1"/>
  <c r="AP235" i="57" s="1" a="1"/>
  <c r="AP235" i="57" s="1"/>
  <c r="AQ235" i="57" s="1" a="1"/>
  <c r="AQ235" i="57" s="1"/>
  <c r="AR235" i="57" s="1" a="1"/>
  <c r="AR235" i="57" s="1"/>
  <c r="AS235" i="57" s="1" a="1"/>
  <c r="AS235" i="57" s="1"/>
  <c r="AM235" i="57" a="1"/>
  <c r="AM235" i="57" s="1"/>
  <c r="AE36" i="60"/>
  <c r="AJ44" i="55"/>
  <c r="Y16" i="47"/>
  <c r="X50" i="47"/>
  <c r="AH109" i="55"/>
  <c r="Y15" i="47"/>
  <c r="BB98" i="58" a="1"/>
  <c r="BB98" i="58" s="1"/>
  <c r="AO33" i="55"/>
  <c r="AE127" i="47"/>
  <c r="BC96" i="58" a="1"/>
  <c r="BC96" i="58" s="1"/>
  <c r="AC87" i="44"/>
  <c r="AB35" i="44"/>
  <c r="AB38" i="44" s="1"/>
  <c r="AF24" i="60" s="1" a="1"/>
  <c r="AF24" i="60" s="1"/>
  <c r="AA138" i="47"/>
  <c r="S219" i="57" a="1"/>
  <c r="S219" i="57" s="1"/>
  <c r="L100" i="47" s="1"/>
  <c r="AH200" i="57" a="1"/>
  <c r="AH200" i="57" s="1"/>
  <c r="X200" i="57" a="1"/>
  <c r="X200" i="57" s="1"/>
  <c r="Y200" i="57" s="1" a="1"/>
  <c r="Y200" i="57" s="1"/>
  <c r="Z200" i="57" s="1" a="1"/>
  <c r="Z200" i="57" s="1"/>
  <c r="AA200" i="57" s="1" a="1"/>
  <c r="AA200" i="57" s="1"/>
  <c r="AB200" i="57" s="1" a="1"/>
  <c r="AB200" i="57" s="1"/>
  <c r="AC200" i="57" s="1" a="1"/>
  <c r="AC200" i="57" s="1"/>
  <c r="AD200" i="57" s="1" a="1"/>
  <c r="AD200" i="57" s="1"/>
  <c r="AC219" i="57" a="1"/>
  <c r="AC219" i="57" s="1"/>
  <c r="T100" i="47" s="1"/>
  <c r="T220" i="57" a="1"/>
  <c r="T220" i="57" s="1"/>
  <c r="AI39" i="55"/>
  <c r="Y131" i="47"/>
  <c r="AI38" i="55"/>
  <c r="Y132" i="47"/>
  <c r="Y261" i="57" a="1"/>
  <c r="Y261" i="57" s="1"/>
  <c r="Z261" i="57" s="1" a="1"/>
  <c r="Z261" i="57" s="1"/>
  <c r="AJ261" i="57" a="1"/>
  <c r="AJ261" i="57" s="1"/>
  <c r="AK261" i="57" s="1" a="1"/>
  <c r="AK261" i="57" s="1"/>
  <c r="AJ262" i="57" a="1"/>
  <c r="AJ262" i="57" s="1"/>
  <c r="AK262" i="57" s="1" a="1"/>
  <c r="AK262" i="57" s="1"/>
  <c r="Y262" i="57" a="1"/>
  <c r="Y262" i="57" s="1"/>
  <c r="Z262" i="57" s="1" a="1"/>
  <c r="Z262" i="57" s="1"/>
  <c r="AD85" i="44"/>
  <c r="AM260" i="57" a="1"/>
  <c r="AM260" i="57" s="1"/>
  <c r="AL260" i="57" a="1"/>
  <c r="AL260" i="57" s="1"/>
  <c r="AO260" i="57" s="1" a="1"/>
  <c r="AO260" i="57" s="1"/>
  <c r="AP260" i="57" s="1" a="1"/>
  <c r="AP260" i="57" s="1"/>
  <c r="AQ260" i="57" s="1" a="1"/>
  <c r="AQ260" i="57" s="1"/>
  <c r="AR260" i="57" s="1" a="1"/>
  <c r="AR260" i="57" s="1"/>
  <c r="AS260" i="57" s="1" a="1"/>
  <c r="AS260" i="57" s="1"/>
  <c r="AN260" i="57" a="1"/>
  <c r="AN260" i="57" s="1"/>
  <c r="X54" i="47"/>
  <c r="AH134" i="55"/>
  <c r="AC165" i="57"/>
  <c r="I153" i="57"/>
  <c r="I190" i="57" s="1"/>
  <c r="BA93" i="58" a="1"/>
  <c r="BA93" i="58" s="1"/>
  <c r="X10" i="47"/>
  <c r="AH93" i="55"/>
  <c r="X58" i="47"/>
  <c r="AH128" i="55"/>
  <c r="X53" i="47"/>
  <c r="AH129" i="55"/>
  <c r="X39" i="47"/>
  <c r="AH85" i="55"/>
  <c r="X17" i="47"/>
  <c r="AH99" i="55"/>
  <c r="AE35" i="60"/>
  <c r="AE38" i="60" s="1"/>
  <c r="AC117" i="60"/>
  <c r="W67" i="47"/>
  <c r="BC94" i="58" a="1"/>
  <c r="BC94" i="58" s="1"/>
  <c r="X57" i="47"/>
  <c r="AH126" i="55"/>
  <c r="AE25" i="60"/>
  <c r="AE17" i="60" s="1"/>
  <c r="AC167" i="57"/>
  <c r="I155" i="57"/>
  <c r="I192" i="57" s="1"/>
  <c r="AI35" i="55"/>
  <c r="Y130" i="47"/>
  <c r="AJ37" i="55"/>
  <c r="Z129" i="47"/>
  <c r="S226" i="57" a="1"/>
  <c r="S226" i="57" s="1"/>
  <c r="L105" i="47" s="1"/>
  <c r="AC226" i="57" a="1"/>
  <c r="AC226" i="57" s="1"/>
  <c r="T105" i="47" s="1"/>
  <c r="AH207" i="57" a="1"/>
  <c r="AH207" i="57" s="1"/>
  <c r="X207" i="57" a="1"/>
  <c r="X207" i="57" s="1"/>
  <c r="Y207" i="57" s="1" a="1"/>
  <c r="Y207" i="57" s="1"/>
  <c r="Z207" i="57" s="1" a="1"/>
  <c r="Z207" i="57" s="1"/>
  <c r="AA207" i="57" s="1" a="1"/>
  <c r="AA207" i="57" s="1"/>
  <c r="AB207" i="57" s="1" a="1"/>
  <c r="AB207" i="57" s="1"/>
  <c r="AC207" i="57" s="1" a="1"/>
  <c r="AC207" i="57" s="1"/>
  <c r="AD207" i="57" s="1" a="1"/>
  <c r="AD207" i="57" s="1"/>
  <c r="AN233" i="57" a="1"/>
  <c r="AN233" i="57" s="1"/>
  <c r="AL233" i="57" a="1"/>
  <c r="AL233" i="57" s="1"/>
  <c r="AO233" i="57" s="1" a="1"/>
  <c r="AO233" i="57" s="1"/>
  <c r="AP233" i="57" s="1" a="1"/>
  <c r="AP233" i="57" s="1"/>
  <c r="AQ233" i="57" s="1" a="1"/>
  <c r="AQ233" i="57" s="1"/>
  <c r="AR233" i="57" s="1" a="1"/>
  <c r="AR233" i="57" s="1"/>
  <c r="AS233" i="57" s="1" a="1"/>
  <c r="AS233" i="57" s="1"/>
  <c r="AM233" i="57" a="1"/>
  <c r="AM233" i="57" s="1"/>
  <c r="AZ95" i="58" a="1"/>
  <c r="AZ95" i="58" s="1"/>
  <c r="X133" i="47"/>
  <c r="AH136" i="55"/>
  <c r="AC164" i="57"/>
  <c r="I152" i="57"/>
  <c r="I189" i="57" s="1"/>
  <c r="Y20" i="47"/>
  <c r="U220" i="57" a="1"/>
  <c r="U220" i="57" s="1"/>
  <c r="AK23" i="55" a="1"/>
  <c r="AK23" i="55" s="1"/>
  <c r="AK24" i="55" a="1"/>
  <c r="AK24" i="55" s="1"/>
  <c r="AK43" i="55" s="1"/>
  <c r="AD24" i="44"/>
  <c r="AC118" i="60"/>
  <c r="W66" i="47"/>
  <c r="AD112" i="60"/>
  <c r="Y79" i="47" s="1"/>
  <c r="AD111" i="60"/>
  <c r="Y80" i="47" s="1"/>
  <c r="AD82" i="60"/>
  <c r="AD90" i="60" s="1"/>
  <c r="AD109" i="60" s="1"/>
  <c r="Y75" i="47" s="1"/>
  <c r="AZ97" i="58" a="1"/>
  <c r="AZ97" i="58" s="1"/>
  <c r="AB34" i="44"/>
  <c r="AB37" i="44" s="1"/>
  <c r="AF23" i="60" s="1" a="1"/>
  <c r="AF23" i="60" s="1"/>
  <c r="AC86" i="44"/>
  <c r="X26" i="47"/>
  <c r="AH115" i="55"/>
  <c r="AH40" i="55"/>
  <c r="X128" i="47"/>
  <c r="X49" i="47"/>
  <c r="AH111" i="55"/>
  <c r="AK25" i="55" a="1"/>
  <c r="AK25" i="55" s="1"/>
  <c r="AK125" i="55" s="1"/>
  <c r="AD22" i="44"/>
  <c r="BC92" i="58" a="1"/>
  <c r="BC92" i="58" s="1"/>
  <c r="X41" i="47"/>
  <c r="AH89" i="55"/>
  <c r="AA135" i="47"/>
  <c r="AI32" i="55"/>
  <c r="Y137" i="47"/>
  <c r="BA100" i="58" a="1"/>
  <c r="BA100" i="58" s="1"/>
  <c r="AJ132" i="55"/>
  <c r="AA55" i="47" s="1"/>
  <c r="AJ133" i="55"/>
  <c r="AA59" i="47" s="1"/>
  <c r="AJ127" i="55"/>
  <c r="AA52" i="47" s="1"/>
  <c r="AJ131" i="55"/>
  <c r="AA60" i="47" s="1"/>
  <c r="AD101" i="60"/>
  <c r="X69" i="47"/>
  <c r="AK17" i="55" a="1"/>
  <c r="AK17" i="55" s="1"/>
  <c r="AK103" i="55" s="1"/>
  <c r="AD20" i="44"/>
  <c r="AK22" i="55" a="1"/>
  <c r="AK22" i="55" s="1"/>
  <c r="AK114" i="55" s="1"/>
  <c r="AD12" i="44"/>
  <c r="AI42" i="55"/>
  <c r="Y134" i="47"/>
  <c r="AL18" i="55" a="1"/>
  <c r="AL18" i="55" s="1"/>
  <c r="AL19" i="55" a="1"/>
  <c r="AL19" i="55" s="1"/>
  <c r="AL20" i="55" a="1"/>
  <c r="AL20" i="55" s="1"/>
  <c r="AL21" i="55" a="1"/>
  <c r="AL21" i="55" s="1"/>
  <c r="AE21" i="44"/>
  <c r="X45" i="47"/>
  <c r="AH110" i="55"/>
  <c r="AJ108" i="55"/>
  <c r="AA46" i="47" s="1"/>
  <c r="AJ106" i="55"/>
  <c r="AA48" i="47" s="1"/>
  <c r="AJ113" i="55"/>
  <c r="AA51" i="47" s="1"/>
  <c r="AJ104" i="55"/>
  <c r="AA47" i="47" s="1"/>
  <c r="X27" i="47"/>
  <c r="AH117" i="55"/>
  <c r="X19" i="47"/>
  <c r="AH101" i="55"/>
  <c r="AC224" i="57" a="1"/>
  <c r="AC224" i="57" s="1"/>
  <c r="T103" i="47" s="1"/>
  <c r="S224" i="57" a="1"/>
  <c r="S224" i="57" s="1"/>
  <c r="L103" i="47" s="1"/>
  <c r="X205" i="57" a="1"/>
  <c r="X205" i="57" s="1"/>
  <c r="Y205" i="57" s="1" a="1"/>
  <c r="Y205" i="57" s="1"/>
  <c r="Z205" i="57" s="1" a="1"/>
  <c r="Z205" i="57" s="1"/>
  <c r="AA205" i="57" s="1" a="1"/>
  <c r="AA205" i="57" s="1"/>
  <c r="AB205" i="57" s="1" a="1"/>
  <c r="AB205" i="57" s="1"/>
  <c r="AC205" i="57" s="1" a="1"/>
  <c r="AC205" i="57" s="1"/>
  <c r="AD205" i="57" s="1" a="1"/>
  <c r="AD205" i="57" s="1"/>
  <c r="AH205" i="57" a="1"/>
  <c r="AH205" i="57" s="1"/>
  <c r="AJ122" i="55"/>
  <c r="AA28" i="47" s="1"/>
  <c r="AJ119" i="55"/>
  <c r="AA25" i="47" s="1"/>
  <c r="AJ123" i="55"/>
  <c r="AA23" i="47" s="1"/>
  <c r="AI94" i="55" l="1"/>
  <c r="AI180" i="57"/>
  <c r="AK175" i="57" s="1"/>
  <c r="AI102" i="55"/>
  <c r="S181" i="57"/>
  <c r="S182" i="57" s="1"/>
  <c r="Y32" i="47"/>
  <c r="AI83" i="55"/>
  <c r="AD110" i="60"/>
  <c r="Y81" i="47" s="1"/>
  <c r="AH24" i="58"/>
  <c r="AE41" i="58"/>
  <c r="AD114" i="60"/>
  <c r="Y64" i="47" s="1"/>
  <c r="Y5" i="47"/>
  <c r="AC22" i="35"/>
  <c r="AD84" i="60"/>
  <c r="AD92" i="60" s="1"/>
  <c r="AD113" i="60" s="1"/>
  <c r="Y78" i="47" s="1"/>
  <c r="Y44" i="47"/>
  <c r="AI112" i="55"/>
  <c r="AI92" i="55"/>
  <c r="AE105" i="60"/>
  <c r="Z71" i="47" s="1"/>
  <c r="AD108" i="60"/>
  <c r="Y76" i="47" s="1"/>
  <c r="AF166" i="58"/>
  <c r="AF165" i="58"/>
  <c r="AF163" i="58"/>
  <c r="AF162" i="58"/>
  <c r="AF170" i="58"/>
  <c r="AF169" i="58"/>
  <c r="AF167" i="58"/>
  <c r="AF168" i="58"/>
  <c r="AF164" i="58"/>
  <c r="AF36" i="58"/>
  <c r="AF41" i="58" s="1"/>
  <c r="AJ263" i="57" a="1"/>
  <c r="AJ263" i="57" s="1"/>
  <c r="AK263" i="57" s="1" a="1"/>
  <c r="AK263" i="57" s="1"/>
  <c r="AH31" i="58"/>
  <c r="AH34" i="58" s="1"/>
  <c r="AI23" i="58"/>
  <c r="AG159" i="58"/>
  <c r="AG151" i="58"/>
  <c r="AG158" i="58"/>
  <c r="AG35" i="58"/>
  <c r="AG152" i="58"/>
  <c r="AG153" i="58"/>
  <c r="AG154" i="58"/>
  <c r="AG156" i="58"/>
  <c r="AG157" i="58"/>
  <c r="AG155" i="58"/>
  <c r="AD107" i="60"/>
  <c r="Y82" i="47" s="1"/>
  <c r="AE104" i="60"/>
  <c r="Z72" i="47" s="1"/>
  <c r="AI96" i="55"/>
  <c r="AJ96" i="55" s="1"/>
  <c r="Y264" i="57" a="1"/>
  <c r="Y264" i="57" s="1"/>
  <c r="Z264" i="57" s="1" a="1"/>
  <c r="Z264" i="57" s="1"/>
  <c r="AB264" i="57" s="1" a="1"/>
  <c r="AB264" i="57" s="1"/>
  <c r="Y61" i="47"/>
  <c r="AI135" i="55"/>
  <c r="AJ95" i="55"/>
  <c r="AA11" i="47" s="1"/>
  <c r="AC74" i="60"/>
  <c r="AC77" i="60" s="1"/>
  <c r="AD81" i="60"/>
  <c r="AD89" i="60" s="1"/>
  <c r="AD102" i="60" s="1"/>
  <c r="Y68" i="47" s="1"/>
  <c r="AI31" i="55"/>
  <c r="Y136" i="47"/>
  <c r="AD85" i="60"/>
  <c r="Y22" i="47"/>
  <c r="AI118" i="55"/>
  <c r="AD115" i="60"/>
  <c r="Y63" i="47" s="1"/>
  <c r="AK177" i="57"/>
  <c r="AL177" i="57" s="1"/>
  <c r="Y265" i="57" a="1"/>
  <c r="Y265" i="57" s="1"/>
  <c r="Z265" i="57" s="1" a="1"/>
  <c r="Z265" i="57" s="1"/>
  <c r="AB265" i="57" s="1" a="1"/>
  <c r="AB265" i="57" s="1"/>
  <c r="Y29" i="47"/>
  <c r="AI120" i="55"/>
  <c r="Y42" i="47"/>
  <c r="AI105" i="55"/>
  <c r="AK178" i="57"/>
  <c r="AL178" i="57" s="1"/>
  <c r="AM175" i="57"/>
  <c r="AK164" i="57"/>
  <c r="AQ175" i="57"/>
  <c r="AU175" i="57" s="1"/>
  <c r="AU164" i="57" s="1"/>
  <c r="AL175" i="57"/>
  <c r="Y38" i="47"/>
  <c r="AI87" i="55"/>
  <c r="AJ34" i="55"/>
  <c r="AD9" i="44"/>
  <c r="AK15" i="55" a="1"/>
  <c r="AK15" i="55" s="1"/>
  <c r="AK91" i="55" s="1"/>
  <c r="AK95" i="55" s="1"/>
  <c r="AB11" i="47" s="1"/>
  <c r="AK179" i="57"/>
  <c r="AK41" i="55"/>
  <c r="AK167" i="57"/>
  <c r="Y40" i="47"/>
  <c r="AI90" i="55"/>
  <c r="Y30" i="47"/>
  <c r="AI124" i="55"/>
  <c r="T224" i="57" a="1"/>
  <c r="T224" i="57" s="1"/>
  <c r="M103" i="47" s="1"/>
  <c r="AF99" i="60"/>
  <c r="AA70" i="47" s="1"/>
  <c r="Y24" i="47"/>
  <c r="AI121" i="55"/>
  <c r="Y21" i="47"/>
  <c r="AI116" i="55"/>
  <c r="Y12" i="47"/>
  <c r="AI100" i="55"/>
  <c r="AF103" i="60"/>
  <c r="AA73" i="47" s="1"/>
  <c r="AC265" i="57" a="1"/>
  <c r="AC265" i="57" s="1"/>
  <c r="AC261" i="57" a="1"/>
  <c r="AC261" i="57" s="1"/>
  <c r="AB261" i="57" a="1"/>
  <c r="AB261" i="57" s="1"/>
  <c r="AA261" i="57" a="1"/>
  <c r="AA261" i="57" s="1"/>
  <c r="AD261" i="57" s="1" a="1"/>
  <c r="AD261" i="57" s="1"/>
  <c r="AE261" i="57" s="1" a="1"/>
  <c r="AE261" i="57" s="1"/>
  <c r="AF261" i="57" s="1" a="1"/>
  <c r="AF261" i="57" s="1"/>
  <c r="AG261" i="57" s="1" a="1"/>
  <c r="AG261" i="57" s="1"/>
  <c r="AH261" i="57" s="1" a="1"/>
  <c r="AH261" i="57" s="1"/>
  <c r="AI261" i="57" s="1" a="1"/>
  <c r="AI261" i="57" s="1"/>
  <c r="U226" i="57" a="1"/>
  <c r="U226" i="57" s="1"/>
  <c r="V224" i="57" a="1"/>
  <c r="V224" i="57" s="1"/>
  <c r="U224" i="57" a="1"/>
  <c r="U224" i="57" s="1"/>
  <c r="AL11" i="55" a="1"/>
  <c r="AL11" i="55" s="1"/>
  <c r="AL30" i="55" s="1"/>
  <c r="AE19" i="44"/>
  <c r="Y8" i="47"/>
  <c r="AC23" i="35"/>
  <c r="Y31" i="47"/>
  <c r="AI81" i="55"/>
  <c r="M101" i="47"/>
  <c r="W221" i="57" a="1"/>
  <c r="W221" i="57" s="1"/>
  <c r="R225" i="57" a="1"/>
  <c r="R225" i="57" s="1"/>
  <c r="K107" i="47" s="1"/>
  <c r="W206" i="57" a="1"/>
  <c r="W206" i="57" s="1"/>
  <c r="AG45" i="60" a="1"/>
  <c r="AG45" i="60" s="1"/>
  <c r="AD39" i="44"/>
  <c r="AC40" i="44"/>
  <c r="T226" i="57" a="1"/>
  <c r="T226" i="57" s="1"/>
  <c r="M105" i="47" s="1"/>
  <c r="AB167" i="57"/>
  <c r="H167" i="57" s="1"/>
  <c r="T219" i="57" a="1"/>
  <c r="T219" i="57" s="1"/>
  <c r="M100" i="47" s="1"/>
  <c r="W204" i="57" a="1"/>
  <c r="W204" i="57" s="1"/>
  <c r="X204" i="57" s="1" a="1"/>
  <c r="X204" i="57" s="1"/>
  <c r="Y204" i="57" s="1" a="1"/>
  <c r="Y204" i="57" s="1"/>
  <c r="Z204" i="57" s="1" a="1"/>
  <c r="Z204" i="57" s="1"/>
  <c r="AA204" i="57" s="1" a="1"/>
  <c r="AA204" i="57" s="1"/>
  <c r="AB204" i="57" s="1" a="1"/>
  <c r="AB204" i="57" s="1"/>
  <c r="AC204" i="57" s="1" a="1"/>
  <c r="AC204" i="57" s="1"/>
  <c r="AD204" i="57" s="1" a="1"/>
  <c r="AD204" i="57" s="1"/>
  <c r="R223" i="57" a="1"/>
  <c r="R223" i="57" s="1"/>
  <c r="K106" i="47" s="1"/>
  <c r="AB165" i="57"/>
  <c r="H165" i="57" s="1"/>
  <c r="Y7" i="47"/>
  <c r="AC26" i="35"/>
  <c r="AF6" i="35" a="1"/>
  <c r="AF6" i="35" s="1"/>
  <c r="AE7" i="44"/>
  <c r="U219" i="57" a="1"/>
  <c r="U219" i="5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Y35" i="47"/>
  <c r="AI84" i="55"/>
  <c r="Y9" i="47"/>
  <c r="AC24" i="35"/>
  <c r="V219" i="57" a="1"/>
  <c r="V219" i="57" s="1"/>
  <c r="AB164" i="57"/>
  <c r="R169" i="57"/>
  <c r="R175" i="57" s="1"/>
  <c r="AB175" i="57" s="1"/>
  <c r="Y56" i="47"/>
  <c r="AI130" i="55"/>
  <c r="Y6" i="47"/>
  <c r="AC25" i="35"/>
  <c r="Y18" i="47"/>
  <c r="AI97" i="55"/>
  <c r="AF200" i="57" a="1"/>
  <c r="AF200" i="57" s="1"/>
  <c r="AG200" i="57" a="1"/>
  <c r="AG200" i="57" s="1"/>
  <c r="AE200" i="57" a="1"/>
  <c r="AE200" i="57" s="1"/>
  <c r="AE205" i="57" a="1"/>
  <c r="AE205" i="57" s="1"/>
  <c r="AF205" i="57" a="1"/>
  <c r="AF205" i="57" s="1"/>
  <c r="AG205" i="57" a="1"/>
  <c r="AG205" i="57" s="1"/>
  <c r="AG207" i="57" a="1"/>
  <c r="AG207" i="57" s="1"/>
  <c r="AF207" i="57" a="1"/>
  <c r="AF207" i="57" s="1"/>
  <c r="AE207" i="57" a="1"/>
  <c r="AE207" i="57" s="1"/>
  <c r="AB263" i="57" a="1"/>
  <c r="AB263" i="57" s="1"/>
  <c r="AA263" i="57" a="1"/>
  <c r="AA263" i="57" s="1"/>
  <c r="AD263" i="57" s="1" a="1"/>
  <c r="AD263" i="57" s="1"/>
  <c r="AE263" i="57" s="1" a="1"/>
  <c r="AE263" i="57" s="1"/>
  <c r="AF263" i="57" s="1" a="1"/>
  <c r="AF263" i="57" s="1"/>
  <c r="AG263" i="57" s="1" a="1"/>
  <c r="AG263" i="57" s="1"/>
  <c r="AH263" i="57" s="1" a="1"/>
  <c r="AH263" i="57" s="1"/>
  <c r="AI263" i="57" s="1" a="1"/>
  <c r="AI263" i="57" s="1"/>
  <c r="AC263" i="57" a="1"/>
  <c r="AC263" i="57" s="1"/>
  <c r="AA262" i="57" a="1"/>
  <c r="AA262" i="57" s="1"/>
  <c r="AD262" i="57" s="1" a="1"/>
  <c r="AD262" i="57" s="1"/>
  <c r="AE262" i="57" s="1" a="1"/>
  <c r="AE262" i="57" s="1"/>
  <c r="AF262" i="57" s="1" a="1"/>
  <c r="AF262" i="57" s="1"/>
  <c r="AG262" i="57" s="1" a="1"/>
  <c r="AG262" i="57" s="1"/>
  <c r="AH262" i="57" s="1" a="1"/>
  <c r="AH262" i="57" s="1"/>
  <c r="AI262" i="57" s="1" a="1"/>
  <c r="AI262" i="57" s="1"/>
  <c r="AC262" i="57" a="1"/>
  <c r="AC262" i="57" s="1"/>
  <c r="AB262" i="57" a="1"/>
  <c r="AB262" i="57" s="1"/>
  <c r="AT235" i="57" a="1"/>
  <c r="AT235" i="57" s="1"/>
  <c r="AV235" i="57" s="1" a="1"/>
  <c r="AV235" i="57" s="1"/>
  <c r="AU235" i="57" a="1"/>
  <c r="AU235" i="57" s="1"/>
  <c r="AC222" i="57" a="1"/>
  <c r="AC222" i="57" s="1"/>
  <c r="T104" i="47" s="1"/>
  <c r="AH203" i="57" a="1"/>
  <c r="AH203" i="57" s="1"/>
  <c r="Y53" i="47"/>
  <c r="AI129" i="55"/>
  <c r="Y54" i="47"/>
  <c r="AI134" i="55"/>
  <c r="AJ38" i="55"/>
  <c r="Z132" i="47"/>
  <c r="AJ238" i="57" a="1"/>
  <c r="AJ238" i="57" s="1"/>
  <c r="AK238" i="57" s="1" a="1"/>
  <c r="AK238" i="57" s="1"/>
  <c r="Y238" i="57" a="1"/>
  <c r="Y238" i="57" s="1"/>
  <c r="Z238" i="57" s="1" a="1"/>
  <c r="Z238" i="57" s="1"/>
  <c r="AA238" i="57" s="1" a="1"/>
  <c r="AA238" i="57" s="1"/>
  <c r="AD238" i="57" s="1" a="1"/>
  <c r="AD238" i="57" s="1"/>
  <c r="AE238" i="57" s="1" a="1"/>
  <c r="AE238" i="57" s="1"/>
  <c r="AF238" i="57" s="1" a="1"/>
  <c r="AF238" i="57" s="1"/>
  <c r="AG238" i="57" s="1" a="1"/>
  <c r="AG238" i="57" s="1"/>
  <c r="AH238" i="57" s="1" a="1"/>
  <c r="AH238" i="57" s="1"/>
  <c r="AI238" i="57" s="1" a="1"/>
  <c r="AI238" i="57" s="1"/>
  <c r="AJ240" i="57" a="1"/>
  <c r="AJ240" i="57" s="1"/>
  <c r="AK240" i="57" s="1" a="1"/>
  <c r="AK240" i="57" s="1"/>
  <c r="Y240" i="57" a="1"/>
  <c r="Y240" i="57" s="1"/>
  <c r="Z240" i="57" s="1" a="1"/>
  <c r="Z240" i="57" s="1"/>
  <c r="AL10" i="55" a="1"/>
  <c r="AL10" i="55" s="1"/>
  <c r="AL79" i="55" s="1"/>
  <c r="AE18" i="44"/>
  <c r="Y49" i="47"/>
  <c r="AI111" i="55"/>
  <c r="AC34" i="44"/>
  <c r="AC37" i="44" s="1"/>
  <c r="AG23" i="60" s="1" a="1"/>
  <c r="AG23" i="60" s="1"/>
  <c r="AD86" i="44"/>
  <c r="AD118" i="60"/>
  <c r="X66" i="47"/>
  <c r="I164" i="57"/>
  <c r="AC169" i="57"/>
  <c r="AC178" i="57" s="1"/>
  <c r="AK37" i="55"/>
  <c r="AA129" i="47"/>
  <c r="Z15" i="47"/>
  <c r="AJ92" i="55"/>
  <c r="AK86" i="55"/>
  <c r="AB34" i="47" s="1"/>
  <c r="AK80" i="55"/>
  <c r="AB36" i="47" s="1"/>
  <c r="AK88" i="55"/>
  <c r="AB33" i="47" s="1"/>
  <c r="AK82" i="55"/>
  <c r="AB37" i="47" s="1"/>
  <c r="AF100" i="60"/>
  <c r="AA74" i="47" s="1"/>
  <c r="Y58" i="47"/>
  <c r="AI128" i="55"/>
  <c r="AK108" i="55"/>
  <c r="AB46" i="47" s="1"/>
  <c r="AK106" i="55"/>
  <c r="AB48" i="47" s="1"/>
  <c r="AK104" i="55"/>
  <c r="AB47" i="47" s="1"/>
  <c r="AK113" i="55"/>
  <c r="AB51" i="47" s="1"/>
  <c r="I165" i="57"/>
  <c r="AM264" i="57" a="1"/>
  <c r="AM264" i="57" s="1"/>
  <c r="AN264" i="57" a="1"/>
  <c r="AN264" i="57" s="1"/>
  <c r="AL264" i="57" a="1"/>
  <c r="AL264" i="57" s="1"/>
  <c r="AO264" i="57" s="1" a="1"/>
  <c r="AO264" i="57" s="1"/>
  <c r="AP264" i="57" s="1" a="1"/>
  <c r="AP264" i="57" s="1"/>
  <c r="AQ264" i="57" s="1" a="1"/>
  <c r="AQ264" i="57" s="1"/>
  <c r="AR264" i="57" s="1" a="1"/>
  <c r="AR264" i="57" s="1"/>
  <c r="AS264" i="57" s="1" a="1"/>
  <c r="AS264" i="57" s="1"/>
  <c r="AJ42" i="55"/>
  <c r="Z134" i="47"/>
  <c r="AE101" i="60"/>
  <c r="Y69" i="47"/>
  <c r="AD106" i="60"/>
  <c r="X77" i="47"/>
  <c r="AM12" i="55" a="1"/>
  <c r="AM12" i="55" s="1"/>
  <c r="AM13" i="55" a="1"/>
  <c r="AM13" i="55" s="1"/>
  <c r="AF17" i="44"/>
  <c r="AK122" i="55"/>
  <c r="AB28" i="47" s="1"/>
  <c r="AK119" i="55"/>
  <c r="AB25" i="47" s="1"/>
  <c r="AK123" i="55"/>
  <c r="AB23" i="47" s="1"/>
  <c r="BA97" i="58" a="1"/>
  <c r="BA97" i="58" s="1"/>
  <c r="Y133" i="47"/>
  <c r="AI136" i="55"/>
  <c r="AJ35" i="55"/>
  <c r="Z130" i="47"/>
  <c r="M102" i="47"/>
  <c r="W220" i="57" a="1"/>
  <c r="W220" i="57" s="1"/>
  <c r="AB138" i="47"/>
  <c r="Y50" i="47"/>
  <c r="AI109" i="55"/>
  <c r="AD117" i="60"/>
  <c r="X67" i="47"/>
  <c r="AN261" i="57" a="1"/>
  <c r="AN261" i="57" s="1"/>
  <c r="AM261" i="57" a="1"/>
  <c r="AM261" i="57" s="1"/>
  <c r="AL261" i="57" a="1"/>
  <c r="AL261" i="57" s="1"/>
  <c r="AO261" i="57" s="1" a="1"/>
  <c r="AO261" i="57" s="1"/>
  <c r="AP261" i="57" s="1" a="1"/>
  <c r="AP261" i="57" s="1"/>
  <c r="AQ261" i="57" s="1" a="1"/>
  <c r="AQ261" i="57" s="1"/>
  <c r="AR261" i="57" s="1" a="1"/>
  <c r="AR261" i="57" s="1"/>
  <c r="AS261" i="57" s="1" a="1"/>
  <c r="AS261" i="57" s="1"/>
  <c r="AJ39" i="55"/>
  <c r="Z131" i="47"/>
  <c r="Y27" i="47"/>
  <c r="AI117" i="55"/>
  <c r="AL25" i="55" a="1"/>
  <c r="AL25" i="55" s="1"/>
  <c r="AL125" i="55" s="1"/>
  <c r="AE22" i="44"/>
  <c r="AA265" i="57" a="1"/>
  <c r="AA265" i="57" s="1"/>
  <c r="AD265" i="57" s="1" a="1"/>
  <c r="AD265" i="57" s="1"/>
  <c r="AE265" i="57" s="1" a="1"/>
  <c r="AE265" i="57" s="1"/>
  <c r="AF265" i="57" s="1" a="1"/>
  <c r="AF265" i="57" s="1"/>
  <c r="AG265" i="57" s="1" a="1"/>
  <c r="AG265" i="57" s="1"/>
  <c r="AH265" i="57" s="1" a="1"/>
  <c r="AH265" i="57" s="1"/>
  <c r="AI265" i="57" s="1" a="1"/>
  <c r="AI265" i="57" s="1"/>
  <c r="AL23" i="55" a="1"/>
  <c r="AL23" i="55" s="1"/>
  <c r="AL24" i="55" a="1"/>
  <c r="AL24" i="55" s="1"/>
  <c r="AL43" i="55" s="1"/>
  <c r="AE24" i="44"/>
  <c r="AE18" i="60"/>
  <c r="Y10" i="47"/>
  <c r="AI93" i="55"/>
  <c r="AF36" i="60"/>
  <c r="AF35" i="60"/>
  <c r="AF38" i="60" s="1"/>
  <c r="Y45" i="47"/>
  <c r="AI110" i="55"/>
  <c r="Z137" i="47"/>
  <c r="AJ32" i="55"/>
  <c r="AK133" i="55"/>
  <c r="AB59" i="47" s="1"/>
  <c r="AK127" i="55"/>
  <c r="AB52" i="47" s="1"/>
  <c r="AK131" i="55"/>
  <c r="AB60" i="47" s="1"/>
  <c r="AK132" i="55"/>
  <c r="AB55" i="47" s="1"/>
  <c r="AI40" i="55"/>
  <c r="Y128" i="47"/>
  <c r="BA95" i="58" a="1"/>
  <c r="BA95" i="58" s="1"/>
  <c r="AC225" i="57" a="1"/>
  <c r="AC225" i="57" s="1"/>
  <c r="T107" i="47" s="1"/>
  <c r="AH206" i="57" a="1"/>
  <c r="AH206" i="57" s="1"/>
  <c r="X206" i="57" a="1"/>
  <c r="X206" i="57" s="1"/>
  <c r="Y206" i="57" s="1" a="1"/>
  <c r="Y206" i="57" s="1"/>
  <c r="Z206" i="57" s="1" a="1"/>
  <c r="Z206" i="57" s="1"/>
  <c r="AA206" i="57" s="1" a="1"/>
  <c r="AA206" i="57" s="1"/>
  <c r="AB206" i="57" s="1" a="1"/>
  <c r="AB206" i="57" s="1"/>
  <c r="AC206" i="57" s="1" a="1"/>
  <c r="AC206" i="57" s="1"/>
  <c r="AD206" i="57" s="1" a="1"/>
  <c r="AD206" i="57" s="1"/>
  <c r="AE112" i="60"/>
  <c r="Z79" i="47" s="1"/>
  <c r="AE111" i="60"/>
  <c r="Z80" i="47" s="1"/>
  <c r="AE82" i="60"/>
  <c r="AE90" i="60" s="1"/>
  <c r="AE109" i="60" s="1"/>
  <c r="Z75" i="47" s="1"/>
  <c r="AD87" i="44"/>
  <c r="AC35" i="44"/>
  <c r="AC38" i="44" s="1"/>
  <c r="AG24" i="60" s="1" a="1"/>
  <c r="AG24" i="60" s="1"/>
  <c r="Z16" i="47"/>
  <c r="AJ94" i="55"/>
  <c r="BA99" i="58" a="1"/>
  <c r="BA99" i="58" s="1"/>
  <c r="Y13" i="47"/>
  <c r="AI98" i="55"/>
  <c r="AF25" i="60"/>
  <c r="AF17" i="60" s="1"/>
  <c r="Y19" i="47"/>
  <c r="AI101" i="55"/>
  <c r="I167" i="57"/>
  <c r="Z14" i="47"/>
  <c r="BD96" i="58" a="1"/>
  <c r="BD96" i="58" s="1"/>
  <c r="AM18" i="55" a="1"/>
  <c r="AM18" i="55" s="1"/>
  <c r="AM19" i="55" a="1"/>
  <c r="AM19" i="55" s="1"/>
  <c r="AM20" i="55" a="1"/>
  <c r="AM20" i="55" s="1"/>
  <c r="AM21" i="55" a="1"/>
  <c r="AM21" i="55" s="1"/>
  <c r="AF21" i="44"/>
  <c r="AB135" i="47"/>
  <c r="V226" i="57" a="1"/>
  <c r="V226" i="57" s="1"/>
  <c r="AT260" i="57" a="1"/>
  <c r="AT260" i="57" s="1"/>
  <c r="AV260" i="57" s="1" a="1"/>
  <c r="AV260" i="57" s="1"/>
  <c r="AU260" i="57" a="1"/>
  <c r="AU260" i="57" s="1"/>
  <c r="AK44" i="55"/>
  <c r="Y43" i="47"/>
  <c r="AI107" i="55"/>
  <c r="Z20" i="47"/>
  <c r="AJ102" i="55"/>
  <c r="Y17" i="47"/>
  <c r="AI99" i="55"/>
  <c r="BB93" i="58" a="1"/>
  <c r="BB93" i="58" s="1"/>
  <c r="AE19" i="60"/>
  <c r="AM10" i="58" a="1"/>
  <c r="AM10" i="58" s="1"/>
  <c r="AE8" i="44"/>
  <c r="AD30" i="44"/>
  <c r="AD31" i="44" s="1"/>
  <c r="BD94" i="58" a="1"/>
  <c r="BD94" i="58" s="1"/>
  <c r="BC98" i="58" a="1"/>
  <c r="BC98" i="58" s="1"/>
  <c r="W224" i="57" a="1"/>
  <c r="W224" i="57" s="1"/>
  <c r="AL22" i="55" a="1"/>
  <c r="AL22" i="55" s="1"/>
  <c r="AL114" i="55" s="1"/>
  <c r="AE12" i="44"/>
  <c r="BD92" i="58" a="1"/>
  <c r="BD92" i="58" s="1"/>
  <c r="AL265" i="57" a="1"/>
  <c r="AL265" i="57" s="1"/>
  <c r="AO265" i="57" s="1" a="1"/>
  <c r="AO265" i="57" s="1"/>
  <c r="AP265" i="57" s="1" a="1"/>
  <c r="AP265" i="57" s="1"/>
  <c r="AQ265" i="57" s="1" a="1"/>
  <c r="AQ265" i="57" s="1"/>
  <c r="AR265" i="57" s="1" a="1"/>
  <c r="AR265" i="57" s="1"/>
  <c r="AS265" i="57" s="1" a="1"/>
  <c r="AS265" i="57" s="1"/>
  <c r="AM265" i="57" a="1"/>
  <c r="AM265" i="57" s="1"/>
  <c r="AN265" i="57" a="1"/>
  <c r="AN265" i="57" s="1"/>
  <c r="AM263" i="57" a="1"/>
  <c r="AM263" i="57" s="1"/>
  <c r="AL263" i="57" a="1"/>
  <c r="AL263" i="57" s="1"/>
  <c r="AO263" i="57" s="1" a="1"/>
  <c r="AO263" i="57" s="1"/>
  <c r="AP263" i="57" s="1" a="1"/>
  <c r="AP263" i="57" s="1"/>
  <c r="AQ263" i="57" s="1" a="1"/>
  <c r="AQ263" i="57" s="1"/>
  <c r="AR263" i="57" s="1" a="1"/>
  <c r="AR263" i="57" s="1"/>
  <c r="AS263" i="57" s="1" a="1"/>
  <c r="AS263" i="57" s="1"/>
  <c r="AN263" i="57" a="1"/>
  <c r="AN263" i="57" s="1"/>
  <c r="Y57" i="47"/>
  <c r="AI126" i="55"/>
  <c r="AC33" i="44"/>
  <c r="AC36" i="44" s="1"/>
  <c r="AG22" i="60" s="1" a="1"/>
  <c r="AG22" i="60" s="1"/>
  <c r="AP33" i="55"/>
  <c r="AF127" i="47"/>
  <c r="AE83" i="60"/>
  <c r="AE91" i="60" s="1"/>
  <c r="AE116" i="60" s="1"/>
  <c r="Z62" i="47" s="1"/>
  <c r="AK29" i="55"/>
  <c r="BB100" i="58" a="1"/>
  <c r="BB100" i="58" s="1"/>
  <c r="AL17" i="55" a="1"/>
  <c r="AL17" i="55" s="1"/>
  <c r="AL103" i="55" s="1"/>
  <c r="AE20" i="44"/>
  <c r="Y41" i="47"/>
  <c r="AI89" i="55"/>
  <c r="AN175" i="57"/>
  <c r="AR175" i="57"/>
  <c r="Y26" i="47"/>
  <c r="AI115" i="55"/>
  <c r="AT233" i="57" a="1"/>
  <c r="AT233" i="57" s="1"/>
  <c r="AV233" i="57" s="1" a="1"/>
  <c r="AV233" i="57" s="1"/>
  <c r="AU233" i="57" a="1"/>
  <c r="AU233" i="57" s="1"/>
  <c r="Y39" i="47"/>
  <c r="AI85" i="55"/>
  <c r="S223" i="57" a="1"/>
  <c r="S223" i="57" s="1"/>
  <c r="L106" i="47" s="1"/>
  <c r="AH204" i="57" a="1"/>
  <c r="AH204" i="57" s="1"/>
  <c r="AC223" i="57" a="1"/>
  <c r="AC223" i="57" s="1"/>
  <c r="T106" i="47" s="1"/>
  <c r="AE85" i="44"/>
  <c r="AL262" i="57" a="1"/>
  <c r="AL262" i="57" s="1"/>
  <c r="AO262" i="57" s="1" a="1"/>
  <c r="AO262" i="57" s="1"/>
  <c r="AP262" i="57" s="1" a="1"/>
  <c r="AP262" i="57" s="1"/>
  <c r="AQ262" i="57" s="1" a="1"/>
  <c r="AQ262" i="57" s="1"/>
  <c r="AR262" i="57" s="1" a="1"/>
  <c r="AR262" i="57" s="1"/>
  <c r="AS262" i="57" s="1" a="1"/>
  <c r="AS262" i="57" s="1"/>
  <c r="AM262" i="57" a="1"/>
  <c r="AM262" i="57" s="1"/>
  <c r="AN262" i="57" a="1"/>
  <c r="AN262" i="57" s="1"/>
  <c r="AK36" i="55"/>
  <c r="AU234" i="57" a="1"/>
  <c r="AU234" i="57" s="1"/>
  <c r="AT234" i="57" a="1"/>
  <c r="AT234" i="57" s="1"/>
  <c r="AV234" i="57" s="1" a="1"/>
  <c r="AV234" i="57" s="1"/>
  <c r="AE110" i="60" l="1"/>
  <c r="Z81" i="47" s="1"/>
  <c r="Z32" i="47"/>
  <c r="AJ83" i="55"/>
  <c r="W226" i="57" a="1"/>
  <c r="W226" i="57" s="1"/>
  <c r="AE84" i="60"/>
  <c r="AE92" i="60" s="1"/>
  <c r="AE113" i="60" s="1"/>
  <c r="Z78" i="47" s="1"/>
  <c r="AF105" i="60"/>
  <c r="AA71" i="47" s="1"/>
  <c r="AE114" i="60"/>
  <c r="Z64" i="47" s="1"/>
  <c r="AE107" i="60"/>
  <c r="Z82" i="47" s="1"/>
  <c r="AE108" i="60"/>
  <c r="Z76" i="47" s="1"/>
  <c r="AE115" i="60"/>
  <c r="Z63" i="47" s="1"/>
  <c r="AC264" i="57" a="1"/>
  <c r="AC264" i="57" s="1"/>
  <c r="AF104" i="60"/>
  <c r="AA72" i="47" s="1"/>
  <c r="Z44" i="47"/>
  <c r="AJ112" i="55"/>
  <c r="Z5" i="47"/>
  <c r="AD22" i="35"/>
  <c r="AG167" i="58"/>
  <c r="AG163" i="58"/>
  <c r="AG165" i="58"/>
  <c r="AG164" i="58"/>
  <c r="AG162" i="58"/>
  <c r="AG170" i="58"/>
  <c r="AG169" i="58"/>
  <c r="AG168" i="58"/>
  <c r="AG166" i="58"/>
  <c r="AG36" i="58"/>
  <c r="AG41" i="58" s="1"/>
  <c r="S225" i="57" a="1"/>
  <c r="S225" i="57" s="1"/>
  <c r="L107" i="47" s="1"/>
  <c r="AI24" i="58"/>
  <c r="AI31" i="58"/>
  <c r="AI34" i="58" s="1"/>
  <c r="AJ23" i="58"/>
  <c r="AH153" i="58"/>
  <c r="AH152" i="58"/>
  <c r="AH156" i="58"/>
  <c r="AH154" i="58"/>
  <c r="AH159" i="58"/>
  <c r="AH151" i="58"/>
  <c r="AH155" i="58"/>
  <c r="AH157" i="58"/>
  <c r="AH158" i="58"/>
  <c r="AH35" i="58"/>
  <c r="AD74" i="60"/>
  <c r="AD77" i="60" s="1"/>
  <c r="AQ164" i="57"/>
  <c r="AA264" i="57" a="1"/>
  <c r="AA264" i="57" s="1"/>
  <c r="AD264" i="57" s="1" a="1"/>
  <c r="AD264" i="57" s="1"/>
  <c r="AE264" i="57" s="1" a="1"/>
  <c r="AE264" i="57" s="1"/>
  <c r="AF264" i="57" s="1" a="1"/>
  <c r="AF264" i="57" s="1"/>
  <c r="AG264" i="57" s="1" a="1"/>
  <c r="AG264" i="57" s="1"/>
  <c r="AH264" i="57" s="1" a="1"/>
  <c r="AH264" i="57" s="1"/>
  <c r="AI264" i="57" s="1" a="1"/>
  <c r="AI264" i="57" s="1"/>
  <c r="Z61" i="47"/>
  <c r="AJ135" i="55"/>
  <c r="AE81" i="60"/>
  <c r="AF81" i="60" s="1"/>
  <c r="AF89" i="60" s="1"/>
  <c r="AF102" i="60" s="1"/>
  <c r="AA68" i="47" s="1"/>
  <c r="AR178" i="57"/>
  <c r="AV178" i="57" s="1"/>
  <c r="AN178" i="57"/>
  <c r="AS178" i="57" s="1"/>
  <c r="AR177" i="57"/>
  <c r="AV177" i="57" s="1"/>
  <c r="AN177" i="57"/>
  <c r="AO177" i="57" s="1"/>
  <c r="AL29" i="55"/>
  <c r="Z22" i="47"/>
  <c r="AJ118" i="55"/>
  <c r="AD93" i="60"/>
  <c r="AD119" i="60" s="1"/>
  <c r="Y65" i="47" s="1"/>
  <c r="AE85" i="60"/>
  <c r="AJ31" i="55"/>
  <c r="Z136" i="47"/>
  <c r="AM178" i="57"/>
  <c r="AQ178" i="57"/>
  <c r="Z42" i="47"/>
  <c r="AJ105" i="55"/>
  <c r="Z29" i="47"/>
  <c r="AJ120" i="55"/>
  <c r="W219" i="57" a="1"/>
  <c r="W219" i="57" s="1"/>
  <c r="X219" i="57" s="1" a="1"/>
  <c r="X219" i="57" s="1"/>
  <c r="AQ177" i="57"/>
  <c r="AK166" i="57"/>
  <c r="AM177" i="57"/>
  <c r="AL179" i="57"/>
  <c r="AK176" i="57"/>
  <c r="AQ179" i="57"/>
  <c r="AK168" i="57"/>
  <c r="AM179" i="57"/>
  <c r="AE9" i="44"/>
  <c r="AE30" i="44" s="1"/>
  <c r="AL15" i="55" a="1"/>
  <c r="AL15" i="55" s="1"/>
  <c r="AL91" i="55" s="1"/>
  <c r="AL95" i="55" s="1"/>
  <c r="AC11" i="47" s="1"/>
  <c r="AK34" i="55"/>
  <c r="Z38" i="47"/>
  <c r="AJ87" i="55"/>
  <c r="AL36" i="55"/>
  <c r="T223" i="57" a="1"/>
  <c r="T223" i="57" s="1"/>
  <c r="M106" i="47" s="1"/>
  <c r="Z24" i="47"/>
  <c r="AJ121" i="55"/>
  <c r="Z30" i="47"/>
  <c r="AJ124" i="55"/>
  <c r="V223" i="57" a="1"/>
  <c r="V223" i="57" s="1"/>
  <c r="Z12" i="47"/>
  <c r="AJ100" i="55"/>
  <c r="Z40" i="47"/>
  <c r="AJ90" i="55"/>
  <c r="Z21" i="47"/>
  <c r="AJ116" i="55"/>
  <c r="U223" i="57" a="1"/>
  <c r="U223" i="57" s="1"/>
  <c r="AG6" i="35" a="1"/>
  <c r="AG6" i="35" s="1"/>
  <c r="AF7" i="44"/>
  <c r="X239" i="57" a="1"/>
  <c r="X239" i="57" s="1"/>
  <c r="Y239" i="57" s="1" a="1"/>
  <c r="Y239" i="57" s="1"/>
  <c r="Z239" i="57" s="1" a="1"/>
  <c r="Z239" i="57" s="1"/>
  <c r="V239" i="57" a="1"/>
  <c r="V239" i="57" s="1"/>
  <c r="W239" i="57" s="1" a="1"/>
  <c r="W239" i="57" s="1"/>
  <c r="AM11" i="55" a="1"/>
  <c r="AM11" i="55" s="1"/>
  <c r="AM30" i="55" s="1"/>
  <c r="AF19" i="44"/>
  <c r="AB169" i="57"/>
  <c r="AB170" i="57" s="1"/>
  <c r="H164" i="57"/>
  <c r="Z7" i="47"/>
  <c r="AD26" i="35"/>
  <c r="R173" i="57"/>
  <c r="AB173" i="57" s="1"/>
  <c r="R172" i="57"/>
  <c r="R170" i="57"/>
  <c r="R179" i="57"/>
  <c r="AB179" i="57" s="1"/>
  <c r="R177" i="57"/>
  <c r="AB177" i="57" s="1"/>
  <c r="R174" i="57"/>
  <c r="AB174" i="57" s="1"/>
  <c r="AH45" i="60" a="1"/>
  <c r="AH45" i="60" s="1"/>
  <c r="AD40" i="44"/>
  <c r="AE39" i="44"/>
  <c r="S222" i="57" a="1"/>
  <c r="S222" i="57" s="1"/>
  <c r="L104" i="47" s="1"/>
  <c r="R176" i="57"/>
  <c r="AB176" i="57" s="1"/>
  <c r="Z18" i="47"/>
  <c r="AJ97" i="55"/>
  <c r="Z9" i="47"/>
  <c r="AD24" i="35"/>
  <c r="X237" i="57" a="1"/>
  <c r="X237" i="57" s="1"/>
  <c r="Y237" i="57" s="1" a="1"/>
  <c r="Y237" i="57" s="1"/>
  <c r="Z237" i="57" s="1" a="1"/>
  <c r="Z237" i="57" s="1"/>
  <c r="AC237" i="57" s="1" a="1"/>
  <c r="AC237" i="57" s="1"/>
  <c r="V237" i="57" a="1"/>
  <c r="V237" i="57" s="1"/>
  <c r="W237" i="57" s="1" a="1"/>
  <c r="W237" i="57" s="1"/>
  <c r="Z6" i="47"/>
  <c r="AD25" i="35"/>
  <c r="Z35" i="47"/>
  <c r="AJ84" i="55"/>
  <c r="N101" i="47"/>
  <c r="X221" i="57" a="1"/>
  <c r="X221" i="57" s="1"/>
  <c r="Z31" i="47"/>
  <c r="AJ81" i="55"/>
  <c r="Z56" i="47"/>
  <c r="AJ130" i="55"/>
  <c r="R178" i="57"/>
  <c r="AB178" i="57" s="1"/>
  <c r="Z8" i="47"/>
  <c r="AD23" i="35"/>
  <c r="AA240" i="57" a="1"/>
  <c r="AA240" i="57" s="1"/>
  <c r="AD240" i="57" s="1" a="1"/>
  <c r="AD240" i="57" s="1"/>
  <c r="AE240" i="57" s="1" a="1"/>
  <c r="AE240" i="57" s="1"/>
  <c r="AF240" i="57" s="1" a="1"/>
  <c r="AF240" i="57" s="1"/>
  <c r="AG240" i="57" s="1" a="1"/>
  <c r="AG240" i="57" s="1"/>
  <c r="AH240" i="57" s="1" a="1"/>
  <c r="AH240" i="57" s="1"/>
  <c r="AI240" i="57" s="1" a="1"/>
  <c r="AI240" i="57" s="1"/>
  <c r="AC240" i="57" a="1"/>
  <c r="AC240" i="57" s="1"/>
  <c r="AB240" i="57" a="1"/>
  <c r="AB240" i="57" s="1"/>
  <c r="AG204" i="57" a="1"/>
  <c r="AG204" i="57" s="1"/>
  <c r="AE204" i="57" a="1"/>
  <c r="AE204" i="57" s="1"/>
  <c r="AF204" i="57" a="1"/>
  <c r="AF204" i="57" s="1"/>
  <c r="AG203" i="57" a="1"/>
  <c r="AG203" i="57" s="1"/>
  <c r="AF203" i="57" a="1"/>
  <c r="AF203" i="57" s="1"/>
  <c r="AE203" i="57" a="1"/>
  <c r="AE203" i="57" s="1"/>
  <c r="AG206" i="57" a="1"/>
  <c r="AG206" i="57" s="1"/>
  <c r="AF206" i="57" a="1"/>
  <c r="AF206" i="57" s="1"/>
  <c r="AE206" i="57" a="1"/>
  <c r="AE206" i="57" s="1"/>
  <c r="BE94" i="58" a="1"/>
  <c r="BE94" i="58" s="1"/>
  <c r="AU263" i="57" a="1"/>
  <c r="AU263" i="57" s="1"/>
  <c r="AT263" i="57" a="1"/>
  <c r="AT263" i="57" s="1"/>
  <c r="AV263" i="57" s="1" a="1"/>
  <c r="AV263" i="57" s="1"/>
  <c r="AK32" i="55"/>
  <c r="AA137" i="47"/>
  <c r="AJ237" i="57" a="1"/>
  <c r="AJ237" i="57" s="1"/>
  <c r="AK237" i="57" s="1" a="1"/>
  <c r="AK237" i="57" s="1"/>
  <c r="Z58" i="47"/>
  <c r="AJ128" i="55"/>
  <c r="AE86" i="44"/>
  <c r="AD34" i="44"/>
  <c r="AD37" i="44" s="1"/>
  <c r="AH23" i="60" s="1" a="1"/>
  <c r="AH23" i="60" s="1"/>
  <c r="Z54" i="47"/>
  <c r="AJ134" i="55"/>
  <c r="BE96" i="58" a="1"/>
  <c r="BE96" i="58" s="1"/>
  <c r="AF19" i="60"/>
  <c r="N100" i="47"/>
  <c r="AC176" i="57"/>
  <c r="AG35" i="60"/>
  <c r="AG38" i="60" s="1"/>
  <c r="AB238" i="57" a="1"/>
  <c r="AB238" i="57" s="1"/>
  <c r="AX233" i="57"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Z17" i="47"/>
  <c r="AJ99" i="55"/>
  <c r="AV175" i="57"/>
  <c r="AN12" i="55" a="1"/>
  <c r="AN12" i="55" s="1"/>
  <c r="AN13" i="55" a="1"/>
  <c r="AN13" i="55" s="1"/>
  <c r="AG17" i="44"/>
  <c r="BB99" i="58" a="1"/>
  <c r="BB99" i="58" s="1"/>
  <c r="AO175" i="57"/>
  <c r="AO164" i="57" s="1"/>
  <c r="AS175" i="57"/>
  <c r="AM22" i="55" a="1"/>
  <c r="AM22" i="55" s="1"/>
  <c r="AM114" i="55" s="1"/>
  <c r="AF12" i="44"/>
  <c r="AN10" i="58" a="1"/>
  <c r="AN10" i="58" s="1"/>
  <c r="AF8" i="44"/>
  <c r="AF83" i="60"/>
  <c r="AF91" i="60" s="1"/>
  <c r="AF116" i="60" s="1"/>
  <c r="AA62" i="47" s="1"/>
  <c r="Z27" i="47"/>
  <c r="AJ117" i="55"/>
  <c r="N102" i="47"/>
  <c r="X220" i="57" a="1"/>
  <c r="X220" i="57" s="1"/>
  <c r="Z49" i="47"/>
  <c r="AJ111" i="55"/>
  <c r="AC238" i="57" a="1"/>
  <c r="AC238" i="57" s="1"/>
  <c r="Z53" i="47"/>
  <c r="AJ129" i="55"/>
  <c r="AL41" i="55"/>
  <c r="AL122" i="55"/>
  <c r="AC28" i="47" s="1"/>
  <c r="AL123" i="55"/>
  <c r="AC23" i="47" s="1"/>
  <c r="AL119" i="55"/>
  <c r="AC25" i="47" s="1"/>
  <c r="AA14" i="47"/>
  <c r="AK96" i="55"/>
  <c r="Z10" i="47"/>
  <c r="AJ93" i="55"/>
  <c r="AA15" i="47"/>
  <c r="AK92" i="55"/>
  <c r="BE92" i="58" a="1"/>
  <c r="BE92" i="58" s="1"/>
  <c r="AC138" i="47"/>
  <c r="Z41" i="47"/>
  <c r="AJ89" i="55"/>
  <c r="AJ239" i="57" a="1"/>
  <c r="AJ239" i="57" s="1"/>
  <c r="AK239" i="57" s="1" a="1"/>
  <c r="AK239" i="57" s="1"/>
  <c r="AA16" i="47"/>
  <c r="AK94" i="55"/>
  <c r="AF85" i="44"/>
  <c r="Z39" i="47"/>
  <c r="AJ85" i="55"/>
  <c r="AT265" i="57" a="1"/>
  <c r="AT265" i="57" s="1"/>
  <c r="AV265" i="57" s="1" a="1"/>
  <c r="AV265" i="57" s="1"/>
  <c r="AU265" i="57" a="1"/>
  <c r="AU265" i="57" s="1"/>
  <c r="N103" i="47"/>
  <c r="X224" i="57" a="1"/>
  <c r="X224" i="57" s="1"/>
  <c r="AE106" i="60"/>
  <c r="Y77" i="47"/>
  <c r="AJ40" i="55"/>
  <c r="Z128" i="47"/>
  <c r="AU262" i="57" a="1"/>
  <c r="AU262" i="57" s="1"/>
  <c r="AT262" i="57" a="1"/>
  <c r="AT262" i="57" s="1"/>
  <c r="AV262" i="57" s="1" a="1"/>
  <c r="AV262" i="57" s="1"/>
  <c r="AD33" i="44"/>
  <c r="AD36" i="44" s="1"/>
  <c r="AH22" i="60" s="1" a="1"/>
  <c r="AH22" i="60" s="1"/>
  <c r="BD98" i="58" a="1"/>
  <c r="BD98" i="58" s="1"/>
  <c r="BC93" i="58" a="1"/>
  <c r="BC93" i="58" s="1"/>
  <c r="AC135" i="47"/>
  <c r="AG36" i="60"/>
  <c r="AS177" i="57"/>
  <c r="AK39" i="55"/>
  <c r="AA131" i="47"/>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L133" i="55"/>
  <c r="AC59" i="47" s="1"/>
  <c r="AL127" i="55"/>
  <c r="AC52" i="47" s="1"/>
  <c r="AL131" i="55"/>
  <c r="AC60" i="47" s="1"/>
  <c r="AL132" i="55"/>
  <c r="AC55" i="47" s="1"/>
  <c r="AM17" i="55" a="1"/>
  <c r="AM17" i="55" s="1"/>
  <c r="AM103" i="55" s="1"/>
  <c r="AF20" i="44"/>
  <c r="AL113" i="55"/>
  <c r="AC51" i="47" s="1"/>
  <c r="AL108" i="55"/>
  <c r="AC46" i="47" s="1"/>
  <c r="AL106" i="55"/>
  <c r="AC48" i="47" s="1"/>
  <c r="AL104" i="55"/>
  <c r="AC47" i="47" s="1"/>
  <c r="Z43" i="47"/>
  <c r="AJ107" i="55"/>
  <c r="AD35" i="44"/>
  <c r="AD38" i="44" s="1"/>
  <c r="AH24" i="60" s="1" a="1"/>
  <c r="AH24" i="60" s="1"/>
  <c r="AE87" i="44"/>
  <c r="AE33" i="44" s="1"/>
  <c r="AE36" i="44" s="1"/>
  <c r="AU261" i="57" a="1"/>
  <c r="AU261" i="57" s="1"/>
  <c r="AT261" i="57" a="1"/>
  <c r="AT261" i="57" s="1"/>
  <c r="AV261" i="57" s="1" a="1"/>
  <c r="AV261" i="57" s="1"/>
  <c r="AF101" i="60"/>
  <c r="Z69" i="47"/>
  <c r="AL37" i="55"/>
  <c r="AB129" i="47"/>
  <c r="AM10" i="55" a="1"/>
  <c r="AM10" i="55" s="1"/>
  <c r="AM79" i="55" s="1"/>
  <c r="AF18" i="44"/>
  <c r="AL240" i="57" a="1"/>
  <c r="AL240" i="57" s="1"/>
  <c r="AO240" i="57" s="1" a="1"/>
  <c r="AO240" i="57" s="1"/>
  <c r="AP240" i="57" s="1" a="1"/>
  <c r="AP240" i="57" s="1"/>
  <c r="AQ240" i="57" s="1" a="1"/>
  <c r="AQ240" i="57" s="1"/>
  <c r="AR240" i="57" s="1" a="1"/>
  <c r="AR240" i="57" s="1"/>
  <c r="AS240" i="57" s="1" a="1"/>
  <c r="AS240" i="57" s="1"/>
  <c r="AN240" i="57" a="1"/>
  <c r="AN240" i="57" s="1"/>
  <c r="AM240" i="57" a="1"/>
  <c r="AM240" i="57" s="1"/>
  <c r="U222" i="57" a="1"/>
  <c r="U222" i="57" s="1"/>
  <c r="AC170" i="57"/>
  <c r="AC174" i="57"/>
  <c r="AC173" i="57"/>
  <c r="AC172" i="57"/>
  <c r="AC179" i="57"/>
  <c r="AC177" i="57"/>
  <c r="AL86" i="55"/>
  <c r="AC34" i="47" s="1"/>
  <c r="AL80" i="55"/>
  <c r="AC36" i="47" s="1"/>
  <c r="AL88" i="55"/>
  <c r="AC33" i="47" s="1"/>
  <c r="AL82" i="55"/>
  <c r="AC37" i="47" s="1"/>
  <c r="Z45" i="47"/>
  <c r="AJ110" i="55"/>
  <c r="AM24" i="55" a="1"/>
  <c r="AM24" i="55" s="1"/>
  <c r="AM43" i="55" s="1"/>
  <c r="AM23" i="55" a="1"/>
  <c r="AM23" i="55" s="1"/>
  <c r="AF24" i="44"/>
  <c r="AL44" i="55"/>
  <c r="AN19" i="55" a="1"/>
  <c r="AN19" i="55" s="1"/>
  <c r="AN20" i="55" a="1"/>
  <c r="AN20" i="55" s="1"/>
  <c r="AN21" i="55" a="1"/>
  <c r="AN21" i="55" s="1"/>
  <c r="AN18" i="55" a="1"/>
  <c r="AN18" i="55" s="1"/>
  <c r="AG21" i="44"/>
  <c r="Z19" i="47"/>
  <c r="AJ101" i="55"/>
  <c r="AF18" i="60"/>
  <c r="AK35" i="55"/>
  <c r="AA130" i="47"/>
  <c r="AK42" i="55"/>
  <c r="AA134" i="47"/>
  <c r="AJ236" i="57" a="1"/>
  <c r="AJ236" i="57" s="1"/>
  <c r="AK236" i="57" s="1" a="1"/>
  <c r="AK236" i="57" s="1"/>
  <c r="I169" i="57"/>
  <c r="I176" i="57" s="1"/>
  <c r="AM238" i="57" a="1"/>
  <c r="AM238" i="57" s="1"/>
  <c r="AN238" i="57" a="1"/>
  <c r="AN238" i="57" s="1"/>
  <c r="AL238" i="57" a="1"/>
  <c r="AL238" i="57" s="1"/>
  <c r="AO238" i="57" s="1" a="1"/>
  <c r="AO238" i="57" s="1"/>
  <c r="AP238" i="57" s="1" a="1"/>
  <c r="AP238" i="57" s="1"/>
  <c r="AQ238" i="57" s="1" a="1"/>
  <c r="AQ238" i="57" s="1"/>
  <c r="AR238" i="57" s="1" a="1"/>
  <c r="AR238" i="57" s="1"/>
  <c r="AS238" i="57" s="1" a="1"/>
  <c r="AS238" i="57" s="1"/>
  <c r="V222" i="57" a="1"/>
  <c r="V222" i="57" s="1"/>
  <c r="AQ33" i="55"/>
  <c r="AH127" i="47" s="1"/>
  <c r="AJ127" i="47" s="1"/>
  <c r="AG127" i="47"/>
  <c r="N105" i="47"/>
  <c r="X226" i="57" a="1"/>
  <c r="X226" i="57" s="1"/>
  <c r="BB95" i="58" a="1"/>
  <c r="BB95" i="58" s="1"/>
  <c r="AF112" i="60"/>
  <c r="AA79" i="47" s="1"/>
  <c r="AF111" i="60"/>
  <c r="AA80" i="47" s="1"/>
  <c r="AF84" i="60"/>
  <c r="AF92" i="60" s="1"/>
  <c r="AF113" i="60" s="1"/>
  <c r="AA78" i="47" s="1"/>
  <c r="AF82" i="60"/>
  <c r="AF90" i="60" s="1"/>
  <c r="AF109" i="60" s="1"/>
  <c r="AA75" i="47" s="1"/>
  <c r="AF110" i="60"/>
  <c r="AA81" i="47" s="1"/>
  <c r="AF107" i="60"/>
  <c r="AA82" i="47" s="1"/>
  <c r="Z50" i="47"/>
  <c r="AJ109" i="55"/>
  <c r="Z133" i="47"/>
  <c r="AJ136" i="55"/>
  <c r="AU264" i="57" a="1"/>
  <c r="AU264" i="57" s="1"/>
  <c r="AT264" i="57" a="1"/>
  <c r="AT264" i="57" s="1"/>
  <c r="AV264" i="57" s="1" a="1"/>
  <c r="AV264" i="57" s="1"/>
  <c r="AC175" i="57"/>
  <c r="AE117" i="60"/>
  <c r="Y67" i="47"/>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Z26" i="47"/>
  <c r="AJ115" i="55"/>
  <c r="BC100" i="58" a="1"/>
  <c r="BC100" i="58" s="1"/>
  <c r="AG25" i="60"/>
  <c r="AG19" i="60" s="1"/>
  <c r="AG34" i="60"/>
  <c r="AG105" i="60"/>
  <c r="AB71" i="47" s="1"/>
  <c r="AG100" i="60"/>
  <c r="AB74" i="47" s="1"/>
  <c r="AG103" i="60"/>
  <c r="AB73" i="47" s="1"/>
  <c r="AG99" i="60"/>
  <c r="AB70" i="47" s="1"/>
  <c r="AA20" i="47"/>
  <c r="AK102" i="55"/>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W260" i="57" a="1"/>
  <c r="AW260" i="57" s="1"/>
  <c r="Z57" i="47"/>
  <c r="AJ126" i="55"/>
  <c r="Z13" i="47"/>
  <c r="AJ98" i="55"/>
  <c r="AM25" i="55" a="1"/>
  <c r="AM25" i="55" s="1"/>
  <c r="AM125" i="55" s="1"/>
  <c r="AF22" i="44"/>
  <c r="BB97" i="58" a="1"/>
  <c r="BB97" i="58" s="1"/>
  <c r="AE118" i="60"/>
  <c r="Y66" i="47"/>
  <c r="AK38" i="55"/>
  <c r="AA132" i="47"/>
  <c r="AF115" i="60" l="1"/>
  <c r="AA63" i="47" s="1"/>
  <c r="AF108" i="60"/>
  <c r="AA76" i="47" s="1"/>
  <c r="AE89" i="60"/>
  <c r="AE102" i="60" s="1"/>
  <c r="AG104" i="60"/>
  <c r="AB72" i="47" s="1"/>
  <c r="AO178" i="57"/>
  <c r="AO167" i="57" s="1"/>
  <c r="AA32" i="47"/>
  <c r="AK83" i="55"/>
  <c r="AF114" i="60"/>
  <c r="AA64" i="47" s="1"/>
  <c r="U225" i="57" a="1"/>
  <c r="U225" i="57" s="1"/>
  <c r="V225" i="57" a="1"/>
  <c r="V225" i="57" s="1"/>
  <c r="AA5" i="47"/>
  <c r="AE22" i="35"/>
  <c r="AA44" i="47"/>
  <c r="AK112" i="55"/>
  <c r="T225" i="57" a="1"/>
  <c r="T225" i="57" s="1"/>
  <c r="AJ31" i="58"/>
  <c r="AJ34" i="58" s="1"/>
  <c r="AK23" i="58"/>
  <c r="AH167" i="58"/>
  <c r="AH170" i="58"/>
  <c r="AH163" i="58"/>
  <c r="AH166" i="58"/>
  <c r="AH164" i="58"/>
  <c r="AH162" i="58"/>
  <c r="AH169" i="58"/>
  <c r="AH168" i="58"/>
  <c r="AH165" i="58"/>
  <c r="AH36" i="58"/>
  <c r="AH41" i="58" s="1"/>
  <c r="AI157" i="58"/>
  <c r="AI151" i="58"/>
  <c r="AI155" i="58"/>
  <c r="AI159" i="58"/>
  <c r="AI158" i="58"/>
  <c r="AI35" i="58"/>
  <c r="AI153" i="58"/>
  <c r="AI156" i="58"/>
  <c r="AI152" i="58"/>
  <c r="AI154" i="58"/>
  <c r="AJ24" i="58"/>
  <c r="AA61" i="47"/>
  <c r="AK135" i="55"/>
  <c r="AG81" i="60"/>
  <c r="AG89" i="60" s="1"/>
  <c r="AG102" i="60" s="1"/>
  <c r="AB68" i="47" s="1"/>
  <c r="AK31" i="55"/>
  <c r="AA136" i="47"/>
  <c r="AF85" i="60"/>
  <c r="AF93" i="60" s="1"/>
  <c r="AF119" i="60" s="1"/>
  <c r="AA65" i="47" s="1"/>
  <c r="AE93" i="60"/>
  <c r="AE119" i="60" s="1"/>
  <c r="Z65" i="47" s="1"/>
  <c r="T222" i="57" a="1"/>
  <c r="T222" i="57" s="1"/>
  <c r="AA22" i="47"/>
  <c r="AK118" i="55"/>
  <c r="AQ166" i="57"/>
  <c r="AU177" i="57"/>
  <c r="AU166" i="57" s="1"/>
  <c r="AL34" i="55"/>
  <c r="AA29" i="47"/>
  <c r="AK120" i="55"/>
  <c r="W223" i="57" a="1"/>
  <c r="W223" i="57" s="1"/>
  <c r="N106" i="47" s="1"/>
  <c r="AA42" i="47"/>
  <c r="AK105" i="55"/>
  <c r="AM176" i="57"/>
  <c r="AQ167" i="57"/>
  <c r="AU178" i="57"/>
  <c r="AU167" i="57" s="1"/>
  <c r="AA38" i="47"/>
  <c r="AK87" i="55"/>
  <c r="AM15" i="55" a="1"/>
  <c r="AM15" i="55" s="1"/>
  <c r="AF9" i="44"/>
  <c r="AF30" i="44" s="1"/>
  <c r="AF31" i="44" s="1"/>
  <c r="AU179" i="57"/>
  <c r="AU168" i="57" s="1"/>
  <c r="AQ168" i="57"/>
  <c r="AQ176" i="57"/>
  <c r="AK165" i="57"/>
  <c r="AR179" i="57"/>
  <c r="AV179" i="57" s="1"/>
  <c r="AL176" i="57"/>
  <c r="AR176" i="57" s="1"/>
  <c r="AN179" i="57"/>
  <c r="AA21" i="47"/>
  <c r="AK116" i="55"/>
  <c r="AA40" i="47"/>
  <c r="AK90" i="55"/>
  <c r="AA12" i="47"/>
  <c r="AK100" i="55"/>
  <c r="AA30" i="47"/>
  <c r="AK124" i="55"/>
  <c r="AA24" i="47"/>
  <c r="AK121" i="55"/>
  <c r="AG17" i="60"/>
  <c r="AF74" i="60"/>
  <c r="AF77" i="60" s="1"/>
  <c r="I178" i="57"/>
  <c r="AA8" i="47"/>
  <c r="AE23" i="35"/>
  <c r="AA6" i="47"/>
  <c r="AE25" i="35"/>
  <c r="V236" i="57" a="1"/>
  <c r="V236" i="57" s="1"/>
  <c r="W236" i="57" s="1" a="1"/>
  <c r="W236" i="57" s="1"/>
  <c r="X236" i="57" a="1"/>
  <c r="X236" i="57" s="1"/>
  <c r="Y236" i="57" s="1" a="1"/>
  <c r="Y236" i="57" s="1"/>
  <c r="Z236" i="57" s="1" a="1"/>
  <c r="Z236" i="57" s="1"/>
  <c r="AA236" i="57" s="1" a="1"/>
  <c r="AA236" i="57" s="1"/>
  <c r="AD236" i="57" s="1" a="1"/>
  <c r="AD236" i="57" s="1"/>
  <c r="AE236" i="57" s="1" a="1"/>
  <c r="AE236" i="57" s="1"/>
  <c r="AF236" i="57" s="1" a="1"/>
  <c r="AF236" i="57" s="1"/>
  <c r="AG236" i="57" s="1" a="1"/>
  <c r="AG236" i="57" s="1"/>
  <c r="AH236" i="57" s="1" a="1"/>
  <c r="AH236" i="57" s="1"/>
  <c r="AI236" i="57" s="1" a="1"/>
  <c r="AI236" i="57" s="1"/>
  <c r="H169" i="57"/>
  <c r="AE40" i="44"/>
  <c r="AF39" i="44"/>
  <c r="AI45" i="60" a="1"/>
  <c r="AI45" i="60" s="1"/>
  <c r="H45" i="60" s="1"/>
  <c r="AG37" i="60"/>
  <c r="AN11" i="55" a="1"/>
  <c r="AN11" i="55" s="1"/>
  <c r="AN30" i="55" s="1"/>
  <c r="AG19" i="44"/>
  <c r="AC181" i="57"/>
  <c r="AC182" i="57" s="1"/>
  <c r="AA56" i="47"/>
  <c r="AK130" i="55"/>
  <c r="AA9" i="47"/>
  <c r="AE24" i="35"/>
  <c r="AA31" i="47"/>
  <c r="AK81" i="55"/>
  <c r="AA18" i="47"/>
  <c r="AK97" i="55"/>
  <c r="Y221" i="57" a="1"/>
  <c r="Y221" i="57" s="1"/>
  <c r="O101" i="47"/>
  <c r="AB172" i="57"/>
  <c r="R181" i="57"/>
  <c r="AH6" i="35" a="1"/>
  <c r="AH6" i="35" s="1"/>
  <c r="AG7" i="44"/>
  <c r="AB237" i="57" a="1"/>
  <c r="AB237" i="57" s="1"/>
  <c r="AA35" i="47"/>
  <c r="AK84" i="55"/>
  <c r="AA7" i="47"/>
  <c r="AE26" i="35"/>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A19" i="47"/>
  <c r="AK101" i="55"/>
  <c r="AO166" i="57"/>
  <c r="AM86" i="55"/>
  <c r="AD34" i="47" s="1"/>
  <c r="AM80" i="55"/>
  <c r="AD36" i="47" s="1"/>
  <c r="AM88" i="55"/>
  <c r="AD33" i="47" s="1"/>
  <c r="AM82" i="55"/>
  <c r="AD37" i="47" s="1"/>
  <c r="AA50" i="47"/>
  <c r="AK109" i="55"/>
  <c r="AN25" i="55" a="1"/>
  <c r="AN25" i="55" s="1"/>
  <c r="AN125" i="55" s="1"/>
  <c r="AG22" i="44"/>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5" i="57" a="1"/>
  <c r="AW265" i="57" s="1"/>
  <c r="O102" i="47"/>
  <c r="Y220" i="57" a="1"/>
  <c r="Y220" i="57" s="1"/>
  <c r="AN22" i="55" a="1"/>
  <c r="AN22" i="55" s="1"/>
  <c r="AN114" i="55" s="1"/>
  <c r="AG12" i="44"/>
  <c r="AG18" i="60"/>
  <c r="AH35" i="60"/>
  <c r="AH38" i="60" s="1"/>
  <c r="AA10" i="47"/>
  <c r="AK93" i="55"/>
  <c r="AM123" i="55"/>
  <c r="AD23" i="47" s="1"/>
  <c r="AM122" i="55"/>
  <c r="AD28" i="47" s="1"/>
  <c r="AM119" i="55"/>
  <c r="AD25" i="47" s="1"/>
  <c r="AF86" i="44"/>
  <c r="AE34" i="44"/>
  <c r="AE37" i="44" s="1"/>
  <c r="AN23" i="55" a="1"/>
  <c r="AN23" i="55" s="1"/>
  <c r="AN24" i="55" a="1"/>
  <c r="AN24" i="55" s="1"/>
  <c r="AN43" i="55" s="1"/>
  <c r="AG24" i="44"/>
  <c r="AW177" i="57"/>
  <c r="AF106" i="60"/>
  <c r="Z77" i="47"/>
  <c r="AB16" i="47"/>
  <c r="AL94" i="55"/>
  <c r="AM239" i="57" a="1"/>
  <c r="AM239" i="57" s="1"/>
  <c r="AN239" i="57" a="1"/>
  <c r="AN239" i="57" s="1"/>
  <c r="AL239" i="57" a="1"/>
  <c r="AL239" i="57" s="1"/>
  <c r="AO239" i="57" s="1" a="1"/>
  <c r="AO239" i="57" s="1"/>
  <c r="AP239" i="57" s="1" a="1"/>
  <c r="AP239" i="57" s="1"/>
  <c r="AQ239" i="57" s="1" a="1"/>
  <c r="AQ239" i="57" s="1"/>
  <c r="AR239" i="57" s="1" a="1"/>
  <c r="AR239" i="57" s="1"/>
  <c r="AS239" i="57" s="1" a="1"/>
  <c r="AS239" i="57" s="1"/>
  <c r="AA27" i="47"/>
  <c r="AK117" i="55"/>
  <c r="AW175" i="57"/>
  <c r="AM36" i="55"/>
  <c r="AA58" i="47"/>
  <c r="AK128" i="55"/>
  <c r="AA237" i="57" a="1"/>
  <c r="AA237" i="57" s="1"/>
  <c r="AD237" i="57" s="1" a="1"/>
  <c r="AD237" i="57" s="1"/>
  <c r="AE237" i="57" s="1" a="1"/>
  <c r="AE237" i="57" s="1"/>
  <c r="AF237" i="57" s="1" a="1"/>
  <c r="AF237" i="57" s="1"/>
  <c r="AG237" i="57" s="1" a="1"/>
  <c r="AG237" i="57" s="1"/>
  <c r="AH237" i="57" s="1" a="1"/>
  <c r="AH237" i="57" s="1"/>
  <c r="AI237" i="57" s="1" a="1"/>
  <c r="AI237" i="57" s="1"/>
  <c r="AB14" i="47"/>
  <c r="AL96" i="55"/>
  <c r="AA17" i="47"/>
  <c r="AK99" i="55"/>
  <c r="AL35" i="55"/>
  <c r="AB130" i="47"/>
  <c r="AA57" i="47"/>
  <c r="AK126" i="55"/>
  <c r="AO20" i="55" a="1"/>
  <c r="AO20" i="55" s="1"/>
  <c r="AO21" i="55" a="1"/>
  <c r="AO21" i="55" s="1"/>
  <c r="AO18" i="55" a="1"/>
  <c r="AO18" i="55" s="1"/>
  <c r="AO19" i="55" a="1"/>
  <c r="AO19" i="55" s="1"/>
  <c r="AH21" i="44"/>
  <c r="AU240" i="57" a="1"/>
  <c r="AU240" i="57" s="1"/>
  <c r="AT240" i="57" a="1"/>
  <c r="AT240" i="57" s="1"/>
  <c r="AV240" i="57" s="1" a="1"/>
  <c r="AV240" i="57" s="1"/>
  <c r="AF117" i="60"/>
  <c r="Z67" i="47"/>
  <c r="AN10" i="55" a="1"/>
  <c r="AN10" i="55" s="1"/>
  <c r="AN79" i="55" s="1"/>
  <c r="AG18" i="44"/>
  <c r="AE35" i="44"/>
  <c r="AE38" i="44" s="1"/>
  <c r="AF87" i="44"/>
  <c r="AM29" i="55"/>
  <c r="AM41" i="55"/>
  <c r="O100" i="47"/>
  <c r="Y219" i="57" a="1"/>
  <c r="Y219" i="57" s="1"/>
  <c r="AN237" i="57" a="1"/>
  <c r="AN237" i="57" s="1"/>
  <c r="AL237" i="57" a="1"/>
  <c r="AL237" i="57" s="1"/>
  <c r="AO237" i="57" s="1" a="1"/>
  <c r="AO237" i="57" s="1"/>
  <c r="AP237" i="57" s="1" a="1"/>
  <c r="AP237" i="57" s="1"/>
  <c r="AQ237" i="57" s="1" a="1"/>
  <c r="AQ237" i="57" s="1"/>
  <c r="AR237" i="57" s="1" a="1"/>
  <c r="AR237" i="57" s="1"/>
  <c r="AS237" i="57" s="1" a="1"/>
  <c r="AS237" i="57" s="1"/>
  <c r="AM237" i="57" a="1"/>
  <c r="AM237" i="57" s="1"/>
  <c r="AM131" i="55"/>
  <c r="AD60" i="47" s="1"/>
  <c r="AM132" i="55"/>
  <c r="AD55" i="47" s="1"/>
  <c r="AM133" i="55"/>
  <c r="AD59" i="47" s="1"/>
  <c r="AM127" i="55"/>
  <c r="AD52" i="47" s="1"/>
  <c r="AG115" i="60"/>
  <c r="AB63" i="47" s="1"/>
  <c r="AG83" i="60"/>
  <c r="AG91" i="60" s="1"/>
  <c r="AG116" i="60" s="1"/>
  <c r="AB62" i="47" s="1"/>
  <c r="AA39" i="47"/>
  <c r="AK85" i="55"/>
  <c r="AA41" i="47"/>
  <c r="AK89" i="55"/>
  <c r="AA53" i="47"/>
  <c r="AK129" i="55"/>
  <c r="BC99" i="58" a="1"/>
  <c r="BC99" i="58" s="1"/>
  <c r="AN17" i="55" a="1"/>
  <c r="AN17" i="55" s="1"/>
  <c r="AN103" i="55" s="1"/>
  <c r="AG20" i="44"/>
  <c r="AH25" i="60"/>
  <c r="AH18" i="60" s="1"/>
  <c r="AH34" i="60"/>
  <c r="AH105" i="60"/>
  <c r="AC71" i="47" s="1"/>
  <c r="AH104" i="60"/>
  <c r="AC72" i="47" s="1"/>
  <c r="AH100" i="60"/>
  <c r="AC74" i="47" s="1"/>
  <c r="AH103" i="60"/>
  <c r="AC73" i="47" s="1"/>
  <c r="AH99" i="60"/>
  <c r="AC70" i="47" s="1"/>
  <c r="BF96" i="58" a="1"/>
  <c r="BF96" i="58" s="1"/>
  <c r="AL32" i="55"/>
  <c r="AB137" i="47"/>
  <c r="AA45" i="47"/>
  <c r="AK110" i="55"/>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4" i="57" a="1"/>
  <c r="AW264" i="57" s="1"/>
  <c r="AM37" i="55"/>
  <c r="AC129" i="47"/>
  <c r="AM108" i="55"/>
  <c r="AD46" i="47" s="1"/>
  <c r="AM106" i="55"/>
  <c r="AD48" i="47" s="1"/>
  <c r="AM104" i="55"/>
  <c r="AD47" i="47" s="1"/>
  <c r="AM113" i="55"/>
  <c r="AD51" i="47" s="1"/>
  <c r="AW262" i="57" a="1"/>
  <c r="AW262"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G85" i="44"/>
  <c r="AO13" i="55" a="1"/>
  <c r="AO13" i="55" s="1"/>
  <c r="AP13" i="55" s="1"/>
  <c r="AO12" i="55" a="1"/>
  <c r="AO12" i="55" s="1"/>
  <c r="AQ12" i="55" s="1"/>
  <c r="AH17" i="44"/>
  <c r="AI17" i="44" s="1"/>
  <c r="AJ17" i="44" s="1"/>
  <c r="AK17" i="44"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A13" i="47"/>
  <c r="AK98" i="55"/>
  <c r="AA43" i="47"/>
  <c r="AK107" i="55"/>
  <c r="AL236" i="57" a="1"/>
  <c r="AL236" i="57" s="1"/>
  <c r="AO236" i="57" s="1" a="1"/>
  <c r="AO236" i="57" s="1"/>
  <c r="AP236" i="57" s="1" a="1"/>
  <c r="AP236" i="57" s="1"/>
  <c r="AQ236" i="57" s="1" a="1"/>
  <c r="AQ236" i="57" s="1"/>
  <c r="AR236" i="57" s="1" a="1"/>
  <c r="AR236" i="57" s="1"/>
  <c r="AS236" i="57" s="1" a="1"/>
  <c r="AS236" i="57" s="1"/>
  <c r="AN236" i="57" a="1"/>
  <c r="AN236" i="57" s="1"/>
  <c r="AM236" i="57" a="1"/>
  <c r="AM236" i="57" s="1"/>
  <c r="AB20" i="47"/>
  <c r="AL102" i="55"/>
  <c r="BC95" i="58" a="1"/>
  <c r="BC95" i="58" s="1"/>
  <c r="I173" i="57"/>
  <c r="I174" i="57"/>
  <c r="I172" i="57"/>
  <c r="I177" i="57"/>
  <c r="I179" i="57"/>
  <c r="AD135" i="47"/>
  <c r="AV176" i="57"/>
  <c r="J13" i="57" a="1"/>
  <c r="J13" i="57" s="1"/>
  <c r="AI22" i="60" a="1"/>
  <c r="AI22" i="60" s="1"/>
  <c r="AD138" i="47"/>
  <c r="AA49" i="47"/>
  <c r="AK111" i="55"/>
  <c r="M107" i="47"/>
  <c r="W225" i="57" a="1"/>
  <c r="W225" i="57" s="1"/>
  <c r="M104" i="47"/>
  <c r="W222" i="57" a="1"/>
  <c r="W222" i="57" s="1"/>
  <c r="BD100" i="58" a="1"/>
  <c r="BD100" i="58" s="1"/>
  <c r="O105" i="47"/>
  <c r="Y226" i="57" a="1"/>
  <c r="Y226" i="57" s="1"/>
  <c r="AM44" i="55"/>
  <c r="AF118" i="60"/>
  <c r="Z66" i="47"/>
  <c r="AA133" i="47"/>
  <c r="AK136" i="55"/>
  <c r="I175" i="57"/>
  <c r="AG101" i="60"/>
  <c r="AA69" i="47"/>
  <c r="BD93" i="58" a="1"/>
  <c r="BD93" i="58" s="1"/>
  <c r="O103" i="47"/>
  <c r="Y224" i="57" a="1"/>
  <c r="Y224" i="57" s="1"/>
  <c r="BF92" i="58" a="1"/>
  <c r="BF92" i="58" s="1"/>
  <c r="J47" i="57"/>
  <c r="AE31" i="44"/>
  <c r="BF94" i="58" a="1"/>
  <c r="BF94" i="58" s="1"/>
  <c r="AU238" i="57" a="1"/>
  <c r="AU238" i="57" s="1"/>
  <c r="AT238" i="57" a="1"/>
  <c r="AT238" i="57" s="1"/>
  <c r="AV238" i="57" s="1" a="1"/>
  <c r="AV238" i="57" s="1"/>
  <c r="AH36" i="60"/>
  <c r="AW178" i="57"/>
  <c r="AL38" i="55"/>
  <c r="AB132" i="47"/>
  <c r="BC97" i="58" a="1"/>
  <c r="BC97" i="58" s="1"/>
  <c r="AA26" i="47"/>
  <c r="AK115" i="55"/>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L39" i="55"/>
  <c r="AB131" i="47"/>
  <c r="AK40" i="55"/>
  <c r="AA128" i="47"/>
  <c r="AS10" i="58" a="1"/>
  <c r="AS10" i="58" s="1"/>
  <c r="AG8" i="44"/>
  <c r="AG108" i="60"/>
  <c r="AB76" i="47" s="1"/>
  <c r="AG112" i="60"/>
  <c r="AB79" i="47" s="1"/>
  <c r="AG111" i="60"/>
  <c r="AB80" i="47" s="1"/>
  <c r="AG82" i="60"/>
  <c r="AG90" i="60" s="1"/>
  <c r="AG109" i="60" s="1"/>
  <c r="AB75" i="47" s="1"/>
  <c r="AG84" i="60"/>
  <c r="AG92" i="60" s="1"/>
  <c r="AG113" i="60" s="1"/>
  <c r="AB78" i="47" s="1"/>
  <c r="AG107" i="60"/>
  <c r="AB82" i="47" s="1"/>
  <c r="AG110" i="60"/>
  <c r="AB81" i="47" s="1"/>
  <c r="AA54" i="47"/>
  <c r="AK134" i="55"/>
  <c r="AL42" i="55"/>
  <c r="AB134" i="47"/>
  <c r="BE98" i="58" a="1"/>
  <c r="BE98" i="58" s="1"/>
  <c r="AB15" i="47"/>
  <c r="AL92" i="55"/>
  <c r="Z68" i="47" l="1"/>
  <c r="AE74" i="60"/>
  <c r="AE77" i="60" s="1"/>
  <c r="AB32" i="47"/>
  <c r="AL83" i="55"/>
  <c r="AG114" i="60"/>
  <c r="AB64" i="47" s="1"/>
  <c r="AK24" i="58"/>
  <c r="AB44" i="47"/>
  <c r="AL112" i="55"/>
  <c r="AB5" i="47"/>
  <c r="AF22" i="35"/>
  <c r="AI162" i="58"/>
  <c r="AI167" i="58"/>
  <c r="AI164" i="58"/>
  <c r="AI168" i="58"/>
  <c r="AI169" i="58"/>
  <c r="AI166" i="58"/>
  <c r="AI165" i="58"/>
  <c r="AI163" i="58"/>
  <c r="AI170" i="58"/>
  <c r="AI36" i="58"/>
  <c r="AI41" i="58" s="1"/>
  <c r="X223" i="57" a="1"/>
  <c r="X223" i="57" s="1"/>
  <c r="AK31" i="58"/>
  <c r="AK34" i="58" s="1"/>
  <c r="AL23" i="58"/>
  <c r="AJ156" i="58"/>
  <c r="AJ154" i="58"/>
  <c r="AJ159" i="58"/>
  <c r="AJ151" i="58"/>
  <c r="AJ157" i="58"/>
  <c r="AJ35" i="58"/>
  <c r="AJ153" i="58"/>
  <c r="AJ155" i="58"/>
  <c r="AJ158" i="58"/>
  <c r="AJ152" i="58"/>
  <c r="AH81" i="60"/>
  <c r="AH89" i="60" s="1"/>
  <c r="AH102" i="60" s="1"/>
  <c r="AC68" i="47" s="1"/>
  <c r="AB61" i="47"/>
  <c r="AL135" i="55"/>
  <c r="AB22" i="47"/>
  <c r="AL118" i="55"/>
  <c r="AG85" i="60"/>
  <c r="AG93" i="60" s="1"/>
  <c r="AG119" i="60" s="1"/>
  <c r="AB65" i="47" s="1"/>
  <c r="AB236" i="57" a="1"/>
  <c r="AB236" i="57" s="1"/>
  <c r="AL31" i="55"/>
  <c r="AB136" i="47"/>
  <c r="AN44" i="55"/>
  <c r="AB42" i="47"/>
  <c r="AL105" i="55"/>
  <c r="AB29" i="47"/>
  <c r="AL120" i="55"/>
  <c r="AN176" i="57"/>
  <c r="AS176" i="57" s="1"/>
  <c r="AS179" i="57"/>
  <c r="AW179" i="57" s="1"/>
  <c r="AO179" i="57"/>
  <c r="AQ165" i="57"/>
  <c r="AU176" i="57"/>
  <c r="AU165" i="57" s="1"/>
  <c r="AH17" i="60"/>
  <c r="AN41" i="55"/>
  <c r="AF33" i="44"/>
  <c r="AF36" i="44" s="1"/>
  <c r="AJ22" i="60" s="1" a="1"/>
  <c r="AJ22" i="60" s="1"/>
  <c r="AJ34" i="60" s="1"/>
  <c r="AN15" i="55" a="1"/>
  <c r="AN15" i="55" s="1"/>
  <c r="AN91" i="55" s="1"/>
  <c r="AG9" i="44"/>
  <c r="AG30" i="44" s="1"/>
  <c r="AM91" i="55"/>
  <c r="AM95" i="55" s="1"/>
  <c r="AD11" i="47" s="1"/>
  <c r="AM34" i="55"/>
  <c r="AH19" i="60"/>
  <c r="AB38" i="47"/>
  <c r="AL87" i="55"/>
  <c r="AC236" i="57" a="1"/>
  <c r="AC236" i="57" s="1"/>
  <c r="AB24" i="47"/>
  <c r="AL121" i="55"/>
  <c r="AB30" i="47"/>
  <c r="AL124" i="55"/>
  <c r="AB12" i="47"/>
  <c r="AL100" i="55"/>
  <c r="AB40" i="47"/>
  <c r="AL90" i="55"/>
  <c r="AB21" i="47"/>
  <c r="AL116" i="55"/>
  <c r="AB35" i="47"/>
  <c r="AL84" i="55"/>
  <c r="AJ45" i="60" a="1"/>
  <c r="AJ45" i="60" s="1"/>
  <c r="AF40" i="44"/>
  <c r="AG39" i="44"/>
  <c r="AB31" i="47"/>
  <c r="AL81" i="55"/>
  <c r="H177" i="57"/>
  <c r="H179" i="57"/>
  <c r="H173" i="57"/>
  <c r="H174" i="57"/>
  <c r="H172" i="57"/>
  <c r="H178" i="57"/>
  <c r="H176" i="57"/>
  <c r="AB9" i="47"/>
  <c r="AF24" i="35"/>
  <c r="H175" i="57"/>
  <c r="AI6" i="35" a="1"/>
  <c r="AI6" i="35" s="1"/>
  <c r="AH7" i="44"/>
  <c r="AI7" i="44" s="1"/>
  <c r="AB56" i="47"/>
  <c r="AL130" i="55"/>
  <c r="AB6" i="47"/>
  <c r="AF25" i="35"/>
  <c r="AH19" i="44"/>
  <c r="AI19" i="44" s="1"/>
  <c r="AJ19" i="44" s="1"/>
  <c r="AK19" i="44" s="1"/>
  <c r="AO11" i="55" a="1"/>
  <c r="AO11" i="55" s="1"/>
  <c r="AO30" i="55" s="1"/>
  <c r="AB8" i="47"/>
  <c r="AF23" i="35"/>
  <c r="AB181" i="57"/>
  <c r="R182" i="57"/>
  <c r="AB182" i="57" s="1"/>
  <c r="AB7" i="47"/>
  <c r="AF26" i="35"/>
  <c r="P101" i="47"/>
  <c r="Z221" i="57" a="1"/>
  <c r="Z221" i="57" s="1"/>
  <c r="AB18" i="47"/>
  <c r="AL97" i="55"/>
  <c r="H69" i="60"/>
  <c r="H67" i="60"/>
  <c r="J21" i="57"/>
  <c r="T32" i="57" s="1"/>
  <c r="H50" i="60"/>
  <c r="H66" i="60"/>
  <c r="H64" i="60"/>
  <c r="H68" i="60"/>
  <c r="H63" i="60"/>
  <c r="H65" i="60"/>
  <c r="AG74" i="60"/>
  <c r="AG77" i="60" s="1"/>
  <c r="AM42" i="55"/>
  <c r="AC134" i="47"/>
  <c r="AO10" i="58"/>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AE138" i="47"/>
  <c r="AB45" i="47"/>
  <c r="AL110" i="55"/>
  <c r="AB54" i="47"/>
  <c r="AL134" i="55"/>
  <c r="BE93" i="58" a="1"/>
  <c r="BE93" i="58" s="1"/>
  <c r="P105" i="47"/>
  <c r="Z226" i="57" a="1"/>
  <c r="Z226" i="57" s="1"/>
  <c r="H22" i="60"/>
  <c r="AI34" i="60"/>
  <c r="AI105" i="60"/>
  <c r="AD71" i="47" s="1"/>
  <c r="AI104" i="60"/>
  <c r="AD72" i="47" s="1"/>
  <c r="AI100" i="60"/>
  <c r="AD74" i="47" s="1"/>
  <c r="AI103" i="60"/>
  <c r="AD73" i="47" s="1"/>
  <c r="AI99" i="60"/>
  <c r="AD70" i="47" s="1"/>
  <c r="AH37" i="60"/>
  <c r="P100" i="47"/>
  <c r="Z219" i="57" a="1"/>
  <c r="Z219" i="57" s="1"/>
  <c r="AP21" i="55" a="1"/>
  <c r="AP21" i="55" s="1"/>
  <c r="AP18" i="55" a="1"/>
  <c r="AP18" i="55" s="1"/>
  <c r="AP19" i="55" a="1"/>
  <c r="AP19" i="55" s="1"/>
  <c r="AP20" i="55" a="1"/>
  <c r="AP20" i="55" s="1"/>
  <c r="AI21" i="44"/>
  <c r="AC14" i="47"/>
  <c r="AN36" i="55"/>
  <c r="AG106" i="60"/>
  <c r="AA77" i="47"/>
  <c r="AH112" i="60"/>
  <c r="AC79" i="47" s="1"/>
  <c r="AH108" i="60"/>
  <c r="AC76" i="47" s="1"/>
  <c r="AH111" i="60"/>
  <c r="AC80" i="47" s="1"/>
  <c r="AH82" i="60"/>
  <c r="AH90" i="60" s="1"/>
  <c r="AH109" i="60" s="1"/>
  <c r="AC75" i="47" s="1"/>
  <c r="AH84" i="60"/>
  <c r="AH92" i="60" s="1"/>
  <c r="AH113" i="60" s="1"/>
  <c r="AC78" i="47" s="1"/>
  <c r="AH107" i="60"/>
  <c r="AC82" i="47" s="1"/>
  <c r="AH110" i="60"/>
  <c r="AC81" i="47" s="1"/>
  <c r="AO25" i="55" a="1"/>
  <c r="AO25" i="55" s="1"/>
  <c r="AO125" i="55" s="1"/>
  <c r="AH22" i="44"/>
  <c r="AD13" i="57"/>
  <c r="T13" i="57"/>
  <c r="AC20" i="47"/>
  <c r="AB53" i="47"/>
  <c r="AL129" i="55"/>
  <c r="AN131" i="55"/>
  <c r="AE60" i="47" s="1"/>
  <c r="AN132" i="55"/>
  <c r="AE55" i="47" s="1"/>
  <c r="AN133" i="55"/>
  <c r="AE59" i="47" s="1"/>
  <c r="AN127" i="55"/>
  <c r="AE52" i="47" s="1"/>
  <c r="AB26" i="47"/>
  <c r="AL115" i="55"/>
  <c r="BE100" i="58" a="1"/>
  <c r="BE100" i="58" s="1"/>
  <c r="AM32" i="55"/>
  <c r="AC137" i="47"/>
  <c r="AO17" i="55" a="1"/>
  <c r="AO17" i="55" s="1"/>
  <c r="AO103" i="55" s="1"/>
  <c r="AH20" i="44"/>
  <c r="AN29" i="55"/>
  <c r="AB50" i="47"/>
  <c r="AL109" i="55"/>
  <c r="BG94" i="58" a="1"/>
  <c r="BG94" i="58" s="1"/>
  <c r="AH101" i="60"/>
  <c r="AB69" i="47"/>
  <c r="BG96" i="58" a="1"/>
  <c r="BG96" i="58" s="1"/>
  <c r="AN104" i="55"/>
  <c r="AE47" i="47" s="1"/>
  <c r="AN108" i="55"/>
  <c r="AE46" i="47" s="1"/>
  <c r="AN106" i="55"/>
  <c r="AE48" i="47" s="1"/>
  <c r="AN113" i="55"/>
  <c r="AE51" i="47" s="1"/>
  <c r="AB41" i="47"/>
  <c r="AL89" i="55"/>
  <c r="AF35" i="44"/>
  <c r="AF38" i="44" s="1"/>
  <c r="AJ24" i="60" s="1" a="1"/>
  <c r="AJ24" i="60" s="1"/>
  <c r="AG87" i="44"/>
  <c r="AO22" i="55" a="1"/>
  <c r="AO22" i="55" s="1"/>
  <c r="AO114" i="55" s="1"/>
  <c r="AH12" i="44"/>
  <c r="BD97" i="58" a="1"/>
  <c r="BD97" i="58" s="1"/>
  <c r="AC15" i="47"/>
  <c r="N104" i="47"/>
  <c r="X222" i="57" a="1"/>
  <c r="X222" i="57" s="1"/>
  <c r="J15" i="57" a="1"/>
  <c r="J15" i="57" s="1"/>
  <c r="AI24" i="60" a="1"/>
  <c r="AI24" i="60" s="1"/>
  <c r="AB27" i="47"/>
  <c r="AL117" i="55"/>
  <c r="AO23" i="55" a="1"/>
  <c r="AO23" i="55" s="1"/>
  <c r="AO24" i="55" a="1"/>
  <c r="AO24" i="55" s="1"/>
  <c r="AO43" i="55" s="1"/>
  <c r="AH24" i="44"/>
  <c r="AN122" i="55"/>
  <c r="AE28" i="47" s="1"/>
  <c r="AN123" i="55"/>
  <c r="AE23" i="47" s="1"/>
  <c r="AN119" i="55"/>
  <c r="AE25" i="47" s="1"/>
  <c r="AB39" i="47"/>
  <c r="AL85" i="55"/>
  <c r="AO10" i="55" a="1"/>
  <c r="AO10" i="55" s="1"/>
  <c r="AO79" i="55" s="1"/>
  <c r="AH18" i="44"/>
  <c r="AB57" i="47"/>
  <c r="AL126" i="55"/>
  <c r="AB19" i="47"/>
  <c r="AL101" i="55"/>
  <c r="AH85" i="44"/>
  <c r="O106" i="47"/>
  <c r="Y223" i="57" a="1"/>
  <c r="Y223" i="57" s="1"/>
  <c r="BF98" i="58" a="1"/>
  <c r="BF98" i="58" s="1"/>
  <c r="AM38" i="55"/>
  <c r="AC132" i="47"/>
  <c r="N107" i="47"/>
  <c r="X225" i="57" a="1"/>
  <c r="X225" i="57" s="1"/>
  <c r="AB43" i="47"/>
  <c r="AL107" i="55"/>
  <c r="AN86" i="55"/>
  <c r="AE34" i="47" s="1"/>
  <c r="AN80" i="55"/>
  <c r="AE36" i="47" s="1"/>
  <c r="AN88" i="55"/>
  <c r="AE33" i="47" s="1"/>
  <c r="AN82" i="55"/>
  <c r="AE37" i="47" s="1"/>
  <c r="AT239" i="57" a="1"/>
  <c r="AT239" i="57" s="1"/>
  <c r="AV239" i="57" s="1" a="1"/>
  <c r="AV239" i="57" s="1"/>
  <c r="AU239" i="57" a="1"/>
  <c r="AU239" i="57" s="1"/>
  <c r="P102" i="47"/>
  <c r="Z220" i="57" a="1"/>
  <c r="Z220" i="57" s="1"/>
  <c r="AL40" i="55"/>
  <c r="AB128" i="47"/>
  <c r="T47" i="57"/>
  <c r="T49" i="57" s="1"/>
  <c r="AD47" i="57"/>
  <c r="AD49" i="57" s="1"/>
  <c r="AB133" i="47"/>
  <c r="AL136" i="55"/>
  <c r="J14" i="57" a="1"/>
  <c r="J14" i="57" s="1"/>
  <c r="AI23" i="60" a="1"/>
  <c r="AI23" i="60" s="1"/>
  <c r="AP12" i="55"/>
  <c r="AE135" i="47"/>
  <c r="BG92" i="58" a="1"/>
  <c r="BG92" i="58" s="1"/>
  <c r="AB49" i="47"/>
  <c r="AL111" i="55"/>
  <c r="I181" i="57"/>
  <c r="I182" i="57" s="1"/>
  <c r="AB13" i="47"/>
  <c r="AL98" i="55"/>
  <c r="AN37" i="55"/>
  <c r="AD129" i="47"/>
  <c r="AM35" i="55"/>
  <c r="AC130" i="47"/>
  <c r="AG86" i="44"/>
  <c r="AF34" i="44"/>
  <c r="AF37" i="44" s="1"/>
  <c r="AJ23" i="60" s="1" a="1"/>
  <c r="AJ23" i="60" s="1"/>
  <c r="AQ13" i="55"/>
  <c r="AT236" i="57" a="1"/>
  <c r="AT236" i="57" s="1"/>
  <c r="AV236" i="57" s="1" a="1"/>
  <c r="AV236" i="57" s="1"/>
  <c r="AU236" i="57" a="1"/>
  <c r="AU236" i="57" s="1"/>
  <c r="AG117" i="60"/>
  <c r="AA67" i="47"/>
  <c r="AB17" i="47"/>
  <c r="AL99" i="55"/>
  <c r="AB58" i="47"/>
  <c r="AL128" i="55"/>
  <c r="AC16" i="47"/>
  <c r="AB10" i="47"/>
  <c r="AL93" i="55"/>
  <c r="AM39" i="55"/>
  <c r="AC131" i="47"/>
  <c r="AX10" i="58" a="1"/>
  <c r="AX10" i="58" s="1"/>
  <c r="AH8" i="44"/>
  <c r="AH115" i="60"/>
  <c r="AC63" i="47" s="1"/>
  <c r="AH114" i="60"/>
  <c r="AC64" i="47" s="1"/>
  <c r="AH83" i="60"/>
  <c r="AH91" i="60" s="1"/>
  <c r="AH116" i="60" s="1"/>
  <c r="AC62" i="47" s="1"/>
  <c r="P103" i="47"/>
  <c r="Z224" i="57" a="1"/>
  <c r="Z224" i="57" s="1"/>
  <c r="AG118" i="60"/>
  <c r="AA66" i="47"/>
  <c r="BD99" i="58" a="1"/>
  <c r="BD99" i="58" s="1"/>
  <c r="AU237" i="57" a="1"/>
  <c r="AU237" i="57" s="1"/>
  <c r="AT237" i="57" a="1"/>
  <c r="AT237" i="57" s="1"/>
  <c r="AV237" i="57" s="1" a="1"/>
  <c r="AV237"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40" i="57" a="1"/>
  <c r="AW240" i="57" s="1"/>
  <c r="BD95" i="58" a="1"/>
  <c r="BD95" i="58" s="1"/>
  <c r="AW176" i="57"/>
  <c r="AC32" i="47" l="1"/>
  <c r="AM83" i="55"/>
  <c r="AL24" i="58"/>
  <c r="AI81" i="60"/>
  <c r="AI89" i="60" s="1"/>
  <c r="AI102" i="60" s="1"/>
  <c r="AD68" i="47" s="1"/>
  <c r="AG22" i="35"/>
  <c r="AC5" i="47"/>
  <c r="AC44" i="47"/>
  <c r="AM112" i="55"/>
  <c r="AK158" i="58"/>
  <c r="AK35" i="58"/>
  <c r="AK153" i="58"/>
  <c r="AK154" i="58"/>
  <c r="AK156" i="58"/>
  <c r="AK152" i="58"/>
  <c r="AK159" i="58"/>
  <c r="AK151" i="58"/>
  <c r="AK157" i="58"/>
  <c r="AK155" i="58"/>
  <c r="AJ169" i="58"/>
  <c r="AJ167" i="58"/>
  <c r="AJ166" i="58"/>
  <c r="AJ165" i="58"/>
  <c r="AJ168" i="58"/>
  <c r="AJ163" i="58"/>
  <c r="AJ164" i="58"/>
  <c r="AJ162" i="58"/>
  <c r="AJ170" i="58"/>
  <c r="AJ36" i="58"/>
  <c r="AJ41" i="58" s="1"/>
  <c r="AL31" i="58"/>
  <c r="AL34" i="58" s="1"/>
  <c r="AM23" i="58"/>
  <c r="AM24" i="58" s="1"/>
  <c r="AM102" i="55"/>
  <c r="AN102" i="55" s="1"/>
  <c r="AM94" i="55"/>
  <c r="AD16" i="47" s="1"/>
  <c r="AM92" i="55"/>
  <c r="AD15" i="47" s="1"/>
  <c r="AM96" i="55"/>
  <c r="AD14" i="47" s="1"/>
  <c r="AC61" i="47"/>
  <c r="AM135" i="55"/>
  <c r="AH85" i="60"/>
  <c r="AH93" i="60" s="1"/>
  <c r="AH119" i="60" s="1"/>
  <c r="AC65" i="47" s="1"/>
  <c r="AM31" i="55"/>
  <c r="AC136" i="47"/>
  <c r="AC22" i="47"/>
  <c r="AM118" i="55"/>
  <c r="AJ105" i="60"/>
  <c r="AE71" i="47" s="1"/>
  <c r="J16" i="57"/>
  <c r="AC29" i="47"/>
  <c r="AM120" i="55"/>
  <c r="AC42" i="47"/>
  <c r="AM105" i="55"/>
  <c r="AJ104" i="60"/>
  <c r="AE72" i="47" s="1"/>
  <c r="AN34" i="55"/>
  <c r="AO15" i="55" a="1"/>
  <c r="AO15" i="55" s="1"/>
  <c r="AO91" i="55" s="1"/>
  <c r="AH9" i="44"/>
  <c r="AH30" i="44" s="1"/>
  <c r="AH31" i="44" s="1"/>
  <c r="AN95" i="55"/>
  <c r="AE11" i="47" s="1"/>
  <c r="AC38" i="47"/>
  <c r="AM87" i="55"/>
  <c r="AO168" i="57"/>
  <c r="AO176" i="57"/>
  <c r="AO165" i="57" s="1"/>
  <c r="AJ25" i="60"/>
  <c r="AJ17" i="60" s="1"/>
  <c r="AC21" i="47"/>
  <c r="AM116" i="55"/>
  <c r="AC40" i="47"/>
  <c r="AM90" i="55"/>
  <c r="AJ37" i="60"/>
  <c r="AG33" i="44"/>
  <c r="AG36" i="44" s="1"/>
  <c r="K13" i="57" s="1" a="1"/>
  <c r="K13" i="57" s="1"/>
  <c r="AC12" i="47"/>
  <c r="AM100" i="55"/>
  <c r="AC30" i="47"/>
  <c r="AM124" i="55"/>
  <c r="AC24" i="47"/>
  <c r="AM121" i="55"/>
  <c r="AO41" i="55"/>
  <c r="AI65" i="60" a="1"/>
  <c r="AI65" i="60" s="1"/>
  <c r="Z65" i="60"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Z63" i="60"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3" i="60" a="1"/>
  <c r="AI63" i="60" s="1"/>
  <c r="AC7" i="47"/>
  <c r="AG26" i="35"/>
  <c r="AC56" i="47"/>
  <c r="AM130" i="55"/>
  <c r="AI68" i="60" a="1"/>
  <c r="AI68" i="60" s="1"/>
  <c r="Z68" i="60"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AI64" i="60" a="1"/>
  <c r="AI64" i="60" s="1"/>
  <c r="Z64" i="60"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AJ7" i="44"/>
  <c r="AK7" i="44" s="1"/>
  <c r="AK6" i="35" s="1" a="1"/>
  <c r="AK6" i="35" s="1"/>
  <c r="AJ6" i="35" a="1"/>
  <c r="AJ6" i="35" s="1"/>
  <c r="AC31" i="47"/>
  <c r="AM81" i="55"/>
  <c r="AI66" i="60" a="1"/>
  <c r="AI66" i="60" s="1"/>
  <c r="Z66" i="60"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C8" i="47"/>
  <c r="AG23" i="35"/>
  <c r="AI37" i="60"/>
  <c r="T87" i="57"/>
  <c r="T90" i="57" s="1"/>
  <c r="AD32" i="57"/>
  <c r="AG24" i="35"/>
  <c r="AC9" i="47"/>
  <c r="AK45" i="60" a="1"/>
  <c r="AK45" i="60" s="1"/>
  <c r="I45" i="60" s="1"/>
  <c r="AG40" i="44"/>
  <c r="AH39" i="44"/>
  <c r="AI67" i="60" a="1"/>
  <c r="AI67" i="60" s="1"/>
  <c r="Z67" i="60"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P11" i="55"/>
  <c r="AP30" i="55" s="1"/>
  <c r="AQ11" i="55"/>
  <c r="AI69" i="60" a="1"/>
  <c r="AI69" i="60" s="1"/>
  <c r="Z69" i="60"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AC18" i="47"/>
  <c r="AM97" i="55"/>
  <c r="AC6" i="47"/>
  <c r="AG25" i="35"/>
  <c r="AC35" i="47"/>
  <c r="AM84" i="55"/>
  <c r="AJ99" i="60"/>
  <c r="AE70" i="47" s="1"/>
  <c r="AO29" i="55"/>
  <c r="H181" i="57"/>
  <c r="H182" i="57" s="1"/>
  <c r="Q101" i="47"/>
  <c r="AA221" i="57" a="1"/>
  <c r="AA221" i="57" s="1"/>
  <c r="AJ103" i="60"/>
  <c r="AE73" i="47" s="1"/>
  <c r="AJ100" i="60"/>
  <c r="AE74" i="47" s="1"/>
  <c r="J28" i="57"/>
  <c r="AC17" i="47"/>
  <c r="AM99" i="55"/>
  <c r="AI8" i="44"/>
  <c r="AH74" i="60"/>
  <c r="AH77" i="60" s="1"/>
  <c r="BE99" i="58" a="1"/>
  <c r="BE99" i="58" s="1"/>
  <c r="BH92" i="58" a="1"/>
  <c r="BH92" i="58"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W239" i="57" a="1"/>
  <c r="AW239" i="57" s="1"/>
  <c r="BG98" i="58" a="1"/>
  <c r="BG98" i="58" s="1"/>
  <c r="AO88" i="55"/>
  <c r="AF33" i="47" s="1"/>
  <c r="AO82" i="55"/>
  <c r="AF37" i="47" s="1"/>
  <c r="AO86" i="55"/>
  <c r="AF34" i="47" s="1"/>
  <c r="AO80" i="55"/>
  <c r="AF36" i="47" s="1"/>
  <c r="AD15" i="57"/>
  <c r="T15" i="57"/>
  <c r="AJ19" i="60"/>
  <c r="AJ36" i="60"/>
  <c r="H34" i="60"/>
  <c r="H37" i="60" s="1"/>
  <c r="AC13" i="47"/>
  <c r="AM98" i="55"/>
  <c r="AN39" i="55"/>
  <c r="AD131" i="47"/>
  <c r="AC39" i="47"/>
  <c r="AM85" i="55"/>
  <c r="O104" i="47"/>
  <c r="Y222" i="57" a="1"/>
  <c r="Y222" i="57" s="1"/>
  <c r="T75" i="57"/>
  <c r="T54" i="57"/>
  <c r="T93" i="57"/>
  <c r="T107" i="57"/>
  <c r="Q100" i="47"/>
  <c r="AA219" i="57" a="1"/>
  <c r="AA219" i="57" s="1"/>
  <c r="AF138" i="47"/>
  <c r="BH96" i="58" a="1"/>
  <c r="BH96" i="58" s="1"/>
  <c r="Q105" i="47"/>
  <c r="AA226" i="57" a="1"/>
  <c r="AA226" i="57" s="1"/>
  <c r="AO44" i="55"/>
  <c r="H23" i="60"/>
  <c r="AI35" i="60"/>
  <c r="O107" i="47"/>
  <c r="Y225" i="57" a="1"/>
  <c r="Y225" i="57" s="1"/>
  <c r="AC133" i="47"/>
  <c r="AM136" i="55"/>
  <c r="P106" i="47"/>
  <c r="Z223" i="57" a="1"/>
  <c r="Z223" i="57" s="1"/>
  <c r="AP23" i="55" a="1"/>
  <c r="AP23" i="55" s="1"/>
  <c r="AP24" i="55" a="1"/>
  <c r="AP24" i="55" s="1"/>
  <c r="AP43" i="55" s="1"/>
  <c r="AI24" i="44"/>
  <c r="AD93" i="57"/>
  <c r="AD75" i="57"/>
  <c r="AD107" i="57"/>
  <c r="AD54" i="57"/>
  <c r="AH106" i="60"/>
  <c r="AB77" i="47"/>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Q103" i="47"/>
  <c r="AA224" i="57" a="1"/>
  <c r="AA224" i="57" s="1"/>
  <c r="AC41" i="47"/>
  <c r="AM89" i="55"/>
  <c r="AP17" i="55" a="1"/>
  <c r="AP17" i="55" s="1"/>
  <c r="AP103" i="55" s="1"/>
  <c r="AI20" i="44"/>
  <c r="AP25" i="55" a="1"/>
  <c r="AP25" i="55" s="1"/>
  <c r="AP125" i="55" s="1"/>
  <c r="AI22" i="44"/>
  <c r="AO36" i="55"/>
  <c r="BF93" i="58" a="1"/>
  <c r="BF93" i="58"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C10" i="47"/>
  <c r="AM93" i="55"/>
  <c r="BE95" i="58" a="1"/>
  <c r="BE95" i="58" s="1"/>
  <c r="AH118" i="60"/>
  <c r="AB66" i="47"/>
  <c r="AJ35" i="60"/>
  <c r="AJ38" i="60" s="1"/>
  <c r="AF135" i="47"/>
  <c r="AD57" i="57"/>
  <c r="AD50" i="57"/>
  <c r="J49" i="57"/>
  <c r="K49" i="57"/>
  <c r="L49" i="57"/>
  <c r="AO106" i="55"/>
  <c r="AF48" i="47" s="1"/>
  <c r="AO108" i="55"/>
  <c r="AF46" i="47" s="1"/>
  <c r="AO104" i="55"/>
  <c r="AF47" i="47" s="1"/>
  <c r="AO113" i="55"/>
  <c r="AF51" i="47" s="1"/>
  <c r="AO131" i="55"/>
  <c r="AF60" i="47" s="1"/>
  <c r="AO132" i="55"/>
  <c r="AF55" i="47" s="1"/>
  <c r="AO133" i="55"/>
  <c r="AF59" i="47" s="1"/>
  <c r="AO127" i="55"/>
  <c r="AF52" i="47" s="1"/>
  <c r="AC58" i="47"/>
  <c r="AM128" i="55"/>
  <c r="AG34" i="44"/>
  <c r="AG37" i="44" s="1"/>
  <c r="AH86" i="44"/>
  <c r="AO37" i="55"/>
  <c r="AE129" i="47"/>
  <c r="T50" i="57"/>
  <c r="T57" i="57"/>
  <c r="AC43" i="47"/>
  <c r="AM107" i="55"/>
  <c r="AI85" i="44"/>
  <c r="AC27" i="47"/>
  <c r="AM117" i="55"/>
  <c r="AC54" i="47"/>
  <c r="AM134" i="55"/>
  <c r="AC19" i="47"/>
  <c r="AM101" i="55"/>
  <c r="BE97" i="58" a="1"/>
  <c r="BE97" i="58" s="1"/>
  <c r="AI101" i="60"/>
  <c r="AC69" i="47"/>
  <c r="AN32" i="55"/>
  <c r="AD137" i="47"/>
  <c r="AC53" i="47"/>
  <c r="AM129" i="55"/>
  <c r="AQ18" i="55" a="1"/>
  <c r="AQ18" i="55" s="1"/>
  <c r="AQ19" i="55" a="1"/>
  <c r="AQ19" i="55" s="1"/>
  <c r="AQ20" i="55" a="1"/>
  <c r="AQ20" i="55" s="1"/>
  <c r="AQ21" i="55" a="1"/>
  <c r="AQ21" i="55" s="1"/>
  <c r="AJ21" i="44"/>
  <c r="AK21" i="44" s="1"/>
  <c r="AP10" i="58"/>
  <c r="BH94" i="58" a="1"/>
  <c r="BH94" i="58" s="1"/>
  <c r="K47" i="57"/>
  <c r="L47" i="57"/>
  <c r="M47" i="57"/>
  <c r="AG31" i="44"/>
  <c r="AD14" i="57"/>
  <c r="T14" i="57"/>
  <c r="Q102" i="47"/>
  <c r="AA220" i="57" a="1"/>
  <c r="AA220" i="57" s="1"/>
  <c r="AC57" i="47"/>
  <c r="AM126" i="55"/>
  <c r="AP22" i="55" a="1"/>
  <c r="AP22" i="55" s="1"/>
  <c r="AP114" i="55" s="1"/>
  <c r="AI12" i="44"/>
  <c r="BF100" i="58" a="1"/>
  <c r="BF100" i="58" s="1"/>
  <c r="AD20" i="47"/>
  <c r="AO122" i="55"/>
  <c r="AF28" i="47" s="1"/>
  <c r="AO123" i="55"/>
  <c r="AF23" i="47" s="1"/>
  <c r="AO119" i="55"/>
  <c r="AF25" i="47" s="1"/>
  <c r="AC50" i="47"/>
  <c r="AM109" i="55"/>
  <c r="AI25" i="60"/>
  <c r="AI17" i="60" s="1"/>
  <c r="AC45" i="47"/>
  <c r="AM110" i="55"/>
  <c r="AN35" i="55"/>
  <c r="AD130" i="47"/>
  <c r="AM40" i="55"/>
  <c r="AC128" i="47"/>
  <c r="AC49" i="47"/>
  <c r="AM111" i="55"/>
  <c r="AT10" i="58"/>
  <c r="AU10" i="58" s="1"/>
  <c r="AV10" i="58" s="1"/>
  <c r="AH117" i="60"/>
  <c r="AB67" i="47"/>
  <c r="AN38" i="55"/>
  <c r="AD132" i="47"/>
  <c r="AP10" i="55" a="1"/>
  <c r="AP10" i="55" s="1"/>
  <c r="AP79" i="55" s="1"/>
  <c r="AI18" i="44"/>
  <c r="H24" i="60"/>
  <c r="H36" i="60" s="1"/>
  <c r="AI36" i="60"/>
  <c r="AH87" i="44"/>
  <c r="AG35" i="44"/>
  <c r="AG38" i="44" s="1"/>
  <c r="AC26" i="47"/>
  <c r="AM115" i="55"/>
  <c r="AN42" i="55"/>
  <c r="AD134" i="47"/>
  <c r="AD32" i="47" l="1"/>
  <c r="AN83" i="55"/>
  <c r="AJ81" i="60"/>
  <c r="AJ89" i="60" s="1"/>
  <c r="AJ102" i="60" s="1"/>
  <c r="AD44" i="47"/>
  <c r="AN112" i="55"/>
  <c r="AH22" i="35"/>
  <c r="AD5" i="47"/>
  <c r="AM31" i="58"/>
  <c r="AM34" i="58" s="1"/>
  <c r="AN23" i="58"/>
  <c r="AN24" i="58" s="1"/>
  <c r="AL153" i="58"/>
  <c r="AL152" i="58"/>
  <c r="AL156" i="58"/>
  <c r="AL157" i="58"/>
  <c r="AL154" i="58"/>
  <c r="AL151" i="58"/>
  <c r="AL155" i="58"/>
  <c r="AL158" i="58"/>
  <c r="AL35" i="58"/>
  <c r="AL159" i="58"/>
  <c r="AN96" i="55"/>
  <c r="T16" i="57"/>
  <c r="AN92" i="55"/>
  <c r="AE15" i="47" s="1"/>
  <c r="AD16" i="57"/>
  <c r="AN94" i="55"/>
  <c r="AE16" i="47" s="1"/>
  <c r="AK169" i="58"/>
  <c r="AK168" i="58"/>
  <c r="AK165" i="58"/>
  <c r="AK164" i="58"/>
  <c r="AK167" i="58"/>
  <c r="AK162" i="58"/>
  <c r="AK163" i="58"/>
  <c r="AK170" i="58"/>
  <c r="AK166" i="58"/>
  <c r="AK36" i="58"/>
  <c r="AK41" i="58" s="1"/>
  <c r="AJ18" i="60"/>
  <c r="AO95" i="55"/>
  <c r="AF11" i="47" s="1"/>
  <c r="AD61" i="47"/>
  <c r="AN135" i="55"/>
  <c r="AK22" i="60" a="1"/>
  <c r="AK22" i="60" s="1"/>
  <c r="AK105" i="60" s="1"/>
  <c r="AF71" i="47" s="1"/>
  <c r="AD22" i="47"/>
  <c r="AN118" i="55"/>
  <c r="AN31" i="55"/>
  <c r="AD136" i="47"/>
  <c r="AO34" i="55"/>
  <c r="AD42" i="47"/>
  <c r="AN105" i="55"/>
  <c r="AP36" i="55"/>
  <c r="AD29" i="47"/>
  <c r="AN120" i="55"/>
  <c r="AD38" i="47"/>
  <c r="AN87" i="55"/>
  <c r="AP15" i="55" a="1"/>
  <c r="AP15" i="55" s="1"/>
  <c r="AI9" i="44"/>
  <c r="AD30" i="47"/>
  <c r="AN124" i="55"/>
  <c r="AD12" i="47"/>
  <c r="AN100" i="55"/>
  <c r="AD40" i="47"/>
  <c r="AN90" i="55"/>
  <c r="AD21" i="47"/>
  <c r="AN116" i="55"/>
  <c r="AH33" i="44"/>
  <c r="AH36" i="44" s="1"/>
  <c r="AL22" i="60" s="1" a="1"/>
  <c r="AL22" i="60" s="1"/>
  <c r="J22" i="60" s="1"/>
  <c r="AD24" i="47"/>
  <c r="AN121" i="55"/>
  <c r="AD56" i="47"/>
  <c r="AN130" i="55"/>
  <c r="AD35" i="47"/>
  <c r="AN84" i="55"/>
  <c r="AL45" i="60" a="1"/>
  <c r="AL45" i="60" s="1"/>
  <c r="J45" i="60" s="1"/>
  <c r="AH40" i="44"/>
  <c r="AI39" i="44"/>
  <c r="AD7" i="47"/>
  <c r="AH26" i="35"/>
  <c r="AD6" i="47"/>
  <c r="AH25" i="35"/>
  <c r="K21" i="57"/>
  <c r="I64" i="60"/>
  <c r="I66" i="60"/>
  <c r="I63" i="60"/>
  <c r="I65" i="60"/>
  <c r="I69" i="60"/>
  <c r="I68" i="60"/>
  <c r="I67" i="60"/>
  <c r="I46" i="60"/>
  <c r="H46" i="60" s="1"/>
  <c r="I50" i="60"/>
  <c r="AD31" i="47"/>
  <c r="AN81" i="55"/>
  <c r="AD18" i="47"/>
  <c r="AN97" i="55"/>
  <c r="AD9" i="47"/>
  <c r="AH24" i="35"/>
  <c r="K32" i="57"/>
  <c r="J32" i="57"/>
  <c r="J33" i="57" s="1"/>
  <c r="L32" i="57"/>
  <c r="AD87" i="57"/>
  <c r="R101" i="47"/>
  <c r="AB221" i="57" a="1"/>
  <c r="AB221" i="57" s="1"/>
  <c r="S101" i="47" s="1"/>
  <c r="AD8" i="47"/>
  <c r="AH23" i="35"/>
  <c r="AW10" i="58"/>
  <c r="P107" i="47"/>
  <c r="Z225" i="57" a="1"/>
  <c r="Z225" i="57" s="1"/>
  <c r="AD39" i="47"/>
  <c r="AN85" i="55"/>
  <c r="AD27" i="47"/>
  <c r="AN117" i="55"/>
  <c r="AO42" i="55"/>
  <c r="AE134" i="47"/>
  <c r="AO38" i="55"/>
  <c r="AE132" i="47"/>
  <c r="U47" i="57"/>
  <c r="U49" i="57" s="1"/>
  <c r="AE47" i="57"/>
  <c r="AE49" i="57" s="1"/>
  <c r="L107" i="57"/>
  <c r="K107" i="57"/>
  <c r="J107" i="57"/>
  <c r="R100" i="47"/>
  <c r="AB219" i="57" a="1"/>
  <c r="AB219" i="57" s="1"/>
  <c r="S100" i="47" s="1"/>
  <c r="AQ22" i="55" a="1"/>
  <c r="AQ22" i="55" s="1"/>
  <c r="AQ114" i="55" s="1"/>
  <c r="AJ12" i="44"/>
  <c r="AK12" i="44" s="1"/>
  <c r="AJ101" i="60"/>
  <c r="AE69" i="47" s="1"/>
  <c r="AD69" i="47"/>
  <c r="AG135" i="47"/>
  <c r="K75" i="57"/>
  <c r="L75" i="57"/>
  <c r="J75" i="57"/>
  <c r="AD116" i="57"/>
  <c r="AD117" i="57"/>
  <c r="AD115" i="57"/>
  <c r="AI18" i="60"/>
  <c r="AI115" i="60"/>
  <c r="AD63" i="47" s="1"/>
  <c r="AI114" i="60"/>
  <c r="AD64" i="47" s="1"/>
  <c r="AI83" i="60"/>
  <c r="AI91" i="60" s="1"/>
  <c r="AI116" i="60" s="1"/>
  <c r="AD62" i="47" s="1"/>
  <c r="AI85" i="60"/>
  <c r="AI93" i="60" s="1"/>
  <c r="AI119" i="60" s="1"/>
  <c r="AD65" i="47" s="1"/>
  <c r="AF47" i="57"/>
  <c r="AF49" i="57" s="1"/>
  <c r="V47" i="57"/>
  <c r="V49" i="57" s="1"/>
  <c r="BI94" i="58" a="1"/>
  <c r="BI94" i="58" s="1"/>
  <c r="AO32" i="55"/>
  <c r="AE137" i="47"/>
  <c r="AD58" i="47"/>
  <c r="AN128" i="55"/>
  <c r="AN40" i="55"/>
  <c r="AD128" i="47"/>
  <c r="AI117" i="60"/>
  <c r="AC67" i="47"/>
  <c r="AP123" i="55"/>
  <c r="AG23" i="47" s="1"/>
  <c r="AP119" i="55"/>
  <c r="AG25" i="47" s="1"/>
  <c r="AP122" i="55"/>
  <c r="AG28" i="47" s="1"/>
  <c r="AQ10" i="58"/>
  <c r="AJ85" i="44"/>
  <c r="R103" i="47"/>
  <c r="AB224" i="57" a="1"/>
  <c r="AB224" i="57" s="1"/>
  <c r="S103" i="47" s="1"/>
  <c r="J93" i="57"/>
  <c r="L93" i="57"/>
  <c r="K93" i="57"/>
  <c r="AI112" i="60"/>
  <c r="AD79" i="47" s="1"/>
  <c r="AI108" i="60"/>
  <c r="AD76" i="47" s="1"/>
  <c r="AI111" i="60"/>
  <c r="AD80" i="47" s="1"/>
  <c r="AI82" i="60"/>
  <c r="AI90" i="60" s="1"/>
  <c r="AI109" i="60" s="1"/>
  <c r="AI84" i="60"/>
  <c r="AI92" i="60" s="1"/>
  <c r="AI113" i="60" s="1"/>
  <c r="AD78" i="47" s="1"/>
  <c r="AI110" i="60"/>
  <c r="AD81" i="47" s="1"/>
  <c r="AI107" i="60"/>
  <c r="AD82" i="47" s="1"/>
  <c r="T101" i="57"/>
  <c r="T109" i="57"/>
  <c r="T86" i="57"/>
  <c r="T56" i="57"/>
  <c r="AD26" i="47"/>
  <c r="AN115" i="55"/>
  <c r="AO35" i="55"/>
  <c r="AE130" i="47"/>
  <c r="AD57" i="47"/>
  <c r="AN126" i="55"/>
  <c r="BF97" i="58" a="1"/>
  <c r="BF97" i="58" s="1"/>
  <c r="AD43" i="47"/>
  <c r="AN107" i="55"/>
  <c r="BG93" i="58" a="1"/>
  <c r="BG93" i="58" s="1"/>
  <c r="AP29" i="55"/>
  <c r="AI38" i="60"/>
  <c r="AD109" i="57"/>
  <c r="AD86" i="57"/>
  <c r="AD101" i="57"/>
  <c r="AD56" i="57"/>
  <c r="BH98" i="58" a="1"/>
  <c r="BH98" i="58" s="1"/>
  <c r="BH10" i="58" a="1"/>
  <c r="BH10" i="58" s="1"/>
  <c r="AJ8" i="44"/>
  <c r="AI30" i="44"/>
  <c r="AI31" i="44" s="1"/>
  <c r="K15" i="57" a="1"/>
  <c r="K15" i="57" s="1"/>
  <c r="AK24" i="60" a="1"/>
  <c r="AK24" i="60" s="1"/>
  <c r="AD45" i="47"/>
  <c r="AN110" i="55"/>
  <c r="AE14" i="47"/>
  <c r="AO96" i="55"/>
  <c r="AQ23" i="55" a="1"/>
  <c r="AQ23" i="55" s="1"/>
  <c r="AQ24" i="55" a="1"/>
  <c r="AQ24" i="55" s="1"/>
  <c r="AQ43" i="55" s="1"/>
  <c r="AH135" i="47" s="1"/>
  <c r="AJ135" i="47" s="1"/>
  <c r="AJ24" i="44"/>
  <c r="AK24" i="44" s="1"/>
  <c r="H35" i="60"/>
  <c r="H38" i="60" s="1"/>
  <c r="AO39" i="55"/>
  <c r="AE131" i="47"/>
  <c r="AD17" i="47"/>
  <c r="AN99" i="55"/>
  <c r="AI87" i="44"/>
  <c r="AH35" i="44"/>
  <c r="AH38" i="44" s="1"/>
  <c r="AL24" i="60" s="1" a="1"/>
  <c r="AL24" i="60" s="1"/>
  <c r="R102" i="47"/>
  <c r="AB220" i="57" a="1"/>
  <c r="AB220" i="57" s="1"/>
  <c r="S102" i="47" s="1"/>
  <c r="AD19" i="47"/>
  <c r="AN101" i="55"/>
  <c r="AP44" i="55"/>
  <c r="AD13" i="47"/>
  <c r="AN98" i="55"/>
  <c r="T110" i="57"/>
  <c r="T51" i="57"/>
  <c r="AI118" i="60"/>
  <c r="AC66" i="47"/>
  <c r="AQ25" i="55" a="1"/>
  <c r="AQ25" i="55" s="1"/>
  <c r="AQ125" i="55" s="1"/>
  <c r="AJ22" i="44"/>
  <c r="AK22" i="44" s="1"/>
  <c r="R105" i="47"/>
  <c r="AB226" i="57" a="1"/>
  <c r="AB226" i="57" s="1"/>
  <c r="S105" i="47" s="1"/>
  <c r="T117" i="57"/>
  <c r="T115" i="57"/>
  <c r="T116" i="57"/>
  <c r="I22" i="60"/>
  <c r="AK34" i="60"/>
  <c r="AK81" i="60" s="1"/>
  <c r="AK100" i="60"/>
  <c r="AF74" i="47" s="1"/>
  <c r="AK103" i="60"/>
  <c r="AF73" i="47" s="1"/>
  <c r="AK99" i="60"/>
  <c r="AF70" i="47" s="1"/>
  <c r="AE20" i="47"/>
  <c r="AO102" i="55"/>
  <c r="AD50" i="47"/>
  <c r="AN109" i="55"/>
  <c r="T108" i="57"/>
  <c r="T81" i="57"/>
  <c r="T55" i="57"/>
  <c r="T97" i="57"/>
  <c r="AP131" i="55"/>
  <c r="AG60" i="47" s="1"/>
  <c r="AP132" i="55"/>
  <c r="AG55" i="47" s="1"/>
  <c r="AP133" i="55"/>
  <c r="AG59" i="47" s="1"/>
  <c r="AP127" i="55"/>
  <c r="AG52" i="47" s="1"/>
  <c r="Q106" i="47"/>
  <c r="AA223" i="57" a="1"/>
  <c r="AA223" i="57" s="1"/>
  <c r="BI92" i="58" a="1"/>
  <c r="BI92" i="58" s="1"/>
  <c r="AE13" i="57"/>
  <c r="U13" i="57"/>
  <c r="AD54" i="47"/>
  <c r="AN134" i="55"/>
  <c r="BF95" i="58" a="1"/>
  <c r="BF95" i="58" s="1"/>
  <c r="AI19" i="60"/>
  <c r="AD49" i="47"/>
  <c r="AN111" i="55"/>
  <c r="AD97" i="57"/>
  <c r="AD81" i="57"/>
  <c r="AD108" i="57"/>
  <c r="AD55" i="57"/>
  <c r="AD53" i="47"/>
  <c r="AN129" i="55"/>
  <c r="AP37" i="55"/>
  <c r="AF129" i="47"/>
  <c r="AQ17" i="55" a="1"/>
  <c r="AQ17" i="55" s="1"/>
  <c r="AQ103" i="55" s="1"/>
  <c r="AJ20" i="44"/>
  <c r="AK20" i="44" s="1"/>
  <c r="BI96" i="58" a="1"/>
  <c r="BI96" i="58" s="1"/>
  <c r="AP41" i="55"/>
  <c r="H25" i="60"/>
  <c r="H31" i="60" s="1"/>
  <c r="AQ10" i="55" a="1"/>
  <c r="AQ10" i="55" s="1"/>
  <c r="AQ79" i="55" s="1"/>
  <c r="AJ18" i="44"/>
  <c r="AK18" i="44" s="1"/>
  <c r="AH34" i="44"/>
  <c r="AH37" i="44" s="1"/>
  <c r="AL23" i="60" s="1" a="1"/>
  <c r="AL23" i="60" s="1"/>
  <c r="AI86" i="44"/>
  <c r="AD110" i="57"/>
  <c r="AD51" i="57"/>
  <c r="K50" i="57"/>
  <c r="L50" i="57"/>
  <c r="J50" i="57"/>
  <c r="AD10" i="47"/>
  <c r="AN93" i="55"/>
  <c r="AP106" i="55"/>
  <c r="AG48" i="47" s="1"/>
  <c r="AP113" i="55"/>
  <c r="AG51" i="47" s="1"/>
  <c r="AP104" i="55"/>
  <c r="AG47" i="47" s="1"/>
  <c r="AP108" i="55"/>
  <c r="AG46" i="47" s="1"/>
  <c r="AI106" i="60"/>
  <c r="AC77" i="47"/>
  <c r="AD133" i="47"/>
  <c r="AN136" i="55"/>
  <c r="P104" i="47"/>
  <c r="Z222" i="57" a="1"/>
  <c r="Z222" i="57" s="1"/>
  <c r="AP88" i="55"/>
  <c r="AG33" i="47" s="1"/>
  <c r="AP82" i="55"/>
  <c r="AG37" i="47" s="1"/>
  <c r="AP86" i="55"/>
  <c r="AG34" i="47" s="1"/>
  <c r="AP80" i="55"/>
  <c r="AG36" i="47" s="1"/>
  <c r="BG100" i="58" a="1"/>
  <c r="BG100" i="58" s="1"/>
  <c r="AG47" i="57"/>
  <c r="AG49" i="57" s="1"/>
  <c r="W47" i="57"/>
  <c r="W49" i="57" s="1"/>
  <c r="K14" i="57" a="1"/>
  <c r="K14" i="57" s="1"/>
  <c r="AK23" i="60" a="1"/>
  <c r="AK23" i="60" s="1"/>
  <c r="L57" i="57"/>
  <c r="J57" i="57"/>
  <c r="K57" i="57"/>
  <c r="AD41" i="47"/>
  <c r="AN89" i="55"/>
  <c r="K54" i="57"/>
  <c r="L54" i="57"/>
  <c r="J54" i="57"/>
  <c r="AG138" i="47"/>
  <c r="AQ30" i="55"/>
  <c r="AH138" i="47" s="1"/>
  <c r="AJ138" i="47" s="1"/>
  <c r="BF99" i="58" a="1"/>
  <c r="BF99" i="58" s="1"/>
  <c r="AE68" i="47"/>
  <c r="AE32" i="47" l="1"/>
  <c r="AO83" i="55"/>
  <c r="AO94" i="55"/>
  <c r="AQ41" i="55"/>
  <c r="AL34" i="60"/>
  <c r="AL37" i="60" s="1"/>
  <c r="AI22" i="35"/>
  <c r="AE5" i="47"/>
  <c r="AE44" i="47"/>
  <c r="AO112" i="55"/>
  <c r="AJ82" i="60"/>
  <c r="AJ90" i="60" s="1"/>
  <c r="AJ109" i="60" s="1"/>
  <c r="AE75" i="47" s="1"/>
  <c r="AL165" i="58"/>
  <c r="AL164" i="58"/>
  <c r="AL163" i="58"/>
  <c r="AL166" i="58"/>
  <c r="AL162" i="58"/>
  <c r="AL170" i="58"/>
  <c r="AL169" i="58"/>
  <c r="AL168" i="58"/>
  <c r="AL167" i="58"/>
  <c r="AL36" i="58"/>
  <c r="AL41" i="58" s="1"/>
  <c r="AK104" i="60"/>
  <c r="AF72" i="47" s="1"/>
  <c r="AO92" i="55"/>
  <c r="AN31" i="58"/>
  <c r="AN34" i="58" s="1"/>
  <c r="AO23" i="58"/>
  <c r="AM35" i="58"/>
  <c r="AM154" i="58"/>
  <c r="AM157" i="58"/>
  <c r="AM159" i="58"/>
  <c r="AM151" i="58"/>
  <c r="AM155" i="58"/>
  <c r="AM158" i="58"/>
  <c r="AM152" i="58"/>
  <c r="AM153" i="58"/>
  <c r="AM156" i="58"/>
  <c r="AE61" i="47"/>
  <c r="AO135" i="55"/>
  <c r="T162" i="57"/>
  <c r="AO31" i="55"/>
  <c r="AE136" i="47"/>
  <c r="AE22" i="47"/>
  <c r="AO118" i="55"/>
  <c r="AD111" i="57"/>
  <c r="AD150" i="57" s="1"/>
  <c r="AE29" i="47"/>
  <c r="AO120" i="55"/>
  <c r="AD58" i="57"/>
  <c r="AD61" i="57" s="1"/>
  <c r="AE42" i="47"/>
  <c r="AO105" i="55"/>
  <c r="AD161" i="57"/>
  <c r="K16" i="57"/>
  <c r="K28" i="57" s="1"/>
  <c r="AJ9" i="44"/>
  <c r="AK9" i="44" s="1"/>
  <c r="AQ15" i="55" a="1"/>
  <c r="AQ15" i="55" s="1"/>
  <c r="AQ91" i="55" s="1"/>
  <c r="AD162" i="57"/>
  <c r="AD163" i="57"/>
  <c r="AP91" i="55"/>
  <c r="AP95" i="55" s="1"/>
  <c r="AG11" i="47" s="1"/>
  <c r="AP34" i="55"/>
  <c r="AE38" i="47"/>
  <c r="AO87" i="55"/>
  <c r="AJ85" i="60"/>
  <c r="AJ93" i="60" s="1"/>
  <c r="AJ119" i="60" s="1"/>
  <c r="AE65" i="47" s="1"/>
  <c r="AE24" i="47"/>
  <c r="AO121" i="55"/>
  <c r="AE21" i="47"/>
  <c r="AO116" i="55"/>
  <c r="AE40" i="47"/>
  <c r="AO90" i="55"/>
  <c r="AE12" i="47"/>
  <c r="AO100" i="55"/>
  <c r="T111" i="57"/>
  <c r="T150" i="57" s="1"/>
  <c r="AE30" i="47"/>
  <c r="AO124" i="55"/>
  <c r="AK101" i="60"/>
  <c r="AF69" i="47" s="1"/>
  <c r="AJ107" i="60"/>
  <c r="AE82" i="47" s="1"/>
  <c r="AK37" i="60"/>
  <c r="AJ112" i="60"/>
  <c r="AE79" i="47" s="1"/>
  <c r="AE31" i="47"/>
  <c r="AO81" i="55"/>
  <c r="AI25" i="35"/>
  <c r="AE6" i="47"/>
  <c r="AE7" i="47"/>
  <c r="AI26" i="35"/>
  <c r="T161" i="57"/>
  <c r="T58" i="57"/>
  <c r="L58" i="57" s="1"/>
  <c r="J87" i="57"/>
  <c r="J90" i="57" s="1"/>
  <c r="AD90" i="57"/>
  <c r="AD125" i="57" s="1"/>
  <c r="K87" i="57"/>
  <c r="K90" i="57" s="1"/>
  <c r="L87" i="57"/>
  <c r="L90" i="57" s="1"/>
  <c r="AJ67" i="60" a="1"/>
  <c r="AJ67" i="60" s="1"/>
  <c r="AK67" i="60" a="1"/>
  <c r="AK67" i="60" s="1"/>
  <c r="AM45" i="60" a="1"/>
  <c r="AM45" i="60" s="1"/>
  <c r="K45" i="60" s="1"/>
  <c r="AI40" i="44"/>
  <c r="AJ39" i="44"/>
  <c r="AK68" i="60" a="1"/>
  <c r="AK68" i="60" s="1"/>
  <c r="AJ68" i="60" a="1"/>
  <c r="AJ68" i="60" s="1"/>
  <c r="AK69" i="60" a="1"/>
  <c r="AK69" i="60" s="1"/>
  <c r="AJ69" i="60" a="1"/>
  <c r="AJ69" i="60" s="1"/>
  <c r="J65" i="60"/>
  <c r="AL65" i="60" s="1" a="1"/>
  <c r="AL65" i="60" s="1"/>
  <c r="J63" i="60"/>
  <c r="AL63" i="60" s="1" a="1"/>
  <c r="AL63" i="60" s="1"/>
  <c r="J64" i="60"/>
  <c r="AL64" i="60" s="1" a="1"/>
  <c r="AL64" i="60" s="1"/>
  <c r="J66" i="60"/>
  <c r="AL66" i="60" s="1" a="1"/>
  <c r="AL66" i="60" s="1"/>
  <c r="J67" i="60"/>
  <c r="AL67" i="60" s="1" a="1"/>
  <c r="AL67" i="60" s="1"/>
  <c r="J68" i="60"/>
  <c r="AL68" i="60" s="1" a="1"/>
  <c r="AL68" i="60" s="1"/>
  <c r="J69" i="60"/>
  <c r="AL69" i="60" s="1" a="1"/>
  <c r="AL69" i="60" s="1"/>
  <c r="L21" i="57"/>
  <c r="AK65" i="60" a="1"/>
  <c r="AK65" i="60" s="1"/>
  <c r="AJ65" i="60" a="1"/>
  <c r="AJ65" i="60" s="1"/>
  <c r="AE35" i="47"/>
  <c r="AO84" i="55"/>
  <c r="AE9" i="47"/>
  <c r="AI24" i="35"/>
  <c r="AJ63" i="60" a="1"/>
  <c r="AJ63" i="60" s="1"/>
  <c r="AK63" i="60" a="1"/>
  <c r="AK63" i="60" s="1"/>
  <c r="AK66" i="60" a="1"/>
  <c r="AK66" i="60" s="1"/>
  <c r="AJ66" i="60" a="1"/>
  <c r="AJ66" i="60" s="1"/>
  <c r="AE56" i="47"/>
  <c r="AO130" i="55"/>
  <c r="AE8" i="47"/>
  <c r="AI23" i="35"/>
  <c r="AE18" i="47"/>
  <c r="AO97" i="55"/>
  <c r="AJ64" i="60" a="1"/>
  <c r="AJ64" i="60" s="1"/>
  <c r="AK64" i="60" a="1"/>
  <c r="AK64" i="60" s="1"/>
  <c r="AK89" i="60"/>
  <c r="AK102" i="60" s="1"/>
  <c r="AF68" i="47" s="1"/>
  <c r="AJ108" i="60"/>
  <c r="AE76" i="47" s="1"/>
  <c r="AJ83" i="60"/>
  <c r="AJ91" i="60" s="1"/>
  <c r="AJ116" i="60" s="1"/>
  <c r="AE62" i="47" s="1"/>
  <c r="AJ114" i="60"/>
  <c r="AE64" i="47" s="1"/>
  <c r="K111" i="57"/>
  <c r="T151" i="57"/>
  <c r="AG57" i="57"/>
  <c r="AG50" i="57"/>
  <c r="M49" i="57"/>
  <c r="L110" i="57"/>
  <c r="K110" i="57"/>
  <c r="J110" i="57"/>
  <c r="AQ113" i="55"/>
  <c r="AH51" i="47" s="1"/>
  <c r="AJ51" i="47" s="1"/>
  <c r="AQ106" i="55"/>
  <c r="AH48" i="47" s="1"/>
  <c r="AJ48" i="47" s="1"/>
  <c r="AQ104" i="55"/>
  <c r="AH47" i="47" s="1"/>
  <c r="AJ47" i="47" s="1"/>
  <c r="AQ108" i="55"/>
  <c r="AH46" i="47" s="1"/>
  <c r="AJ46" i="47" s="1"/>
  <c r="AF20" i="47"/>
  <c r="AP39" i="55"/>
  <c r="AF131" i="47"/>
  <c r="U15" i="57"/>
  <c r="AE15" i="57"/>
  <c r="BH93" i="58" a="1"/>
  <c r="BH93" i="58" s="1"/>
  <c r="AE57" i="47"/>
  <c r="AO126" i="55"/>
  <c r="AK85" i="44"/>
  <c r="V57" i="57"/>
  <c r="V50" i="57"/>
  <c r="K117" i="57"/>
  <c r="K116" i="57"/>
  <c r="K115" i="57"/>
  <c r="AI34" i="44"/>
  <c r="AI37" i="44" s="1"/>
  <c r="AJ86" i="44"/>
  <c r="W57" i="57"/>
  <c r="W50" i="57"/>
  <c r="AE49" i="47"/>
  <c r="AO111" i="55"/>
  <c r="AE107" i="57"/>
  <c r="AE75" i="57"/>
  <c r="AE93" i="57"/>
  <c r="AE54" i="57"/>
  <c r="AE13" i="47"/>
  <c r="AO98" i="55"/>
  <c r="AR10" i="58"/>
  <c r="AF57" i="57"/>
  <c r="AF50" i="57"/>
  <c r="AP38" i="55"/>
  <c r="AF132" i="47"/>
  <c r="AL99" i="60"/>
  <c r="AG70" i="47" s="1"/>
  <c r="BH100" i="58" a="1"/>
  <c r="BH100" i="58" s="1"/>
  <c r="AE41" i="47"/>
  <c r="AO89" i="55"/>
  <c r="Q104" i="47"/>
  <c r="AA222" i="57" a="1"/>
  <c r="AA222" i="57" s="1"/>
  <c r="AL35" i="60"/>
  <c r="AL38" i="60" s="1"/>
  <c r="J23" i="60"/>
  <c r="BJ92" i="58" a="1"/>
  <c r="BJ92" i="58" s="1"/>
  <c r="AK8" i="44"/>
  <c r="AJ110" i="60"/>
  <c r="AE81" i="47" s="1"/>
  <c r="T123" i="57"/>
  <c r="T125" i="57"/>
  <c r="T124" i="57"/>
  <c r="AD75" i="47"/>
  <c r="AI74" i="60"/>
  <c r="AI77" i="60" s="1"/>
  <c r="AL103" i="60"/>
  <c r="AG73" i="47" s="1"/>
  <c r="AJ117" i="60"/>
  <c r="AD67" i="47"/>
  <c r="AP42" i="55"/>
  <c r="AF134" i="47"/>
  <c r="AL100" i="60"/>
  <c r="AG74" i="47" s="1"/>
  <c r="AE133" i="47"/>
  <c r="AO136" i="55"/>
  <c r="BG95" i="58" a="1"/>
  <c r="BG95" i="58" s="1"/>
  <c r="BI98" i="58" a="1"/>
  <c r="BI98" i="58" s="1"/>
  <c r="AE27" i="47"/>
  <c r="AO117" i="55"/>
  <c r="AQ37" i="55"/>
  <c r="AH129" i="47" s="1"/>
  <c r="AJ129" i="47" s="1"/>
  <c r="AG129" i="47"/>
  <c r="AE53" i="47"/>
  <c r="AO129" i="55"/>
  <c r="R106" i="47"/>
  <c r="AB223" i="57" a="1"/>
  <c r="AB223" i="57" s="1"/>
  <c r="S106" i="47" s="1"/>
  <c r="T163" i="57"/>
  <c r="AL36" i="60"/>
  <c r="J24" i="60"/>
  <c r="J36" i="60" s="1"/>
  <c r="AJ84" i="60"/>
  <c r="AJ92" i="60" s="1"/>
  <c r="AJ113" i="60" s="1"/>
  <c r="AE78" i="47" s="1"/>
  <c r="AO40" i="55"/>
  <c r="AE128" i="47"/>
  <c r="AF16" i="47"/>
  <c r="AL105" i="60"/>
  <c r="AG71" i="47" s="1"/>
  <c r="AQ88" i="55"/>
  <c r="AH33" i="47" s="1"/>
  <c r="AJ33" i="47" s="1"/>
  <c r="AQ82" i="55"/>
  <c r="AH37" i="47" s="1"/>
  <c r="AJ37" i="47" s="1"/>
  <c r="AQ86" i="55"/>
  <c r="AH34" i="47" s="1"/>
  <c r="AJ34" i="47" s="1"/>
  <c r="AQ80" i="55"/>
  <c r="AH36" i="47" s="1"/>
  <c r="AJ36" i="47" s="1"/>
  <c r="AE10" i="47"/>
  <c r="AO93" i="55"/>
  <c r="AE54" i="47"/>
  <c r="AO134" i="55"/>
  <c r="AJ87" i="44"/>
  <c r="AI35" i="44"/>
  <c r="AI38" i="44" s="1"/>
  <c r="AF14" i="47"/>
  <c r="L56" i="57"/>
  <c r="K56" i="57"/>
  <c r="J56" i="57"/>
  <c r="AJ111" i="60"/>
  <c r="AE80" i="47" s="1"/>
  <c r="AP35" i="55"/>
  <c r="AF130" i="47"/>
  <c r="AE58" i="47"/>
  <c r="AO128" i="55"/>
  <c r="AE39" i="47"/>
  <c r="AO85" i="55"/>
  <c r="AJ106" i="60"/>
  <c r="AD77" i="47"/>
  <c r="K55" i="57"/>
  <c r="L55" i="57"/>
  <c r="J55" i="57"/>
  <c r="AQ131" i="55"/>
  <c r="AH60" i="47" s="1"/>
  <c r="AJ60" i="47" s="1"/>
  <c r="AQ132" i="55"/>
  <c r="AH55" i="47" s="1"/>
  <c r="AJ55" i="47" s="1"/>
  <c r="AQ133" i="55"/>
  <c r="AH59" i="47" s="1"/>
  <c r="AJ59" i="47" s="1"/>
  <c r="AQ127" i="55"/>
  <c r="AH52" i="47" s="1"/>
  <c r="AJ52" i="47" s="1"/>
  <c r="AQ44" i="55"/>
  <c r="AQ36" i="55"/>
  <c r="AF15" i="47"/>
  <c r="J101" i="57"/>
  <c r="K101" i="57"/>
  <c r="L101" i="57"/>
  <c r="AE43" i="47"/>
  <c r="AO107" i="55"/>
  <c r="AQ119" i="55"/>
  <c r="AH25" i="47" s="1"/>
  <c r="AJ25" i="47" s="1"/>
  <c r="AQ123" i="55"/>
  <c r="AH23" i="47" s="1"/>
  <c r="AJ23" i="47" s="1"/>
  <c r="AQ122" i="55"/>
  <c r="AH28" i="47" s="1"/>
  <c r="AJ28" i="47" s="1"/>
  <c r="Q107" i="47"/>
  <c r="AA225" i="57" a="1"/>
  <c r="AA225" i="57" s="1"/>
  <c r="BG99" i="58" a="1"/>
  <c r="BG99" i="58" s="1"/>
  <c r="AY10" i="58"/>
  <c r="AZ10" i="58" s="1"/>
  <c r="BA10" i="58" s="1"/>
  <c r="K162" i="57"/>
  <c r="J162" i="57"/>
  <c r="L162" i="57"/>
  <c r="K163" i="57"/>
  <c r="J163" i="57"/>
  <c r="L163" i="57"/>
  <c r="U14" i="57"/>
  <c r="AE14" i="57"/>
  <c r="BJ96" i="58" a="1"/>
  <c r="BJ96" i="58" s="1"/>
  <c r="L81" i="57"/>
  <c r="J81" i="57"/>
  <c r="K81" i="57"/>
  <c r="AD120" i="57"/>
  <c r="AD121" i="57"/>
  <c r="AD119" i="57"/>
  <c r="AJ118" i="60"/>
  <c r="AD66" i="47"/>
  <c r="AE19" i="47"/>
  <c r="AO101" i="55"/>
  <c r="AE17" i="47"/>
  <c r="AO99" i="55"/>
  <c r="AE45" i="47"/>
  <c r="AO110" i="55"/>
  <c r="L109" i="57"/>
  <c r="K109" i="57"/>
  <c r="J109" i="57"/>
  <c r="BG97" i="58" a="1"/>
  <c r="BG97" i="58" s="1"/>
  <c r="AP32" i="55"/>
  <c r="AF137" i="47"/>
  <c r="J34" i="60"/>
  <c r="J37" i="60" s="1"/>
  <c r="I23" i="60"/>
  <c r="AK35" i="60"/>
  <c r="AK38" i="60" s="1"/>
  <c r="J86" i="57"/>
  <c r="L86" i="57"/>
  <c r="K86" i="57"/>
  <c r="AD124" i="57"/>
  <c r="AD123" i="57"/>
  <c r="I34" i="60"/>
  <c r="I37" i="60" s="1"/>
  <c r="BJ94" i="58" a="1"/>
  <c r="BJ94" i="58" s="1"/>
  <c r="J116" i="57"/>
  <c r="J115" i="57"/>
  <c r="J117" i="57"/>
  <c r="AJ115" i="60"/>
  <c r="AE63" i="47" s="1"/>
  <c r="AE50" i="57"/>
  <c r="AE57" i="57"/>
  <c r="AL25" i="60"/>
  <c r="AL17" i="60" s="1"/>
  <c r="K161" i="57"/>
  <c r="J161" i="57"/>
  <c r="L161" i="57"/>
  <c r="K108" i="57"/>
  <c r="J108" i="57"/>
  <c r="L108" i="57"/>
  <c r="T119" i="57"/>
  <c r="T120" i="57"/>
  <c r="T121" i="57"/>
  <c r="T129" i="57" s="1"/>
  <c r="AE26" i="47"/>
  <c r="AO115" i="55"/>
  <c r="K97" i="57"/>
  <c r="J97" i="57"/>
  <c r="L97" i="57"/>
  <c r="AE50" i="47"/>
  <c r="AO109" i="55"/>
  <c r="J51" i="57"/>
  <c r="K51" i="57"/>
  <c r="L51" i="57"/>
  <c r="U75" i="57"/>
  <c r="U93" i="57"/>
  <c r="U54" i="57"/>
  <c r="U107" i="57"/>
  <c r="AK25" i="60"/>
  <c r="AK17" i="60" s="1"/>
  <c r="AK36" i="60"/>
  <c r="I24" i="60"/>
  <c r="I36" i="60" s="1"/>
  <c r="AQ29" i="55"/>
  <c r="AI33" i="44"/>
  <c r="AI36" i="44" s="1"/>
  <c r="L116" i="57"/>
  <c r="L115" i="57"/>
  <c r="L117" i="57"/>
  <c r="U57" i="57"/>
  <c r="U50" i="57"/>
  <c r="AF32" i="47" l="1"/>
  <c r="AP83" i="55"/>
  <c r="AD183" i="57"/>
  <c r="AV168" i="57"/>
  <c r="K33" i="57"/>
  <c r="AJ74" i="60"/>
  <c r="AJ77" i="60" s="1"/>
  <c r="AL104" i="60"/>
  <c r="AG72" i="47" s="1"/>
  <c r="AL166" i="57"/>
  <c r="AF44" i="47"/>
  <c r="AP112" i="55"/>
  <c r="T149" i="57"/>
  <c r="AF5" i="47"/>
  <c r="AJ22" i="35"/>
  <c r="AL81" i="60"/>
  <c r="AL168" i="57"/>
  <c r="AR165" i="57"/>
  <c r="AV164" i="57"/>
  <c r="U16" i="57"/>
  <c r="AJ30" i="44"/>
  <c r="AJ31" i="44" s="1"/>
  <c r="AM162" i="58"/>
  <c r="AM165" i="58"/>
  <c r="AM170" i="58"/>
  <c r="AM169" i="58"/>
  <c r="AM168" i="58"/>
  <c r="AM167" i="58"/>
  <c r="AM166" i="58"/>
  <c r="AM164" i="58"/>
  <c r="AM163" i="58"/>
  <c r="AM36" i="58"/>
  <c r="AM41" i="58" s="1"/>
  <c r="AE16" i="57"/>
  <c r="AO31" i="58"/>
  <c r="AO34" i="58" s="1"/>
  <c r="AP23" i="58"/>
  <c r="AN153" i="58"/>
  <c r="AN151" i="58"/>
  <c r="AN156" i="58"/>
  <c r="AN154" i="58"/>
  <c r="AN35" i="58"/>
  <c r="AN158" i="58"/>
  <c r="AN152" i="58"/>
  <c r="AN159" i="58"/>
  <c r="AN157" i="58"/>
  <c r="AN155" i="58"/>
  <c r="AO24" i="58"/>
  <c r="AP24" i="58" s="1"/>
  <c r="J58" i="57"/>
  <c r="K58" i="57"/>
  <c r="J150" i="57"/>
  <c r="J187" i="57" s="1"/>
  <c r="AT201" i="57" s="1" a="1"/>
  <c r="AT201" i="57" s="1"/>
  <c r="J45" i="57"/>
  <c r="AD59" i="57"/>
  <c r="AF61" i="47"/>
  <c r="AP135" i="55"/>
  <c r="AF22" i="47"/>
  <c r="AP118" i="55"/>
  <c r="AP31" i="55"/>
  <c r="AF136" i="47"/>
  <c r="L45" i="57"/>
  <c r="AV167" i="57"/>
  <c r="AR164" i="57"/>
  <c r="J111" i="57"/>
  <c r="M253" i="57" s="1"/>
  <c r="AD128" i="57"/>
  <c r="AD156" i="57" s="1"/>
  <c r="AD168" i="57" s="1"/>
  <c r="AR166" i="57"/>
  <c r="L111" i="57"/>
  <c r="AR168" i="57"/>
  <c r="AD149" i="57"/>
  <c r="J149" i="57" s="1"/>
  <c r="J186" i="57" s="1"/>
  <c r="AL165" i="57"/>
  <c r="AD151" i="57"/>
  <c r="J151" i="57" s="1"/>
  <c r="J188" i="57" s="1"/>
  <c r="AD221" i="57" s="1" a="1"/>
  <c r="AD221" i="57" s="1"/>
  <c r="U101" i="47" s="1"/>
  <c r="AP96" i="55"/>
  <c r="AG14" i="47" s="1"/>
  <c r="AR167" i="57"/>
  <c r="AF42" i="47"/>
  <c r="AP105" i="55"/>
  <c r="AL164" i="57"/>
  <c r="AP92" i="55"/>
  <c r="AQ92" i="55" s="1"/>
  <c r="AH15" i="47" s="1"/>
  <c r="AJ15" i="47" s="1"/>
  <c r="AP94" i="55"/>
  <c r="AV165" i="57"/>
  <c r="AL167" i="57"/>
  <c r="AP102" i="55"/>
  <c r="AG20" i="47" s="1"/>
  <c r="AF29" i="47"/>
  <c r="AP120" i="55"/>
  <c r="J25" i="60"/>
  <c r="J31" i="60" s="1"/>
  <c r="AV166" i="57"/>
  <c r="AL101" i="60"/>
  <c r="AG69" i="47" s="1"/>
  <c r="AF38" i="47"/>
  <c r="AP87" i="55"/>
  <c r="AQ34" i="55"/>
  <c r="AQ95" i="55"/>
  <c r="AH11" i="47" s="1"/>
  <c r="AJ11" i="47" s="1"/>
  <c r="T128" i="57"/>
  <c r="T156" i="57" s="1"/>
  <c r="T168" i="57" s="1"/>
  <c r="T127" i="57"/>
  <c r="T154" i="57" s="1"/>
  <c r="T166" i="57" s="1"/>
  <c r="AF30" i="47"/>
  <c r="AP124" i="55"/>
  <c r="AF12" i="47"/>
  <c r="AP100" i="55"/>
  <c r="AF40" i="47"/>
  <c r="AP90" i="55"/>
  <c r="K45" i="57"/>
  <c r="AF21" i="47"/>
  <c r="AP116" i="55"/>
  <c r="AF24" i="47"/>
  <c r="AP121" i="55"/>
  <c r="AF18" i="47"/>
  <c r="AP97" i="55"/>
  <c r="AF35" i="47"/>
  <c r="AP84" i="55"/>
  <c r="T59" i="57"/>
  <c r="T60" i="57" s="1"/>
  <c r="T61" i="57"/>
  <c r="AF8" i="47"/>
  <c r="AJ23" i="35"/>
  <c r="AF7" i="47"/>
  <c r="AJ26" i="35"/>
  <c r="AD127" i="57"/>
  <c r="AD154" i="57" s="1"/>
  <c r="J154" i="57" s="1"/>
  <c r="J191" i="57" s="1"/>
  <c r="AF56" i="47"/>
  <c r="AP130" i="55"/>
  <c r="V32" i="57"/>
  <c r="U32" i="57"/>
  <c r="U56" i="57" s="1"/>
  <c r="AJ40" i="44"/>
  <c r="AK39" i="44"/>
  <c r="AK40" i="44" s="1"/>
  <c r="AD129" i="57"/>
  <c r="AD155" i="57" s="1"/>
  <c r="K69" i="60"/>
  <c r="AM69" i="60" s="1" a="1"/>
  <c r="AM69" i="60" s="1"/>
  <c r="K68" i="60"/>
  <c r="AM68" i="60" s="1" a="1"/>
  <c r="AM68" i="60" s="1"/>
  <c r="K66" i="60"/>
  <c r="AM66" i="60" s="1" a="1"/>
  <c r="AM66" i="60" s="1"/>
  <c r="K63" i="60"/>
  <c r="AM63" i="60" s="1" a="1"/>
  <c r="AM63" i="60" s="1"/>
  <c r="K67" i="60"/>
  <c r="AM67" i="60" s="1" a="1"/>
  <c r="AM67" i="60" s="1"/>
  <c r="K65" i="60"/>
  <c r="AM65" i="60" s="1" a="1"/>
  <c r="AM65" i="60" s="1"/>
  <c r="K64" i="60"/>
  <c r="AM64" i="60" s="1" a="1"/>
  <c r="AM64" i="60" s="1"/>
  <c r="M21" i="57"/>
  <c r="W32" i="57" s="1"/>
  <c r="AF6" i="47"/>
  <c r="AJ25" i="35"/>
  <c r="AF31" i="47"/>
  <c r="AP81" i="55"/>
  <c r="AJ33" i="44"/>
  <c r="AJ36" i="44" s="1"/>
  <c r="AF9" i="47"/>
  <c r="AJ24" i="35"/>
  <c r="T155" i="57"/>
  <c r="T167" i="57" s="1"/>
  <c r="T152" i="57"/>
  <c r="T164" i="57" s="1"/>
  <c r="T153" i="57"/>
  <c r="T165" i="57" s="1"/>
  <c r="J124" i="57"/>
  <c r="J123" i="57"/>
  <c r="J125" i="57"/>
  <c r="I35" i="60"/>
  <c r="I38" i="60" s="1"/>
  <c r="BH97" i="58" a="1"/>
  <c r="BH97" i="58" s="1"/>
  <c r="AK118" i="60"/>
  <c r="AE66" i="47"/>
  <c r="AF43" i="47"/>
  <c r="AP107" i="55"/>
  <c r="AK106" i="60"/>
  <c r="AE77" i="47"/>
  <c r="L15" i="57" a="1"/>
  <c r="L15" i="57" s="1"/>
  <c r="AM24" i="60" a="1"/>
  <c r="AM24" i="60" s="1"/>
  <c r="BK92" i="58" a="1"/>
  <c r="BK92" i="58" s="1"/>
  <c r="AQ39" i="55"/>
  <c r="AH131" i="47" s="1"/>
  <c r="AJ131" i="47" s="1"/>
  <c r="AG131" i="47"/>
  <c r="AF17" i="47"/>
  <c r="AP99" i="55"/>
  <c r="AQ35" i="55"/>
  <c r="AH130" i="47" s="1"/>
  <c r="AJ130" i="47" s="1"/>
  <c r="AG130" i="47"/>
  <c r="AF39" i="47"/>
  <c r="AP85" i="55"/>
  <c r="AF54" i="47"/>
  <c r="AP134" i="55"/>
  <c r="AL19" i="60"/>
  <c r="J35" i="60"/>
  <c r="J38" i="60" s="1"/>
  <c r="AQ38" i="55"/>
  <c r="AH132" i="47" s="1"/>
  <c r="AJ132" i="47" s="1"/>
  <c r="AG132" i="47"/>
  <c r="AE116" i="57"/>
  <c r="AE117" i="57"/>
  <c r="AE115" i="57"/>
  <c r="AE110" i="57"/>
  <c r="AE51" i="57"/>
  <c r="K124" i="57"/>
  <c r="K123" i="57"/>
  <c r="K125" i="57"/>
  <c r="AF50" i="47"/>
  <c r="AP109" i="55"/>
  <c r="K121" i="57"/>
  <c r="K119" i="57"/>
  <c r="K120" i="57"/>
  <c r="AF58" i="47"/>
  <c r="AP128" i="55"/>
  <c r="AF10" i="47"/>
  <c r="AP93" i="55"/>
  <c r="AL18" i="60"/>
  <c r="AF110" i="57"/>
  <c r="AF51" i="57"/>
  <c r="AF49" i="47"/>
  <c r="AP111" i="55"/>
  <c r="AI201" i="57" a="1"/>
  <c r="AI201" i="57" s="1"/>
  <c r="AJ201" i="57" s="1" a="1"/>
  <c r="AJ201" i="57" s="1"/>
  <c r="AK201" i="57" s="1" a="1"/>
  <c r="AK201" i="57" s="1"/>
  <c r="AL201" i="57" s="1" a="1"/>
  <c r="AL201" i="57" s="1"/>
  <c r="AD220" i="57" a="1"/>
  <c r="AD220" i="57" s="1"/>
  <c r="U102" i="47" s="1"/>
  <c r="BK96" i="58" a="1"/>
  <c r="BK96" i="58" s="1"/>
  <c r="AF27" i="47"/>
  <c r="AP117" i="55"/>
  <c r="AJ35" i="44"/>
  <c r="AJ38" i="44" s="1"/>
  <c r="AK87" i="44"/>
  <c r="AF133" i="47"/>
  <c r="AP136" i="55"/>
  <c r="V110" i="57"/>
  <c r="V51" i="57"/>
  <c r="I25" i="60"/>
  <c r="I31" i="60" s="1"/>
  <c r="AK115" i="60"/>
  <c r="AF63" i="47" s="1"/>
  <c r="AK114" i="60"/>
  <c r="AF64" i="47" s="1"/>
  <c r="AK83" i="60"/>
  <c r="AK91" i="60" s="1"/>
  <c r="AK116" i="60" s="1"/>
  <c r="AF62" i="47" s="1"/>
  <c r="AK85" i="60"/>
  <c r="AK93" i="60" s="1"/>
  <c r="AK119" i="60" s="1"/>
  <c r="AF65" i="47" s="1"/>
  <c r="AK19" i="60"/>
  <c r="AF45" i="47"/>
  <c r="AP110" i="55"/>
  <c r="J120" i="57"/>
  <c r="J119" i="57"/>
  <c r="J121" i="57"/>
  <c r="AQ42" i="55"/>
  <c r="AH134" i="47" s="1"/>
  <c r="AJ134" i="47" s="1"/>
  <c r="AG134" i="47"/>
  <c r="AF57" i="47"/>
  <c r="AP126" i="55"/>
  <c r="AG110" i="57"/>
  <c r="AG51" i="57"/>
  <c r="M50" i="57"/>
  <c r="U110" i="57"/>
  <c r="U51" i="57"/>
  <c r="L13" i="57" a="1"/>
  <c r="L13" i="57" s="1"/>
  <c r="AM22" i="60" a="1"/>
  <c r="AM22" i="60" s="1"/>
  <c r="AD60" i="57"/>
  <c r="L119" i="57"/>
  <c r="L120" i="57"/>
  <c r="L121" i="57"/>
  <c r="BH99" i="58" a="1"/>
  <c r="BH99" i="58" s="1"/>
  <c r="AF53" i="47"/>
  <c r="AP129" i="55"/>
  <c r="R104" i="47"/>
  <c r="AB222" i="57" a="1"/>
  <c r="AB222" i="57" s="1"/>
  <c r="S104" i="47" s="1"/>
  <c r="W110" i="57"/>
  <c r="W51" i="57"/>
  <c r="M57" i="57"/>
  <c r="BI93" i="58" a="1"/>
  <c r="BI93" i="58" s="1"/>
  <c r="AK117" i="60"/>
  <c r="AE67" i="47"/>
  <c r="AF41" i="47"/>
  <c r="AP89" i="55"/>
  <c r="AF13" i="47"/>
  <c r="AP98" i="55"/>
  <c r="AK86" i="44"/>
  <c r="AJ34" i="44"/>
  <c r="AJ37" i="44" s="1"/>
  <c r="L125" i="57"/>
  <c r="L123" i="57"/>
  <c r="L124" i="57"/>
  <c r="AE108" i="57"/>
  <c r="AE81" i="57"/>
  <c r="AE97" i="57"/>
  <c r="AE55" i="57"/>
  <c r="L14" i="57" a="1"/>
  <c r="L14" i="57" s="1"/>
  <c r="AM23" i="60" a="1"/>
  <c r="AM23" i="60" s="1"/>
  <c r="AE101" i="57"/>
  <c r="AE86" i="57"/>
  <c r="AF19" i="47"/>
  <c r="AP101" i="55"/>
  <c r="BJ98" i="58" a="1"/>
  <c r="BJ98" i="58" s="1"/>
  <c r="AF26" i="47"/>
  <c r="AP115" i="55"/>
  <c r="AK18" i="60"/>
  <c r="U108" i="57"/>
  <c r="U97" i="57"/>
  <c r="U81" i="57"/>
  <c r="U55" i="57"/>
  <c r="AP40" i="55"/>
  <c r="AF128" i="47"/>
  <c r="BR10" i="58" a="1"/>
  <c r="BR10" i="58" s="1"/>
  <c r="AK30" i="44"/>
  <c r="BI100" i="58" a="1"/>
  <c r="BI100" i="58" s="1"/>
  <c r="U101" i="57"/>
  <c r="U86" i="57"/>
  <c r="AG16" i="47"/>
  <c r="AQ94" i="55"/>
  <c r="AH16" i="47" s="1"/>
  <c r="AJ16" i="47" s="1"/>
  <c r="BK94" i="58" a="1"/>
  <c r="BK94" i="58" s="1"/>
  <c r="R107" i="47"/>
  <c r="AB225" i="57" a="1"/>
  <c r="AB225" i="57" s="1"/>
  <c r="S107" i="47" s="1"/>
  <c r="U115" i="57"/>
  <c r="U117" i="57"/>
  <c r="U116" i="57"/>
  <c r="AK108" i="60"/>
  <c r="AF76" i="47" s="1"/>
  <c r="AK112" i="60"/>
  <c r="AF79" i="47" s="1"/>
  <c r="AK111" i="60"/>
  <c r="AF80" i="47" s="1"/>
  <c r="AK82" i="60"/>
  <c r="AK90" i="60" s="1"/>
  <c r="AK109" i="60" s="1"/>
  <c r="AK84" i="60"/>
  <c r="AK92" i="60" s="1"/>
  <c r="AK113" i="60" s="1"/>
  <c r="AF78" i="47" s="1"/>
  <c r="AK110" i="60"/>
  <c r="AF81" i="47" s="1"/>
  <c r="AK107" i="60"/>
  <c r="AF82" i="47" s="1"/>
  <c r="AQ32" i="55"/>
  <c r="AH137" i="47" s="1"/>
  <c r="AJ137" i="47" s="1"/>
  <c r="AG137" i="47"/>
  <c r="BB10" i="58"/>
  <c r="BH95" i="58" a="1"/>
  <c r="BH95" i="58" s="1"/>
  <c r="AG15" i="47" l="1"/>
  <c r="J156" i="57"/>
  <c r="J193" i="57" s="1"/>
  <c r="AG32" i="47"/>
  <c r="AQ83" i="55"/>
  <c r="AH32" i="47" s="1"/>
  <c r="AJ32" i="47" s="1"/>
  <c r="AP220" i="57" a="1"/>
  <c r="AP220" i="57" s="1"/>
  <c r="AQ220" i="57" a="1"/>
  <c r="AQ220" i="57" s="1"/>
  <c r="K128" i="57"/>
  <c r="AK31" i="44"/>
  <c r="AL102" i="60"/>
  <c r="AG68" i="47" s="1"/>
  <c r="AL89" i="60"/>
  <c r="AG5" i="47"/>
  <c r="AK22" i="35"/>
  <c r="AH5" i="47" s="1"/>
  <c r="AJ5" i="47" s="1"/>
  <c r="AG44" i="47"/>
  <c r="AQ112" i="55"/>
  <c r="AH44" i="47" s="1"/>
  <c r="AJ44" i="47" s="1"/>
  <c r="M51" i="57"/>
  <c r="AN162" i="58"/>
  <c r="AN164" i="58"/>
  <c r="AN170" i="58"/>
  <c r="AN169" i="58"/>
  <c r="AN168" i="58"/>
  <c r="AN167" i="58"/>
  <c r="AN166" i="58"/>
  <c r="AN165" i="58"/>
  <c r="AN163" i="58"/>
  <c r="AN36" i="58"/>
  <c r="AN41" i="58" s="1"/>
  <c r="AQ221" i="57" a="1"/>
  <c r="AQ221" i="57" s="1"/>
  <c r="AP31" i="58"/>
  <c r="AP34" i="58" s="1"/>
  <c r="AQ23" i="58"/>
  <c r="AO156" i="58"/>
  <c r="AO158" i="58"/>
  <c r="AO154" i="58"/>
  <c r="AO35" i="58"/>
  <c r="AO153" i="58"/>
  <c r="AO151" i="58"/>
  <c r="AO155" i="58"/>
  <c r="AO152" i="58"/>
  <c r="AO157" i="58"/>
  <c r="AO159" i="58"/>
  <c r="AD153" i="57"/>
  <c r="AG61" i="47"/>
  <c r="AQ135" i="55"/>
  <c r="AH61" i="47" s="1"/>
  <c r="AJ61" i="47" s="1"/>
  <c r="M110" i="57"/>
  <c r="L127" i="57"/>
  <c r="AQ96" i="55"/>
  <c r="AH14" i="47" s="1"/>
  <c r="AJ14" i="47" s="1"/>
  <c r="J59" i="57"/>
  <c r="J60" i="57" s="1"/>
  <c r="K59" i="57"/>
  <c r="K60" i="57" s="1"/>
  <c r="L59" i="57"/>
  <c r="L60" i="57" s="1"/>
  <c r="K61" i="57"/>
  <c r="L61" i="57"/>
  <c r="G61" i="57"/>
  <c r="J61" i="57"/>
  <c r="J129" i="57"/>
  <c r="M256" i="57" s="1"/>
  <c r="AG136" i="47"/>
  <c r="AQ31" i="55"/>
  <c r="AH136" i="47" s="1"/>
  <c r="AJ136" i="47" s="1"/>
  <c r="J127" i="57"/>
  <c r="AG22" i="47"/>
  <c r="AQ118" i="55"/>
  <c r="AH22" i="47" s="1"/>
  <c r="AJ22" i="47" s="1"/>
  <c r="AP221" i="57" a="1"/>
  <c r="AP221" i="57" s="1"/>
  <c r="AG29" i="47"/>
  <c r="AQ120" i="55"/>
  <c r="AH29" i="47" s="1"/>
  <c r="AJ29" i="47" s="1"/>
  <c r="U109" i="57"/>
  <c r="U111" i="57" s="1"/>
  <c r="J112" i="57"/>
  <c r="J128" i="57"/>
  <c r="AQ102" i="55"/>
  <c r="AH20" i="47" s="1"/>
  <c r="AJ20" i="47" s="1"/>
  <c r="M254" i="57"/>
  <c r="M255" i="57"/>
  <c r="AG42" i="47"/>
  <c r="AQ105" i="55"/>
  <c r="AH42" i="47" s="1"/>
  <c r="AJ42" i="47" s="1"/>
  <c r="AT202" i="57" a="1"/>
  <c r="AT202" i="57" s="1"/>
  <c r="AI202" i="57" a="1"/>
  <c r="AI202" i="57" s="1"/>
  <c r="AJ202" i="57" s="1" a="1"/>
  <c r="AJ202" i="57" s="1"/>
  <c r="AK202" i="57" s="1" a="1"/>
  <c r="AK202" i="57" s="1"/>
  <c r="AL202" i="57" s="1" a="1"/>
  <c r="AL202" i="57" s="1"/>
  <c r="AM202" i="57" s="1" a="1"/>
  <c r="AM202" i="57" s="1"/>
  <c r="AO202" i="57" s="1" a="1"/>
  <c r="AO202" i="57" s="1"/>
  <c r="AD152" i="57"/>
  <c r="AD164" i="57" s="1"/>
  <c r="AG38" i="47"/>
  <c r="AQ87" i="55"/>
  <c r="AH38" i="47" s="1"/>
  <c r="AJ38" i="47" s="1"/>
  <c r="AG21" i="47"/>
  <c r="AQ116" i="55"/>
  <c r="AH21" i="47" s="1"/>
  <c r="AJ21" i="47" s="1"/>
  <c r="AG40" i="47"/>
  <c r="AQ90" i="55"/>
  <c r="AH40" i="47" s="1"/>
  <c r="AJ40" i="47" s="1"/>
  <c r="K129" i="57"/>
  <c r="AG12" i="47"/>
  <c r="AQ100" i="55"/>
  <c r="AH12" i="47" s="1"/>
  <c r="AJ12" i="47" s="1"/>
  <c r="AG30" i="47"/>
  <c r="AQ124" i="55"/>
  <c r="AH30" i="47" s="1"/>
  <c r="AJ30" i="47" s="1"/>
  <c r="L129" i="57"/>
  <c r="AD166" i="57"/>
  <c r="L166" i="57" s="1"/>
  <c r="AG24" i="47"/>
  <c r="AQ121" i="55"/>
  <c r="AH24" i="47" s="1"/>
  <c r="AJ24" i="47" s="1"/>
  <c r="L128" i="57"/>
  <c r="AF220" i="57" a="1"/>
  <c r="AF220" i="57" s="1"/>
  <c r="AE221" i="57" a="1"/>
  <c r="AE221" i="57" s="1"/>
  <c r="V101" i="47" s="1"/>
  <c r="AG7" i="47"/>
  <c r="AK26" i="35"/>
  <c r="AH7" i="47" s="1"/>
  <c r="AJ7" i="47" s="1"/>
  <c r="AG9" i="47"/>
  <c r="AK24" i="35"/>
  <c r="AH9" i="47" s="1"/>
  <c r="AJ9" i="47" s="1"/>
  <c r="AG8" i="47"/>
  <c r="AK23" i="35"/>
  <c r="AH8" i="47" s="1"/>
  <c r="AJ8" i="47" s="1"/>
  <c r="U58" i="57"/>
  <c r="U61" i="57" s="1"/>
  <c r="AK34" i="44"/>
  <c r="AK37" i="44" s="1"/>
  <c r="M14" i="57" s="1" a="1"/>
  <c r="M14" i="57" s="1"/>
  <c r="AG14" i="57" s="1"/>
  <c r="AL110" i="60"/>
  <c r="AG81" i="47" s="1"/>
  <c r="K127" i="57"/>
  <c r="AG31" i="47"/>
  <c r="AQ81" i="55"/>
  <c r="AH31" i="47" s="1"/>
  <c r="AJ31" i="47" s="1"/>
  <c r="AG6" i="47"/>
  <c r="AK25" i="35"/>
  <c r="AH6" i="47" s="1"/>
  <c r="AJ6" i="47" s="1"/>
  <c r="AG35" i="47"/>
  <c r="AQ84" i="55"/>
  <c r="AH35" i="47" s="1"/>
  <c r="AJ35" i="47" s="1"/>
  <c r="U87" i="57"/>
  <c r="U90" i="57" s="1"/>
  <c r="U125" i="57" s="1"/>
  <c r="AE32" i="57"/>
  <c r="W87" i="57"/>
  <c r="W90" i="57" s="1"/>
  <c r="AG32" i="57"/>
  <c r="AF32" i="57"/>
  <c r="AF87" i="57" s="1"/>
  <c r="AF90" i="57" s="1"/>
  <c r="V87" i="57"/>
  <c r="V90" i="57" s="1"/>
  <c r="AG18" i="47"/>
  <c r="AQ97" i="55"/>
  <c r="AH18" i="47" s="1"/>
  <c r="AJ18" i="47" s="1"/>
  <c r="AG56" i="47"/>
  <c r="AQ130" i="55"/>
  <c r="AH56" i="47" s="1"/>
  <c r="AJ56" i="47" s="1"/>
  <c r="AL107" i="60"/>
  <c r="AG82" i="47" s="1"/>
  <c r="AL82" i="60"/>
  <c r="AL109" i="60" s="1"/>
  <c r="AL84" i="60"/>
  <c r="AL113" i="60" s="1"/>
  <c r="AG78" i="47" s="1"/>
  <c r="AM201" i="57" a="1"/>
  <c r="AM201" i="57" s="1"/>
  <c r="AO201" i="57" s="1" a="1"/>
  <c r="AO201" i="57" s="1"/>
  <c r="AN201" i="57" a="1"/>
  <c r="AN201" i="57" s="1"/>
  <c r="AG58" i="47"/>
  <c r="AQ128" i="55"/>
  <c r="AH58" i="47" s="1"/>
  <c r="AJ58" i="47" s="1"/>
  <c r="AI200" i="57" a="1"/>
  <c r="AI200" i="57" s="1"/>
  <c r="AJ200" i="57" s="1" a="1"/>
  <c r="AJ200" i="57" s="1"/>
  <c r="AK200" i="57" s="1" a="1"/>
  <c r="AK200" i="57" s="1"/>
  <c r="AL200" i="57" s="1" a="1"/>
  <c r="AL200" i="57" s="1"/>
  <c r="AQ219" i="57" a="1"/>
  <c r="AQ219" i="57" s="1"/>
  <c r="AP219" i="57" a="1"/>
  <c r="AP219" i="57" s="1"/>
  <c r="AT200" i="57" a="1"/>
  <c r="AT200" i="57" s="1"/>
  <c r="AD219" i="57" a="1"/>
  <c r="AD219" i="57" s="1"/>
  <c r="U100" i="47" s="1"/>
  <c r="AD167" i="57"/>
  <c r="J155" i="57"/>
  <c r="J192" i="57" s="1"/>
  <c r="AM25" i="60"/>
  <c r="AM19" i="60" s="1"/>
  <c r="K22" i="60"/>
  <c r="AM34" i="60"/>
  <c r="AM81" i="60" s="1"/>
  <c r="AM101" i="60"/>
  <c r="AH69" i="47" s="1"/>
  <c r="AJ69" i="47" s="1"/>
  <c r="AM105" i="60"/>
  <c r="AH71" i="47" s="1"/>
  <c r="AJ71" i="47" s="1"/>
  <c r="AM104" i="60"/>
  <c r="AH72" i="47" s="1"/>
  <c r="AJ72" i="47" s="1"/>
  <c r="AM100" i="60"/>
  <c r="AH74" i="47" s="1"/>
  <c r="AJ74" i="47" s="1"/>
  <c r="AM103" i="60"/>
  <c r="AH73" i="47" s="1"/>
  <c r="AJ73" i="47" s="1"/>
  <c r="AM99" i="60"/>
  <c r="AH70" i="47" s="1"/>
  <c r="AJ70" i="47" s="1"/>
  <c r="AD165" i="57"/>
  <c r="J153" i="57"/>
  <c r="J190" i="57" s="1"/>
  <c r="BL92" i="58" a="1"/>
  <c r="BL92" i="58" s="1"/>
  <c r="AL118" i="60"/>
  <c r="AF66" i="47"/>
  <c r="AP224" i="57" a="1"/>
  <c r="AP224" i="57" s="1"/>
  <c r="AD224" i="57" a="1"/>
  <c r="AD224" i="57" s="1"/>
  <c r="U103" i="47" s="1"/>
  <c r="AI205" i="57" a="1"/>
  <c r="AI205" i="57" s="1"/>
  <c r="AJ205" i="57" s="1" a="1"/>
  <c r="AJ205" i="57" s="1"/>
  <c r="AK205" i="57" s="1" a="1"/>
  <c r="AK205" i="57" s="1"/>
  <c r="AL205" i="57" s="1" a="1"/>
  <c r="AL205" i="57" s="1"/>
  <c r="AQ224" i="57" a="1"/>
  <c r="AQ224" i="57" s="1"/>
  <c r="AT205" i="57" a="1"/>
  <c r="AT205" i="57" s="1"/>
  <c r="AP226" i="57" a="1"/>
  <c r="AP226" i="57" s="1"/>
  <c r="AD226" i="57" a="1"/>
  <c r="AD226" i="57" s="1"/>
  <c r="U105" i="47" s="1"/>
  <c r="AQ226" i="57" a="1"/>
  <c r="AQ226" i="57" s="1"/>
  <c r="AI207" i="57" a="1"/>
  <c r="AI207" i="57" s="1"/>
  <c r="AJ207" i="57" s="1" a="1"/>
  <c r="AJ207" i="57" s="1"/>
  <c r="AK207" i="57" s="1" a="1"/>
  <c r="AK207" i="57" s="1"/>
  <c r="AL207" i="57" s="1" a="1"/>
  <c r="AL207" i="57" s="1"/>
  <c r="AT207" i="57" a="1"/>
  <c r="AT207" i="57" s="1"/>
  <c r="AE123" i="57"/>
  <c r="AE124" i="57"/>
  <c r="BJ100" i="58" a="1"/>
  <c r="BJ100" i="58" s="1"/>
  <c r="U163" i="57"/>
  <c r="AG41" i="47"/>
  <c r="AQ89" i="55"/>
  <c r="AH41" i="47" s="1"/>
  <c r="AJ41" i="47" s="1"/>
  <c r="AL111" i="60"/>
  <c r="AG80" i="47" s="1"/>
  <c r="AG220" i="57" a="1"/>
  <c r="AG220" i="57" s="1"/>
  <c r="AG49" i="47"/>
  <c r="AQ111" i="55"/>
  <c r="AH49" i="47" s="1"/>
  <c r="AJ49" i="47" s="1"/>
  <c r="AF221" i="57" a="1"/>
  <c r="AF221" i="57" s="1"/>
  <c r="AD101" i="47"/>
  <c r="BI97" i="58" a="1"/>
  <c r="BI97" i="58" s="1"/>
  <c r="BL96" i="58" a="1"/>
  <c r="BL96" i="58" s="1"/>
  <c r="BC10" i="58"/>
  <c r="AG39" i="47"/>
  <c r="AQ85" i="55"/>
  <c r="AH39" i="47" s="1"/>
  <c r="AJ39" i="47" s="1"/>
  <c r="U162" i="57"/>
  <c r="AG26" i="47"/>
  <c r="AQ115" i="55"/>
  <c r="AH26" i="47" s="1"/>
  <c r="AJ26" i="47" s="1"/>
  <c r="U161" i="57"/>
  <c r="AL108" i="60"/>
  <c r="AG76" i="47" s="1"/>
  <c r="AG133" i="47"/>
  <c r="AQ136" i="55"/>
  <c r="AH133" i="47" s="1"/>
  <c r="AJ133" i="47" s="1"/>
  <c r="AG221" i="57" a="1"/>
  <c r="AG221" i="57" s="1"/>
  <c r="AK33" i="44"/>
  <c r="AK36" i="44" s="1"/>
  <c r="M13" i="57" s="1" a="1"/>
  <c r="M13" i="57" s="1"/>
  <c r="AM36" i="60"/>
  <c r="K24" i="60"/>
  <c r="K36" i="60" s="1"/>
  <c r="U120" i="57"/>
  <c r="U121" i="57"/>
  <c r="U119" i="57"/>
  <c r="K168" i="57"/>
  <c r="L168" i="57"/>
  <c r="J168" i="57"/>
  <c r="AM35" i="60"/>
  <c r="AM38" i="60" s="1"/>
  <c r="AM18" i="60"/>
  <c r="K23" i="60"/>
  <c r="AL112" i="60"/>
  <c r="AG79" i="47" s="1"/>
  <c r="AG45" i="47"/>
  <c r="AQ110" i="55"/>
  <c r="AH45" i="47" s="1"/>
  <c r="AJ45" i="47" s="1"/>
  <c r="AG50" i="47"/>
  <c r="AQ109" i="55"/>
  <c r="AH50" i="47" s="1"/>
  <c r="AJ50" i="47" s="1"/>
  <c r="AF15" i="57"/>
  <c r="V15" i="57"/>
  <c r="BI99" i="58" a="1"/>
  <c r="BI99" i="58" s="1"/>
  <c r="AG13" i="47"/>
  <c r="AQ98" i="55"/>
  <c r="AH13" i="47" s="1"/>
  <c r="AJ13" i="47" s="1"/>
  <c r="BL94" i="58" a="1"/>
  <c r="BL94" i="58" s="1"/>
  <c r="BI10" i="58"/>
  <c r="BJ10" i="58" s="1"/>
  <c r="AQ40" i="55"/>
  <c r="AH128" i="47" s="1"/>
  <c r="AJ128" i="47" s="1"/>
  <c r="AG128" i="47"/>
  <c r="AF14" i="57"/>
  <c r="V14" i="57"/>
  <c r="AL117" i="60"/>
  <c r="AF67" i="47"/>
  <c r="AK35" i="44"/>
  <c r="AK38" i="44" s="1"/>
  <c r="M15" i="57" s="1" a="1"/>
  <c r="M15" i="57" s="1"/>
  <c r="AL85" i="60"/>
  <c r="AL93" i="60" s="1"/>
  <c r="AL119" i="60" s="1"/>
  <c r="AG65" i="47" s="1"/>
  <c r="AL83" i="60"/>
  <c r="AL91" i="60" s="1"/>
  <c r="AL116" i="60" s="1"/>
  <c r="AG62" i="47" s="1"/>
  <c r="BJ93" i="58" a="1"/>
  <c r="BJ93" i="58" s="1"/>
  <c r="BI95" i="58" a="1"/>
  <c r="BI95" i="58" s="1"/>
  <c r="AG57" i="47"/>
  <c r="AQ126" i="55"/>
  <c r="AH57" i="47" s="1"/>
  <c r="AJ57" i="47" s="1"/>
  <c r="AD102" i="47"/>
  <c r="AG10" i="47"/>
  <c r="AQ93" i="55"/>
  <c r="AH10" i="47" s="1"/>
  <c r="AJ10" i="47" s="1"/>
  <c r="AL114" i="60"/>
  <c r="AG64" i="47" s="1"/>
  <c r="AG17" i="47"/>
  <c r="AQ99" i="55"/>
  <c r="AH17" i="47" s="1"/>
  <c r="AJ17" i="47" s="1"/>
  <c r="AL106" i="60"/>
  <c r="AF77" i="47"/>
  <c r="T169" i="57"/>
  <c r="T176" i="57" s="1"/>
  <c r="U124" i="57"/>
  <c r="U123" i="57"/>
  <c r="AF13" i="57"/>
  <c r="L16" i="57"/>
  <c r="V13" i="57"/>
  <c r="AF75" i="47"/>
  <c r="AK74" i="60"/>
  <c r="AK77" i="60" s="1"/>
  <c r="BK98" i="58" a="1"/>
  <c r="BK98" i="58" s="1"/>
  <c r="AG19" i="47"/>
  <c r="AQ101" i="55"/>
  <c r="AH19" i="47" s="1"/>
  <c r="AJ19" i="47" s="1"/>
  <c r="AE120" i="57"/>
  <c r="AE119" i="57"/>
  <c r="AE121" i="57"/>
  <c r="AG53" i="47"/>
  <c r="AQ129" i="55"/>
  <c r="AH53" i="47" s="1"/>
  <c r="AJ53" i="47" s="1"/>
  <c r="AG27" i="47"/>
  <c r="AQ117" i="55"/>
  <c r="AH27" i="47" s="1"/>
  <c r="AJ27" i="47" s="1"/>
  <c r="AE220" i="57" a="1"/>
  <c r="AE220" i="57" s="1"/>
  <c r="AL115" i="60"/>
  <c r="AG63" i="47" s="1"/>
  <c r="AG54" i="47"/>
  <c r="AQ134" i="55"/>
  <c r="AH54" i="47" s="1"/>
  <c r="AJ54" i="47" s="1"/>
  <c r="AG43" i="47"/>
  <c r="AQ107" i="55"/>
  <c r="AH43" i="47" s="1"/>
  <c r="AJ43" i="47" s="1"/>
  <c r="AE128" i="57" l="1"/>
  <c r="AE156" i="57" s="1"/>
  <c r="K156" i="57" s="1"/>
  <c r="K193" i="57" s="1"/>
  <c r="M258" i="57"/>
  <c r="M257" i="57"/>
  <c r="AN202" i="57" a="1"/>
  <c r="AN202" i="57" s="1"/>
  <c r="AO36" i="58"/>
  <c r="AO41" i="58" s="1"/>
  <c r="AO169" i="58"/>
  <c r="AO166" i="58"/>
  <c r="AO162" i="58"/>
  <c r="AO165" i="58"/>
  <c r="AO168" i="58"/>
  <c r="AO164" i="58"/>
  <c r="AO170" i="58"/>
  <c r="AO167" i="58"/>
  <c r="AO163" i="58"/>
  <c r="AR23" i="58"/>
  <c r="AQ31" i="58"/>
  <c r="AQ34" i="58" s="1"/>
  <c r="AP157" i="58"/>
  <c r="AP158" i="58"/>
  <c r="AP156" i="58"/>
  <c r="AP155" i="58"/>
  <c r="AP151" i="58"/>
  <c r="AP159" i="58"/>
  <c r="AP153" i="58"/>
  <c r="AP152" i="58"/>
  <c r="AP154" i="58"/>
  <c r="AP35" i="58"/>
  <c r="AH221" i="57" a="1"/>
  <c r="AH221" i="57" s="1"/>
  <c r="W101" i="47" s="1"/>
  <c r="AQ24" i="58"/>
  <c r="U149" i="57"/>
  <c r="U151" i="57"/>
  <c r="W14" i="57"/>
  <c r="W108" i="57" s="1"/>
  <c r="J152" i="57"/>
  <c r="J189" i="57" s="1"/>
  <c r="AQ222" i="57" s="1" a="1"/>
  <c r="AQ222" i="57" s="1"/>
  <c r="AM17" i="60"/>
  <c r="U150" i="57"/>
  <c r="J166" i="57"/>
  <c r="K166" i="57"/>
  <c r="AL92" i="60"/>
  <c r="AL90" i="60"/>
  <c r="AE127" i="57"/>
  <c r="AE154" i="57" s="1"/>
  <c r="AE166" i="57" s="1"/>
  <c r="AE224" i="57" a="1"/>
  <c r="AE224" i="57" s="1"/>
  <c r="V103" i="47" s="1"/>
  <c r="AE219" i="57" a="1"/>
  <c r="AE219" i="57" s="1"/>
  <c r="V100" i="47" s="1"/>
  <c r="AG219" i="57" a="1"/>
  <c r="AG219" i="57" s="1"/>
  <c r="U129" i="57"/>
  <c r="U155" i="57" s="1"/>
  <c r="U167" i="57" s="1"/>
  <c r="U128" i="57"/>
  <c r="U156" i="57" s="1"/>
  <c r="U168" i="57" s="1"/>
  <c r="AE87" i="57"/>
  <c r="AE90" i="57" s="1"/>
  <c r="AE125" i="57" s="1"/>
  <c r="AE129" i="57" s="1"/>
  <c r="AE109" i="57"/>
  <c r="AE111" i="57" s="1"/>
  <c r="AE56" i="57"/>
  <c r="AM37" i="60"/>
  <c r="AF219" i="57" a="1"/>
  <c r="AF219" i="57" s="1"/>
  <c r="U127" i="57"/>
  <c r="U154" i="57" s="1"/>
  <c r="U166" i="57" s="1"/>
  <c r="AF224" i="57" a="1"/>
  <c r="AF224" i="57" s="1"/>
  <c r="T178" i="57"/>
  <c r="AG87" i="57"/>
  <c r="M32" i="57"/>
  <c r="AN205" i="57" a="1"/>
  <c r="AN205" i="57" s="1"/>
  <c r="AM205" i="57" a="1"/>
  <c r="AM205" i="57" s="1"/>
  <c r="AO205" i="57" s="1" a="1"/>
  <c r="AO205" i="57" s="1"/>
  <c r="AN207" i="57" a="1"/>
  <c r="AN207" i="57" s="1"/>
  <c r="AM207" i="57" a="1"/>
  <c r="AM207" i="57" s="1"/>
  <c r="AO207" i="57" s="1" a="1"/>
  <c r="AO207" i="57" s="1"/>
  <c r="AN200" i="57" a="1"/>
  <c r="AN200" i="57" s="1"/>
  <c r="AM200" i="57" a="1"/>
  <c r="AM200" i="57" s="1"/>
  <c r="AO200" i="57" s="1" a="1"/>
  <c r="AO200" i="57" s="1"/>
  <c r="AE168" i="57"/>
  <c r="BK10" i="58"/>
  <c r="J167" i="57"/>
  <c r="K167" i="57"/>
  <c r="L167" i="57"/>
  <c r="AF93" i="57"/>
  <c r="AF107" i="57"/>
  <c r="AF75" i="57"/>
  <c r="AF16" i="57"/>
  <c r="AF54" i="57"/>
  <c r="AD103" i="47"/>
  <c r="AI203" i="57" a="1"/>
  <c r="AI203" i="57" s="1"/>
  <c r="AJ203" i="57" s="1" a="1"/>
  <c r="AJ203" i="57" s="1"/>
  <c r="AK203" i="57" s="1" a="1"/>
  <c r="AK203" i="57" s="1"/>
  <c r="AL203" i="57" s="1" a="1"/>
  <c r="AL203" i="57" s="1"/>
  <c r="AF226" i="57" a="1"/>
  <c r="AF226" i="57" s="1"/>
  <c r="K164" i="57"/>
  <c r="J164" i="57"/>
  <c r="L164" i="57"/>
  <c r="AD169" i="57"/>
  <c r="AD178" i="57" s="1"/>
  <c r="BJ97" i="58" a="1"/>
  <c r="BJ97" i="58" s="1"/>
  <c r="AM118" i="60"/>
  <c r="AH66" i="47" s="1"/>
  <c r="AJ66" i="47" s="1"/>
  <c r="AG66" i="47"/>
  <c r="AH219" i="57" a="1"/>
  <c r="AH219" i="57" s="1"/>
  <c r="W55" i="57"/>
  <c r="BM92" i="58" a="1"/>
  <c r="BM92" i="58" s="1"/>
  <c r="AG108" i="57"/>
  <c r="AG97" i="57"/>
  <c r="AG81" i="57"/>
  <c r="AG55" i="57"/>
  <c r="BK100" i="58" a="1"/>
  <c r="BK100" i="58" s="1"/>
  <c r="AQ202" i="57" a="1"/>
  <c r="AQ202" i="57" s="1"/>
  <c r="AR202" i="57" s="1" a="1"/>
  <c r="AR202" i="57" s="1"/>
  <c r="AS202" i="57" s="1" a="1"/>
  <c r="AS202" i="57" s="1"/>
  <c r="AP202" i="57" a="1"/>
  <c r="AP202" i="57" s="1"/>
  <c r="U59" i="57"/>
  <c r="U60" i="57" s="1"/>
  <c r="T170" i="57"/>
  <c r="T172" i="57"/>
  <c r="T173" i="57"/>
  <c r="T174" i="57"/>
  <c r="T179" i="57"/>
  <c r="T177" i="57"/>
  <c r="AE226" i="57" a="1"/>
  <c r="AE226" i="57" s="1"/>
  <c r="AM89" i="60"/>
  <c r="AM102" i="60"/>
  <c r="T175" i="57"/>
  <c r="BJ99" i="58" a="1"/>
  <c r="BJ99" i="58" s="1"/>
  <c r="AM117" i="60"/>
  <c r="AH67" i="47" s="1"/>
  <c r="AJ67" i="47" s="1"/>
  <c r="AG67" i="47"/>
  <c r="AG75" i="47"/>
  <c r="AL74" i="60"/>
  <c r="AL77" i="60" s="1"/>
  <c r="M16" i="57"/>
  <c r="M33" i="57" s="1"/>
  <c r="AG13" i="57"/>
  <c r="W13" i="57"/>
  <c r="BD10" i="58"/>
  <c r="K25" i="60"/>
  <c r="K31" i="60" s="1"/>
  <c r="K34" i="60"/>
  <c r="K37" i="60" s="1"/>
  <c r="AG15" i="57"/>
  <c r="W15" i="57"/>
  <c r="AM115" i="60"/>
  <c r="AH63" i="47" s="1"/>
  <c r="AJ63" i="47" s="1"/>
  <c r="AM114" i="60"/>
  <c r="AH64" i="47" s="1"/>
  <c r="AJ64" i="47" s="1"/>
  <c r="AM83" i="60"/>
  <c r="AM91" i="60" s="1"/>
  <c r="AM116" i="60" s="1"/>
  <c r="AH62" i="47" s="1"/>
  <c r="AJ62" i="47" s="1"/>
  <c r="AM85" i="60"/>
  <c r="AM93" i="60" s="1"/>
  <c r="AM119" i="60" s="1"/>
  <c r="AH65" i="47" s="1"/>
  <c r="AJ65" i="47" s="1"/>
  <c r="V102" i="47"/>
  <c r="AH220" i="57" a="1"/>
  <c r="AH220" i="57" s="1"/>
  <c r="BJ95" i="58" a="1"/>
  <c r="BJ95" i="58" s="1"/>
  <c r="AM106" i="60"/>
  <c r="AH77" i="47" s="1"/>
  <c r="AJ77" i="47" s="1"/>
  <c r="AG77" i="47"/>
  <c r="V108" i="57"/>
  <c r="V97" i="57"/>
  <c r="V55" i="57"/>
  <c r="V81" i="57"/>
  <c r="V109" i="57"/>
  <c r="V101" i="57"/>
  <c r="V86" i="57"/>
  <c r="V56" i="57"/>
  <c r="AM108" i="60"/>
  <c r="AH76" i="47" s="1"/>
  <c r="AJ76" i="47" s="1"/>
  <c r="AM112" i="60"/>
  <c r="AH79" i="47" s="1"/>
  <c r="AJ79" i="47" s="1"/>
  <c r="AM111" i="60"/>
  <c r="AH80" i="47" s="1"/>
  <c r="AJ80" i="47" s="1"/>
  <c r="AM82" i="60"/>
  <c r="AM84" i="60"/>
  <c r="AM107" i="60"/>
  <c r="AH82" i="47" s="1"/>
  <c r="AJ82" i="47" s="1"/>
  <c r="AM110" i="60"/>
  <c r="AH81" i="47" s="1"/>
  <c r="AJ81" i="47" s="1"/>
  <c r="AG226" i="57" a="1"/>
  <c r="AG226" i="57" s="1"/>
  <c r="AG224" i="57" a="1"/>
  <c r="AG224" i="57" s="1"/>
  <c r="AP223" i="57" a="1"/>
  <c r="AP223" i="57" s="1"/>
  <c r="AD223" i="57" a="1"/>
  <c r="AD223" i="57" s="1"/>
  <c r="U106" i="47" s="1"/>
  <c r="AI204" i="57" a="1"/>
  <c r="AI204" i="57" s="1"/>
  <c r="AJ204" i="57" s="1" a="1"/>
  <c r="AJ204" i="57" s="1"/>
  <c r="AK204" i="57" s="1" a="1"/>
  <c r="AK204" i="57" s="1"/>
  <c r="AL204" i="57" s="1" a="1"/>
  <c r="AL204" i="57" s="1"/>
  <c r="AT204" i="57" a="1"/>
  <c r="AT204" i="57" s="1"/>
  <c r="AQ223" i="57" a="1"/>
  <c r="AQ223" i="57" s="1"/>
  <c r="AD100" i="47"/>
  <c r="AF101" i="57"/>
  <c r="AF109" i="57"/>
  <c r="AF86" i="57"/>
  <c r="AF56" i="57"/>
  <c r="BM96" i="58" a="1"/>
  <c r="BM96" i="58" s="1"/>
  <c r="AD105" i="47"/>
  <c r="AD176" i="57"/>
  <c r="J165" i="57"/>
  <c r="L165" i="57"/>
  <c r="K165" i="57"/>
  <c r="AP201" i="57" a="1"/>
  <c r="AP201" i="57" s="1"/>
  <c r="AQ201" i="57" a="1"/>
  <c r="AQ201" i="57" s="1"/>
  <c r="AR201" i="57" s="1" a="1"/>
  <c r="AR201" i="57" s="1"/>
  <c r="AS201" i="57" s="1" a="1"/>
  <c r="AS201" i="57" s="1"/>
  <c r="BL98" i="58" a="1"/>
  <c r="BL98" i="58" s="1"/>
  <c r="K35" i="60"/>
  <c r="K38" i="60" s="1"/>
  <c r="BK93" i="58" a="1"/>
  <c r="BK93" i="58" s="1"/>
  <c r="AF108" i="57"/>
  <c r="AF81" i="57"/>
  <c r="AF55" i="57"/>
  <c r="AF97" i="57"/>
  <c r="L33" i="57"/>
  <c r="BM94" i="58" a="1"/>
  <c r="BM94" i="58" s="1"/>
  <c r="L28" i="57"/>
  <c r="V93" i="57"/>
  <c r="V54" i="57"/>
  <c r="V107" i="57"/>
  <c r="V75" i="57"/>
  <c r="V16" i="57"/>
  <c r="AQ225" i="57" a="1"/>
  <c r="AQ225" i="57" s="1"/>
  <c r="AP225" i="57" a="1"/>
  <c r="AP225" i="57" s="1"/>
  <c r="AD225" i="57" a="1"/>
  <c r="AD225" i="57" s="1"/>
  <c r="U107" i="47" s="1"/>
  <c r="AT206" i="57" a="1"/>
  <c r="AT206" i="57" s="1"/>
  <c r="AI206" i="57" a="1"/>
  <c r="AI206" i="57" s="1"/>
  <c r="AJ206" i="57" s="1" a="1"/>
  <c r="AJ206" i="57" s="1"/>
  <c r="AK206" i="57" s="1" a="1"/>
  <c r="AK206" i="57" s="1"/>
  <c r="AL206" i="57" s="1" a="1"/>
  <c r="AL206" i="57" s="1"/>
  <c r="AT203" i="57" l="1" a="1"/>
  <c r="AT203" i="57" s="1"/>
  <c r="W81" i="57"/>
  <c r="W97" i="57"/>
  <c r="AI221" i="57" a="1"/>
  <c r="AI221" i="57" s="1"/>
  <c r="M97" i="57"/>
  <c r="M108" i="57"/>
  <c r="AR24" i="58"/>
  <c r="AQ35" i="58"/>
  <c r="AQ155" i="58"/>
  <c r="AQ153" i="58"/>
  <c r="AQ151" i="58"/>
  <c r="AQ152" i="58"/>
  <c r="AQ159" i="58"/>
  <c r="AQ157" i="58"/>
  <c r="AQ158" i="58"/>
  <c r="AQ156" i="58"/>
  <c r="AQ154" i="58"/>
  <c r="AS23" i="58"/>
  <c r="AR31" i="58"/>
  <c r="AR34" i="58" s="1"/>
  <c r="AP170" i="58"/>
  <c r="AP162" i="58"/>
  <c r="AP168" i="58"/>
  <c r="AP167" i="58"/>
  <c r="AP166" i="58"/>
  <c r="AP165" i="58"/>
  <c r="AP164" i="58"/>
  <c r="AP163" i="58"/>
  <c r="AP169" i="58"/>
  <c r="AP36" i="58"/>
  <c r="AP41" i="58" s="1"/>
  <c r="M55" i="57"/>
  <c r="AD222" i="57" a="1"/>
  <c r="AD222" i="57" s="1"/>
  <c r="U104" i="47" s="1"/>
  <c r="AP222" i="57" a="1"/>
  <c r="AP222" i="57" s="1"/>
  <c r="U153" i="57"/>
  <c r="U165" i="57" s="1"/>
  <c r="AH224" i="57" a="1"/>
  <c r="AH224" i="57" s="1"/>
  <c r="W103" i="47" s="1"/>
  <c r="U152" i="57"/>
  <c r="U164" i="57" s="1"/>
  <c r="AE155" i="57"/>
  <c r="AE167" i="57" s="1"/>
  <c r="AE153" i="57"/>
  <c r="AE165" i="57" s="1"/>
  <c r="K154" i="57"/>
  <c r="K191" i="57" s="1"/>
  <c r="AS224" i="57" s="1" a="1"/>
  <c r="AS224" i="57" s="1"/>
  <c r="AE152" i="57"/>
  <c r="AE164" i="57" s="1"/>
  <c r="AD175" i="57"/>
  <c r="AG90" i="57"/>
  <c r="M87" i="57"/>
  <c r="M90" i="57" s="1"/>
  <c r="AE58" i="57"/>
  <c r="AE163" i="57"/>
  <c r="AE161" i="57"/>
  <c r="AE162" i="57"/>
  <c r="M28" i="57"/>
  <c r="AE151" i="57"/>
  <c r="K151" i="57" s="1"/>
  <c r="K188" i="57" s="1"/>
  <c r="AE149" i="57"/>
  <c r="K149" i="57" s="1"/>
  <c r="AE150" i="57"/>
  <c r="K150" i="57" s="1"/>
  <c r="K187" i="57" s="1"/>
  <c r="AN206" i="57" a="1"/>
  <c r="AN206" i="57" s="1"/>
  <c r="AM206" i="57" a="1"/>
  <c r="AM206" i="57" s="1"/>
  <c r="AO206" i="57" s="1" a="1"/>
  <c r="AO206" i="57" s="1"/>
  <c r="AN203" i="57" a="1"/>
  <c r="AN203" i="57" s="1"/>
  <c r="AM203" i="57" a="1"/>
  <c r="AM203" i="57" s="1"/>
  <c r="AO203" i="57" s="1" a="1"/>
  <c r="AO203" i="57" s="1"/>
  <c r="AM204" i="57" a="1"/>
  <c r="AM204" i="57" s="1"/>
  <c r="AO204" i="57" s="1" a="1"/>
  <c r="AO204" i="57" s="1"/>
  <c r="AN204" i="57" a="1"/>
  <c r="AN204" i="57" s="1"/>
  <c r="V117" i="57"/>
  <c r="V116" i="57"/>
  <c r="V115" i="57"/>
  <c r="V111" i="57"/>
  <c r="AE225" i="57" a="1"/>
  <c r="AE225" i="57" s="1"/>
  <c r="BL93" i="58" a="1"/>
  <c r="BL93" i="58" s="1"/>
  <c r="AF124" i="57"/>
  <c r="AF125" i="57"/>
  <c r="AF123" i="57"/>
  <c r="K169" i="57"/>
  <c r="K176" i="57" s="1"/>
  <c r="AE222" i="57" a="1"/>
  <c r="AE222" i="57" s="1"/>
  <c r="AM92" i="60"/>
  <c r="AM113" i="60"/>
  <c r="AH78" i="47" s="1"/>
  <c r="AJ78" i="47" s="1"/>
  <c r="AG225" i="57" a="1"/>
  <c r="AG225" i="57" s="1"/>
  <c r="AG223" i="57" a="1"/>
  <c r="AG223" i="57" s="1"/>
  <c r="AG109" i="57"/>
  <c r="AG101" i="57"/>
  <c r="AG86" i="57"/>
  <c r="AG56" i="57"/>
  <c r="AG107" i="57"/>
  <c r="AG75" i="57"/>
  <c r="AG93" i="57"/>
  <c r="AG16" i="57"/>
  <c r="AG54" i="57"/>
  <c r="BL100" i="58" a="1"/>
  <c r="BL100" i="58" s="1"/>
  <c r="W100" i="47"/>
  <c r="AI219" i="57" a="1"/>
  <c r="AI219" i="57" s="1"/>
  <c r="AD107" i="47"/>
  <c r="AF225" i="57" a="1"/>
  <c r="AF225" i="57" s="1"/>
  <c r="AF223" i="57" a="1"/>
  <c r="AF223" i="57" s="1"/>
  <c r="BK95" i="58" a="1"/>
  <c r="BK95" i="58" s="1"/>
  <c r="V105" i="47"/>
  <c r="AH226" i="57" a="1"/>
  <c r="AH226" i="57" s="1"/>
  <c r="AD104" i="47"/>
  <c r="AH68" i="47"/>
  <c r="AJ68" i="47" s="1"/>
  <c r="W121" i="57"/>
  <c r="W119" i="57"/>
  <c r="W86" i="57"/>
  <c r="W101" i="57"/>
  <c r="W109" i="57"/>
  <c r="W56" i="57"/>
  <c r="BN94" i="58" a="1"/>
  <c r="BN94" i="58" s="1"/>
  <c r="BM98" i="58" a="1"/>
  <c r="BM98" i="58" s="1"/>
  <c r="AG222" i="57" a="1"/>
  <c r="AG222" i="57" s="1"/>
  <c r="AF222" i="57" a="1"/>
  <c r="AF222" i="57" s="1"/>
  <c r="BL10" i="58"/>
  <c r="AM109" i="60"/>
  <c r="AH75" i="47" s="1"/>
  <c r="AJ75" i="47" s="1"/>
  <c r="AM90" i="60"/>
  <c r="W107" i="57"/>
  <c r="W93" i="57"/>
  <c r="W54" i="57"/>
  <c r="W75" i="57"/>
  <c r="W16" i="57"/>
  <c r="AD106" i="47"/>
  <c r="W102" i="47"/>
  <c r="AI220" i="57" a="1"/>
  <c r="AI220" i="57" s="1"/>
  <c r="M81" i="57"/>
  <c r="AG121" i="57"/>
  <c r="AG120" i="57"/>
  <c r="AG119" i="57"/>
  <c r="BK97" i="58" a="1"/>
  <c r="BK97" i="58" s="1"/>
  <c r="V124" i="57"/>
  <c r="V123" i="57"/>
  <c r="V125" i="57"/>
  <c r="AF58" i="57"/>
  <c r="AF61" i="57" s="1"/>
  <c r="AF161" i="57"/>
  <c r="AF163" i="57"/>
  <c r="AF162" i="57"/>
  <c r="AS226" i="57" a="1"/>
  <c r="AS226" i="57" s="1"/>
  <c r="AV207" i="57" a="1"/>
  <c r="AV207" i="57" s="1"/>
  <c r="AU207" i="57" s="1"/>
  <c r="AP207" i="57" a="1"/>
  <c r="AP207" i="57" s="1"/>
  <c r="AQ207" i="57" a="1"/>
  <c r="AQ207" i="57" s="1"/>
  <c r="AR207" i="57" s="1" a="1"/>
  <c r="AR207" i="57" s="1"/>
  <c r="AS207" i="57" s="1" a="1"/>
  <c r="AS207" i="57" s="1"/>
  <c r="X101" i="47"/>
  <c r="AJ221" i="57" a="1"/>
  <c r="AJ221" i="57" s="1"/>
  <c r="BK99" i="58" a="1"/>
  <c r="BK99" i="58" s="1"/>
  <c r="T181" i="57"/>
  <c r="T182" i="57" s="1"/>
  <c r="AD170" i="57"/>
  <c r="AD172" i="57"/>
  <c r="AD173" i="57"/>
  <c r="AD174" i="57"/>
  <c r="AD179" i="57"/>
  <c r="AD177" i="57"/>
  <c r="AF117" i="57"/>
  <c r="AF115" i="57"/>
  <c r="AF116" i="57"/>
  <c r="AQ200" i="57" a="1"/>
  <c r="AQ200" i="57" s="1"/>
  <c r="AR200" i="57" s="1" a="1"/>
  <c r="AR200" i="57" s="1"/>
  <c r="AS200" i="57" s="1" a="1"/>
  <c r="AS200" i="57" s="1"/>
  <c r="AP200" i="57" a="1"/>
  <c r="AP200" i="57" s="1"/>
  <c r="BN96" i="58" a="1"/>
  <c r="BN96" i="58" s="1"/>
  <c r="AF121" i="57"/>
  <c r="AF119" i="57"/>
  <c r="AF120" i="57"/>
  <c r="AE223" i="57" a="1"/>
  <c r="AE223" i="57" s="1"/>
  <c r="V120" i="57"/>
  <c r="V121" i="57"/>
  <c r="V119" i="57"/>
  <c r="BE10" i="58"/>
  <c r="BN92" i="58" a="1"/>
  <c r="BN92" i="58" s="1"/>
  <c r="L169" i="57"/>
  <c r="L176" i="57" s="1"/>
  <c r="AF111" i="57"/>
  <c r="AQ205" i="57" a="1"/>
  <c r="AQ205" i="57" s="1"/>
  <c r="AR205" i="57" s="1" a="1"/>
  <c r="AR205" i="57" s="1"/>
  <c r="AS205" i="57" s="1" a="1"/>
  <c r="AS205" i="57" s="1"/>
  <c r="AP205" i="57" a="1"/>
  <c r="AP205" i="57" s="1"/>
  <c r="V161" i="57"/>
  <c r="V163" i="57"/>
  <c r="V162" i="57"/>
  <c r="V58" i="57"/>
  <c r="J169" i="57"/>
  <c r="J175" i="57" s="1"/>
  <c r="K153" i="57" l="1"/>
  <c r="K190" i="57" s="1"/>
  <c r="W120" i="57"/>
  <c r="U169" i="57"/>
  <c r="AV205" i="57" a="1"/>
  <c r="AV205" i="57" s="1"/>
  <c r="AU205" i="57" s="1"/>
  <c r="AT23" i="58"/>
  <c r="AS31" i="58"/>
  <c r="AS34" i="58" s="1"/>
  <c r="M56" i="57"/>
  <c r="W111" i="57"/>
  <c r="AQ162" i="58"/>
  <c r="AQ170" i="58"/>
  <c r="AQ168" i="58"/>
  <c r="AQ36" i="58"/>
  <c r="AQ41" i="58" s="1"/>
  <c r="AQ169" i="58"/>
  <c r="AQ166" i="58"/>
  <c r="AQ165" i="58"/>
  <c r="AQ163" i="58"/>
  <c r="AQ167" i="58"/>
  <c r="AQ164" i="58"/>
  <c r="AR153" i="58"/>
  <c r="AR155" i="58"/>
  <c r="AR151" i="58"/>
  <c r="AR157" i="58"/>
  <c r="AR152" i="58"/>
  <c r="AR159" i="58"/>
  <c r="AR154" i="58"/>
  <c r="AR156" i="58"/>
  <c r="AR158" i="58"/>
  <c r="AR35" i="58"/>
  <c r="AS24" i="58"/>
  <c r="AT24" i="58" s="1"/>
  <c r="M101" i="57"/>
  <c r="M109" i="57"/>
  <c r="M93" i="57"/>
  <c r="AI224" i="57" a="1"/>
  <c r="AI224" i="57" s="1"/>
  <c r="X103" i="47" s="1"/>
  <c r="U172" i="57"/>
  <c r="U179" i="57"/>
  <c r="K155" i="57"/>
  <c r="K192" i="57" s="1"/>
  <c r="AV206" i="57" s="1" a="1"/>
  <c r="AV206" i="57" s="1"/>
  <c r="AU206" i="57" s="1"/>
  <c r="K152" i="57"/>
  <c r="K189" i="57" s="1"/>
  <c r="AV203" i="57" s="1" a="1"/>
  <c r="AV203" i="57" s="1"/>
  <c r="AU203" i="57" s="1"/>
  <c r="K178" i="57"/>
  <c r="AF127" i="57"/>
  <c r="AF154" i="57" s="1"/>
  <c r="AV201" i="57" a="1"/>
  <c r="AV201" i="57" s="1"/>
  <c r="AU201" i="57" s="1"/>
  <c r="AS220" i="57" a="1"/>
  <c r="AS220" i="57" s="1"/>
  <c r="K186" i="57"/>
  <c r="K112" i="57"/>
  <c r="AV202" i="57" a="1"/>
  <c r="AV202" i="57" s="1"/>
  <c r="AU202" i="57" s="1"/>
  <c r="AS221" i="57" a="1"/>
  <c r="AS221" i="57" s="1"/>
  <c r="AE59" i="57"/>
  <c r="AE60" i="57" s="1"/>
  <c r="AE61" i="57"/>
  <c r="V61" i="57"/>
  <c r="V59" i="57"/>
  <c r="V60" i="57" s="1"/>
  <c r="BF10" i="58"/>
  <c r="BO96" i="58" a="1"/>
  <c r="BO96" i="58" s="1"/>
  <c r="AF103" i="47"/>
  <c r="AR224" i="57"/>
  <c r="AE103" i="47" s="1"/>
  <c r="V107" i="47"/>
  <c r="AH225" i="57" a="1"/>
  <c r="AH225" i="57" s="1"/>
  <c r="V149" i="57"/>
  <c r="V150" i="57"/>
  <c r="V151" i="57"/>
  <c r="BL99" i="58" a="1"/>
  <c r="BL99" i="58" s="1"/>
  <c r="AE169" i="57"/>
  <c r="AE178" i="57" s="1"/>
  <c r="V127" i="57"/>
  <c r="V154" i="57" s="1"/>
  <c r="V166" i="57" s="1"/>
  <c r="BL97" i="58" a="1"/>
  <c r="BL97" i="58" s="1"/>
  <c r="W149" i="57"/>
  <c r="W150" i="57"/>
  <c r="W151" i="57"/>
  <c r="AF105" i="47"/>
  <c r="AR226" i="57"/>
  <c r="AE105" i="47" s="1"/>
  <c r="W123" i="57"/>
  <c r="W125" i="57"/>
  <c r="W124" i="57"/>
  <c r="L178" i="57"/>
  <c r="V128" i="57"/>
  <c r="V156" i="57" s="1"/>
  <c r="V168" i="57" s="1"/>
  <c r="BM100" i="58" a="1"/>
  <c r="BM100" i="58" s="1"/>
  <c r="AM166" i="57"/>
  <c r="AM167" i="57"/>
  <c r="AM168" i="57"/>
  <c r="AM164" i="57"/>
  <c r="AM165" i="57"/>
  <c r="AE183" i="57"/>
  <c r="AF128" i="57"/>
  <c r="AF156" i="57" s="1"/>
  <c r="V104" i="47"/>
  <c r="AH222" i="57" a="1"/>
  <c r="AH222" i="57" s="1"/>
  <c r="V129" i="57"/>
  <c r="W105" i="47"/>
  <c r="AI226" i="57" a="1"/>
  <c r="AI226" i="57" s="1"/>
  <c r="AG58" i="57"/>
  <c r="AG59" i="57" s="1"/>
  <c r="M54" i="57"/>
  <c r="M45" i="57" s="1"/>
  <c r="AG162" i="57"/>
  <c r="AG161" i="57"/>
  <c r="AG163" i="57"/>
  <c r="K172" i="57"/>
  <c r="K174" i="57"/>
  <c r="K173" i="57"/>
  <c r="K177" i="57"/>
  <c r="K179" i="57"/>
  <c r="AS225" i="57" a="1"/>
  <c r="AS225" i="57" s="1"/>
  <c r="AF150" i="57"/>
  <c r="AF149" i="57"/>
  <c r="AF151" i="57"/>
  <c r="L151" i="57" s="1"/>
  <c r="L188" i="57" s="1"/>
  <c r="AF129" i="57"/>
  <c r="AF183" i="57"/>
  <c r="M121" i="57"/>
  <c r="M120" i="57"/>
  <c r="M119" i="57"/>
  <c r="K175" i="57"/>
  <c r="V106" i="47"/>
  <c r="AH223" i="57" a="1"/>
  <c r="AH223" i="57" s="1"/>
  <c r="Y101" i="47"/>
  <c r="AK221" i="57" a="1"/>
  <c r="AK221" i="57" s="1"/>
  <c r="BM10" i="58"/>
  <c r="J172" i="57"/>
  <c r="J173" i="57"/>
  <c r="J174" i="57"/>
  <c r="J179" i="57"/>
  <c r="J177" i="57"/>
  <c r="X102" i="47"/>
  <c r="AJ220" i="57" a="1"/>
  <c r="AJ220" i="57" s="1"/>
  <c r="BN98" i="58" a="1"/>
  <c r="BN98" i="58" s="1"/>
  <c r="AS223" i="57" a="1"/>
  <c r="AS223" i="57" s="1"/>
  <c r="AV204" i="57" a="1"/>
  <c r="AV204" i="57" s="1"/>
  <c r="AU204" i="57" s="1"/>
  <c r="AQ204" i="57" a="1"/>
  <c r="AQ204" i="57" s="1"/>
  <c r="AR204" i="57" s="1" a="1"/>
  <c r="AR204" i="57" s="1"/>
  <c r="AS204" i="57" s="1" a="1"/>
  <c r="AS204" i="57" s="1"/>
  <c r="AP204" i="57" a="1"/>
  <c r="AP204" i="57" s="1"/>
  <c r="AP203" i="57" a="1"/>
  <c r="AP203" i="57" s="1"/>
  <c r="AQ203" i="57" a="1"/>
  <c r="AQ203" i="57" s="1"/>
  <c r="AR203" i="57" s="1" a="1"/>
  <c r="AR203" i="57" s="1"/>
  <c r="AS203" i="57" s="1" a="1"/>
  <c r="AS203" i="57" s="1"/>
  <c r="L172" i="57"/>
  <c r="L173" i="57"/>
  <c r="L174" i="57"/>
  <c r="L179" i="57"/>
  <c r="L177" i="57"/>
  <c r="BL95" i="58" a="1"/>
  <c r="BL95" i="58" s="1"/>
  <c r="M75" i="57"/>
  <c r="AG117" i="57"/>
  <c r="AG115" i="57"/>
  <c r="AG116" i="57"/>
  <c r="BO94" i="58" a="1"/>
  <c r="BO94" i="58" s="1"/>
  <c r="AG111" i="57"/>
  <c r="M107" i="57"/>
  <c r="BM93" i="58" a="1"/>
  <c r="BM93" i="58" s="1"/>
  <c r="AF59" i="57"/>
  <c r="AF60" i="57" s="1"/>
  <c r="W116" i="57"/>
  <c r="W117" i="57"/>
  <c r="W129" i="57" s="1"/>
  <c r="W115" i="57"/>
  <c r="W127" i="57" s="1"/>
  <c r="W154" i="57" s="1"/>
  <c r="W166" i="57" s="1"/>
  <c r="AM74" i="60"/>
  <c r="AM77" i="60" s="1"/>
  <c r="J178" i="57"/>
  <c r="AQ206" i="57" a="1"/>
  <c r="AQ206" i="57" s="1"/>
  <c r="AR206" i="57" s="1" a="1"/>
  <c r="AR206" i="57" s="1"/>
  <c r="AS206" i="57" s="1" a="1"/>
  <c r="AS206" i="57" s="1"/>
  <c r="AP206" i="57" a="1"/>
  <c r="AP206" i="57" s="1"/>
  <c r="L175" i="57"/>
  <c r="BO92" i="58" a="1"/>
  <c r="BO92" i="58" s="1"/>
  <c r="AD181" i="57"/>
  <c r="AD182" i="57" s="1"/>
  <c r="W161" i="57"/>
  <c r="W163" i="57"/>
  <c r="W162" i="57"/>
  <c r="W58" i="57"/>
  <c r="J176" i="57"/>
  <c r="X100" i="47"/>
  <c r="AJ219" i="57" a="1"/>
  <c r="AJ219" i="57" s="1"/>
  <c r="M86" i="57"/>
  <c r="AG123" i="57"/>
  <c r="AG124" i="57"/>
  <c r="AG125" i="57"/>
  <c r="AS222" i="57" l="1" a="1"/>
  <c r="AS222" i="57" s="1"/>
  <c r="L150" i="57"/>
  <c r="L187" i="57" s="1"/>
  <c r="AT220" i="57" s="1" a="1"/>
  <c r="AT220" i="57" s="1"/>
  <c r="AG102" i="47" s="1"/>
  <c r="U170" i="57"/>
  <c r="U173" i="57"/>
  <c r="U174" i="57"/>
  <c r="U176" i="57"/>
  <c r="U178" i="57"/>
  <c r="U175" i="57"/>
  <c r="U177" i="57"/>
  <c r="AR168" i="58"/>
  <c r="AR166" i="58"/>
  <c r="AR165" i="58"/>
  <c r="AR164" i="58"/>
  <c r="AR163" i="58"/>
  <c r="AR162" i="58"/>
  <c r="AR170" i="58"/>
  <c r="AR169" i="58"/>
  <c r="AR167" i="58"/>
  <c r="AR36" i="58"/>
  <c r="AR41" i="58" s="1"/>
  <c r="AS153" i="58"/>
  <c r="AS157" i="58"/>
  <c r="AS152" i="58"/>
  <c r="AS159" i="58"/>
  <c r="AS158" i="58"/>
  <c r="AS156" i="58"/>
  <c r="AS154" i="58"/>
  <c r="AS35" i="58"/>
  <c r="AS155" i="58"/>
  <c r="AS151" i="58"/>
  <c r="AT31" i="58"/>
  <c r="AT34" i="58" s="1"/>
  <c r="AU23" i="58"/>
  <c r="L154" i="57"/>
  <c r="L191" i="57" s="1"/>
  <c r="AF166" i="57"/>
  <c r="L149" i="57"/>
  <c r="AJ224" i="57" a="1"/>
  <c r="AJ224" i="57" s="1"/>
  <c r="Y103" i="47" s="1"/>
  <c r="AE176" i="57"/>
  <c r="L181" i="57"/>
  <c r="L182" i="57" s="1"/>
  <c r="AG129" i="57"/>
  <c r="AG152" i="57" s="1"/>
  <c r="AG128" i="57"/>
  <c r="AG156" i="57" s="1"/>
  <c r="AF101" i="47"/>
  <c r="AR221" i="57"/>
  <c r="AE101" i="47" s="1"/>
  <c r="AS219" i="57" a="1"/>
  <c r="AS219" i="57" s="1"/>
  <c r="AV200" i="57" a="1"/>
  <c r="AV200" i="57" s="1"/>
  <c r="AU200" i="57" s="1"/>
  <c r="AR220" i="57"/>
  <c r="AE102" i="47" s="1"/>
  <c r="AF102" i="47"/>
  <c r="M162" i="57"/>
  <c r="AF168" i="57"/>
  <c r="L156" i="57"/>
  <c r="L193" i="57" s="1"/>
  <c r="W107" i="47"/>
  <c r="AI225" i="57" a="1"/>
  <c r="AI225" i="57" s="1"/>
  <c r="AN167" i="57"/>
  <c r="AN168" i="57"/>
  <c r="AN166" i="57"/>
  <c r="AN164" i="57"/>
  <c r="AN165" i="57"/>
  <c r="AS167" i="57"/>
  <c r="AS168" i="57"/>
  <c r="AS166" i="57"/>
  <c r="AS164" i="57"/>
  <c r="AW167" i="57"/>
  <c r="AW168" i="57"/>
  <c r="AW164" i="57"/>
  <c r="AW166" i="57"/>
  <c r="AS165" i="57"/>
  <c r="AW165" i="57"/>
  <c r="AG127" i="57"/>
  <c r="AG154" i="57" s="1"/>
  <c r="AG60" i="57"/>
  <c r="M58" i="57"/>
  <c r="AG61" i="57"/>
  <c r="BM99" i="58" a="1"/>
  <c r="BM99" i="58" s="1"/>
  <c r="X105" i="47"/>
  <c r="AJ226" i="57" a="1"/>
  <c r="AJ226" i="57" s="1"/>
  <c r="BP92" i="58" a="1"/>
  <c r="BP92" i="58" s="1"/>
  <c r="W128" i="57"/>
  <c r="W156" i="57" s="1"/>
  <c r="W168" i="57" s="1"/>
  <c r="M117" i="57"/>
  <c r="M116" i="57"/>
  <c r="M115" i="57"/>
  <c r="J181" i="57"/>
  <c r="J182" i="57" s="1"/>
  <c r="AF107" i="47"/>
  <c r="AR225" i="57"/>
  <c r="AE107" i="47" s="1"/>
  <c r="AG168" i="57"/>
  <c r="M156" i="57"/>
  <c r="M193" i="57" s="1"/>
  <c r="BM95" i="58" a="1"/>
  <c r="BM95" i="58" s="1"/>
  <c r="BN10" i="58"/>
  <c r="V155" i="57"/>
  <c r="V167" i="57" s="1"/>
  <c r="V152" i="57"/>
  <c r="V164" i="57" s="1"/>
  <c r="V153" i="57"/>
  <c r="V165" i="57" s="1"/>
  <c r="BM97" i="58" a="1"/>
  <c r="BM97" i="58" s="1"/>
  <c r="W152" i="57"/>
  <c r="W164" i="57" s="1"/>
  <c r="W155" i="57"/>
  <c r="W167" i="57" s="1"/>
  <c r="W153" i="57"/>
  <c r="W165" i="57" s="1"/>
  <c r="BN93" i="58" a="1"/>
  <c r="BN93" i="58" s="1"/>
  <c r="AF106" i="47"/>
  <c r="AR223" i="57"/>
  <c r="AE106" i="47" s="1"/>
  <c r="BP96" i="58" a="1"/>
  <c r="BP96" i="58" s="1"/>
  <c r="M125" i="57"/>
  <c r="M123" i="57"/>
  <c r="M124" i="57"/>
  <c r="BO98" i="58" a="1"/>
  <c r="BO98" i="58" s="1"/>
  <c r="Z101" i="47"/>
  <c r="AL221" i="57" a="1"/>
  <c r="AL221" i="57" s="1"/>
  <c r="W104" i="47"/>
  <c r="AI222" i="57" a="1"/>
  <c r="AI222" i="57" s="1"/>
  <c r="W61" i="57"/>
  <c r="W59" i="57"/>
  <c r="W60" i="57" s="1"/>
  <c r="Y100" i="47"/>
  <c r="AK219" i="57" a="1"/>
  <c r="AK219" i="57" s="1"/>
  <c r="AF153" i="57"/>
  <c r="AF155" i="57"/>
  <c r="AF152" i="57"/>
  <c r="AT224" i="57" a="1"/>
  <c r="AT224" i="57" s="1"/>
  <c r="AG103" i="47" s="1"/>
  <c r="AW205" i="57" a="1"/>
  <c r="AW205" i="57" s="1"/>
  <c r="AT221" i="57" a="1"/>
  <c r="AT221" i="57" s="1"/>
  <c r="AG101" i="47" s="1"/>
  <c r="AW202" i="57" a="1"/>
  <c r="AW202" i="57" s="1"/>
  <c r="K181" i="57"/>
  <c r="K182" i="57" s="1"/>
  <c r="AE170" i="57"/>
  <c r="AE174" i="57"/>
  <c r="AE172" i="57"/>
  <c r="AE173" i="57"/>
  <c r="AE179" i="57"/>
  <c r="AE177" i="57"/>
  <c r="BG10" i="58"/>
  <c r="AG151" i="57"/>
  <c r="M151" i="57" s="1"/>
  <c r="M188" i="57" s="1"/>
  <c r="AG149" i="57"/>
  <c r="M149" i="57" s="1"/>
  <c r="AG150" i="57"/>
  <c r="M150" i="57" s="1"/>
  <c r="M187" i="57" s="1"/>
  <c r="M111" i="57"/>
  <c r="N253" i="57" s="1"/>
  <c r="Y102" i="47"/>
  <c r="AK220" i="57" a="1"/>
  <c r="AK220" i="57" s="1"/>
  <c r="M163" i="57"/>
  <c r="AF104" i="47"/>
  <c r="AR222" i="57"/>
  <c r="AE104" i="47" s="1"/>
  <c r="AE175" i="57"/>
  <c r="BP94" i="58" a="1"/>
  <c r="BP94" i="58" s="1"/>
  <c r="W106" i="47"/>
  <c r="AI223" i="57" a="1"/>
  <c r="AI223" i="57" s="1"/>
  <c r="AG183" i="57"/>
  <c r="M161" i="57"/>
  <c r="BN100" i="58" a="1"/>
  <c r="BN100" i="58" s="1"/>
  <c r="AW201" i="57" l="1" a="1"/>
  <c r="AW201" i="57" s="1"/>
  <c r="AG155" i="57"/>
  <c r="L112" i="57"/>
  <c r="AG153" i="57"/>
  <c r="U181" i="57"/>
  <c r="U182" i="57" s="1"/>
  <c r="L186" i="57"/>
  <c r="AU24" i="58"/>
  <c r="AU31" i="58"/>
  <c r="AU34" i="58" s="1"/>
  <c r="AV23" i="58"/>
  <c r="AT154" i="58"/>
  <c r="AT158" i="58"/>
  <c r="AT156" i="58"/>
  <c r="AT35" i="58"/>
  <c r="AT153" i="58"/>
  <c r="AT151" i="58"/>
  <c r="AT155" i="58"/>
  <c r="AT157" i="58"/>
  <c r="AT159" i="58"/>
  <c r="AT152" i="58"/>
  <c r="AS167" i="58"/>
  <c r="AS165" i="58"/>
  <c r="AS164" i="58"/>
  <c r="AS163" i="58"/>
  <c r="AS162" i="58"/>
  <c r="AS170" i="58"/>
  <c r="AS169" i="58"/>
  <c r="AS168" i="58"/>
  <c r="AS166" i="58"/>
  <c r="AS36" i="58"/>
  <c r="AS41" i="58" s="1"/>
  <c r="M59" i="57"/>
  <c r="M60" i="57" s="1"/>
  <c r="AK224" i="57" a="1"/>
  <c r="AK224" i="57" s="1"/>
  <c r="AE181" i="57"/>
  <c r="AE182" i="57" s="1"/>
  <c r="AF100" i="47"/>
  <c r="AR219" i="57"/>
  <c r="AE100" i="47" s="1"/>
  <c r="O253" i="57"/>
  <c r="BO100" i="58" a="1"/>
  <c r="BO100" i="58" s="1"/>
  <c r="AX202" i="57" a="1"/>
  <c r="AX202" i="57" s="1"/>
  <c r="AU221" i="57" a="1"/>
  <c r="AU221" i="57" s="1"/>
  <c r="AH101" i="47" s="1"/>
  <c r="AJ101" i="47" s="1"/>
  <c r="AU226" i="57" a="1"/>
  <c r="AU226" i="57" s="1"/>
  <c r="AH105" i="47" s="1"/>
  <c r="AJ105" i="47" s="1"/>
  <c r="AX207" i="57" a="1"/>
  <c r="AX207" i="57" s="1"/>
  <c r="AG165" i="57"/>
  <c r="M153" i="57"/>
  <c r="M190" i="57" s="1"/>
  <c r="M168" i="57"/>
  <c r="Y105" i="47"/>
  <c r="AK226" i="57" a="1"/>
  <c r="AK226" i="57" s="1"/>
  <c r="AG164" i="57"/>
  <c r="M152" i="57"/>
  <c r="M189" i="57" s="1"/>
  <c r="BN97" i="58" a="1"/>
  <c r="BN97" i="58" s="1"/>
  <c r="BN99" i="58" a="1"/>
  <c r="BN99" i="58" s="1"/>
  <c r="W169" i="57"/>
  <c r="W179" i="57" s="1"/>
  <c r="X107" i="47"/>
  <c r="AJ225" i="57" a="1"/>
  <c r="AJ225" i="57" s="1"/>
  <c r="AT219" i="57" a="1"/>
  <c r="AT219" i="57" s="1"/>
  <c r="AG100" i="47" s="1"/>
  <c r="AW200" i="57" a="1"/>
  <c r="AW200" i="57" s="1"/>
  <c r="Z103" i="47"/>
  <c r="AL224" i="57" a="1"/>
  <c r="AL224" i="57" s="1"/>
  <c r="X104" i="47"/>
  <c r="AJ222" i="57" a="1"/>
  <c r="AJ222" i="57" s="1"/>
  <c r="V169" i="57"/>
  <c r="V176" i="57" s="1"/>
  <c r="M61" i="57"/>
  <c r="H61" i="57"/>
  <c r="X106" i="47"/>
  <c r="AJ223" i="57" a="1"/>
  <c r="AJ223" i="57" s="1"/>
  <c r="M127" i="57"/>
  <c r="AT226" i="57" a="1"/>
  <c r="AT226" i="57" s="1"/>
  <c r="AG105" i="47" s="1"/>
  <c r="AW207" i="57" a="1"/>
  <c r="AW207" i="57" s="1"/>
  <c r="AG167" i="57"/>
  <c r="M155" i="57"/>
  <c r="M192" i="57" s="1"/>
  <c r="Z102" i="47"/>
  <c r="AL220" i="57" a="1"/>
  <c r="AL220" i="57" s="1"/>
  <c r="AF164" i="57"/>
  <c r="L152" i="57"/>
  <c r="L189" i="57" s="1"/>
  <c r="M128" i="57"/>
  <c r="AF167" i="57"/>
  <c r="L155" i="57"/>
  <c r="L192" i="57" s="1"/>
  <c r="AA101" i="47"/>
  <c r="AM221" i="57" a="1"/>
  <c r="AM221" i="57" s="1"/>
  <c r="AN221" i="57" a="1"/>
  <c r="AN221" i="57" s="1"/>
  <c r="BO93" i="58" a="1"/>
  <c r="BO93" i="58" s="1"/>
  <c r="BO10" i="58"/>
  <c r="M129" i="57"/>
  <c r="BQ96" i="58" a="1"/>
  <c r="BQ96" i="58" s="1"/>
  <c r="BQ94" i="58" a="1"/>
  <c r="BQ94" i="58" s="1"/>
  <c r="N254" i="57"/>
  <c r="O254" i="57"/>
  <c r="O255" i="57"/>
  <c r="N255" i="57"/>
  <c r="AF165" i="57"/>
  <c r="L153" i="57"/>
  <c r="L190" i="57" s="1"/>
  <c r="BP98" i="58" a="1"/>
  <c r="BP98" i="58" s="1"/>
  <c r="BN95" i="58" a="1"/>
  <c r="BN95" i="58" s="1"/>
  <c r="BQ92" i="58" a="1"/>
  <c r="BQ92" i="58" s="1"/>
  <c r="AU220" i="57" a="1"/>
  <c r="AU220" i="57" s="1"/>
  <c r="AH102" i="47" s="1"/>
  <c r="AJ102" i="47" s="1"/>
  <c r="AX201" i="57" a="1"/>
  <c r="AX201" i="57" s="1"/>
  <c r="M186" i="57"/>
  <c r="M112" i="57"/>
  <c r="Z100" i="47"/>
  <c r="AL219" i="57" a="1"/>
  <c r="AL219" i="57" s="1"/>
  <c r="W178" i="57"/>
  <c r="AG166" i="57"/>
  <c r="M154" i="57"/>
  <c r="M191" i="57" s="1"/>
  <c r="AT162" i="58" l="1"/>
  <c r="AT169" i="58"/>
  <c r="AT167" i="58"/>
  <c r="AT170" i="58"/>
  <c r="AT168" i="58"/>
  <c r="AT165" i="58"/>
  <c r="AT36" i="58"/>
  <c r="AT41" i="58" s="1"/>
  <c r="AT166" i="58"/>
  <c r="AT164" i="58"/>
  <c r="AT163" i="58"/>
  <c r="V178" i="57"/>
  <c r="AV24" i="58"/>
  <c r="AV31" i="58"/>
  <c r="AV34" i="58" s="1"/>
  <c r="AW23" i="58"/>
  <c r="AU155" i="58"/>
  <c r="AU157" i="58"/>
  <c r="AU152" i="58"/>
  <c r="AU159" i="58"/>
  <c r="AU156" i="58"/>
  <c r="AU158" i="58"/>
  <c r="AU154" i="58"/>
  <c r="AU35" i="58"/>
  <c r="AU151" i="58"/>
  <c r="AU153" i="58"/>
  <c r="O256" i="57"/>
  <c r="O258" i="57"/>
  <c r="BO99" i="58" a="1"/>
  <c r="BO99" i="58" s="1"/>
  <c r="AT223" i="57" a="1"/>
  <c r="AT223" i="57" s="1"/>
  <c r="AG106" i="47" s="1"/>
  <c r="AW204" i="57" a="1"/>
  <c r="AW204" i="57" s="1"/>
  <c r="W170" i="57"/>
  <c r="W173" i="57"/>
  <c r="W172" i="57"/>
  <c r="W174" i="57"/>
  <c r="W177" i="57"/>
  <c r="N257" i="57"/>
  <c r="O257" i="57"/>
  <c r="AA103" i="47"/>
  <c r="AM224" i="57" a="1"/>
  <c r="AM224" i="57" s="1"/>
  <c r="AN224" i="57" a="1"/>
  <c r="AN224" i="57" s="1"/>
  <c r="BR96" i="58" a="1"/>
  <c r="BR96" i="58" s="1"/>
  <c r="AW206" i="57" a="1"/>
  <c r="AW206" i="57" s="1"/>
  <c r="AT225" i="57" a="1"/>
  <c r="AT225" i="57" s="1"/>
  <c r="AG107" i="47" s="1"/>
  <c r="BO97" i="58" a="1"/>
  <c r="BO97" i="58" s="1"/>
  <c r="AX204" i="57" a="1"/>
  <c r="AX204" i="57" s="1"/>
  <c r="AU223" i="57" a="1"/>
  <c r="AU223" i="57" s="1"/>
  <c r="AH106" i="47" s="1"/>
  <c r="AJ106" i="47" s="1"/>
  <c r="AU219" i="57" a="1"/>
  <c r="AU219" i="57" s="1"/>
  <c r="AH100" i="47" s="1"/>
  <c r="AJ100" i="47" s="1"/>
  <c r="AX200" i="57" a="1"/>
  <c r="AX200" i="57" s="1"/>
  <c r="N256" i="57"/>
  <c r="M165" i="57"/>
  <c r="BP10" i="58"/>
  <c r="AW203" i="57" a="1"/>
  <c r="AW203" i="57" s="1"/>
  <c r="AT222" i="57" a="1"/>
  <c r="AT222" i="57" s="1"/>
  <c r="AG104" i="47" s="1"/>
  <c r="AF169" i="57"/>
  <c r="AF178" i="57" s="1"/>
  <c r="Y106" i="47"/>
  <c r="AK223" i="57" a="1"/>
  <c r="AK223" i="57" s="1"/>
  <c r="AU222" i="57" a="1"/>
  <c r="AU222" i="57" s="1"/>
  <c r="AH104" i="47" s="1"/>
  <c r="AJ104" i="47" s="1"/>
  <c r="AX203" i="57" a="1"/>
  <c r="AX203" i="57" s="1"/>
  <c r="M164" i="57"/>
  <c r="AG169" i="57"/>
  <c r="AG178" i="57" s="1"/>
  <c r="W175" i="57"/>
  <c r="Z105" i="47"/>
  <c r="AL226" i="57" a="1"/>
  <c r="AL226" i="57" s="1"/>
  <c r="BR92" i="58" a="1"/>
  <c r="BR92" i="58" s="1"/>
  <c r="BO95" i="58" a="1"/>
  <c r="BO95" i="58" s="1"/>
  <c r="AU225" i="57" a="1"/>
  <c r="AU225" i="57" s="1"/>
  <c r="AH107" i="47" s="1"/>
  <c r="AJ107" i="47" s="1"/>
  <c r="AX206" i="57" a="1"/>
  <c r="AX206" i="57" s="1"/>
  <c r="AA102" i="47"/>
  <c r="AN220" i="57" a="1"/>
  <c r="AN220" i="57" s="1"/>
  <c r="AM220" i="57" a="1"/>
  <c r="AM220" i="57" s="1"/>
  <c r="AB101" i="47"/>
  <c r="AO221" i="57" a="1"/>
  <c r="AO221" i="57" s="1"/>
  <c r="AC101" i="47" s="1"/>
  <c r="M167" i="57"/>
  <c r="V170" i="57"/>
  <c r="V172" i="57"/>
  <c r="V174" i="57"/>
  <c r="V173" i="57"/>
  <c r="V177" i="57"/>
  <c r="V179" i="57"/>
  <c r="M166" i="57"/>
  <c r="BP93" i="58" a="1"/>
  <c r="BP93" i="58" s="1"/>
  <c r="AA100" i="47"/>
  <c r="AN219" i="57" a="1"/>
  <c r="AN219" i="57" s="1"/>
  <c r="AM219" i="57" a="1"/>
  <c r="AM219" i="57" s="1"/>
  <c r="BR94" i="58" a="1"/>
  <c r="BR94" i="58" s="1"/>
  <c r="V175" i="57"/>
  <c r="Y107" i="47"/>
  <c r="AK225" i="57" a="1"/>
  <c r="AK225" i="57" s="1"/>
  <c r="BP100" i="58" a="1"/>
  <c r="BP100" i="58" s="1"/>
  <c r="AU224" i="57" a="1"/>
  <c r="AU224" i="57" s="1"/>
  <c r="AH103" i="47" s="1"/>
  <c r="AJ103" i="47" s="1"/>
  <c r="AX205" i="57" a="1"/>
  <c r="AX205" i="57" s="1"/>
  <c r="W176" i="57"/>
  <c r="BQ98" i="58" a="1"/>
  <c r="BQ98" i="58" s="1"/>
  <c r="Y104" i="47"/>
  <c r="AK222" i="57" a="1"/>
  <c r="AK222" i="57" s="1"/>
  <c r="N258" i="57"/>
  <c r="AW24" i="58" l="1"/>
  <c r="AU167" i="58"/>
  <c r="AU166" i="58"/>
  <c r="AU169" i="58"/>
  <c r="AU162" i="58"/>
  <c r="AU164" i="58"/>
  <c r="AU36" i="58"/>
  <c r="AU41" i="58" s="1"/>
  <c r="AU165" i="58"/>
  <c r="AU168" i="58"/>
  <c r="AU163" i="58"/>
  <c r="AU170" i="58"/>
  <c r="AX23" i="58"/>
  <c r="AW31" i="58"/>
  <c r="AW34" i="58" s="1"/>
  <c r="AV154" i="58"/>
  <c r="AV156" i="58"/>
  <c r="AV158" i="58"/>
  <c r="AV35" i="58"/>
  <c r="AV151" i="58"/>
  <c r="AV153" i="58"/>
  <c r="AV155" i="58"/>
  <c r="AV157" i="58"/>
  <c r="AV152" i="58"/>
  <c r="AV159" i="58"/>
  <c r="W181" i="57"/>
  <c r="W182" i="57" s="1"/>
  <c r="Z107" i="47"/>
  <c r="AL225" i="57" a="1"/>
  <c r="AL225" i="57" s="1"/>
  <c r="AB102" i="47"/>
  <c r="AO220" i="57" a="1"/>
  <c r="AO220" i="57" s="1"/>
  <c r="AC102" i="47" s="1"/>
  <c r="AG170" i="57"/>
  <c r="AG173" i="57"/>
  <c r="AG174" i="57"/>
  <c r="AG172" i="57"/>
  <c r="AG179" i="57"/>
  <c r="BQ10" i="58"/>
  <c r="Z104" i="47"/>
  <c r="AL222" i="57" a="1"/>
  <c r="AL222" i="57" s="1"/>
  <c r="M169" i="57"/>
  <c r="M175" i="57" s="1"/>
  <c r="BP97" i="58" a="1"/>
  <c r="BP97" i="58" s="1"/>
  <c r="BR98" i="58" a="1"/>
  <c r="BR98" i="58" s="1"/>
  <c r="AG175" i="57"/>
  <c r="AG176" i="57"/>
  <c r="AB100" i="47"/>
  <c r="AO219" i="57" a="1"/>
  <c r="AO219" i="57" s="1"/>
  <c r="AC100" i="47" s="1"/>
  <c r="V181" i="57"/>
  <c r="V182" i="57" s="1"/>
  <c r="BP95" i="58" a="1"/>
  <c r="BP95" i="58" s="1"/>
  <c r="Z106" i="47"/>
  <c r="AL223" i="57" a="1"/>
  <c r="AL223" i="57" s="1"/>
  <c r="AF170" i="57"/>
  <c r="AF173" i="57"/>
  <c r="AF172" i="57"/>
  <c r="AF174" i="57"/>
  <c r="AF177" i="57"/>
  <c r="AF179" i="57"/>
  <c r="BQ93" i="58" a="1"/>
  <c r="BQ93" i="58" s="1"/>
  <c r="BQ100" i="58" a="1"/>
  <c r="BQ100" i="58" s="1"/>
  <c r="AA105" i="47"/>
  <c r="AM226" i="57" a="1"/>
  <c r="AM226" i="57" s="1"/>
  <c r="AN226" i="57" a="1"/>
  <c r="AN226" i="57" s="1"/>
  <c r="AF175" i="57"/>
  <c r="AB103" i="47"/>
  <c r="AO224" i="57" a="1"/>
  <c r="AO224" i="57" s="1"/>
  <c r="AC103" i="47" s="1"/>
  <c r="BP99" i="58" a="1"/>
  <c r="BP99" i="58" s="1"/>
  <c r="AG177" i="57"/>
  <c r="AF176" i="57"/>
  <c r="M177" i="57" l="1"/>
  <c r="M178" i="57"/>
  <c r="AX31" i="58"/>
  <c r="AX34" i="58" s="1"/>
  <c r="AY23" i="58"/>
  <c r="AV166" i="58"/>
  <c r="AV165" i="58"/>
  <c r="AV163" i="58"/>
  <c r="AV168" i="58"/>
  <c r="AV36" i="58"/>
  <c r="AV41" i="58" s="1"/>
  <c r="AV164" i="58"/>
  <c r="AV162" i="58"/>
  <c r="AV170" i="58"/>
  <c r="AV169" i="58"/>
  <c r="AV167" i="58"/>
  <c r="AW159" i="58"/>
  <c r="AW152" i="58"/>
  <c r="AW158" i="58"/>
  <c r="AW154" i="58"/>
  <c r="AW35" i="58"/>
  <c r="AW155" i="58"/>
  <c r="AW153" i="58"/>
  <c r="AW151" i="58"/>
  <c r="AW156" i="58"/>
  <c r="AW157" i="58"/>
  <c r="AX24" i="58"/>
  <c r="BR100" i="58" a="1"/>
  <c r="BR100" i="58" s="1"/>
  <c r="BQ99" i="58" a="1"/>
  <c r="BQ99" i="58" s="1"/>
  <c r="BR93" i="58" a="1"/>
  <c r="BR93" i="58" s="1"/>
  <c r="AA106" i="47"/>
  <c r="AN223" i="57" a="1"/>
  <c r="AN223" i="57" s="1"/>
  <c r="AM223" i="57" a="1"/>
  <c r="AM223" i="57" s="1"/>
  <c r="AG181" i="57"/>
  <c r="AG182" i="57" s="1"/>
  <c r="BQ95" i="58" a="1"/>
  <c r="BQ95" i="58" s="1"/>
  <c r="BQ97" i="58" a="1"/>
  <c r="BQ97" i="58" s="1"/>
  <c r="AF181" i="57"/>
  <c r="AF182" i="57" s="1"/>
  <c r="M174" i="57"/>
  <c r="M173" i="57"/>
  <c r="M172" i="57"/>
  <c r="M179" i="57"/>
  <c r="AB105" i="47"/>
  <c r="AO226" i="57" a="1"/>
  <c r="AO226" i="57" s="1"/>
  <c r="AC105" i="47" s="1"/>
  <c r="AA104" i="47"/>
  <c r="AM222" i="57" a="1"/>
  <c r="AM222" i="57" s="1"/>
  <c r="AN222" i="57" a="1"/>
  <c r="AN222" i="57" s="1"/>
  <c r="AA107" i="47"/>
  <c r="AN225" i="57" a="1"/>
  <c r="AN225" i="57" s="1"/>
  <c r="AM225" i="57" a="1"/>
  <c r="AM225" i="57" s="1"/>
  <c r="M176" i="57"/>
  <c r="AY24" i="58" l="1"/>
  <c r="AW165" i="58"/>
  <c r="AW164" i="58"/>
  <c r="AW162" i="58"/>
  <c r="AW36" i="58"/>
  <c r="AW41" i="58" s="1"/>
  <c r="AW167" i="58"/>
  <c r="AW168" i="58"/>
  <c r="AW163" i="58"/>
  <c r="AW170" i="58"/>
  <c r="AW169" i="58"/>
  <c r="AW166" i="58"/>
  <c r="AY31" i="58"/>
  <c r="AY34" i="58" s="1"/>
  <c r="AZ23" i="58"/>
  <c r="AX157" i="58"/>
  <c r="AX152" i="58"/>
  <c r="AX159" i="58"/>
  <c r="AX154" i="58"/>
  <c r="AX158" i="58"/>
  <c r="AX155" i="58"/>
  <c r="AX156" i="58"/>
  <c r="AX153" i="58"/>
  <c r="AX35" i="58"/>
  <c r="AX151" i="58"/>
  <c r="M181" i="57"/>
  <c r="M182" i="57" s="1"/>
  <c r="AB106" i="47"/>
  <c r="AO223" i="57" a="1"/>
  <c r="AO223" i="57" s="1"/>
  <c r="AC106" i="47" s="1"/>
  <c r="AB107" i="47"/>
  <c r="AO225" i="57" a="1"/>
  <c r="AO225" i="57" s="1"/>
  <c r="AC107" i="47" s="1"/>
  <c r="BR99" i="58" a="1"/>
  <c r="BR99" i="58" s="1"/>
  <c r="BR97" i="58" a="1"/>
  <c r="BR97" i="58" s="1"/>
  <c r="BR95" i="58" a="1"/>
  <c r="BR95" i="58" s="1"/>
  <c r="AB104" i="47"/>
  <c r="AO222" i="57" a="1"/>
  <c r="AO222" i="57" s="1"/>
  <c r="AC104" i="47" s="1"/>
  <c r="AY152" i="58" l="1"/>
  <c r="AY151" i="58"/>
  <c r="AY158" i="58"/>
  <c r="AY154" i="58"/>
  <c r="AY35" i="58"/>
  <c r="AY153" i="58"/>
  <c r="AY155" i="58"/>
  <c r="AY157" i="58"/>
  <c r="AY156" i="58"/>
  <c r="AY159" i="58"/>
  <c r="AX169" i="58"/>
  <c r="AX168" i="58"/>
  <c r="AX167" i="58"/>
  <c r="AX165" i="58"/>
  <c r="AX163" i="58"/>
  <c r="AX166" i="58"/>
  <c r="AX36" i="58"/>
  <c r="AX41" i="58" s="1"/>
  <c r="AU46" i="58" s="1" a="1"/>
  <c r="AU46" i="58" s="1"/>
  <c r="AX162" i="58"/>
  <c r="AX164" i="58"/>
  <c r="AX170" i="58"/>
  <c r="BD45" i="58" a="1"/>
  <c r="BD45" i="58" s="1"/>
  <c r="AG44" i="58" a="1"/>
  <c r="AG44" i="58" s="1"/>
  <c r="X45" i="58" a="1"/>
  <c r="X45" i="58" s="1"/>
  <c r="Y44" i="58" a="1"/>
  <c r="Y44" i="58" s="1"/>
  <c r="AV45" i="58" a="1"/>
  <c r="AV45" i="58" s="1"/>
  <c r="N45" i="58" a="1"/>
  <c r="N45" i="58" s="1"/>
  <c r="AH46" i="58" a="1"/>
  <c r="AH46" i="58" s="1"/>
  <c r="AP44" i="58" a="1"/>
  <c r="AP44" i="58" s="1"/>
  <c r="U46" i="58" a="1"/>
  <c r="U46" i="58" s="1"/>
  <c r="AJ44" i="58" a="1"/>
  <c r="AJ44" i="58" s="1"/>
  <c r="AY43" i="58" a="1"/>
  <c r="AY43" i="58" s="1"/>
  <c r="M44" i="58" a="1"/>
  <c r="M44" i="58" s="1"/>
  <c r="M50" i="58" s="1"/>
  <c r="BC43" i="58" a="1"/>
  <c r="BC43" i="58" s="1"/>
  <c r="AA45" i="58" a="1"/>
  <c r="AA45" i="58" s="1"/>
  <c r="BG43" i="58" a="1"/>
  <c r="BG43" i="58" s="1"/>
  <c r="BK45" i="58" a="1"/>
  <c r="BK45" i="58" s="1"/>
  <c r="R43" i="58" a="1"/>
  <c r="R43" i="58" s="1"/>
  <c r="AX43" i="58" a="1"/>
  <c r="AX43" i="58" s="1"/>
  <c r="R46" i="58" a="1"/>
  <c r="R46" i="58" s="1"/>
  <c r="AW44" i="58" a="1"/>
  <c r="AW44" i="58" s="1"/>
  <c r="BI44" i="58" a="1"/>
  <c r="BI44" i="58" s="1"/>
  <c r="AK44" i="58" a="1"/>
  <c r="AK44" i="58" s="1"/>
  <c r="BP43" i="58" a="1"/>
  <c r="BP43" i="58" s="1"/>
  <c r="AD43" i="58" a="1"/>
  <c r="AD43" i="58" s="1"/>
  <c r="AZ44" i="58" a="1"/>
  <c r="AZ44" i="58" s="1"/>
  <c r="AN46" i="58" a="1"/>
  <c r="AN46" i="58" s="1"/>
  <c r="AW43" i="58" a="1"/>
  <c r="AW43" i="58" s="1"/>
  <c r="AX44" i="58" a="1"/>
  <c r="AX44" i="58" s="1"/>
  <c r="BI43" i="58" a="1"/>
  <c r="BI43" i="58" s="1"/>
  <c r="AB44" i="58" a="1"/>
  <c r="AB44" i="58" s="1"/>
  <c r="AK46" i="58" a="1"/>
  <c r="AK46" i="58" s="1"/>
  <c r="X44" i="58" a="1"/>
  <c r="X44" i="58" s="1"/>
  <c r="AJ45" i="58" a="1"/>
  <c r="AJ45" i="58" s="1"/>
  <c r="AO44" i="58" a="1"/>
  <c r="AO44" i="58" s="1"/>
  <c r="AN43" i="58" a="1"/>
  <c r="AN43" i="58" s="1"/>
  <c r="AR45" i="58" a="1"/>
  <c r="AR45" i="58" s="1"/>
  <c r="AV43" i="58" a="1"/>
  <c r="AV43" i="58" s="1"/>
  <c r="T45" i="58" a="1"/>
  <c r="T45" i="58" s="1"/>
  <c r="AM43" i="58" a="1"/>
  <c r="AM43" i="58" s="1"/>
  <c r="AD44" i="58" a="1"/>
  <c r="AD44" i="58" s="1"/>
  <c r="P43" i="58" a="1"/>
  <c r="P43" i="58" s="1"/>
  <c r="BB44" i="58" a="1"/>
  <c r="BB44" i="58" s="1"/>
  <c r="T44" i="58" a="1"/>
  <c r="T44" i="58" s="1"/>
  <c r="M46" i="58" a="1"/>
  <c r="M46" i="58" s="1"/>
  <c r="M52" i="58" s="1"/>
  <c r="U43" i="58" a="1"/>
  <c r="U43" i="58" s="1"/>
  <c r="BP44" i="58" a="1"/>
  <c r="BP44" i="58" s="1"/>
  <c r="BF45" i="58" a="1"/>
  <c r="BF45" i="58" s="1"/>
  <c r="AC45" i="58" a="1"/>
  <c r="AC45" i="58" s="1"/>
  <c r="U44" i="58" a="1"/>
  <c r="U44" i="58" s="1"/>
  <c r="AB45" i="58" a="1"/>
  <c r="AB45" i="58" s="1"/>
  <c r="U45" i="58" a="1"/>
  <c r="U45" i="58" s="1"/>
  <c r="AY45" i="58" a="1"/>
  <c r="AY45" i="58" s="1"/>
  <c r="Q46" i="58" a="1"/>
  <c r="Q46" i="58" s="1"/>
  <c r="AH44" i="58" a="1"/>
  <c r="AH44" i="58" s="1"/>
  <c r="AM46" i="58" a="1"/>
  <c r="AM46" i="58" s="1"/>
  <c r="AV46" i="58" a="1"/>
  <c r="AV46" i="58" s="1"/>
  <c r="BQ43" i="58" a="1"/>
  <c r="BQ43" i="58" s="1"/>
  <c r="AV44" i="58" a="1"/>
  <c r="AV44" i="58" s="1"/>
  <c r="Z44" i="58" a="1"/>
  <c r="Z44" i="58" s="1"/>
  <c r="BO44" i="58" a="1"/>
  <c r="BO44" i="58" s="1"/>
  <c r="Z46" i="58" a="1"/>
  <c r="Z46" i="58" s="1"/>
  <c r="BQ45" i="58" a="1"/>
  <c r="BQ45" i="58" s="1"/>
  <c r="BR45" i="58" a="1"/>
  <c r="BR45" i="58" s="1"/>
  <c r="AQ46" i="58" a="1"/>
  <c r="AQ46" i="58" s="1"/>
  <c r="AS46" i="58" a="1"/>
  <c r="AS46" i="58" s="1"/>
  <c r="L43" i="58" a="1"/>
  <c r="L43" i="58" s="1"/>
  <c r="T43" i="58" a="1"/>
  <c r="T43" i="58" s="1"/>
  <c r="AS45" i="58" a="1"/>
  <c r="AS45" i="58" s="1"/>
  <c r="AK43" i="58" a="1"/>
  <c r="AK43" i="58" s="1"/>
  <c r="AX45" i="58" a="1"/>
  <c r="AX45" i="58" s="1"/>
  <c r="AS43" i="58" a="1"/>
  <c r="AS43" i="58" s="1"/>
  <c r="BF43" i="58" a="1"/>
  <c r="BF43" i="58" s="1"/>
  <c r="AL43" i="58" a="1"/>
  <c r="AL43" i="58" s="1"/>
  <c r="AQ45" i="58" a="1"/>
  <c r="AQ45" i="58" s="1"/>
  <c r="V46" i="58" a="1"/>
  <c r="V46" i="58" s="1"/>
  <c r="N43" i="58" a="1"/>
  <c r="N43" i="58" s="1"/>
  <c r="Q44" i="58" a="1"/>
  <c r="Q44" i="58" s="1"/>
  <c r="AE44" i="58" a="1"/>
  <c r="AE44" i="58" s="1"/>
  <c r="W46" i="58" a="1"/>
  <c r="W46" i="58" s="1"/>
  <c r="BH45" i="58" a="1"/>
  <c r="BH45" i="58" s="1"/>
  <c r="AE46" i="58" a="1"/>
  <c r="AE46" i="58" s="1"/>
  <c r="BM43" i="58" a="1"/>
  <c r="BM43" i="58" s="1"/>
  <c r="L44" i="58" a="1"/>
  <c r="L44" i="58" s="1"/>
  <c r="BI45" i="58" a="1"/>
  <c r="BI45" i="58" s="1"/>
  <c r="AD45" i="58" a="1"/>
  <c r="AD45" i="58" s="1"/>
  <c r="BO45" i="58" a="1"/>
  <c r="BO45" i="58" s="1"/>
  <c r="W45" i="58" a="1"/>
  <c r="W45" i="58" s="1"/>
  <c r="BA44" i="58" a="1"/>
  <c r="BA44" i="58" s="1"/>
  <c r="AF43" i="58" a="1"/>
  <c r="AF43" i="58" s="1"/>
  <c r="AL45" i="58" a="1"/>
  <c r="AL45" i="58" s="1"/>
  <c r="BK44" i="58" a="1"/>
  <c r="BK44" i="58" s="1"/>
  <c r="AL44" i="58" a="1"/>
  <c r="AL44" i="58" s="1"/>
  <c r="V43" i="58" a="1"/>
  <c r="V43" i="58" s="1"/>
  <c r="BL45" i="58" a="1"/>
  <c r="BL45" i="58" s="1"/>
  <c r="AJ43" i="58" a="1"/>
  <c r="AJ43" i="58" s="1"/>
  <c r="N44" i="58" a="1"/>
  <c r="N44" i="58" s="1"/>
  <c r="AQ43" i="58" a="1"/>
  <c r="AQ43" i="58" s="1"/>
  <c r="BN45" i="58" a="1"/>
  <c r="BN45" i="58" s="1"/>
  <c r="AG43" i="58" a="1"/>
  <c r="AG43" i="58" s="1"/>
  <c r="AF44" i="58" a="1"/>
  <c r="AF44" i="58" s="1"/>
  <c r="Q43" i="58" a="1"/>
  <c r="Q43" i="58" s="1"/>
  <c r="AG46" i="58" a="1"/>
  <c r="AG46" i="58" s="1"/>
  <c r="X46" i="58" a="1"/>
  <c r="X46" i="58" s="1"/>
  <c r="BM45" i="58" a="1"/>
  <c r="BM45" i="58" s="1"/>
  <c r="BA45" i="58" a="1"/>
  <c r="BA45" i="58" s="1"/>
  <c r="AU44" i="58" a="1"/>
  <c r="AU44" i="58" s="1"/>
  <c r="AZ45" i="58" a="1"/>
  <c r="AZ45" i="58" s="1"/>
  <c r="BC44" i="58" a="1"/>
  <c r="BC44" i="58" s="1"/>
  <c r="AF45" i="58" a="1"/>
  <c r="AF45" i="58" s="1"/>
  <c r="Z43" i="58" a="1"/>
  <c r="Z43" i="58" s="1"/>
  <c r="P45" i="58" a="1"/>
  <c r="P45" i="58" s="1"/>
  <c r="AA44" i="58" a="1"/>
  <c r="AA44" i="58" s="1"/>
  <c r="BF44" i="58" a="1"/>
  <c r="BF44" i="58" s="1"/>
  <c r="AI46" i="58" a="1"/>
  <c r="AI46" i="58" s="1"/>
  <c r="X43" i="58" a="1"/>
  <c r="X43" i="58" s="1"/>
  <c r="BE43" i="58" a="1"/>
  <c r="BE43" i="58" s="1"/>
  <c r="V44" i="58" a="1"/>
  <c r="V44" i="58" s="1"/>
  <c r="AI45" i="58" a="1"/>
  <c r="AI45" i="58" s="1"/>
  <c r="BH43" i="58" a="1"/>
  <c r="BH43" i="58" s="1"/>
  <c r="M43" i="58" a="1"/>
  <c r="M43" i="58" s="1"/>
  <c r="M49" i="58" s="1"/>
  <c r="AT44" i="58" a="1"/>
  <c r="AT44" i="58" s="1"/>
  <c r="AF46" i="58" a="1"/>
  <c r="AF46" i="58" s="1"/>
  <c r="S44" i="58" a="1"/>
  <c r="S44" i="58" s="1"/>
  <c r="BJ44" i="58" a="1"/>
  <c r="BJ44" i="58" s="1"/>
  <c r="P44" i="58" a="1"/>
  <c r="P44" i="58" s="1"/>
  <c r="AJ46" i="58" a="1"/>
  <c r="AJ46" i="58" s="1"/>
  <c r="AA43" i="58" a="1"/>
  <c r="AA43" i="58" s="1"/>
  <c r="BH44" i="58" a="1"/>
  <c r="BH44" i="58" s="1"/>
  <c r="V45" i="58" a="1"/>
  <c r="V45" i="58" s="1"/>
  <c r="BE44" i="58" a="1"/>
  <c r="BE44" i="58" s="1"/>
  <c r="AI43" i="58" a="1"/>
  <c r="AI43" i="58" s="1"/>
  <c r="BJ43" i="58" a="1"/>
  <c r="BJ43" i="58" s="1"/>
  <c r="AY44" i="58" a="1"/>
  <c r="AY44" i="58" s="1"/>
  <c r="AU43" i="58" a="1"/>
  <c r="AU43" i="58" s="1"/>
  <c r="S43" i="58" a="1"/>
  <c r="S43" i="58" s="1"/>
  <c r="AU45" i="58" a="1"/>
  <c r="AU45" i="58" s="1"/>
  <c r="AM44" i="58" a="1"/>
  <c r="AM44" i="58" s="1"/>
  <c r="BB43" i="58" a="1"/>
  <c r="BB43" i="58" s="1"/>
  <c r="AC44" i="58" a="1"/>
  <c r="AC44" i="58" s="1"/>
  <c r="R45" i="58" a="1"/>
  <c r="R45" i="58" s="1"/>
  <c r="BG45" i="58" a="1"/>
  <c r="BG45" i="58" s="1"/>
  <c r="AN44" i="58" a="1"/>
  <c r="AN44" i="58" s="1"/>
  <c r="AO46" i="58" a="1"/>
  <c r="AO46" i="58" s="1"/>
  <c r="AW45" i="58" a="1"/>
  <c r="AW45" i="58" s="1"/>
  <c r="S45" i="58" a="1"/>
  <c r="S45" i="58" s="1"/>
  <c r="AR44" i="58" a="1"/>
  <c r="AR44" i="58" s="1"/>
  <c r="AA46" i="58" a="1"/>
  <c r="AA46" i="58" s="1"/>
  <c r="O45" i="58" a="1"/>
  <c r="O45" i="58" s="1"/>
  <c r="BJ45" i="58" a="1"/>
  <c r="BJ45" i="58" s="1"/>
  <c r="AB46" i="58" a="1"/>
  <c r="AB46" i="58" s="1"/>
  <c r="BG44" i="58" a="1"/>
  <c r="BG44" i="58" s="1"/>
  <c r="AR46" i="58" a="1"/>
  <c r="AR46" i="58" s="1"/>
  <c r="BQ44" i="58" a="1"/>
  <c r="BQ44" i="58" s="1"/>
  <c r="AD46" i="58" a="1"/>
  <c r="AD46" i="58" s="1"/>
  <c r="AR43" i="58" a="1"/>
  <c r="AR43" i="58" s="1"/>
  <c r="W43" i="58" a="1"/>
  <c r="W43" i="58" s="1"/>
  <c r="BN44" i="58" a="1"/>
  <c r="BN44" i="58" s="1"/>
  <c r="M45" i="58" a="1"/>
  <c r="M45" i="58" s="1"/>
  <c r="M51" i="58" s="1"/>
  <c r="AO45" i="58" a="1"/>
  <c r="AO45" i="58" s="1"/>
  <c r="AL46" i="58" a="1"/>
  <c r="AL46" i="58" s="1"/>
  <c r="BD44" i="58" a="1"/>
  <c r="BD44" i="58" s="1"/>
  <c r="BR44" i="58" a="1"/>
  <c r="BR44" i="58" s="1"/>
  <c r="L46" i="58" a="1"/>
  <c r="L46" i="58" s="1"/>
  <c r="BP45" i="58" a="1"/>
  <c r="BP45" i="58" s="1"/>
  <c r="AH45" i="58" a="1"/>
  <c r="AH45" i="58" s="1"/>
  <c r="T46" i="58" a="1"/>
  <c r="T46" i="58" s="1"/>
  <c r="AP46" i="58" a="1"/>
  <c r="AP46" i="58" s="1"/>
  <c r="Q45" i="58" a="1"/>
  <c r="Q45" i="58" s="1"/>
  <c r="Y46" i="58" a="1"/>
  <c r="Y46" i="58" s="1"/>
  <c r="AI44" i="58" a="1"/>
  <c r="AI44" i="58" s="1"/>
  <c r="AG45" i="58" a="1"/>
  <c r="AG45" i="58" s="1"/>
  <c r="Y43" i="58" a="1"/>
  <c r="Y43" i="58" s="1"/>
  <c r="AB43" i="58" a="1"/>
  <c r="AB43" i="58" s="1"/>
  <c r="L45" i="58" a="1"/>
  <c r="L45" i="58" s="1"/>
  <c r="S46" i="58" a="1"/>
  <c r="S46" i="58" s="1"/>
  <c r="AH43" i="58" a="1"/>
  <c r="AH43" i="58" s="1"/>
  <c r="AO43" i="58" a="1"/>
  <c r="AO43" i="58" s="1"/>
  <c r="O44" i="58" a="1"/>
  <c r="O44" i="58" s="1"/>
  <c r="R44" i="58" a="1"/>
  <c r="R44" i="58" s="1"/>
  <c r="P46" i="58" a="1"/>
  <c r="P46" i="58" s="1"/>
  <c r="AS44" i="58" a="1"/>
  <c r="AS44" i="58" s="1"/>
  <c r="AK45" i="58" a="1"/>
  <c r="AK45" i="58" s="1"/>
  <c r="BA43" i="58" a="1"/>
  <c r="BA43" i="58" s="1"/>
  <c r="AE45" i="58" a="1"/>
  <c r="AE45" i="58" s="1"/>
  <c r="Y45" i="58" a="1"/>
  <c r="Y45" i="58" s="1"/>
  <c r="AT43" i="58" a="1"/>
  <c r="AT43" i="58" s="1"/>
  <c r="AZ43" i="58" a="1"/>
  <c r="AZ43" i="58" s="1"/>
  <c r="AC46" i="58" a="1"/>
  <c r="AC46" i="58" s="1"/>
  <c r="BR43" i="58" a="1"/>
  <c r="BR43" i="58" s="1"/>
  <c r="AM45" i="58" a="1"/>
  <c r="AM45" i="58" s="1"/>
  <c r="BN43" i="58" a="1"/>
  <c r="BN43" i="58" s="1"/>
  <c r="W44" i="58" a="1"/>
  <c r="W44" i="58" s="1"/>
  <c r="BL43" i="58" a="1"/>
  <c r="BL43" i="58" s="1"/>
  <c r="AC43" i="58" a="1"/>
  <c r="AC43" i="58" s="1"/>
  <c r="AP45" i="58" a="1"/>
  <c r="AP45" i="58" s="1"/>
  <c r="N46" i="58" a="1"/>
  <c r="N46" i="58" s="1"/>
  <c r="BK43" i="58" a="1"/>
  <c r="BK43" i="58" s="1"/>
  <c r="BB45" i="58" a="1"/>
  <c r="BB45" i="58" s="1"/>
  <c r="AZ31" i="58"/>
  <c r="AZ34" i="58" s="1"/>
  <c r="BA23" i="58"/>
  <c r="AZ24" i="58"/>
  <c r="BD43" i="58" l="1" a="1"/>
  <c r="BD43" i="58" s="1"/>
  <c r="AP43" i="58" a="1"/>
  <c r="AP43" i="58" s="1"/>
  <c r="AT46" i="58" a="1"/>
  <c r="AT46" i="58" s="1"/>
  <c r="Z45" i="58" a="1"/>
  <c r="Z45" i="58" s="1"/>
  <c r="BE45" i="58" a="1"/>
  <c r="BE45" i="58" s="1"/>
  <c r="AQ44" i="58" a="1"/>
  <c r="AQ44" i="58" s="1"/>
  <c r="BC45" i="58" a="1"/>
  <c r="BC45" i="58" s="1"/>
  <c r="BM44" i="58" a="1"/>
  <c r="BM44" i="58" s="1"/>
  <c r="BO43" i="58" a="1"/>
  <c r="BO43" i="58" s="1"/>
  <c r="AW46" i="58" a="1"/>
  <c r="AW46" i="58" s="1"/>
  <c r="AE43" i="58" a="1"/>
  <c r="AE43" i="58" s="1"/>
  <c r="O43" i="58" a="1"/>
  <c r="O43" i="58" s="1"/>
  <c r="BL44" i="58" a="1"/>
  <c r="BL44" i="58" s="1"/>
  <c r="M216" i="58"/>
  <c r="M215" i="58"/>
  <c r="M214" i="58"/>
  <c r="M213" i="58"/>
  <c r="M212" i="58"/>
  <c r="M211" i="58"/>
  <c r="M209" i="58"/>
  <c r="M208" i="58"/>
  <c r="M210" i="58"/>
  <c r="N52" i="58"/>
  <c r="BA24" i="58"/>
  <c r="BB23" i="58"/>
  <c r="BA31" i="58"/>
  <c r="BA34" i="58" s="1"/>
  <c r="AZ35" i="58"/>
  <c r="AZ153" i="58"/>
  <c r="AZ155" i="58"/>
  <c r="AZ151" i="58"/>
  <c r="AZ157" i="58"/>
  <c r="AZ152" i="58"/>
  <c r="AZ159" i="58"/>
  <c r="AZ154" i="58"/>
  <c r="AZ158" i="58"/>
  <c r="AZ156" i="58"/>
  <c r="AY169" i="58"/>
  <c r="AY168" i="58"/>
  <c r="AY167" i="58"/>
  <c r="AY166" i="58"/>
  <c r="AY164" i="58"/>
  <c r="AY163" i="58"/>
  <c r="AY162" i="58"/>
  <c r="AY165" i="58"/>
  <c r="AY36" i="58"/>
  <c r="AY41" i="58" s="1"/>
  <c r="AY170" i="58"/>
  <c r="AN45" i="58" a="1"/>
  <c r="AN45" i="58" s="1"/>
  <c r="M204" i="58"/>
  <c r="M203" i="58"/>
  <c r="M205" i="58"/>
  <c r="M200" i="58"/>
  <c r="M199" i="58"/>
  <c r="M198" i="58"/>
  <c r="M202" i="58"/>
  <c r="M201" i="58"/>
  <c r="M197" i="58"/>
  <c r="N51" i="58"/>
  <c r="AT45" i="58" a="1"/>
  <c r="AT45" i="58" s="1"/>
  <c r="O46" i="58" a="1"/>
  <c r="O46" i="58" s="1"/>
  <c r="M178" i="58"/>
  <c r="M237" i="58" s="1"/>
  <c r="M252" i="58" s="1"/>
  <c r="M177" i="58"/>
  <c r="M236" i="58" s="1"/>
  <c r="M251" i="58" s="1"/>
  <c r="M176" i="58"/>
  <c r="M235" i="58" s="1"/>
  <c r="M250" i="58" s="1"/>
  <c r="M175" i="58"/>
  <c r="M234" i="58" s="1"/>
  <c r="M249" i="58" s="1"/>
  <c r="M174" i="58"/>
  <c r="M233" i="58" s="1"/>
  <c r="M248" i="58" s="1"/>
  <c r="M182" i="58"/>
  <c r="M241" i="58" s="1"/>
  <c r="M256" i="58" s="1"/>
  <c r="M181" i="58"/>
  <c r="M240" i="58" s="1"/>
  <c r="M255" i="58" s="1"/>
  <c r="N49" i="58"/>
  <c r="M180" i="58"/>
  <c r="M239" i="58" s="1"/>
  <c r="M254" i="58" s="1"/>
  <c r="M179" i="58"/>
  <c r="M238" i="58" s="1"/>
  <c r="M253" i="58" s="1"/>
  <c r="M53" i="58"/>
  <c r="M191" i="58"/>
  <c r="M225" i="58" s="1"/>
  <c r="M263" i="58" s="1"/>
  <c r="M190" i="58"/>
  <c r="M224" i="58" s="1"/>
  <c r="M262" i="58" s="1"/>
  <c r="M189" i="58"/>
  <c r="M223" i="58" s="1"/>
  <c r="M261" i="58" s="1"/>
  <c r="M194" i="58"/>
  <c r="M228" i="58" s="1"/>
  <c r="M266" i="58" s="1"/>
  <c r="M188" i="58"/>
  <c r="M222" i="58" s="1"/>
  <c r="M260" i="58" s="1"/>
  <c r="M193" i="58"/>
  <c r="M227" i="58" s="1"/>
  <c r="M265" i="58" s="1"/>
  <c r="M187" i="58"/>
  <c r="M221" i="58" s="1"/>
  <c r="M259" i="58" s="1"/>
  <c r="M192" i="58"/>
  <c r="M186" i="58"/>
  <c r="N50" i="58"/>
  <c r="M226" i="58" l="1"/>
  <c r="M264" i="58" s="1"/>
  <c r="BB24" i="58"/>
  <c r="M220" i="58"/>
  <c r="M258" i="58" s="1"/>
  <c r="BB31" i="58"/>
  <c r="BB34" i="58" s="1"/>
  <c r="BC23" i="58"/>
  <c r="BC24" i="58"/>
  <c r="N216" i="58"/>
  <c r="N213" i="58"/>
  <c r="N215" i="58"/>
  <c r="N210" i="58"/>
  <c r="N214" i="58"/>
  <c r="N212" i="58"/>
  <c r="N211" i="58"/>
  <c r="O52" i="58"/>
  <c r="N208" i="58"/>
  <c r="N209" i="58"/>
  <c r="N197" i="58"/>
  <c r="O51" i="58"/>
  <c r="N205" i="58"/>
  <c r="N203" i="58"/>
  <c r="N204" i="58"/>
  <c r="N200" i="58"/>
  <c r="N199" i="58"/>
  <c r="N202" i="58"/>
  <c r="N198" i="58"/>
  <c r="N201" i="58"/>
  <c r="N190" i="58"/>
  <c r="N188" i="58"/>
  <c r="N189" i="58"/>
  <c r="N193" i="58"/>
  <c r="N192" i="58"/>
  <c r="N191" i="58"/>
  <c r="N194" i="58"/>
  <c r="N228" i="58" s="1"/>
  <c r="N266" i="58" s="1"/>
  <c r="O50" i="58"/>
  <c r="N187" i="58"/>
  <c r="N186" i="58"/>
  <c r="N220" i="58" s="1"/>
  <c r="N258" i="58" s="1"/>
  <c r="N178" i="58"/>
  <c r="N237" i="58" s="1"/>
  <c r="N252" i="58" s="1"/>
  <c r="N176" i="58"/>
  <c r="N235" i="58" s="1"/>
  <c r="N250" i="58" s="1"/>
  <c r="N53" i="58"/>
  <c r="N177" i="58"/>
  <c r="N236" i="58" s="1"/>
  <c r="N251" i="58" s="1"/>
  <c r="O49" i="58"/>
  <c r="N180" i="58"/>
  <c r="N239" i="58" s="1"/>
  <c r="N254" i="58" s="1"/>
  <c r="N175" i="58"/>
  <c r="N234" i="58" s="1"/>
  <c r="N249" i="58" s="1"/>
  <c r="N174" i="58"/>
  <c r="N233" i="58" s="1"/>
  <c r="N248" i="58" s="1"/>
  <c r="N182" i="58"/>
  <c r="N241" i="58" s="1"/>
  <c r="N256" i="58" s="1"/>
  <c r="N181" i="58"/>
  <c r="N240" i="58" s="1"/>
  <c r="N255" i="58" s="1"/>
  <c r="N179" i="58"/>
  <c r="N238" i="58" s="1"/>
  <c r="N253" i="58" s="1"/>
  <c r="AZ164" i="58"/>
  <c r="AZ36" i="58"/>
  <c r="AZ41" i="58" s="1"/>
  <c r="AZ170" i="58"/>
  <c r="AZ169" i="58"/>
  <c r="AZ168" i="58"/>
  <c r="AZ167" i="58"/>
  <c r="AZ166" i="58"/>
  <c r="AZ165" i="58"/>
  <c r="AZ163" i="58"/>
  <c r="AZ162" i="58"/>
  <c r="BA155" i="58"/>
  <c r="BA153" i="58"/>
  <c r="BA157" i="58"/>
  <c r="BA152" i="58"/>
  <c r="BA154" i="58"/>
  <c r="BA159" i="58"/>
  <c r="BA35" i="58"/>
  <c r="BA151" i="58"/>
  <c r="BA158" i="58"/>
  <c r="BA156" i="58"/>
  <c r="M245" i="58" l="1"/>
  <c r="N225" i="58"/>
  <c r="N263" i="58" s="1"/>
  <c r="N226" i="58"/>
  <c r="N264" i="58" s="1"/>
  <c r="N221" i="58"/>
  <c r="N259" i="58" s="1"/>
  <c r="O214" i="58"/>
  <c r="O213" i="58"/>
  <c r="O212" i="58"/>
  <c r="O211" i="58"/>
  <c r="O210" i="58"/>
  <c r="O209" i="58"/>
  <c r="O208" i="58"/>
  <c r="P52" i="58"/>
  <c r="O216" i="58"/>
  <c r="O215" i="58"/>
  <c r="O187" i="58"/>
  <c r="O186" i="58"/>
  <c r="O194" i="58"/>
  <c r="O193" i="58"/>
  <c r="O189" i="58"/>
  <c r="O191" i="58"/>
  <c r="O190" i="58"/>
  <c r="P50" i="58"/>
  <c r="O192" i="58"/>
  <c r="O188" i="58"/>
  <c r="N227" i="58"/>
  <c r="N265" i="58" s="1"/>
  <c r="O181" i="58"/>
  <c r="O240" i="58" s="1"/>
  <c r="O255" i="58" s="1"/>
  <c r="O180" i="58"/>
  <c r="O239" i="58" s="1"/>
  <c r="O254" i="58" s="1"/>
  <c r="O179" i="58"/>
  <c r="O238" i="58" s="1"/>
  <c r="O253" i="58" s="1"/>
  <c r="O178" i="58"/>
  <c r="O237" i="58" s="1"/>
  <c r="O252" i="58" s="1"/>
  <c r="O177" i="58"/>
  <c r="O236" i="58" s="1"/>
  <c r="O251" i="58" s="1"/>
  <c r="O53" i="58"/>
  <c r="P49" i="58"/>
  <c r="O175" i="58"/>
  <c r="O234" i="58" s="1"/>
  <c r="O249" i="58" s="1"/>
  <c r="O176" i="58"/>
  <c r="O235" i="58" s="1"/>
  <c r="O250" i="58" s="1"/>
  <c r="O174" i="58"/>
  <c r="O233" i="58" s="1"/>
  <c r="O248" i="58" s="1"/>
  <c r="O182" i="58"/>
  <c r="O241" i="58" s="1"/>
  <c r="O256" i="58" s="1"/>
  <c r="N223" i="58"/>
  <c r="N261" i="58" s="1"/>
  <c r="O205" i="58"/>
  <c r="O201" i="58"/>
  <c r="O199" i="58"/>
  <c r="O200" i="58"/>
  <c r="O198" i="58"/>
  <c r="O197" i="58"/>
  <c r="P51" i="58"/>
  <c r="O202" i="58"/>
  <c r="O204" i="58"/>
  <c r="O203" i="58"/>
  <c r="BA167" i="58"/>
  <c r="BA166" i="58"/>
  <c r="BA165" i="58"/>
  <c r="BA163" i="58"/>
  <c r="BA164" i="58"/>
  <c r="BA162" i="58"/>
  <c r="BA170" i="58"/>
  <c r="BA168" i="58"/>
  <c r="BA169" i="58"/>
  <c r="BA36" i="58"/>
  <c r="BA41" i="58" s="1"/>
  <c r="N222" i="58"/>
  <c r="BC31" i="58"/>
  <c r="BC34" i="58" s="1"/>
  <c r="BD23" i="58"/>
  <c r="N224" i="58"/>
  <c r="N262" i="58" s="1"/>
  <c r="BB35" i="58"/>
  <c r="BB155" i="58"/>
  <c r="BB151" i="58"/>
  <c r="BB152" i="58"/>
  <c r="BB153" i="58"/>
  <c r="BB159" i="58"/>
  <c r="BB154" i="58"/>
  <c r="BB157" i="58"/>
  <c r="BB158" i="58"/>
  <c r="BB156" i="58"/>
  <c r="O221" i="58" l="1"/>
  <c r="O259" i="58" s="1"/>
  <c r="O220" i="58"/>
  <c r="O258" i="58" s="1"/>
  <c r="BB167" i="58"/>
  <c r="BB166" i="58"/>
  <c r="BB165" i="58"/>
  <c r="BB163" i="58"/>
  <c r="BB162" i="58"/>
  <c r="BB164" i="58"/>
  <c r="BB169" i="58"/>
  <c r="BB36" i="58"/>
  <c r="BB41" i="58" s="1"/>
  <c r="BB170" i="58"/>
  <c r="BB168" i="58"/>
  <c r="BD24" i="58"/>
  <c r="BE24" i="58" s="1"/>
  <c r="BD31" i="58"/>
  <c r="BD34" i="58" s="1"/>
  <c r="BE23" i="58"/>
  <c r="O222" i="58"/>
  <c r="O260" i="58" s="1"/>
  <c r="P213" i="58"/>
  <c r="P212" i="58"/>
  <c r="P209" i="58"/>
  <c r="P211" i="58"/>
  <c r="P210" i="58"/>
  <c r="P208" i="58"/>
  <c r="Q52" i="58"/>
  <c r="P216" i="58"/>
  <c r="P215" i="58"/>
  <c r="P214" i="58"/>
  <c r="BC153" i="58"/>
  <c r="BC159" i="58"/>
  <c r="BC155" i="58"/>
  <c r="BC151" i="58"/>
  <c r="BC157" i="58"/>
  <c r="BC152" i="58"/>
  <c r="BC154" i="58"/>
  <c r="BC158" i="58"/>
  <c r="BC156" i="58"/>
  <c r="BC35" i="58"/>
  <c r="O226" i="58"/>
  <c r="O264" i="58" s="1"/>
  <c r="N260" i="58"/>
  <c r="N245" i="58"/>
  <c r="P194" i="58"/>
  <c r="P193" i="58"/>
  <c r="P192" i="58"/>
  <c r="Q50" i="58"/>
  <c r="P191" i="58"/>
  <c r="P189" i="58"/>
  <c r="P187" i="58"/>
  <c r="P190" i="58"/>
  <c r="P188" i="58"/>
  <c r="P222" i="58" s="1"/>
  <c r="P260" i="58" s="1"/>
  <c r="P186" i="58"/>
  <c r="O224" i="58"/>
  <c r="O262" i="58" s="1"/>
  <c r="P199" i="58"/>
  <c r="P198" i="58"/>
  <c r="P197" i="58"/>
  <c r="Q51" i="58"/>
  <c r="P202" i="58"/>
  <c r="P205" i="58"/>
  <c r="P201" i="58"/>
  <c r="P203" i="58"/>
  <c r="P204" i="58"/>
  <c r="P200" i="58"/>
  <c r="P179" i="58"/>
  <c r="P238" i="58" s="1"/>
  <c r="P253" i="58" s="1"/>
  <c r="P178" i="58"/>
  <c r="P237" i="58" s="1"/>
  <c r="P252" i="58" s="1"/>
  <c r="Q49" i="58"/>
  <c r="P53" i="58"/>
  <c r="P177" i="58"/>
  <c r="P236" i="58" s="1"/>
  <c r="P251" i="58" s="1"/>
  <c r="P176" i="58"/>
  <c r="P235" i="58" s="1"/>
  <c r="P250" i="58" s="1"/>
  <c r="P174" i="58"/>
  <c r="P233" i="58" s="1"/>
  <c r="P248" i="58" s="1"/>
  <c r="P175" i="58"/>
  <c r="P234" i="58" s="1"/>
  <c r="P249" i="58" s="1"/>
  <c r="P182" i="58"/>
  <c r="P241" i="58" s="1"/>
  <c r="P256" i="58" s="1"/>
  <c r="P181" i="58"/>
  <c r="P240" i="58" s="1"/>
  <c r="P255" i="58" s="1"/>
  <c r="P180" i="58"/>
  <c r="P239" i="58" s="1"/>
  <c r="P254" i="58" s="1"/>
  <c r="O225" i="58"/>
  <c r="O263" i="58" s="1"/>
  <c r="O223" i="58"/>
  <c r="O261" i="58" s="1"/>
  <c r="O227" i="58"/>
  <c r="O265" i="58" s="1"/>
  <c r="O228" i="58"/>
  <c r="O266" i="58" s="1"/>
  <c r="P221" i="58" l="1"/>
  <c r="P259" i="58" s="1"/>
  <c r="P225" i="58"/>
  <c r="P263" i="58" s="1"/>
  <c r="P220" i="58"/>
  <c r="P258" i="58" s="1"/>
  <c r="BC170" i="58"/>
  <c r="BC168" i="58"/>
  <c r="BC169" i="58"/>
  <c r="BC165" i="58"/>
  <c r="BC164" i="58"/>
  <c r="BC36" i="58"/>
  <c r="BC41" i="58" s="1"/>
  <c r="BC167" i="58"/>
  <c r="BC162" i="58"/>
  <c r="BC166" i="58"/>
  <c r="BC163" i="58"/>
  <c r="P224" i="58"/>
  <c r="P262" i="58" s="1"/>
  <c r="Q215" i="58"/>
  <c r="Q214" i="58"/>
  <c r="Q213" i="58"/>
  <c r="Q212" i="58"/>
  <c r="Q211" i="58"/>
  <c r="Q210" i="58"/>
  <c r="Q209" i="58"/>
  <c r="Q208" i="58"/>
  <c r="R52" i="58"/>
  <c r="Q216" i="58"/>
  <c r="P223" i="58"/>
  <c r="P261" i="58" s="1"/>
  <c r="Q190" i="58"/>
  <c r="Q192" i="58"/>
  <c r="R50" i="58"/>
  <c r="Q189" i="58"/>
  <c r="Q187" i="58"/>
  <c r="Q188" i="58"/>
  <c r="Q186" i="58"/>
  <c r="Q194" i="58"/>
  <c r="Q193" i="58"/>
  <c r="Q191" i="58"/>
  <c r="Q204" i="58"/>
  <c r="Q201" i="58"/>
  <c r="Q202" i="58"/>
  <c r="Q205" i="58"/>
  <c r="Q200" i="58"/>
  <c r="Q203" i="58"/>
  <c r="Q197" i="58"/>
  <c r="Q199" i="58"/>
  <c r="Q198" i="58"/>
  <c r="R51" i="58"/>
  <c r="P226" i="58"/>
  <c r="P264" i="58" s="1"/>
  <c r="P227" i="58"/>
  <c r="P265" i="58" s="1"/>
  <c r="P228" i="58"/>
  <c r="P266" i="58" s="1"/>
  <c r="Q174" i="58"/>
  <c r="Q233" i="58" s="1"/>
  <c r="Q248" i="58" s="1"/>
  <c r="G109" i="47" s="1"/>
  <c r="Q182" i="58"/>
  <c r="Q241" i="58" s="1"/>
  <c r="Q256" i="58" s="1"/>
  <c r="G114" i="47" s="1"/>
  <c r="Q177" i="58"/>
  <c r="Q236" i="58" s="1"/>
  <c r="Q251" i="58" s="1"/>
  <c r="G113" i="47" s="1"/>
  <c r="Q181" i="58"/>
  <c r="Q240" i="58" s="1"/>
  <c r="Q255" i="58" s="1"/>
  <c r="G116" i="47" s="1"/>
  <c r="Q179" i="58"/>
  <c r="Q238" i="58" s="1"/>
  <c r="Q253" i="58" s="1"/>
  <c r="G117" i="47" s="1"/>
  <c r="R49" i="58"/>
  <c r="Q180" i="58"/>
  <c r="Q239" i="58" s="1"/>
  <c r="Q254" i="58" s="1"/>
  <c r="G110" i="47" s="1"/>
  <c r="Q178" i="58"/>
  <c r="Q237" i="58" s="1"/>
  <c r="Q252" i="58" s="1"/>
  <c r="G115" i="47" s="1"/>
  <c r="Q176" i="58"/>
  <c r="Q235" i="58" s="1"/>
  <c r="Q250" i="58" s="1"/>
  <c r="G112" i="47" s="1"/>
  <c r="Q53" i="58"/>
  <c r="Q175" i="58"/>
  <c r="Q234" i="58" s="1"/>
  <c r="Q249" i="58" s="1"/>
  <c r="G111" i="47" s="1"/>
  <c r="BF23" i="58"/>
  <c r="BE31" i="58"/>
  <c r="BE34" i="58" s="1"/>
  <c r="BD155" i="58"/>
  <c r="BD154" i="58"/>
  <c r="BD158" i="58"/>
  <c r="BD157" i="58"/>
  <c r="BD156" i="58"/>
  <c r="BD159" i="58"/>
  <c r="BD152" i="58"/>
  <c r="BD35" i="58"/>
  <c r="BD153" i="58"/>
  <c r="BD151" i="58"/>
  <c r="O245" i="58"/>
  <c r="Q220" i="58" l="1"/>
  <c r="Q258" i="58" s="1"/>
  <c r="G118" i="47" s="1"/>
  <c r="Q228" i="58"/>
  <c r="Q266" i="58" s="1"/>
  <c r="G123" i="47" s="1"/>
  <c r="BE154" i="58"/>
  <c r="BE159" i="58"/>
  <c r="BE156" i="58"/>
  <c r="BE35" i="58"/>
  <c r="BE151" i="58"/>
  <c r="BE155" i="58"/>
  <c r="BE153" i="58"/>
  <c r="BE157" i="58"/>
  <c r="BE152" i="58"/>
  <c r="BE158" i="58"/>
  <c r="Q224" i="58"/>
  <c r="Q262" i="58" s="1"/>
  <c r="G124" i="47" s="1"/>
  <c r="BF31" i="58"/>
  <c r="BF34" i="58" s="1"/>
  <c r="BG23" i="58"/>
  <c r="P245" i="58"/>
  <c r="Q225" i="58"/>
  <c r="Q263" i="58" s="1"/>
  <c r="G126" i="47" s="1"/>
  <c r="S52" i="58"/>
  <c r="R214" i="58"/>
  <c r="R212" i="58"/>
  <c r="R213" i="58"/>
  <c r="R211" i="58"/>
  <c r="R215" i="58"/>
  <c r="R209" i="58"/>
  <c r="R216" i="58"/>
  <c r="R210" i="58"/>
  <c r="R208" i="58"/>
  <c r="BD164" i="58"/>
  <c r="BD36" i="58"/>
  <c r="BD41" i="58" s="1"/>
  <c r="BD163" i="58"/>
  <c r="BD169" i="58"/>
  <c r="BD162" i="58"/>
  <c r="BD167" i="58"/>
  <c r="BD170" i="58"/>
  <c r="BD168" i="58"/>
  <c r="BD166" i="58"/>
  <c r="BD165" i="58"/>
  <c r="Q227" i="58"/>
  <c r="Q265" i="58" s="1"/>
  <c r="G125" i="47" s="1"/>
  <c r="R199" i="58"/>
  <c r="R197" i="58"/>
  <c r="R201" i="58"/>
  <c r="R202" i="58"/>
  <c r="R198" i="58"/>
  <c r="S51" i="58"/>
  <c r="R203" i="58"/>
  <c r="R204" i="58"/>
  <c r="R205" i="58"/>
  <c r="R200" i="58"/>
  <c r="R175" i="58"/>
  <c r="R234" i="58" s="1"/>
  <c r="R249" i="58" s="1"/>
  <c r="H111" i="47" s="1"/>
  <c r="R53" i="58"/>
  <c r="R177" i="58"/>
  <c r="R236" i="58" s="1"/>
  <c r="R251" i="58" s="1"/>
  <c r="H113" i="47" s="1"/>
  <c r="R174" i="58"/>
  <c r="R233" i="58" s="1"/>
  <c r="R248" i="58" s="1"/>
  <c r="H109" i="47" s="1"/>
  <c r="S49" i="58"/>
  <c r="R181" i="58"/>
  <c r="R240" i="58" s="1"/>
  <c r="R255" i="58" s="1"/>
  <c r="H116" i="47" s="1"/>
  <c r="R176" i="58"/>
  <c r="R235" i="58" s="1"/>
  <c r="R250" i="58" s="1"/>
  <c r="H112" i="47" s="1"/>
  <c r="R179" i="58"/>
  <c r="R238" i="58" s="1"/>
  <c r="R253" i="58" s="1"/>
  <c r="H117" i="47" s="1"/>
  <c r="R182" i="58"/>
  <c r="R241" i="58" s="1"/>
  <c r="R256" i="58" s="1"/>
  <c r="H114" i="47" s="1"/>
  <c r="R180" i="58"/>
  <c r="R239" i="58" s="1"/>
  <c r="R254" i="58" s="1"/>
  <c r="H110" i="47" s="1"/>
  <c r="R178" i="58"/>
  <c r="R237" i="58" s="1"/>
  <c r="R252" i="58" s="1"/>
  <c r="H115" i="47" s="1"/>
  <c r="Q222" i="58"/>
  <c r="Q260" i="58" s="1"/>
  <c r="G121" i="47" s="1"/>
  <c r="Q221" i="58"/>
  <c r="Q223" i="58"/>
  <c r="Q261" i="58" s="1"/>
  <c r="G122" i="47" s="1"/>
  <c r="R189" i="58"/>
  <c r="S50" i="58"/>
  <c r="R188" i="58"/>
  <c r="R190" i="58"/>
  <c r="R224" i="58" s="1"/>
  <c r="R262" i="58" s="1"/>
  <c r="H124" i="47" s="1"/>
  <c r="R187" i="58"/>
  <c r="R194" i="58"/>
  <c r="R192" i="58"/>
  <c r="R226" i="58" s="1"/>
  <c r="R264" i="58" s="1"/>
  <c r="H119" i="47" s="1"/>
  <c r="R186" i="58"/>
  <c r="R220" i="58" s="1"/>
  <c r="R191" i="58"/>
  <c r="R225" i="58" s="1"/>
  <c r="R263" i="58" s="1"/>
  <c r="H126" i="47" s="1"/>
  <c r="R193" i="58"/>
  <c r="Q226" i="58"/>
  <c r="Q264" i="58" s="1"/>
  <c r="G119" i="47" s="1"/>
  <c r="BF24" i="58"/>
  <c r="BG24" i="58" s="1"/>
  <c r="R222" i="58" l="1"/>
  <c r="R260" i="58" s="1"/>
  <c r="H121" i="47" s="1"/>
  <c r="R227" i="58"/>
  <c r="R265" i="58" s="1"/>
  <c r="H125" i="47" s="1"/>
  <c r="R228" i="58"/>
  <c r="R266" i="58" s="1"/>
  <c r="H123" i="47" s="1"/>
  <c r="R221" i="58"/>
  <c r="R259" i="58" s="1"/>
  <c r="H120" i="47" s="1"/>
  <c r="R258" i="58"/>
  <c r="H118" i="47" s="1"/>
  <c r="R223" i="58"/>
  <c r="R261" i="58" s="1"/>
  <c r="H122" i="47" s="1"/>
  <c r="BF158" i="58"/>
  <c r="BF156" i="58"/>
  <c r="BF35" i="58"/>
  <c r="BF154" i="58"/>
  <c r="BF155" i="58"/>
  <c r="BF159" i="58"/>
  <c r="BF153" i="58"/>
  <c r="BF151" i="58"/>
  <c r="BF157" i="58"/>
  <c r="BF152" i="58"/>
  <c r="Q259" i="58"/>
  <c r="G120" i="47" s="1"/>
  <c r="Q245" i="58"/>
  <c r="T51" i="58"/>
  <c r="S205" i="58"/>
  <c r="S203" i="58"/>
  <c r="S200" i="58"/>
  <c r="S201" i="58"/>
  <c r="S199" i="58"/>
  <c r="S198" i="58"/>
  <c r="S197" i="58"/>
  <c r="S202" i="58"/>
  <c r="S204" i="58"/>
  <c r="S214" i="58"/>
  <c r="S213" i="58"/>
  <c r="S212" i="58"/>
  <c r="S208" i="58"/>
  <c r="S210" i="58"/>
  <c r="S209" i="58"/>
  <c r="S216" i="58"/>
  <c r="S215" i="58"/>
  <c r="S211" i="58"/>
  <c r="T52" i="58"/>
  <c r="BE170" i="58"/>
  <c r="BE166" i="58"/>
  <c r="BE165" i="58"/>
  <c r="BE163" i="58"/>
  <c r="BE169" i="58"/>
  <c r="BE168" i="58"/>
  <c r="BE167" i="58"/>
  <c r="BE162" i="58"/>
  <c r="BE164" i="58"/>
  <c r="BE36" i="58"/>
  <c r="BE41" i="58" s="1"/>
  <c r="T49" i="58"/>
  <c r="S53" i="58"/>
  <c r="S179" i="58"/>
  <c r="S238" i="58" s="1"/>
  <c r="S253" i="58" s="1"/>
  <c r="I117" i="47" s="1"/>
  <c r="S182" i="58"/>
  <c r="S241" i="58" s="1"/>
  <c r="S256" i="58" s="1"/>
  <c r="I114" i="47" s="1"/>
  <c r="S181" i="58"/>
  <c r="S240" i="58" s="1"/>
  <c r="S255" i="58" s="1"/>
  <c r="I116" i="47" s="1"/>
  <c r="S180" i="58"/>
  <c r="S239" i="58" s="1"/>
  <c r="S254" i="58" s="1"/>
  <c r="I110" i="47" s="1"/>
  <c r="S178" i="58"/>
  <c r="S237" i="58" s="1"/>
  <c r="S252" i="58" s="1"/>
  <c r="I115" i="47" s="1"/>
  <c r="S177" i="58"/>
  <c r="S236" i="58" s="1"/>
  <c r="S251" i="58" s="1"/>
  <c r="I113" i="47" s="1"/>
  <c r="S176" i="58"/>
  <c r="S235" i="58" s="1"/>
  <c r="S250" i="58" s="1"/>
  <c r="I112" i="47" s="1"/>
  <c r="S174" i="58"/>
  <c r="S233" i="58" s="1"/>
  <c r="S248" i="58" s="1"/>
  <c r="I109" i="47" s="1"/>
  <c r="S175" i="58"/>
  <c r="S234" i="58" s="1"/>
  <c r="S249" i="58" s="1"/>
  <c r="I111" i="47" s="1"/>
  <c r="S190" i="58"/>
  <c r="S224" i="58" s="1"/>
  <c r="S262" i="58" s="1"/>
  <c r="I124" i="47" s="1"/>
  <c r="S187" i="58"/>
  <c r="S186" i="58"/>
  <c r="S194" i="58"/>
  <c r="S191" i="58"/>
  <c r="S193" i="58"/>
  <c r="S192" i="58"/>
  <c r="S189" i="58"/>
  <c r="S188" i="58"/>
  <c r="T50" i="58"/>
  <c r="BG31" i="58"/>
  <c r="BG34" i="58" s="1"/>
  <c r="BH23" i="58"/>
  <c r="S226" i="58" l="1"/>
  <c r="S264" i="58" s="1"/>
  <c r="I119" i="47" s="1"/>
  <c r="S225" i="58"/>
  <c r="S263" i="58" s="1"/>
  <c r="I126" i="47" s="1"/>
  <c r="S227" i="58"/>
  <c r="S265" i="58" s="1"/>
  <c r="I125" i="47" s="1"/>
  <c r="S221" i="58"/>
  <c r="S259" i="58" s="1"/>
  <c r="I120" i="47" s="1"/>
  <c r="S222" i="58"/>
  <c r="S260" i="58" s="1"/>
  <c r="I121" i="47" s="1"/>
  <c r="S228" i="58"/>
  <c r="S266" i="58" s="1"/>
  <c r="I123" i="47" s="1"/>
  <c r="S220" i="58"/>
  <c r="S258" i="58" s="1"/>
  <c r="I118" i="47" s="1"/>
  <c r="S223" i="58"/>
  <c r="S261" i="58" s="1"/>
  <c r="I122" i="47" s="1"/>
  <c r="R245" i="58"/>
  <c r="T214" i="58"/>
  <c r="T210" i="58"/>
  <c r="U52" i="58"/>
  <c r="T213" i="58"/>
  <c r="T215" i="58"/>
  <c r="T208" i="58"/>
  <c r="T212" i="58"/>
  <c r="T216" i="58"/>
  <c r="T211" i="58"/>
  <c r="T209" i="58"/>
  <c r="T174" i="58"/>
  <c r="T233" i="58" s="1"/>
  <c r="T248" i="58" s="1"/>
  <c r="J109" i="47" s="1"/>
  <c r="T177" i="58"/>
  <c r="T236" i="58" s="1"/>
  <c r="T251" i="58" s="1"/>
  <c r="J113" i="47" s="1"/>
  <c r="U49" i="58"/>
  <c r="T53" i="58"/>
  <c r="T180" i="58"/>
  <c r="T239" i="58" s="1"/>
  <c r="T254" i="58" s="1"/>
  <c r="J110" i="47" s="1"/>
  <c r="T175" i="58"/>
  <c r="T234" i="58" s="1"/>
  <c r="T249" i="58" s="1"/>
  <c r="J111" i="47" s="1"/>
  <c r="T182" i="58"/>
  <c r="T241" i="58" s="1"/>
  <c r="T256" i="58" s="1"/>
  <c r="J114" i="47" s="1"/>
  <c r="T181" i="58"/>
  <c r="T240" i="58" s="1"/>
  <c r="T255" i="58" s="1"/>
  <c r="J116" i="47" s="1"/>
  <c r="T178" i="58"/>
  <c r="T237" i="58" s="1"/>
  <c r="T252" i="58" s="1"/>
  <c r="J115" i="47" s="1"/>
  <c r="T179" i="58"/>
  <c r="T238" i="58" s="1"/>
  <c r="T253" i="58" s="1"/>
  <c r="J117" i="47" s="1"/>
  <c r="T176" i="58"/>
  <c r="T235" i="58" s="1"/>
  <c r="T250" i="58" s="1"/>
  <c r="J112" i="47" s="1"/>
  <c r="BH31" i="58"/>
  <c r="BH34" i="58" s="1"/>
  <c r="BI23" i="58"/>
  <c r="BG35" i="58"/>
  <c r="BG155" i="58"/>
  <c r="BG157" i="58"/>
  <c r="BG151" i="58"/>
  <c r="BG153" i="58"/>
  <c r="BG159" i="58"/>
  <c r="BG152" i="58"/>
  <c r="BG154" i="58"/>
  <c r="BG156" i="58"/>
  <c r="BG158" i="58"/>
  <c r="T187" i="58"/>
  <c r="U50" i="58"/>
  <c r="T190" i="58"/>
  <c r="T186" i="58"/>
  <c r="T194" i="58"/>
  <c r="T193" i="58"/>
  <c r="T189" i="58"/>
  <c r="T192" i="58"/>
  <c r="T191" i="58"/>
  <c r="T188" i="58"/>
  <c r="BF166" i="58"/>
  <c r="BF164" i="58"/>
  <c r="BF162" i="58"/>
  <c r="BF168" i="58"/>
  <c r="BF163" i="58"/>
  <c r="BF169" i="58"/>
  <c r="BF170" i="58"/>
  <c r="BF36" i="58"/>
  <c r="BF41" i="58" s="1"/>
  <c r="BF167" i="58"/>
  <c r="BF165" i="58"/>
  <c r="T197" i="58"/>
  <c r="T205" i="58"/>
  <c r="T198" i="58"/>
  <c r="T201" i="58"/>
  <c r="T203" i="58"/>
  <c r="U51" i="58"/>
  <c r="T204" i="58"/>
  <c r="T202" i="58"/>
  <c r="T200" i="58"/>
  <c r="T199" i="58"/>
  <c r="BH24" i="58"/>
  <c r="BI24" i="58" s="1"/>
  <c r="T226" i="58" l="1"/>
  <c r="T264" i="58" s="1"/>
  <c r="J119" i="47" s="1"/>
  <c r="T223" i="58"/>
  <c r="T261" i="58" s="1"/>
  <c r="J122" i="47" s="1"/>
  <c r="S245" i="58"/>
  <c r="T222" i="58"/>
  <c r="T260" i="58" s="1"/>
  <c r="J121" i="47" s="1"/>
  <c r="T225" i="58"/>
  <c r="T263" i="58" s="1"/>
  <c r="J126" i="47" s="1"/>
  <c r="T227" i="58"/>
  <c r="T265" i="58" s="1"/>
  <c r="J125" i="47" s="1"/>
  <c r="T221" i="58"/>
  <c r="T259" i="58" s="1"/>
  <c r="J120" i="47" s="1"/>
  <c r="BH156" i="58"/>
  <c r="BH151" i="58"/>
  <c r="BH35" i="58"/>
  <c r="BH155" i="58"/>
  <c r="BH152" i="58"/>
  <c r="BH153" i="58"/>
  <c r="BH159" i="58"/>
  <c r="BH157" i="58"/>
  <c r="BH154" i="58"/>
  <c r="BH158" i="58"/>
  <c r="U208" i="58"/>
  <c r="U216" i="58"/>
  <c r="U215" i="58"/>
  <c r="U214" i="58"/>
  <c r="U213" i="58"/>
  <c r="U209" i="58"/>
  <c r="V52" i="58"/>
  <c r="U211" i="58"/>
  <c r="U210" i="58"/>
  <c r="U212" i="58"/>
  <c r="T228" i="58"/>
  <c r="T266" i="58" s="1"/>
  <c r="J123" i="47" s="1"/>
  <c r="T220" i="58"/>
  <c r="U176" i="58"/>
  <c r="U235" i="58" s="1"/>
  <c r="U250" i="58" s="1"/>
  <c r="K112" i="47" s="1"/>
  <c r="U175" i="58"/>
  <c r="U234" i="58" s="1"/>
  <c r="U249" i="58" s="1"/>
  <c r="K111" i="47" s="1"/>
  <c r="U178" i="58"/>
  <c r="U237" i="58" s="1"/>
  <c r="U252" i="58" s="1"/>
  <c r="K115" i="47" s="1"/>
  <c r="U174" i="58"/>
  <c r="U233" i="58" s="1"/>
  <c r="U248" i="58" s="1"/>
  <c r="K109" i="47" s="1"/>
  <c r="V49" i="58"/>
  <c r="U53" i="58"/>
  <c r="U177" i="58"/>
  <c r="U236" i="58" s="1"/>
  <c r="U251" i="58" s="1"/>
  <c r="K113" i="47" s="1"/>
  <c r="U182" i="58"/>
  <c r="U241" i="58" s="1"/>
  <c r="U256" i="58" s="1"/>
  <c r="K114" i="47" s="1"/>
  <c r="U180" i="58"/>
  <c r="U239" i="58" s="1"/>
  <c r="U254" i="58" s="1"/>
  <c r="K110" i="47" s="1"/>
  <c r="U181" i="58"/>
  <c r="U240" i="58" s="1"/>
  <c r="U255" i="58" s="1"/>
  <c r="K116" i="47" s="1"/>
  <c r="U179" i="58"/>
  <c r="U238" i="58" s="1"/>
  <c r="U253" i="58" s="1"/>
  <c r="K117" i="47" s="1"/>
  <c r="T224" i="58"/>
  <c r="T262" i="58" s="1"/>
  <c r="J124" i="47" s="1"/>
  <c r="BG163" i="58"/>
  <c r="BG162" i="58"/>
  <c r="BG165" i="58"/>
  <c r="BG170" i="58"/>
  <c r="BG168" i="58"/>
  <c r="BG169" i="58"/>
  <c r="BG167" i="58"/>
  <c r="BG166" i="58"/>
  <c r="BG36" i="58"/>
  <c r="BG41" i="58" s="1"/>
  <c r="BG164" i="58"/>
  <c r="U199" i="58"/>
  <c r="U198" i="58"/>
  <c r="U197" i="58"/>
  <c r="U201" i="58"/>
  <c r="U202" i="58"/>
  <c r="U205" i="58"/>
  <c r="U200" i="58"/>
  <c r="U203" i="58"/>
  <c r="V51" i="58"/>
  <c r="U204" i="58"/>
  <c r="U188" i="58"/>
  <c r="U187" i="58"/>
  <c r="U186" i="58"/>
  <c r="V50" i="58"/>
  <c r="U189" i="58"/>
  <c r="U194" i="58"/>
  <c r="U228" i="58" s="1"/>
  <c r="U266" i="58" s="1"/>
  <c r="K123" i="47" s="1"/>
  <c r="U193" i="58"/>
  <c r="U191" i="58"/>
  <c r="U192" i="58"/>
  <c r="U190" i="58"/>
  <c r="BJ23" i="58"/>
  <c r="BJ24" i="58" s="1"/>
  <c r="BI31" i="58"/>
  <c r="BI34" i="58" s="1"/>
  <c r="U224" i="58" l="1"/>
  <c r="U262" i="58" s="1"/>
  <c r="K124" i="47" s="1"/>
  <c r="U223" i="58"/>
  <c r="U261" i="58" s="1"/>
  <c r="K122" i="47" s="1"/>
  <c r="U222" i="58"/>
  <c r="U260" i="58" s="1"/>
  <c r="K121" i="47" s="1"/>
  <c r="U220" i="58"/>
  <c r="U258" i="58" s="1"/>
  <c r="K118" i="47" s="1"/>
  <c r="U221" i="58"/>
  <c r="U259" i="58" s="1"/>
  <c r="K120" i="47" s="1"/>
  <c r="V188" i="58"/>
  <c r="V187" i="58"/>
  <c r="V194" i="58"/>
  <c r="V186" i="58"/>
  <c r="V193" i="58"/>
  <c r="W50" i="58"/>
  <c r="V190" i="58"/>
  <c r="V189" i="58"/>
  <c r="V192" i="58"/>
  <c r="V191" i="58"/>
  <c r="T258" i="58"/>
  <c r="J118" i="47" s="1"/>
  <c r="T245" i="58"/>
  <c r="BI153" i="58"/>
  <c r="BI155" i="58"/>
  <c r="BI151" i="58"/>
  <c r="BI157" i="58"/>
  <c r="BI152" i="58"/>
  <c r="BI35" i="58"/>
  <c r="BI159" i="58"/>
  <c r="BI158" i="58"/>
  <c r="BI156" i="58"/>
  <c r="BI154" i="58"/>
  <c r="BJ31" i="58"/>
  <c r="BJ34" i="58" s="1"/>
  <c r="BK23" i="58"/>
  <c r="W51" i="58"/>
  <c r="V204" i="58"/>
  <c r="V201" i="58"/>
  <c r="V205" i="58"/>
  <c r="V203" i="58"/>
  <c r="V202" i="58"/>
  <c r="V198" i="58"/>
  <c r="V197" i="58"/>
  <c r="V200" i="58"/>
  <c r="V199" i="58"/>
  <c r="V208" i="58"/>
  <c r="W52" i="58"/>
  <c r="V210" i="58"/>
  <c r="V209" i="58"/>
  <c r="V216" i="58"/>
  <c r="V215" i="58"/>
  <c r="V211" i="58"/>
  <c r="V213" i="58"/>
  <c r="V214" i="58"/>
  <c r="V212" i="58"/>
  <c r="U226" i="58"/>
  <c r="U264" i="58" s="1"/>
  <c r="K119" i="47" s="1"/>
  <c r="U225" i="58"/>
  <c r="V53" i="58"/>
  <c r="V175" i="58"/>
  <c r="V234" i="58" s="1"/>
  <c r="V249" i="58" s="1"/>
  <c r="L111" i="47" s="1"/>
  <c r="V177" i="58"/>
  <c r="V236" i="58" s="1"/>
  <c r="V251" i="58" s="1"/>
  <c r="L113" i="47" s="1"/>
  <c r="V181" i="58"/>
  <c r="V240" i="58" s="1"/>
  <c r="V255" i="58" s="1"/>
  <c r="L116" i="47" s="1"/>
  <c r="V180" i="58"/>
  <c r="V239" i="58" s="1"/>
  <c r="V254" i="58" s="1"/>
  <c r="L110" i="47" s="1"/>
  <c r="V179" i="58"/>
  <c r="V238" i="58" s="1"/>
  <c r="V253" i="58" s="1"/>
  <c r="L117" i="47" s="1"/>
  <c r="V178" i="58"/>
  <c r="V237" i="58" s="1"/>
  <c r="V252" i="58" s="1"/>
  <c r="L115" i="47" s="1"/>
  <c r="V174" i="58"/>
  <c r="V233" i="58" s="1"/>
  <c r="V248" i="58" s="1"/>
  <c r="L109" i="47" s="1"/>
  <c r="V176" i="58"/>
  <c r="V235" i="58" s="1"/>
  <c r="V250" i="58" s="1"/>
  <c r="L112" i="47" s="1"/>
  <c r="V182" i="58"/>
  <c r="V241" i="58" s="1"/>
  <c r="V256" i="58" s="1"/>
  <c r="L114" i="47" s="1"/>
  <c r="W49" i="58"/>
  <c r="BH170" i="58"/>
  <c r="BH169" i="58"/>
  <c r="BH167" i="58"/>
  <c r="BH166" i="58"/>
  <c r="BH165" i="58"/>
  <c r="BH163" i="58"/>
  <c r="BH168" i="58"/>
  <c r="BH162" i="58"/>
  <c r="BH164" i="58"/>
  <c r="BH36" i="58"/>
  <c r="BH41" i="58" s="1"/>
  <c r="U227" i="58"/>
  <c r="U265" i="58" s="1"/>
  <c r="K125" i="47" s="1"/>
  <c r="BJ158" i="58" l="1"/>
  <c r="BJ156" i="58"/>
  <c r="BJ155" i="58"/>
  <c r="BJ157" i="58"/>
  <c r="BJ153" i="58"/>
  <c r="BJ152" i="58"/>
  <c r="BJ35" i="58"/>
  <c r="BJ151" i="58"/>
  <c r="BJ159" i="58"/>
  <c r="BJ154" i="58"/>
  <c r="U263" i="58"/>
  <c r="K126" i="47" s="1"/>
  <c r="U245" i="58"/>
  <c r="W174" i="58"/>
  <c r="W233" i="58" s="1"/>
  <c r="W248" i="58" s="1"/>
  <c r="M109" i="47" s="1"/>
  <c r="W182" i="58"/>
  <c r="W241" i="58" s="1"/>
  <c r="W256" i="58" s="1"/>
  <c r="M114" i="47" s="1"/>
  <c r="W181" i="58"/>
  <c r="W240" i="58" s="1"/>
  <c r="W255" i="58" s="1"/>
  <c r="M116" i="47" s="1"/>
  <c r="X49" i="58"/>
  <c r="W179" i="58"/>
  <c r="W238" i="58" s="1"/>
  <c r="W253" i="58" s="1"/>
  <c r="M117" i="47" s="1"/>
  <c r="W178" i="58"/>
  <c r="W237" i="58" s="1"/>
  <c r="W252" i="58" s="1"/>
  <c r="M115" i="47" s="1"/>
  <c r="W53" i="58"/>
  <c r="W180" i="58"/>
  <c r="W239" i="58" s="1"/>
  <c r="W254" i="58" s="1"/>
  <c r="M110" i="47" s="1"/>
  <c r="W177" i="58"/>
  <c r="W236" i="58" s="1"/>
  <c r="W251" i="58" s="1"/>
  <c r="M113" i="47" s="1"/>
  <c r="W176" i="58"/>
  <c r="W235" i="58" s="1"/>
  <c r="W250" i="58" s="1"/>
  <c r="M112" i="47" s="1"/>
  <c r="W175" i="58"/>
  <c r="W234" i="58" s="1"/>
  <c r="W249" i="58" s="1"/>
  <c r="M111" i="47" s="1"/>
  <c r="V225" i="58"/>
  <c r="V263" i="58" s="1"/>
  <c r="L126" i="47" s="1"/>
  <c r="V226" i="58"/>
  <c r="V264" i="58" s="1"/>
  <c r="L119" i="47" s="1"/>
  <c r="V223" i="58"/>
  <c r="V261" i="58" s="1"/>
  <c r="L122" i="47" s="1"/>
  <c r="BI164" i="58"/>
  <c r="BI162" i="58"/>
  <c r="BI170" i="58"/>
  <c r="BI169" i="58"/>
  <c r="BI167" i="58"/>
  <c r="BI36" i="58"/>
  <c r="BI41" i="58" s="1"/>
  <c r="BI163" i="58"/>
  <c r="BI166" i="58"/>
  <c r="BI168" i="58"/>
  <c r="BI165" i="58"/>
  <c r="V224" i="58"/>
  <c r="V262" i="58" s="1"/>
  <c r="L124" i="47" s="1"/>
  <c r="W193" i="58"/>
  <c r="W192" i="58"/>
  <c r="W191" i="58"/>
  <c r="W190" i="58"/>
  <c r="W189" i="58"/>
  <c r="W188" i="58"/>
  <c r="W187" i="58"/>
  <c r="W186" i="58"/>
  <c r="X50" i="58"/>
  <c r="W194" i="58"/>
  <c r="W228" i="58" s="1"/>
  <c r="W266" i="58" s="1"/>
  <c r="M123" i="47" s="1"/>
  <c r="V227" i="58"/>
  <c r="V265" i="58" s="1"/>
  <c r="L125" i="47" s="1"/>
  <c r="V220" i="58"/>
  <c r="V228" i="58"/>
  <c r="V266" i="58" s="1"/>
  <c r="L123" i="47" s="1"/>
  <c r="W197" i="58"/>
  <c r="W205" i="58"/>
  <c r="W200" i="58"/>
  <c r="W203" i="58"/>
  <c r="W198" i="58"/>
  <c r="W199" i="58"/>
  <c r="W204" i="58"/>
  <c r="X51" i="58"/>
  <c r="W202" i="58"/>
  <c r="W201" i="58"/>
  <c r="V221" i="58"/>
  <c r="V259" i="58" s="1"/>
  <c r="L120" i="47" s="1"/>
  <c r="W208" i="58"/>
  <c r="W216" i="58"/>
  <c r="W215" i="58"/>
  <c r="W214" i="58"/>
  <c r="W210" i="58"/>
  <c r="W213" i="58"/>
  <c r="W212" i="58"/>
  <c r="W211" i="58"/>
  <c r="X52" i="58"/>
  <c r="W209" i="58"/>
  <c r="BK31" i="58"/>
  <c r="BK34" i="58" s="1"/>
  <c r="BL23" i="58"/>
  <c r="BK24" i="58"/>
  <c r="BL24" i="58" s="1"/>
  <c r="V222" i="58"/>
  <c r="V260" i="58" s="1"/>
  <c r="L121" i="47" s="1"/>
  <c r="BK157" i="58" l="1"/>
  <c r="BK152" i="58"/>
  <c r="BK159" i="58"/>
  <c r="BK156" i="58"/>
  <c r="BK35" i="58"/>
  <c r="BK153" i="58"/>
  <c r="BK154" i="58"/>
  <c r="BK158" i="58"/>
  <c r="BK155" i="58"/>
  <c r="BK151" i="58"/>
  <c r="X216" i="58"/>
  <c r="X215" i="58"/>
  <c r="X214" i="58"/>
  <c r="X212" i="58"/>
  <c r="X208" i="58"/>
  <c r="X211" i="58"/>
  <c r="X210" i="58"/>
  <c r="Y52" i="58"/>
  <c r="X209" i="58"/>
  <c r="X213" i="58"/>
  <c r="X201" i="58"/>
  <c r="X203" i="58"/>
  <c r="X199" i="58"/>
  <c r="X200" i="58"/>
  <c r="X198" i="58"/>
  <c r="X204" i="58"/>
  <c r="X197" i="58"/>
  <c r="Y51" i="58"/>
  <c r="X205" i="58"/>
  <c r="X202" i="58"/>
  <c r="X192" i="58"/>
  <c r="X191" i="58"/>
  <c r="X225" i="58" s="1"/>
  <c r="X263" i="58" s="1"/>
  <c r="N126" i="47" s="1"/>
  <c r="X189" i="58"/>
  <c r="X190" i="58"/>
  <c r="X187" i="58"/>
  <c r="X221" i="58" s="1"/>
  <c r="X259" i="58" s="1"/>
  <c r="N120" i="47" s="1"/>
  <c r="X188" i="58"/>
  <c r="Y50" i="58"/>
  <c r="X186" i="58"/>
  <c r="X220" i="58" s="1"/>
  <c r="X258" i="58" s="1"/>
  <c r="N118" i="47" s="1"/>
  <c r="X194" i="58"/>
  <c r="X193" i="58"/>
  <c r="W220" i="58"/>
  <c r="W221" i="58"/>
  <c r="W259" i="58" s="1"/>
  <c r="M120" i="47" s="1"/>
  <c r="W222" i="58"/>
  <c r="W260" i="58" s="1"/>
  <c r="M121" i="47" s="1"/>
  <c r="BJ170" i="58"/>
  <c r="BJ169" i="58"/>
  <c r="BJ162" i="58"/>
  <c r="BJ168" i="58"/>
  <c r="BJ36" i="58"/>
  <c r="BJ41" i="58" s="1"/>
  <c r="BJ167" i="58"/>
  <c r="BJ165" i="58"/>
  <c r="BJ163" i="58"/>
  <c r="BJ166" i="58"/>
  <c r="BJ164" i="58"/>
  <c r="W223" i="58"/>
  <c r="W261" i="58" s="1"/>
  <c r="M122" i="47" s="1"/>
  <c r="W224" i="58"/>
  <c r="W262" i="58" s="1"/>
  <c r="M124" i="47" s="1"/>
  <c r="W225" i="58"/>
  <c r="W263" i="58" s="1"/>
  <c r="M126" i="47" s="1"/>
  <c r="X175" i="58"/>
  <c r="X234" i="58" s="1"/>
  <c r="X249" i="58" s="1"/>
  <c r="N111" i="47" s="1"/>
  <c r="X174" i="58"/>
  <c r="X233" i="58" s="1"/>
  <c r="X248" i="58" s="1"/>
  <c r="N109" i="47" s="1"/>
  <c r="X181" i="58"/>
  <c r="X240" i="58" s="1"/>
  <c r="X255" i="58" s="1"/>
  <c r="N116" i="47" s="1"/>
  <c r="X180" i="58"/>
  <c r="X239" i="58" s="1"/>
  <c r="X254" i="58" s="1"/>
  <c r="N110" i="47" s="1"/>
  <c r="Y49" i="58"/>
  <c r="X182" i="58"/>
  <c r="X241" i="58" s="1"/>
  <c r="X256" i="58" s="1"/>
  <c r="N114" i="47" s="1"/>
  <c r="X179" i="58"/>
  <c r="X238" i="58" s="1"/>
  <c r="X253" i="58" s="1"/>
  <c r="N117" i="47" s="1"/>
  <c r="X178" i="58"/>
  <c r="X237" i="58" s="1"/>
  <c r="X252" i="58" s="1"/>
  <c r="N115" i="47" s="1"/>
  <c r="X177" i="58"/>
  <c r="X236" i="58" s="1"/>
  <c r="X251" i="58" s="1"/>
  <c r="N113" i="47" s="1"/>
  <c r="X176" i="58"/>
  <c r="X235" i="58" s="1"/>
  <c r="X250" i="58" s="1"/>
  <c r="N112" i="47" s="1"/>
  <c r="X53" i="58"/>
  <c r="W226" i="58"/>
  <c r="W264" i="58" s="1"/>
  <c r="M119" i="47" s="1"/>
  <c r="W227" i="58"/>
  <c r="W265" i="58" s="1"/>
  <c r="M125" i="47" s="1"/>
  <c r="BL31" i="58"/>
  <c r="BL34" i="58" s="1"/>
  <c r="BM23" i="58"/>
  <c r="V245" i="58"/>
  <c r="V258" i="58"/>
  <c r="L118" i="47" s="1"/>
  <c r="X224" i="58" l="1"/>
  <c r="X262" i="58" s="1"/>
  <c r="N124" i="47" s="1"/>
  <c r="X226" i="58"/>
  <c r="X264" i="58" s="1"/>
  <c r="N119" i="47" s="1"/>
  <c r="BM31" i="58"/>
  <c r="BM34" i="58" s="1"/>
  <c r="BN23" i="58"/>
  <c r="X222" i="58"/>
  <c r="BM24" i="58"/>
  <c r="BN24" i="58" s="1"/>
  <c r="X223" i="58"/>
  <c r="X261" i="58" s="1"/>
  <c r="N122" i="47" s="1"/>
  <c r="Y214" i="58"/>
  <c r="Y213" i="58"/>
  <c r="Y212" i="58"/>
  <c r="Y211" i="58"/>
  <c r="Y209" i="58"/>
  <c r="Y210" i="58"/>
  <c r="Y215" i="58"/>
  <c r="Y216" i="58"/>
  <c r="Z52" i="58"/>
  <c r="Y208" i="58"/>
  <c r="W258" i="58"/>
  <c r="M118" i="47" s="1"/>
  <c r="W245" i="58"/>
  <c r="BK170" i="58"/>
  <c r="BK168" i="58"/>
  <c r="BK166" i="58"/>
  <c r="BK169" i="58"/>
  <c r="BK163" i="58"/>
  <c r="BK167" i="58"/>
  <c r="BK164" i="58"/>
  <c r="BK162" i="58"/>
  <c r="BK165" i="58"/>
  <c r="BK36" i="58"/>
  <c r="BK41" i="58" s="1"/>
  <c r="X227" i="58"/>
  <c r="X265" i="58" s="1"/>
  <c r="N125" i="47" s="1"/>
  <c r="Y205" i="58"/>
  <c r="Y202" i="58"/>
  <c r="Y200" i="58"/>
  <c r="Y203" i="58"/>
  <c r="Y199" i="58"/>
  <c r="Y201" i="58"/>
  <c r="Y198" i="58"/>
  <c r="Z51" i="58"/>
  <c r="Y197" i="58"/>
  <c r="Y204" i="58"/>
  <c r="X228" i="58"/>
  <c r="X266" i="58" s="1"/>
  <c r="N123" i="47" s="1"/>
  <c r="BL35" i="58"/>
  <c r="BL153" i="58"/>
  <c r="BL157" i="58"/>
  <c r="BL151" i="58"/>
  <c r="BL154" i="58"/>
  <c r="BL155" i="58"/>
  <c r="BL159" i="58"/>
  <c r="BL158" i="58"/>
  <c r="BL156" i="58"/>
  <c r="BL152" i="58"/>
  <c r="Y174" i="58"/>
  <c r="Y233" i="58" s="1"/>
  <c r="Y248" i="58" s="1"/>
  <c r="O109" i="47" s="1"/>
  <c r="Y182" i="58"/>
  <c r="Y241" i="58" s="1"/>
  <c r="Y256" i="58" s="1"/>
  <c r="O114" i="47" s="1"/>
  <c r="Y181" i="58"/>
  <c r="Y240" i="58" s="1"/>
  <c r="Y255" i="58" s="1"/>
  <c r="O116" i="47" s="1"/>
  <c r="Y180" i="58"/>
  <c r="Y239" i="58" s="1"/>
  <c r="Y254" i="58" s="1"/>
  <c r="O110" i="47" s="1"/>
  <c r="Y53" i="58"/>
  <c r="Y179" i="58"/>
  <c r="Y238" i="58" s="1"/>
  <c r="Y253" i="58" s="1"/>
  <c r="O117" i="47" s="1"/>
  <c r="Z49" i="58"/>
  <c r="Y178" i="58"/>
  <c r="Y237" i="58" s="1"/>
  <c r="Y252" i="58" s="1"/>
  <c r="O115" i="47" s="1"/>
  <c r="Y176" i="58"/>
  <c r="Y235" i="58" s="1"/>
  <c r="Y250" i="58" s="1"/>
  <c r="O112" i="47" s="1"/>
  <c r="Y177" i="58"/>
  <c r="Y236" i="58" s="1"/>
  <c r="Y251" i="58" s="1"/>
  <c r="O113" i="47" s="1"/>
  <c r="Y175" i="58"/>
  <c r="Y234" i="58" s="1"/>
  <c r="Y249" i="58" s="1"/>
  <c r="O111" i="47" s="1"/>
  <c r="Y191" i="58"/>
  <c r="Y190" i="58"/>
  <c r="Y189" i="58"/>
  <c r="Y188" i="58"/>
  <c r="Y187" i="58"/>
  <c r="Y186" i="58"/>
  <c r="Y220" i="58" s="1"/>
  <c r="Y194" i="58"/>
  <c r="Y228" i="58" s="1"/>
  <c r="Y266" i="58" s="1"/>
  <c r="O123" i="47" s="1"/>
  <c r="Y193" i="58"/>
  <c r="Y227" i="58" s="1"/>
  <c r="Y265" i="58" s="1"/>
  <c r="O125" i="47" s="1"/>
  <c r="Z50" i="58"/>
  <c r="Y192" i="58"/>
  <c r="Y226" i="58" s="1"/>
  <c r="Y264" i="58" s="1"/>
  <c r="O119" i="47" s="1"/>
  <c r="Y258" i="58"/>
  <c r="O118" i="47" s="1"/>
  <c r="Y223" i="58" l="1"/>
  <c r="Y261" i="58" s="1"/>
  <c r="O122" i="47" s="1"/>
  <c r="Y222" i="58"/>
  <c r="Y260" i="58" s="1"/>
  <c r="O121" i="47" s="1"/>
  <c r="Y224" i="58"/>
  <c r="Y262" i="58" s="1"/>
  <c r="O124" i="47" s="1"/>
  <c r="Y221" i="58"/>
  <c r="Y259" i="58" s="1"/>
  <c r="O120" i="47" s="1"/>
  <c r="Z201" i="58"/>
  <c r="Z202" i="58"/>
  <c r="Z200" i="58"/>
  <c r="Z197" i="58"/>
  <c r="Z199" i="58"/>
  <c r="Z204" i="58"/>
  <c r="Z198" i="58"/>
  <c r="AA51" i="58"/>
  <c r="Z205" i="58"/>
  <c r="Z203" i="58"/>
  <c r="Z194" i="58"/>
  <c r="Z193" i="58"/>
  <c r="Z188" i="58"/>
  <c r="Z186" i="58"/>
  <c r="AA50" i="58"/>
  <c r="Z187" i="58"/>
  <c r="Z192" i="58"/>
  <c r="Z190" i="58"/>
  <c r="Z191" i="58"/>
  <c r="Z189" i="58"/>
  <c r="Z180" i="58"/>
  <c r="Z239" i="58" s="1"/>
  <c r="Z254" i="58" s="1"/>
  <c r="P110" i="47" s="1"/>
  <c r="Z179" i="58"/>
  <c r="Z238" i="58" s="1"/>
  <c r="Z253" i="58" s="1"/>
  <c r="P117" i="47" s="1"/>
  <c r="Z178" i="58"/>
  <c r="Z237" i="58" s="1"/>
  <c r="Z252" i="58" s="1"/>
  <c r="P115" i="47" s="1"/>
  <c r="Z176" i="58"/>
  <c r="Z235" i="58" s="1"/>
  <c r="Z250" i="58" s="1"/>
  <c r="P112" i="47" s="1"/>
  <c r="Z177" i="58"/>
  <c r="Z236" i="58" s="1"/>
  <c r="Z251" i="58" s="1"/>
  <c r="P113" i="47" s="1"/>
  <c r="Z53" i="58"/>
  <c r="AA49" i="58"/>
  <c r="Z174" i="58"/>
  <c r="Z233" i="58" s="1"/>
  <c r="Z248" i="58" s="1"/>
  <c r="P109" i="47" s="1"/>
  <c r="Z182" i="58"/>
  <c r="Z241" i="58" s="1"/>
  <c r="Z256" i="58" s="1"/>
  <c r="P114" i="47" s="1"/>
  <c r="Z175" i="58"/>
  <c r="Z234" i="58" s="1"/>
  <c r="Z249" i="58" s="1"/>
  <c r="P111" i="47" s="1"/>
  <c r="Z181" i="58"/>
  <c r="Z240" i="58" s="1"/>
  <c r="Z255" i="58" s="1"/>
  <c r="P116" i="47" s="1"/>
  <c r="BL168" i="58"/>
  <c r="BL167" i="58"/>
  <c r="BL166" i="58"/>
  <c r="BL165" i="58"/>
  <c r="BL163" i="58"/>
  <c r="BL170" i="58"/>
  <c r="BL162" i="58"/>
  <c r="BL164" i="58"/>
  <c r="BL36" i="58"/>
  <c r="BL41" i="58" s="1"/>
  <c r="BL169" i="58"/>
  <c r="X260" i="58"/>
  <c r="N121" i="47" s="1"/>
  <c r="X245" i="58"/>
  <c r="Z213" i="58"/>
  <c r="Z212" i="58"/>
  <c r="Z211" i="58"/>
  <c r="Z216" i="58"/>
  <c r="Z210" i="58"/>
  <c r="Z208" i="58"/>
  <c r="AA52" i="58"/>
  <c r="Z215" i="58"/>
  <c r="Z209" i="58"/>
  <c r="Z214" i="58"/>
  <c r="BN31" i="58"/>
  <c r="BN34" i="58" s="1"/>
  <c r="BO23" i="58"/>
  <c r="Y225" i="58"/>
  <c r="Y263" i="58" s="1"/>
  <c r="O126" i="47" s="1"/>
  <c r="BM159" i="58"/>
  <c r="BM156" i="58"/>
  <c r="BM158" i="58"/>
  <c r="BM35" i="58"/>
  <c r="BM155" i="58"/>
  <c r="BM154" i="58"/>
  <c r="BM151" i="58"/>
  <c r="BM153" i="58"/>
  <c r="BM157" i="58"/>
  <c r="BM152" i="58"/>
  <c r="Z227" i="58" l="1"/>
  <c r="Z265" i="58" s="1"/>
  <c r="P125" i="47" s="1"/>
  <c r="Z228" i="58"/>
  <c r="Z266" i="58" s="1"/>
  <c r="P123" i="47" s="1"/>
  <c r="BO24" i="58"/>
  <c r="BO31" i="58"/>
  <c r="BO34" i="58" s="1"/>
  <c r="BP23" i="58"/>
  <c r="Y245" i="58"/>
  <c r="Z223" i="58"/>
  <c r="Z261" i="58" s="1"/>
  <c r="P122" i="47" s="1"/>
  <c r="AA201" i="58"/>
  <c r="AA200" i="58"/>
  <c r="AA199" i="58"/>
  <c r="AA203" i="58"/>
  <c r="AA198" i="58"/>
  <c r="AA197" i="58"/>
  <c r="AB51" i="58"/>
  <c r="AA202" i="58"/>
  <c r="AA204" i="58"/>
  <c r="AA205" i="58"/>
  <c r="Z225" i="58"/>
  <c r="Z263" i="58" s="1"/>
  <c r="P126" i="47" s="1"/>
  <c r="Z224" i="58"/>
  <c r="Z262" i="58" s="1"/>
  <c r="P124" i="47" s="1"/>
  <c r="BN157" i="58"/>
  <c r="BN152" i="58"/>
  <c r="BN159" i="58"/>
  <c r="BN155" i="58"/>
  <c r="BN151" i="58"/>
  <c r="BN158" i="58"/>
  <c r="BN154" i="58"/>
  <c r="BN156" i="58"/>
  <c r="BN35" i="58"/>
  <c r="BN153" i="58"/>
  <c r="Z226" i="58"/>
  <c r="Z264" i="58" s="1"/>
  <c r="P119" i="47" s="1"/>
  <c r="Z221" i="58"/>
  <c r="Z259" i="58" s="1"/>
  <c r="P120" i="47" s="1"/>
  <c r="AA214" i="58"/>
  <c r="AA213" i="58"/>
  <c r="AA212" i="58"/>
  <c r="AA211" i="58"/>
  <c r="AA210" i="58"/>
  <c r="AA209" i="58"/>
  <c r="AA208" i="58"/>
  <c r="AB52" i="58"/>
  <c r="AA216" i="58"/>
  <c r="AA215" i="58"/>
  <c r="AA178" i="58"/>
  <c r="AA237" i="58" s="1"/>
  <c r="AA252" i="58" s="1"/>
  <c r="Q115" i="47" s="1"/>
  <c r="AA177" i="58"/>
  <c r="AA236" i="58" s="1"/>
  <c r="AA251" i="58" s="1"/>
  <c r="Q113" i="47" s="1"/>
  <c r="AA53" i="58"/>
  <c r="AB49" i="58"/>
  <c r="AA176" i="58"/>
  <c r="AA235" i="58" s="1"/>
  <c r="AA250" i="58" s="1"/>
  <c r="Q112" i="47" s="1"/>
  <c r="AA175" i="58"/>
  <c r="AA234" i="58" s="1"/>
  <c r="AA249" i="58" s="1"/>
  <c r="Q111" i="47" s="1"/>
  <c r="AA174" i="58"/>
  <c r="AA233" i="58" s="1"/>
  <c r="AA248" i="58" s="1"/>
  <c r="Q109" i="47" s="1"/>
  <c r="AA182" i="58"/>
  <c r="AA241" i="58" s="1"/>
  <c r="AA256" i="58" s="1"/>
  <c r="Q114" i="47" s="1"/>
  <c r="AA181" i="58"/>
  <c r="AA240" i="58" s="1"/>
  <c r="AA255" i="58" s="1"/>
  <c r="Q116" i="47" s="1"/>
  <c r="AA180" i="58"/>
  <c r="AA239" i="58" s="1"/>
  <c r="AA254" i="58" s="1"/>
  <c r="Q110" i="47" s="1"/>
  <c r="AA179" i="58"/>
  <c r="AA238" i="58" s="1"/>
  <c r="AA253" i="58" s="1"/>
  <c r="Q117" i="47" s="1"/>
  <c r="AA188" i="58"/>
  <c r="AA187" i="58"/>
  <c r="AA186" i="58"/>
  <c r="AA220" i="58" s="1"/>
  <c r="AA258" i="58" s="1"/>
  <c r="Q118" i="47" s="1"/>
  <c r="AA194" i="58"/>
  <c r="AA228" i="58" s="1"/>
  <c r="AA266" i="58" s="1"/>
  <c r="Q123" i="47" s="1"/>
  <c r="AA193" i="58"/>
  <c r="AA227" i="58" s="1"/>
  <c r="AA265" i="58" s="1"/>
  <c r="Q125" i="47" s="1"/>
  <c r="AA192" i="58"/>
  <c r="AB50" i="58"/>
  <c r="AA191" i="58"/>
  <c r="AA225" i="58" s="1"/>
  <c r="AA263" i="58" s="1"/>
  <c r="Q126" i="47" s="1"/>
  <c r="AA190" i="58"/>
  <c r="AA224" i="58" s="1"/>
  <c r="AA262" i="58" s="1"/>
  <c r="Q124" i="47" s="1"/>
  <c r="AA189" i="58"/>
  <c r="Z220" i="58"/>
  <c r="BM165" i="58"/>
  <c r="BM169" i="58"/>
  <c r="BM168" i="58"/>
  <c r="BM166" i="58"/>
  <c r="BM167" i="58"/>
  <c r="BM164" i="58"/>
  <c r="BM170" i="58"/>
  <c r="BM162" i="58"/>
  <c r="BM163" i="58"/>
  <c r="BM36" i="58"/>
  <c r="BM41" i="58" s="1"/>
  <c r="Z222" i="58"/>
  <c r="Z260" i="58" s="1"/>
  <c r="P121" i="47" s="1"/>
  <c r="AA221" i="58" l="1"/>
  <c r="AA259" i="58" s="1"/>
  <c r="Q120" i="47" s="1"/>
  <c r="AA226" i="58"/>
  <c r="AA264" i="58" s="1"/>
  <c r="Q119" i="47" s="1"/>
  <c r="AA222" i="58"/>
  <c r="AA260" i="58" s="1"/>
  <c r="Q121" i="47" s="1"/>
  <c r="AA223" i="58"/>
  <c r="AA261" i="58" s="1"/>
  <c r="Q122" i="47" s="1"/>
  <c r="AB187" i="58"/>
  <c r="AB191" i="58"/>
  <c r="AB186" i="58"/>
  <c r="AB192" i="58"/>
  <c r="AB188" i="58"/>
  <c r="AB194" i="58"/>
  <c r="AB193" i="58"/>
  <c r="AC50" i="58"/>
  <c r="AB189" i="58"/>
  <c r="AB190" i="58"/>
  <c r="AB180" i="58"/>
  <c r="AB239" i="58" s="1"/>
  <c r="AB254" i="58" s="1"/>
  <c r="R110" i="47" s="1"/>
  <c r="AB53" i="58"/>
  <c r="AB179" i="58"/>
  <c r="AB238" i="58" s="1"/>
  <c r="AB253" i="58" s="1"/>
  <c r="R117" i="47" s="1"/>
  <c r="AB176" i="58"/>
  <c r="AB235" i="58" s="1"/>
  <c r="AB250" i="58" s="1"/>
  <c r="R112" i="47" s="1"/>
  <c r="AB178" i="58"/>
  <c r="AB237" i="58" s="1"/>
  <c r="AB252" i="58" s="1"/>
  <c r="R115" i="47" s="1"/>
  <c r="AB177" i="58"/>
  <c r="AB236" i="58" s="1"/>
  <c r="AB251" i="58" s="1"/>
  <c r="R113" i="47" s="1"/>
  <c r="AC49" i="58"/>
  <c r="AB174" i="58"/>
  <c r="AB233" i="58" s="1"/>
  <c r="AB248" i="58" s="1"/>
  <c r="R109" i="47" s="1"/>
  <c r="AB175" i="58"/>
  <c r="AB234" i="58" s="1"/>
  <c r="AB249" i="58" s="1"/>
  <c r="R111" i="47" s="1"/>
  <c r="AB181" i="58"/>
  <c r="AB240" i="58" s="1"/>
  <c r="AB255" i="58" s="1"/>
  <c r="R116" i="47" s="1"/>
  <c r="AB182" i="58"/>
  <c r="AB241" i="58" s="1"/>
  <c r="AB256" i="58" s="1"/>
  <c r="R114" i="47" s="1"/>
  <c r="BP24" i="58"/>
  <c r="BP31" i="58"/>
  <c r="BP34" i="58" s="1"/>
  <c r="BQ23" i="58"/>
  <c r="BN164" i="58"/>
  <c r="BN163" i="58"/>
  <c r="BN169" i="58"/>
  <c r="BN162" i="58"/>
  <c r="BN36" i="58"/>
  <c r="BN41" i="58" s="1"/>
  <c r="BN168" i="58"/>
  <c r="BN167" i="58"/>
  <c r="BN170" i="58"/>
  <c r="BN166" i="58"/>
  <c r="BN165" i="58"/>
  <c r="BO159" i="58"/>
  <c r="BO152" i="58"/>
  <c r="BO156" i="58"/>
  <c r="BO158" i="58"/>
  <c r="BO35" i="58"/>
  <c r="BO151" i="58"/>
  <c r="BO153" i="58"/>
  <c r="BO155" i="58"/>
  <c r="BO157" i="58"/>
  <c r="BO154" i="58"/>
  <c r="AA245" i="58"/>
  <c r="Z258" i="58"/>
  <c r="P118" i="47" s="1"/>
  <c r="Z245" i="58"/>
  <c r="AB216" i="58"/>
  <c r="AB215" i="58"/>
  <c r="AB211" i="58"/>
  <c r="AB210" i="58"/>
  <c r="AB214" i="58"/>
  <c r="AB213" i="58"/>
  <c r="AB212" i="58"/>
  <c r="AB209" i="58"/>
  <c r="AB208" i="58"/>
  <c r="AC52" i="58"/>
  <c r="AB202" i="58"/>
  <c r="AB203" i="58"/>
  <c r="AB200" i="58"/>
  <c r="AB198" i="58"/>
  <c r="AB199" i="58"/>
  <c r="AB205" i="58"/>
  <c r="AB197" i="58"/>
  <c r="AB201" i="58"/>
  <c r="AC51" i="58"/>
  <c r="AB204" i="58"/>
  <c r="BQ24" i="58" l="1"/>
  <c r="BQ31" i="58"/>
  <c r="BQ34" i="58" s="1"/>
  <c r="BR23" i="58"/>
  <c r="BR31" i="58" s="1"/>
  <c r="BR34" i="58" s="1"/>
  <c r="BP152" i="58"/>
  <c r="BP159" i="58"/>
  <c r="BP156" i="58"/>
  <c r="BP155" i="58"/>
  <c r="BP154" i="58"/>
  <c r="BP157" i="58"/>
  <c r="BP158" i="58"/>
  <c r="BP35" i="58"/>
  <c r="BP151" i="58"/>
  <c r="BP153" i="58"/>
  <c r="AB224" i="58"/>
  <c r="AB262" i="58" s="1"/>
  <c r="R124" i="47" s="1"/>
  <c r="AC216" i="58"/>
  <c r="AC215" i="58"/>
  <c r="AC214" i="58"/>
  <c r="AC213" i="58"/>
  <c r="AC212" i="58"/>
  <c r="AC211" i="58"/>
  <c r="AC210" i="58"/>
  <c r="AC209" i="58"/>
  <c r="AC208" i="58"/>
  <c r="AD52" i="58"/>
  <c r="AB223" i="58"/>
  <c r="AB261" i="58" s="1"/>
  <c r="R122" i="47" s="1"/>
  <c r="AC194" i="58"/>
  <c r="AC193" i="58"/>
  <c r="AC192" i="58"/>
  <c r="AC191" i="58"/>
  <c r="AD50" i="58"/>
  <c r="AC190" i="58"/>
  <c r="AC188" i="58"/>
  <c r="AC189" i="58"/>
  <c r="AC187" i="58"/>
  <c r="AC186" i="58"/>
  <c r="AB227" i="58"/>
  <c r="AB265" i="58" s="1"/>
  <c r="R125" i="47" s="1"/>
  <c r="AD51" i="58"/>
  <c r="AC202" i="58"/>
  <c r="AC203" i="58"/>
  <c r="AC200" i="58"/>
  <c r="AC205" i="58"/>
  <c r="AC199" i="58"/>
  <c r="AC201" i="58"/>
  <c r="AC198" i="58"/>
  <c r="AC197" i="58"/>
  <c r="AC204" i="58"/>
  <c r="AB228" i="58"/>
  <c r="AB266" i="58" s="1"/>
  <c r="R123" i="47" s="1"/>
  <c r="AC175" i="58"/>
  <c r="AC234" i="58" s="1"/>
  <c r="AC249" i="58" s="1"/>
  <c r="S111" i="47" s="1"/>
  <c r="AC53" i="58"/>
  <c r="AD49" i="58"/>
  <c r="AC174" i="58"/>
  <c r="AC233" i="58" s="1"/>
  <c r="AC248" i="58" s="1"/>
  <c r="S109" i="47" s="1"/>
  <c r="AC181" i="58"/>
  <c r="AC240" i="58" s="1"/>
  <c r="AC255" i="58" s="1"/>
  <c r="S116" i="47" s="1"/>
  <c r="AC182" i="58"/>
  <c r="AC241" i="58" s="1"/>
  <c r="AC256" i="58" s="1"/>
  <c r="S114" i="47" s="1"/>
  <c r="AC180" i="58"/>
  <c r="AC239" i="58" s="1"/>
  <c r="AC254" i="58" s="1"/>
  <c r="S110" i="47" s="1"/>
  <c r="AC179" i="58"/>
  <c r="AC238" i="58" s="1"/>
  <c r="AC253" i="58" s="1"/>
  <c r="S117" i="47" s="1"/>
  <c r="AC178" i="58"/>
  <c r="AC237" i="58" s="1"/>
  <c r="AC252" i="58" s="1"/>
  <c r="S115" i="47" s="1"/>
  <c r="AC177" i="58"/>
  <c r="AC236" i="58" s="1"/>
  <c r="AC251" i="58" s="1"/>
  <c r="S113" i="47" s="1"/>
  <c r="AC176" i="58"/>
  <c r="AC235" i="58" s="1"/>
  <c r="AC250" i="58" s="1"/>
  <c r="S112" i="47" s="1"/>
  <c r="AB222" i="58"/>
  <c r="AB260" i="58" s="1"/>
  <c r="R121" i="47" s="1"/>
  <c r="AB226" i="58"/>
  <c r="AB264" i="58" s="1"/>
  <c r="R119" i="47" s="1"/>
  <c r="BO166" i="58"/>
  <c r="BO165" i="58"/>
  <c r="BO162" i="58"/>
  <c r="BO169" i="58"/>
  <c r="BO164" i="58"/>
  <c r="BO170" i="58"/>
  <c r="BO168" i="58"/>
  <c r="BO163" i="58"/>
  <c r="BO36" i="58"/>
  <c r="BO41" i="58" s="1"/>
  <c r="BO167" i="58"/>
  <c r="AB220" i="58"/>
  <c r="AB225" i="58"/>
  <c r="AB263" i="58" s="1"/>
  <c r="R126" i="47" s="1"/>
  <c r="AB221" i="58"/>
  <c r="AB259" i="58" s="1"/>
  <c r="R120" i="47" s="1"/>
  <c r="AC222" i="58" l="1"/>
  <c r="AC260" i="58" s="1"/>
  <c r="S121" i="47" s="1"/>
  <c r="AC223" i="58"/>
  <c r="AC261" i="58" s="1"/>
  <c r="S122" i="47" s="1"/>
  <c r="AD209" i="58"/>
  <c r="AE52" i="58"/>
  <c r="AD213" i="58"/>
  <c r="AD214" i="58"/>
  <c r="AD210" i="58"/>
  <c r="AD215" i="58"/>
  <c r="AD212" i="58"/>
  <c r="AD211" i="58"/>
  <c r="AD208" i="58"/>
  <c r="AD216" i="58"/>
  <c r="AB258" i="58"/>
  <c r="R118" i="47" s="1"/>
  <c r="AB245" i="58"/>
  <c r="AC220" i="58"/>
  <c r="AC221" i="58"/>
  <c r="AC259" i="58" s="1"/>
  <c r="S120" i="47" s="1"/>
  <c r="BP170" i="58"/>
  <c r="BP169" i="58"/>
  <c r="BP167" i="58"/>
  <c r="BP36" i="58"/>
  <c r="BP41" i="58" s="1"/>
  <c r="BP168" i="58"/>
  <c r="BP166" i="58"/>
  <c r="BP165" i="58"/>
  <c r="BP164" i="58"/>
  <c r="BP162" i="58"/>
  <c r="BP163" i="58"/>
  <c r="AC224" i="58"/>
  <c r="AC262" i="58" s="1"/>
  <c r="S124" i="47" s="1"/>
  <c r="AD189" i="58"/>
  <c r="AD186" i="58"/>
  <c r="AE50" i="58"/>
  <c r="AD188" i="58"/>
  <c r="AD191" i="58"/>
  <c r="AD187" i="58"/>
  <c r="AD194" i="58"/>
  <c r="AD193" i="58"/>
  <c r="AD192" i="58"/>
  <c r="AD190" i="58"/>
  <c r="AC225" i="58"/>
  <c r="AC263" i="58" s="1"/>
  <c r="S126" i="47" s="1"/>
  <c r="AC226" i="58"/>
  <c r="AC264" i="58" s="1"/>
  <c r="S119" i="47" s="1"/>
  <c r="AC227" i="58"/>
  <c r="AC265" i="58" s="1"/>
  <c r="S125" i="47" s="1"/>
  <c r="AD53" i="58"/>
  <c r="AD182" i="58"/>
  <c r="AD241" i="58" s="1"/>
  <c r="AD256" i="58" s="1"/>
  <c r="T114" i="47" s="1"/>
  <c r="AD181" i="58"/>
  <c r="AD240" i="58" s="1"/>
  <c r="AD255" i="58" s="1"/>
  <c r="T116" i="47" s="1"/>
  <c r="AD180" i="58"/>
  <c r="AD239" i="58" s="1"/>
  <c r="AD254" i="58" s="1"/>
  <c r="T110" i="47" s="1"/>
  <c r="AD179" i="58"/>
  <c r="AD238" i="58" s="1"/>
  <c r="AD253" i="58" s="1"/>
  <c r="T117" i="47" s="1"/>
  <c r="AD177" i="58"/>
  <c r="AD236" i="58" s="1"/>
  <c r="AD251" i="58" s="1"/>
  <c r="T113" i="47" s="1"/>
  <c r="AD176" i="58"/>
  <c r="AD235" i="58" s="1"/>
  <c r="AD250" i="58" s="1"/>
  <c r="T112" i="47" s="1"/>
  <c r="AD175" i="58"/>
  <c r="AD234" i="58" s="1"/>
  <c r="AD249" i="58" s="1"/>
  <c r="T111" i="47" s="1"/>
  <c r="AD174" i="58"/>
  <c r="AD233" i="58" s="1"/>
  <c r="AD248" i="58" s="1"/>
  <c r="T109" i="47" s="1"/>
  <c r="AE49" i="58"/>
  <c r="AD178" i="58"/>
  <c r="AD237" i="58" s="1"/>
  <c r="AD252" i="58" s="1"/>
  <c r="T115" i="47" s="1"/>
  <c r="AC228" i="58"/>
  <c r="AC266" i="58" s="1"/>
  <c r="S123" i="47" s="1"/>
  <c r="BR157" i="58"/>
  <c r="BR152" i="58"/>
  <c r="BR159" i="58"/>
  <c r="BR158" i="58"/>
  <c r="BR154" i="58"/>
  <c r="BR156" i="58"/>
  <c r="BR153" i="58"/>
  <c r="BR35" i="58"/>
  <c r="BR155" i="58"/>
  <c r="BR151" i="58"/>
  <c r="AD201" i="58"/>
  <c r="AD202" i="58"/>
  <c r="AD200" i="58"/>
  <c r="AD204" i="58"/>
  <c r="AD203" i="58"/>
  <c r="AD199" i="58"/>
  <c r="AD198" i="58"/>
  <c r="AD197" i="58"/>
  <c r="AD205" i="58"/>
  <c r="AE51" i="58"/>
  <c r="BR24" i="58"/>
  <c r="BQ154" i="58"/>
  <c r="BQ158" i="58"/>
  <c r="BQ151" i="58"/>
  <c r="BQ155" i="58"/>
  <c r="BQ35" i="58"/>
  <c r="BQ156" i="58"/>
  <c r="BQ153" i="58"/>
  <c r="BQ157" i="58"/>
  <c r="BQ159" i="58"/>
  <c r="BQ152" i="58"/>
  <c r="AD223" i="58" l="1"/>
  <c r="AD261" i="58" s="1"/>
  <c r="T122" i="47" s="1"/>
  <c r="AE181" i="58"/>
  <c r="AE240" i="58" s="1"/>
  <c r="AE255" i="58" s="1"/>
  <c r="U116" i="47" s="1"/>
  <c r="AE180" i="58"/>
  <c r="AE239" i="58" s="1"/>
  <c r="AE254" i="58" s="1"/>
  <c r="U110" i="47" s="1"/>
  <c r="AE179" i="58"/>
  <c r="AE238" i="58" s="1"/>
  <c r="AE253" i="58" s="1"/>
  <c r="U117" i="47" s="1"/>
  <c r="AE175" i="58"/>
  <c r="AE234" i="58" s="1"/>
  <c r="AE249" i="58" s="1"/>
  <c r="U111" i="47" s="1"/>
  <c r="AE177" i="58"/>
  <c r="AE236" i="58" s="1"/>
  <c r="AE251" i="58" s="1"/>
  <c r="U113" i="47" s="1"/>
  <c r="AE176" i="58"/>
  <c r="AE235" i="58" s="1"/>
  <c r="AE250" i="58" s="1"/>
  <c r="U112" i="47" s="1"/>
  <c r="AE53" i="58"/>
  <c r="AE182" i="58"/>
  <c r="AE241" i="58" s="1"/>
  <c r="AE256" i="58" s="1"/>
  <c r="U114" i="47" s="1"/>
  <c r="AE178" i="58"/>
  <c r="AE237" i="58" s="1"/>
  <c r="AE252" i="58" s="1"/>
  <c r="U115" i="47" s="1"/>
  <c r="AE174" i="58"/>
  <c r="AE233" i="58" s="1"/>
  <c r="AE248" i="58" s="1"/>
  <c r="U109" i="47" s="1"/>
  <c r="AF49" i="58"/>
  <c r="AD224" i="58"/>
  <c r="AD262" i="58" s="1"/>
  <c r="T124" i="47" s="1"/>
  <c r="AE205" i="58"/>
  <c r="AE203" i="58"/>
  <c r="AE201" i="58"/>
  <c r="AE199" i="58"/>
  <c r="AE197" i="58"/>
  <c r="AE202" i="58"/>
  <c r="AE198" i="58"/>
  <c r="AE200" i="58"/>
  <c r="AF51" i="58"/>
  <c r="AE204" i="58"/>
  <c r="BR166" i="58"/>
  <c r="BR164" i="58"/>
  <c r="BR163" i="58"/>
  <c r="BR169" i="58"/>
  <c r="BR165" i="58"/>
  <c r="BR162" i="58"/>
  <c r="BR168" i="58"/>
  <c r="BR170" i="58"/>
  <c r="BR167" i="58"/>
  <c r="BR36" i="58"/>
  <c r="AD226" i="58"/>
  <c r="AD264" i="58" s="1"/>
  <c r="T119" i="47" s="1"/>
  <c r="AD227" i="58"/>
  <c r="AD265" i="58" s="1"/>
  <c r="T125" i="47" s="1"/>
  <c r="AD228" i="58"/>
  <c r="AD266" i="58" s="1"/>
  <c r="T123" i="47" s="1"/>
  <c r="AD221" i="58"/>
  <c r="AD259" i="58" s="1"/>
  <c r="T120" i="47" s="1"/>
  <c r="AD225" i="58"/>
  <c r="AD263" i="58" s="1"/>
  <c r="T126" i="47" s="1"/>
  <c r="AD222" i="58"/>
  <c r="AD260" i="58" s="1"/>
  <c r="T121" i="47" s="1"/>
  <c r="BQ169" i="58"/>
  <c r="BQ168" i="58"/>
  <c r="BQ166" i="58"/>
  <c r="BQ36" i="58"/>
  <c r="BQ41" i="58" s="1"/>
  <c r="BQ162" i="58"/>
  <c r="BQ165" i="58"/>
  <c r="BQ164" i="58"/>
  <c r="BQ163" i="58"/>
  <c r="BQ170" i="58"/>
  <c r="BQ167" i="58"/>
  <c r="AE187" i="58"/>
  <c r="AE186" i="58"/>
  <c r="AE194" i="58"/>
  <c r="AE193" i="58"/>
  <c r="AE189" i="58"/>
  <c r="AE191" i="58"/>
  <c r="AE225" i="58" s="1"/>
  <c r="AE263" i="58" s="1"/>
  <c r="U126" i="47" s="1"/>
  <c r="AE192" i="58"/>
  <c r="AE190" i="58"/>
  <c r="AE188" i="58"/>
  <c r="AE222" i="58" s="1"/>
  <c r="AE260" i="58" s="1"/>
  <c r="U121" i="47" s="1"/>
  <c r="AF50" i="58"/>
  <c r="AD220" i="58"/>
  <c r="AE211" i="58"/>
  <c r="AF52" i="58"/>
  <c r="AE214" i="58"/>
  <c r="AE210" i="58"/>
  <c r="AE215" i="58"/>
  <c r="AE209" i="58"/>
  <c r="AE208" i="58"/>
  <c r="AE213" i="58"/>
  <c r="AE216" i="58"/>
  <c r="AE212" i="58"/>
  <c r="AC245" i="58"/>
  <c r="AC258" i="58"/>
  <c r="S118" i="47" s="1"/>
  <c r="BR41" i="58" l="1"/>
  <c r="BR46" i="58" s="1" a="1"/>
  <c r="BR46" i="58" s="1"/>
  <c r="AD245" i="58"/>
  <c r="AD258" i="58"/>
  <c r="T118" i="47" s="1"/>
  <c r="AF179" i="58"/>
  <c r="AF238" i="58" s="1"/>
  <c r="AF253" i="58" s="1"/>
  <c r="V117" i="47" s="1"/>
  <c r="AF178" i="58"/>
  <c r="AF237" i="58" s="1"/>
  <c r="AF252" i="58" s="1"/>
  <c r="V115" i="47" s="1"/>
  <c r="AF177" i="58"/>
  <c r="AF236" i="58" s="1"/>
  <c r="AF251" i="58" s="1"/>
  <c r="V113" i="47" s="1"/>
  <c r="AF176" i="58"/>
  <c r="AF235" i="58" s="1"/>
  <c r="AF250" i="58" s="1"/>
  <c r="V112" i="47" s="1"/>
  <c r="AF175" i="58"/>
  <c r="AF234" i="58" s="1"/>
  <c r="AF249" i="58" s="1"/>
  <c r="V111" i="47" s="1"/>
  <c r="AF174" i="58"/>
  <c r="AF233" i="58" s="1"/>
  <c r="AF248" i="58" s="1"/>
  <c r="V109" i="47" s="1"/>
  <c r="AG49" i="58"/>
  <c r="AF53" i="58"/>
  <c r="AF182" i="58"/>
  <c r="AF241" i="58" s="1"/>
  <c r="AF256" i="58" s="1"/>
  <c r="V114" i="47" s="1"/>
  <c r="AF181" i="58"/>
  <c r="AF240" i="58" s="1"/>
  <c r="AF255" i="58" s="1"/>
  <c r="V116" i="47" s="1"/>
  <c r="AF180" i="58"/>
  <c r="AF239" i="58" s="1"/>
  <c r="AF254" i="58" s="1"/>
  <c r="V110" i="47" s="1"/>
  <c r="AF191" i="58"/>
  <c r="AF190" i="58"/>
  <c r="AF189" i="58"/>
  <c r="AF188" i="58"/>
  <c r="AF187" i="58"/>
  <c r="AG50" i="58"/>
  <c r="AF186" i="58"/>
  <c r="AF194" i="58"/>
  <c r="AF193" i="58"/>
  <c r="AF192" i="58"/>
  <c r="AF199" i="58"/>
  <c r="AF198" i="58"/>
  <c r="AF197" i="58"/>
  <c r="AF203" i="58"/>
  <c r="AF201" i="58"/>
  <c r="AG51" i="58"/>
  <c r="AF205" i="58"/>
  <c r="AF204" i="58"/>
  <c r="AF202" i="58"/>
  <c r="AF200" i="58"/>
  <c r="AE224" i="58"/>
  <c r="AE262" i="58" s="1"/>
  <c r="U124" i="47" s="1"/>
  <c r="AE226" i="58"/>
  <c r="AE264" i="58" s="1"/>
  <c r="U119" i="47" s="1"/>
  <c r="BQ46" i="58" a="1"/>
  <c r="BQ46" i="58" s="1"/>
  <c r="BD46" i="58" a="1"/>
  <c r="BD46" i="58" s="1"/>
  <c r="BF46" i="58" a="1"/>
  <c r="BF46" i="58" s="1"/>
  <c r="BA46" i="58" a="1"/>
  <c r="BA46" i="58" s="1"/>
  <c r="BM46" i="58" a="1"/>
  <c r="BM46" i="58" s="1"/>
  <c r="AZ46" i="58" a="1"/>
  <c r="AZ46" i="58" s="1"/>
  <c r="BP46" i="58" a="1"/>
  <c r="BP46" i="58" s="1"/>
  <c r="BC46" i="58" a="1"/>
  <c r="BC46" i="58" s="1"/>
  <c r="BJ46" i="58" a="1"/>
  <c r="BJ46" i="58" s="1"/>
  <c r="BI46" i="58" a="1"/>
  <c r="BI46" i="58" s="1"/>
  <c r="BH46" i="58" a="1"/>
  <c r="BH46" i="58" s="1"/>
  <c r="AY46" i="58" a="1"/>
  <c r="AY46" i="58" s="1"/>
  <c r="AE223" i="58"/>
  <c r="AE261" i="58" s="1"/>
  <c r="U122" i="47" s="1"/>
  <c r="AE227" i="58"/>
  <c r="AE265" i="58" s="1"/>
  <c r="U125" i="47" s="1"/>
  <c r="AE228" i="58"/>
  <c r="AE266" i="58" s="1"/>
  <c r="U123" i="47" s="1"/>
  <c r="AE220" i="58"/>
  <c r="AF212" i="58"/>
  <c r="AF211" i="58"/>
  <c r="AF209" i="58"/>
  <c r="AF208" i="58"/>
  <c r="AF216" i="58"/>
  <c r="AF215" i="58"/>
  <c r="AF214" i="58"/>
  <c r="AF210" i="58"/>
  <c r="AG52" i="58"/>
  <c r="AF213" i="58"/>
  <c r="AE221" i="58"/>
  <c r="AE259" i="58" s="1"/>
  <c r="U120" i="47" s="1"/>
  <c r="BL46" i="58" l="1" a="1"/>
  <c r="BL46" i="58" s="1"/>
  <c r="BB46" i="58" a="1"/>
  <c r="BB46" i="58" s="1"/>
  <c r="BO46" i="58" a="1"/>
  <c r="BO46" i="58" s="1"/>
  <c r="BE46" i="58" a="1"/>
  <c r="BE46" i="58" s="1"/>
  <c r="AX46" i="58" a="1"/>
  <c r="AX46" i="58" s="1"/>
  <c r="BN46" i="58" a="1"/>
  <c r="BN46" i="58" s="1"/>
  <c r="BK46" i="58" a="1"/>
  <c r="BK46" i="58" s="1"/>
  <c r="BG46" i="58" a="1"/>
  <c r="BG46" i="58" s="1"/>
  <c r="AF226" i="58"/>
  <c r="AF264" i="58" s="1"/>
  <c r="V119" i="47" s="1"/>
  <c r="AF227" i="58"/>
  <c r="AF265" i="58" s="1"/>
  <c r="V125" i="47" s="1"/>
  <c r="AE245" i="58"/>
  <c r="AE258" i="58"/>
  <c r="U118" i="47" s="1"/>
  <c r="AG216" i="58"/>
  <c r="AG212" i="58"/>
  <c r="AG211" i="58"/>
  <c r="AG210" i="58"/>
  <c r="AG208" i="58"/>
  <c r="AG215" i="58"/>
  <c r="AG214" i="58"/>
  <c r="AG213" i="58"/>
  <c r="AG209" i="58"/>
  <c r="AH52" i="58"/>
  <c r="AF228" i="58"/>
  <c r="AF266" i="58" s="1"/>
  <c r="V123" i="47" s="1"/>
  <c r="AG182" i="58"/>
  <c r="AG241" i="58" s="1"/>
  <c r="AG256" i="58" s="1"/>
  <c r="W114" i="47" s="1"/>
  <c r="AG178" i="58"/>
  <c r="AG237" i="58" s="1"/>
  <c r="AG252" i="58" s="1"/>
  <c r="W115" i="47" s="1"/>
  <c r="AG181" i="58"/>
  <c r="AG240" i="58" s="1"/>
  <c r="AG255" i="58" s="1"/>
  <c r="W116" i="47" s="1"/>
  <c r="AG180" i="58"/>
  <c r="AG239" i="58" s="1"/>
  <c r="AG254" i="58" s="1"/>
  <c r="W110" i="47" s="1"/>
  <c r="AG179" i="58"/>
  <c r="AG238" i="58" s="1"/>
  <c r="AG253" i="58" s="1"/>
  <c r="W117" i="47" s="1"/>
  <c r="AG177" i="58"/>
  <c r="AG236" i="58" s="1"/>
  <c r="AG251" i="58" s="1"/>
  <c r="W113" i="47" s="1"/>
  <c r="AG175" i="58"/>
  <c r="AG234" i="58" s="1"/>
  <c r="AG249" i="58" s="1"/>
  <c r="W111" i="47" s="1"/>
  <c r="AG176" i="58"/>
  <c r="AG235" i="58" s="1"/>
  <c r="AG250" i="58" s="1"/>
  <c r="W112" i="47" s="1"/>
  <c r="AG174" i="58"/>
  <c r="AG233" i="58" s="1"/>
  <c r="AG248" i="58" s="1"/>
  <c r="W109" i="47" s="1"/>
  <c r="AG53" i="58"/>
  <c r="AH49" i="58"/>
  <c r="AF220" i="58"/>
  <c r="AG194" i="58"/>
  <c r="AG193" i="58"/>
  <c r="AG192" i="58"/>
  <c r="AG191" i="58"/>
  <c r="AG189" i="58"/>
  <c r="AG188" i="58"/>
  <c r="AG187" i="58"/>
  <c r="AG221" i="58" s="1"/>
  <c r="AG259" i="58" s="1"/>
  <c r="W120" i="47" s="1"/>
  <c r="AG186" i="58"/>
  <c r="AH50" i="58"/>
  <c r="AG190" i="58"/>
  <c r="AF221" i="58"/>
  <c r="AF259" i="58" s="1"/>
  <c r="V120" i="47" s="1"/>
  <c r="AG205" i="58"/>
  <c r="AG201" i="58"/>
  <c r="AG204" i="58"/>
  <c r="AG203" i="58"/>
  <c r="AG199" i="58"/>
  <c r="AG198" i="58"/>
  <c r="AG202" i="58"/>
  <c r="AG197" i="58"/>
  <c r="AG200" i="58"/>
  <c r="AH51" i="58"/>
  <c r="AF222" i="58"/>
  <c r="AF260" i="58" s="1"/>
  <c r="V121" i="47" s="1"/>
  <c r="AF223" i="58"/>
  <c r="AF261" i="58" s="1"/>
  <c r="V122" i="47" s="1"/>
  <c r="AF224" i="58"/>
  <c r="AF262" i="58" s="1"/>
  <c r="V124" i="47" s="1"/>
  <c r="AF225" i="58"/>
  <c r="AF263" i="58" s="1"/>
  <c r="V126" i="47" s="1"/>
  <c r="AG228" i="58" l="1"/>
  <c r="AG266" i="58" s="1"/>
  <c r="W123" i="47" s="1"/>
  <c r="AH198" i="58"/>
  <c r="AH197" i="58"/>
  <c r="AH199" i="58"/>
  <c r="AH205" i="58"/>
  <c r="AH203" i="58"/>
  <c r="AH201" i="58"/>
  <c r="AH204" i="58"/>
  <c r="AH202" i="58"/>
  <c r="AH200" i="58"/>
  <c r="AI51" i="58"/>
  <c r="AH188" i="58"/>
  <c r="AH187" i="58"/>
  <c r="AH186" i="58"/>
  <c r="AH194" i="58"/>
  <c r="AH193" i="58"/>
  <c r="AH192" i="58"/>
  <c r="AH191" i="58"/>
  <c r="AH189" i="58"/>
  <c r="AH190" i="58"/>
  <c r="AI50" i="58"/>
  <c r="AG220" i="58"/>
  <c r="AG222" i="58"/>
  <c r="AG260" i="58" s="1"/>
  <c r="W121" i="47" s="1"/>
  <c r="AG223" i="58"/>
  <c r="AG261" i="58" s="1"/>
  <c r="W122" i="47" s="1"/>
  <c r="AG225" i="58"/>
  <c r="AG263" i="58" s="1"/>
  <c r="W126" i="47" s="1"/>
  <c r="AG226" i="58"/>
  <c r="AG264" i="58" s="1"/>
  <c r="W119" i="47" s="1"/>
  <c r="AG227" i="58"/>
  <c r="AG265" i="58" s="1"/>
  <c r="W125" i="47" s="1"/>
  <c r="AF258" i="58"/>
  <c r="V118" i="47" s="1"/>
  <c r="AF245" i="58"/>
  <c r="AH180" i="58"/>
  <c r="AH239" i="58" s="1"/>
  <c r="AH254" i="58" s="1"/>
  <c r="X110" i="47" s="1"/>
  <c r="AH179" i="58"/>
  <c r="AH238" i="58" s="1"/>
  <c r="AH253" i="58" s="1"/>
  <c r="X117" i="47" s="1"/>
  <c r="AH178" i="58"/>
  <c r="AH237" i="58" s="1"/>
  <c r="AH252" i="58" s="1"/>
  <c r="X115" i="47" s="1"/>
  <c r="AH176" i="58"/>
  <c r="AH235" i="58" s="1"/>
  <c r="AH250" i="58" s="1"/>
  <c r="X112" i="47" s="1"/>
  <c r="AH177" i="58"/>
  <c r="AH236" i="58" s="1"/>
  <c r="AH251" i="58" s="1"/>
  <c r="X113" i="47" s="1"/>
  <c r="AH175" i="58"/>
  <c r="AH234" i="58" s="1"/>
  <c r="AH249" i="58" s="1"/>
  <c r="X111" i="47" s="1"/>
  <c r="AH174" i="58"/>
  <c r="AH233" i="58" s="1"/>
  <c r="AH248" i="58" s="1"/>
  <c r="X109" i="47" s="1"/>
  <c r="AH182" i="58"/>
  <c r="AH241" i="58" s="1"/>
  <c r="AH256" i="58" s="1"/>
  <c r="X114" i="47" s="1"/>
  <c r="AI49" i="58"/>
  <c r="AH181" i="58"/>
  <c r="AH240" i="58" s="1"/>
  <c r="AH255" i="58" s="1"/>
  <c r="X116" i="47" s="1"/>
  <c r="AH53" i="58"/>
  <c r="AH209" i="58"/>
  <c r="AH212" i="58"/>
  <c r="AH216" i="58"/>
  <c r="AH215" i="58"/>
  <c r="AH208" i="58"/>
  <c r="AI52" i="58"/>
  <c r="AH211" i="58"/>
  <c r="AH214" i="58"/>
  <c r="AH210" i="58"/>
  <c r="AH213" i="58"/>
  <c r="AG224" i="58"/>
  <c r="AG262" i="58" s="1"/>
  <c r="W124" i="47" s="1"/>
  <c r="AH221" i="58" l="1"/>
  <c r="AH259" i="58" s="1"/>
  <c r="X120" i="47" s="1"/>
  <c r="AH222" i="58"/>
  <c r="AH260" i="58" s="1"/>
  <c r="X121" i="47" s="1"/>
  <c r="AI199" i="58"/>
  <c r="AI198" i="58"/>
  <c r="AJ51" i="58"/>
  <c r="AI197" i="58"/>
  <c r="AI204" i="58"/>
  <c r="AI203" i="58"/>
  <c r="AI202" i="58"/>
  <c r="AI201" i="58"/>
  <c r="AI200" i="58"/>
  <c r="AI205" i="58"/>
  <c r="AI214" i="58"/>
  <c r="AI213" i="58"/>
  <c r="AI211" i="58"/>
  <c r="AJ52" i="58"/>
  <c r="AI212" i="58"/>
  <c r="AI208" i="58"/>
  <c r="AI210" i="58"/>
  <c r="AI209" i="58"/>
  <c r="AI216" i="58"/>
  <c r="AI215" i="58"/>
  <c r="AG245" i="58"/>
  <c r="AG258" i="58"/>
  <c r="W118" i="47" s="1"/>
  <c r="AI187" i="58"/>
  <c r="AI221" i="58" s="1"/>
  <c r="AI259" i="58" s="1"/>
  <c r="Y120" i="47" s="1"/>
  <c r="AI194" i="58"/>
  <c r="AI186" i="58"/>
  <c r="AJ50" i="58"/>
  <c r="AI189" i="58"/>
  <c r="AI193" i="58"/>
  <c r="AI191" i="58"/>
  <c r="AI192" i="58"/>
  <c r="AI190" i="58"/>
  <c r="AI188" i="58"/>
  <c r="AI222" i="58" s="1"/>
  <c r="AI260" i="58" s="1"/>
  <c r="Y121" i="47" s="1"/>
  <c r="AH224" i="58"/>
  <c r="AH262" i="58" s="1"/>
  <c r="X124" i="47" s="1"/>
  <c r="AH223" i="58"/>
  <c r="AH261" i="58" s="1"/>
  <c r="X122" i="47" s="1"/>
  <c r="AH225" i="58"/>
  <c r="AH263" i="58" s="1"/>
  <c r="X126" i="47" s="1"/>
  <c r="AH226" i="58"/>
  <c r="AH264" i="58" s="1"/>
  <c r="X119" i="47" s="1"/>
  <c r="AH227" i="58"/>
  <c r="AH265" i="58" s="1"/>
  <c r="X125" i="47" s="1"/>
  <c r="AH228" i="58"/>
  <c r="AH266" i="58" s="1"/>
  <c r="X123" i="47" s="1"/>
  <c r="AI176" i="58"/>
  <c r="AI235" i="58" s="1"/>
  <c r="AI250" i="58" s="1"/>
  <c r="Y112" i="47" s="1"/>
  <c r="AI175" i="58"/>
  <c r="AI234" i="58" s="1"/>
  <c r="AI249" i="58" s="1"/>
  <c r="Y111" i="47" s="1"/>
  <c r="AI174" i="58"/>
  <c r="AI233" i="58" s="1"/>
  <c r="AI248" i="58" s="1"/>
  <c r="Y109" i="47" s="1"/>
  <c r="AI182" i="58"/>
  <c r="AI241" i="58" s="1"/>
  <c r="AI256" i="58" s="1"/>
  <c r="Y114" i="47" s="1"/>
  <c r="AI181" i="58"/>
  <c r="AI240" i="58" s="1"/>
  <c r="AI255" i="58" s="1"/>
  <c r="Y116" i="47" s="1"/>
  <c r="AJ49" i="58"/>
  <c r="AI53" i="58"/>
  <c r="AI180" i="58"/>
  <c r="AI239" i="58" s="1"/>
  <c r="AI254" i="58" s="1"/>
  <c r="Y110" i="47" s="1"/>
  <c r="AI179" i="58"/>
  <c r="AI238" i="58" s="1"/>
  <c r="AI253" i="58" s="1"/>
  <c r="Y117" i="47" s="1"/>
  <c r="AI178" i="58"/>
  <c r="AI237" i="58" s="1"/>
  <c r="AI252" i="58" s="1"/>
  <c r="Y115" i="47" s="1"/>
  <c r="AI177" i="58"/>
  <c r="AI236" i="58" s="1"/>
  <c r="AI251" i="58" s="1"/>
  <c r="Y113" i="47" s="1"/>
  <c r="AH220" i="58"/>
  <c r="AI224" i="58" l="1"/>
  <c r="AI262" i="58" s="1"/>
  <c r="Y124" i="47" s="1"/>
  <c r="AI226" i="58"/>
  <c r="AI264" i="58" s="1"/>
  <c r="Y119" i="47" s="1"/>
  <c r="AI225" i="58"/>
  <c r="AI263" i="58" s="1"/>
  <c r="Y126" i="47" s="1"/>
  <c r="AI227" i="58"/>
  <c r="AI265" i="58" s="1"/>
  <c r="Y125" i="47" s="1"/>
  <c r="AJ180" i="58"/>
  <c r="AJ239" i="58" s="1"/>
  <c r="AJ254" i="58" s="1"/>
  <c r="Z110" i="47" s="1"/>
  <c r="AJ53" i="58"/>
  <c r="AJ177" i="58"/>
  <c r="AJ236" i="58" s="1"/>
  <c r="AJ251" i="58" s="1"/>
  <c r="Z113" i="47" s="1"/>
  <c r="AJ182" i="58"/>
  <c r="AJ241" i="58" s="1"/>
  <c r="AJ256" i="58" s="1"/>
  <c r="Z114" i="47" s="1"/>
  <c r="AK49" i="58"/>
  <c r="AJ179" i="58"/>
  <c r="AJ238" i="58" s="1"/>
  <c r="AJ253" i="58" s="1"/>
  <c r="Z117" i="47" s="1"/>
  <c r="AJ178" i="58"/>
  <c r="AJ237" i="58" s="1"/>
  <c r="AJ252" i="58" s="1"/>
  <c r="Z115" i="47" s="1"/>
  <c r="AJ174" i="58"/>
  <c r="AJ233" i="58" s="1"/>
  <c r="AJ248" i="58" s="1"/>
  <c r="Z109" i="47" s="1"/>
  <c r="AJ176" i="58"/>
  <c r="AJ235" i="58" s="1"/>
  <c r="AJ250" i="58" s="1"/>
  <c r="Z112" i="47" s="1"/>
  <c r="AJ181" i="58"/>
  <c r="AJ240" i="58" s="1"/>
  <c r="AJ255" i="58" s="1"/>
  <c r="Z116" i="47" s="1"/>
  <c r="AJ175" i="58"/>
  <c r="AJ234" i="58" s="1"/>
  <c r="AJ249" i="58" s="1"/>
  <c r="Z111" i="47" s="1"/>
  <c r="AI223" i="58"/>
  <c r="AI261" i="58" s="1"/>
  <c r="Y122" i="47" s="1"/>
  <c r="AJ205" i="58"/>
  <c r="AJ203" i="58"/>
  <c r="AJ199" i="58"/>
  <c r="AJ201" i="58"/>
  <c r="AJ204" i="58"/>
  <c r="AJ200" i="58"/>
  <c r="AJ198" i="58"/>
  <c r="AK51" i="58"/>
  <c r="AJ202" i="58"/>
  <c r="AJ197" i="58"/>
  <c r="AH245" i="58"/>
  <c r="AH258" i="58"/>
  <c r="X118" i="47" s="1"/>
  <c r="AJ194" i="58"/>
  <c r="AJ228" i="58" s="1"/>
  <c r="AJ266" i="58" s="1"/>
  <c r="Z123" i="47" s="1"/>
  <c r="AJ192" i="58"/>
  <c r="AJ193" i="58"/>
  <c r="AJ191" i="58"/>
  <c r="AJ190" i="58"/>
  <c r="AK50" i="58"/>
  <c r="AJ189" i="58"/>
  <c r="AJ186" i="58"/>
  <c r="AJ188" i="58"/>
  <c r="AJ187" i="58"/>
  <c r="AJ208" i="58"/>
  <c r="AK52" i="58"/>
  <c r="AJ215" i="58"/>
  <c r="AJ216" i="58"/>
  <c r="AJ211" i="58"/>
  <c r="AJ209" i="58"/>
  <c r="AJ210" i="58"/>
  <c r="AJ214" i="58"/>
  <c r="AJ212" i="58"/>
  <c r="AJ213" i="58"/>
  <c r="AI220" i="58"/>
  <c r="AI228" i="58"/>
  <c r="AI266" i="58" s="1"/>
  <c r="Y123" i="47" s="1"/>
  <c r="AJ223" i="58" l="1"/>
  <c r="AJ261" i="58" s="1"/>
  <c r="Z122" i="47" s="1"/>
  <c r="AJ222" i="58"/>
  <c r="AJ260" i="58" s="1"/>
  <c r="Z121" i="47" s="1"/>
  <c r="AK211" i="58"/>
  <c r="AK209" i="58"/>
  <c r="AK210" i="58"/>
  <c r="AL52" i="58"/>
  <c r="AK212" i="58"/>
  <c r="AK213" i="58"/>
  <c r="AK208" i="58"/>
  <c r="AK216" i="58"/>
  <c r="AK214" i="58"/>
  <c r="AK215" i="58"/>
  <c r="AJ221" i="58"/>
  <c r="AJ259" i="58" s="1"/>
  <c r="Z120" i="47" s="1"/>
  <c r="AJ220" i="58"/>
  <c r="AK197" i="58"/>
  <c r="AK202" i="58"/>
  <c r="AL51" i="58"/>
  <c r="AK204" i="58"/>
  <c r="AK201" i="58"/>
  <c r="AK199" i="58"/>
  <c r="AK203" i="58"/>
  <c r="AK200" i="58"/>
  <c r="AK205" i="58"/>
  <c r="AK198" i="58"/>
  <c r="AK186" i="58"/>
  <c r="AK220" i="58" s="1"/>
  <c r="AK258" i="58" s="1"/>
  <c r="AA118" i="47" s="1"/>
  <c r="AK189" i="58"/>
  <c r="AK194" i="58"/>
  <c r="AL50" i="58"/>
  <c r="AK192" i="58"/>
  <c r="AK193" i="58"/>
  <c r="AK191" i="58"/>
  <c r="AK187" i="58"/>
  <c r="AK190" i="58"/>
  <c r="AK224" i="58" s="1"/>
  <c r="AK262" i="58" s="1"/>
  <c r="AA124" i="47" s="1"/>
  <c r="AK188" i="58"/>
  <c r="AI258" i="58"/>
  <c r="Y118" i="47" s="1"/>
  <c r="AI245" i="58"/>
  <c r="AJ224" i="58"/>
  <c r="AJ262" i="58" s="1"/>
  <c r="Z124" i="47" s="1"/>
  <c r="AK180" i="58"/>
  <c r="AK239" i="58" s="1"/>
  <c r="AK254" i="58" s="1"/>
  <c r="AA110" i="47" s="1"/>
  <c r="AK179" i="58"/>
  <c r="AK238" i="58" s="1"/>
  <c r="AK253" i="58" s="1"/>
  <c r="AA117" i="47" s="1"/>
  <c r="AK53" i="58"/>
  <c r="AL49" i="58"/>
  <c r="AK174" i="58"/>
  <c r="AK233" i="58" s="1"/>
  <c r="AK248" i="58" s="1"/>
  <c r="AA109" i="47" s="1"/>
  <c r="AK178" i="58"/>
  <c r="AK237" i="58" s="1"/>
  <c r="AK252" i="58" s="1"/>
  <c r="AA115" i="47" s="1"/>
  <c r="AK181" i="58"/>
  <c r="AK240" i="58" s="1"/>
  <c r="AK255" i="58" s="1"/>
  <c r="AA116" i="47" s="1"/>
  <c r="AK175" i="58"/>
  <c r="AK234" i="58" s="1"/>
  <c r="AK249" i="58" s="1"/>
  <c r="AA111" i="47" s="1"/>
  <c r="AK177" i="58"/>
  <c r="AK236" i="58" s="1"/>
  <c r="AK251" i="58" s="1"/>
  <c r="AA113" i="47" s="1"/>
  <c r="AK182" i="58"/>
  <c r="AK241" i="58" s="1"/>
  <c r="AK256" i="58" s="1"/>
  <c r="AA114" i="47" s="1"/>
  <c r="AK176" i="58"/>
  <c r="AK235" i="58" s="1"/>
  <c r="AK250" i="58" s="1"/>
  <c r="AA112" i="47" s="1"/>
  <c r="AJ225" i="58"/>
  <c r="AJ263" i="58" s="1"/>
  <c r="Z126" i="47" s="1"/>
  <c r="AJ227" i="58"/>
  <c r="AJ265" i="58" s="1"/>
  <c r="Z125" i="47" s="1"/>
  <c r="AJ226" i="58"/>
  <c r="AJ264" i="58" s="1"/>
  <c r="Z119" i="47" s="1"/>
  <c r="AK225" i="58" l="1"/>
  <c r="AK263" i="58" s="1"/>
  <c r="AA126" i="47" s="1"/>
  <c r="AK223" i="58"/>
  <c r="AK261" i="58" s="1"/>
  <c r="AA122" i="47" s="1"/>
  <c r="AK222" i="58"/>
  <c r="AK260" i="58" s="1"/>
  <c r="AA121" i="47" s="1"/>
  <c r="AJ245" i="58"/>
  <c r="AJ258" i="58"/>
  <c r="Z118" i="47" s="1"/>
  <c r="AK221" i="58"/>
  <c r="AK227" i="58"/>
  <c r="AK265" i="58" s="1"/>
  <c r="AA125" i="47" s="1"/>
  <c r="AL216" i="58"/>
  <c r="AL215" i="58"/>
  <c r="AL210" i="58"/>
  <c r="AL208" i="58"/>
  <c r="AL214" i="58"/>
  <c r="AL213" i="58"/>
  <c r="AL212" i="58"/>
  <c r="AL211" i="58"/>
  <c r="AL209" i="58"/>
  <c r="AM52" i="58"/>
  <c r="AL176" i="58"/>
  <c r="AL235" i="58" s="1"/>
  <c r="AL250" i="58" s="1"/>
  <c r="AB112" i="47" s="1"/>
  <c r="AL175" i="58"/>
  <c r="AL234" i="58" s="1"/>
  <c r="AL249" i="58" s="1"/>
  <c r="AB111" i="47" s="1"/>
  <c r="AL174" i="58"/>
  <c r="AL233" i="58" s="1"/>
  <c r="AL248" i="58" s="1"/>
  <c r="AB109" i="47" s="1"/>
  <c r="AL182" i="58"/>
  <c r="AL241" i="58" s="1"/>
  <c r="AL256" i="58" s="1"/>
  <c r="AB114" i="47" s="1"/>
  <c r="AL181" i="58"/>
  <c r="AL240" i="58" s="1"/>
  <c r="AL255" i="58" s="1"/>
  <c r="AB116" i="47" s="1"/>
  <c r="AL180" i="58"/>
  <c r="AL239" i="58" s="1"/>
  <c r="AL254" i="58" s="1"/>
  <c r="AB110" i="47" s="1"/>
  <c r="AL53" i="58"/>
  <c r="AL179" i="58"/>
  <c r="AL238" i="58" s="1"/>
  <c r="AL253" i="58" s="1"/>
  <c r="AB117" i="47" s="1"/>
  <c r="AL178" i="58"/>
  <c r="AL237" i="58" s="1"/>
  <c r="AL252" i="58" s="1"/>
  <c r="AB115" i="47" s="1"/>
  <c r="AM49" i="58"/>
  <c r="AL177" i="58"/>
  <c r="AL236" i="58" s="1"/>
  <c r="AL251" i="58" s="1"/>
  <c r="AB113" i="47" s="1"/>
  <c r="AK226" i="58"/>
  <c r="AK264" i="58" s="1"/>
  <c r="AA119" i="47" s="1"/>
  <c r="AL200" i="58"/>
  <c r="AL198" i="58"/>
  <c r="AL199" i="58"/>
  <c r="AM51" i="58"/>
  <c r="AL202" i="58"/>
  <c r="AL197" i="58"/>
  <c r="AL205" i="58"/>
  <c r="AL203" i="58"/>
  <c r="AL204" i="58"/>
  <c r="AL201" i="58"/>
  <c r="AL191" i="58"/>
  <c r="AL190" i="58"/>
  <c r="AL189" i="58"/>
  <c r="AL223" i="58" s="1"/>
  <c r="AL261" i="58" s="1"/>
  <c r="AB122" i="47" s="1"/>
  <c r="AM50" i="58"/>
  <c r="AL188" i="58"/>
  <c r="AL194" i="58"/>
  <c r="AL228" i="58" s="1"/>
  <c r="AL266" i="58" s="1"/>
  <c r="AB123" i="47" s="1"/>
  <c r="AL187" i="58"/>
  <c r="AL221" i="58" s="1"/>
  <c r="AL259" i="58" s="1"/>
  <c r="AB120" i="47" s="1"/>
  <c r="AL186" i="58"/>
  <c r="AL193" i="58"/>
  <c r="AL192" i="58"/>
  <c r="AK228" i="58"/>
  <c r="AK266" i="58" s="1"/>
  <c r="AA123" i="47" s="1"/>
  <c r="AL222" i="58" l="1"/>
  <c r="AL260" i="58" s="1"/>
  <c r="AB121" i="47" s="1"/>
  <c r="AL220" i="58"/>
  <c r="AL258" i="58" s="1"/>
  <c r="AB118" i="47" s="1"/>
  <c r="AN49" i="58"/>
  <c r="AM53" i="58"/>
  <c r="AM176" i="58"/>
  <c r="AM235" i="58" s="1"/>
  <c r="AM250" i="58" s="1"/>
  <c r="AC112" i="47" s="1"/>
  <c r="AM175" i="58"/>
  <c r="AM234" i="58" s="1"/>
  <c r="AM249" i="58" s="1"/>
  <c r="AC111" i="47" s="1"/>
  <c r="AM174" i="58"/>
  <c r="AM233" i="58" s="1"/>
  <c r="AM248" i="58" s="1"/>
  <c r="AC109" i="47" s="1"/>
  <c r="AM181" i="58"/>
  <c r="AM240" i="58" s="1"/>
  <c r="AM255" i="58" s="1"/>
  <c r="AC116" i="47" s="1"/>
  <c r="AM180" i="58"/>
  <c r="AM239" i="58" s="1"/>
  <c r="AM254" i="58" s="1"/>
  <c r="AC110" i="47" s="1"/>
  <c r="AM178" i="58"/>
  <c r="AM237" i="58" s="1"/>
  <c r="AM252" i="58" s="1"/>
  <c r="AC115" i="47" s="1"/>
  <c r="AM182" i="58"/>
  <c r="AM241" i="58" s="1"/>
  <c r="AM256" i="58" s="1"/>
  <c r="AC114" i="47" s="1"/>
  <c r="AM179" i="58"/>
  <c r="AM238" i="58" s="1"/>
  <c r="AM253" i="58" s="1"/>
  <c r="AC117" i="47" s="1"/>
  <c r="AM177" i="58"/>
  <c r="AM236" i="58" s="1"/>
  <c r="AM251" i="58" s="1"/>
  <c r="AC113" i="47" s="1"/>
  <c r="AL226" i="58"/>
  <c r="AL264" i="58" s="1"/>
  <c r="AB119" i="47" s="1"/>
  <c r="AL227" i="58"/>
  <c r="AL265" i="58" s="1"/>
  <c r="AB125" i="47" s="1"/>
  <c r="AM204" i="58"/>
  <c r="AM202" i="58"/>
  <c r="AM203" i="58"/>
  <c r="AM201" i="58"/>
  <c r="AM205" i="58"/>
  <c r="AM198" i="58"/>
  <c r="AM200" i="58"/>
  <c r="AN51" i="58"/>
  <c r="AM199" i="58"/>
  <c r="AM197" i="58"/>
  <c r="AM193" i="58"/>
  <c r="AM189" i="58"/>
  <c r="AM188" i="58"/>
  <c r="AM191" i="58"/>
  <c r="AM190" i="58"/>
  <c r="AM187" i="58"/>
  <c r="AM194" i="58"/>
  <c r="AM228" i="58" s="1"/>
  <c r="AM266" i="58" s="1"/>
  <c r="AC123" i="47" s="1"/>
  <c r="AN50" i="58"/>
  <c r="AM186" i="58"/>
  <c r="AM192" i="58"/>
  <c r="AK259" i="58"/>
  <c r="AA120" i="47" s="1"/>
  <c r="AK245" i="58"/>
  <c r="AL224" i="58"/>
  <c r="AM209" i="58"/>
  <c r="AM210" i="58"/>
  <c r="AM208" i="58"/>
  <c r="AM216" i="58"/>
  <c r="AN52" i="58"/>
  <c r="AM215" i="58"/>
  <c r="AM214" i="58"/>
  <c r="AM213" i="58"/>
  <c r="AM211" i="58"/>
  <c r="AM212" i="58"/>
  <c r="AL225" i="58"/>
  <c r="AL263" i="58" s="1"/>
  <c r="AB126" i="47" s="1"/>
  <c r="AM221" i="58" l="1"/>
  <c r="AM259" i="58" s="1"/>
  <c r="AC120" i="47" s="1"/>
  <c r="AL262" i="58"/>
  <c r="AB124" i="47" s="1"/>
  <c r="AL245" i="58"/>
  <c r="AM227" i="58"/>
  <c r="AM265" i="58" s="1"/>
  <c r="AC125" i="47" s="1"/>
  <c r="AM226" i="58"/>
  <c r="AM264" i="58" s="1"/>
  <c r="AC119" i="47" s="1"/>
  <c r="AN203" i="58"/>
  <c r="AO51" i="58"/>
  <c r="AN205" i="58"/>
  <c r="AN197" i="58"/>
  <c r="AN202" i="58"/>
  <c r="AN201" i="58"/>
  <c r="AN204" i="58"/>
  <c r="AN200" i="58"/>
  <c r="AN199" i="58"/>
  <c r="AN198" i="58"/>
  <c r="AM220" i="58"/>
  <c r="AN189" i="58"/>
  <c r="AN188" i="58"/>
  <c r="AN186" i="58"/>
  <c r="AN193" i="58"/>
  <c r="AN192" i="58"/>
  <c r="AN187" i="58"/>
  <c r="AN194" i="58"/>
  <c r="AN191" i="58"/>
  <c r="AO50" i="58"/>
  <c r="AN190" i="58"/>
  <c r="AM224" i="58"/>
  <c r="AM262" i="58" s="1"/>
  <c r="AC124" i="47" s="1"/>
  <c r="AM225" i="58"/>
  <c r="AM263" i="58" s="1"/>
  <c r="AC126" i="47" s="1"/>
  <c r="AM222" i="58"/>
  <c r="AM260" i="58" s="1"/>
  <c r="AC121" i="47" s="1"/>
  <c r="AN216" i="58"/>
  <c r="AN214" i="58"/>
  <c r="AN212" i="58"/>
  <c r="AN215" i="58"/>
  <c r="AN213" i="58"/>
  <c r="AN211" i="58"/>
  <c r="AN210" i="58"/>
  <c r="AN209" i="58"/>
  <c r="AN208" i="58"/>
  <c r="AO52" i="58"/>
  <c r="AM223" i="58"/>
  <c r="AM261" i="58" s="1"/>
  <c r="AC122" i="47" s="1"/>
  <c r="AN175" i="58"/>
  <c r="AN234" i="58" s="1"/>
  <c r="AN249" i="58" s="1"/>
  <c r="AD111" i="47" s="1"/>
  <c r="AN174" i="58"/>
  <c r="AN233" i="58" s="1"/>
  <c r="AN248" i="58" s="1"/>
  <c r="AD109" i="47" s="1"/>
  <c r="AN181" i="58"/>
  <c r="AN240" i="58" s="1"/>
  <c r="AN255" i="58" s="1"/>
  <c r="AD116" i="47" s="1"/>
  <c r="AN180" i="58"/>
  <c r="AN239" i="58" s="1"/>
  <c r="AN254" i="58" s="1"/>
  <c r="AD110" i="47" s="1"/>
  <c r="AN179" i="58"/>
  <c r="AN238" i="58" s="1"/>
  <c r="AN253" i="58" s="1"/>
  <c r="AD117" i="47" s="1"/>
  <c r="AN178" i="58"/>
  <c r="AN237" i="58" s="1"/>
  <c r="AN252" i="58" s="1"/>
  <c r="AD115" i="47" s="1"/>
  <c r="AN182" i="58"/>
  <c r="AN241" i="58" s="1"/>
  <c r="AN256" i="58" s="1"/>
  <c r="AD114" i="47" s="1"/>
  <c r="AN53" i="58"/>
  <c r="AN177" i="58"/>
  <c r="AN236" i="58" s="1"/>
  <c r="AN251" i="58" s="1"/>
  <c r="AD113" i="47" s="1"/>
  <c r="AN176" i="58"/>
  <c r="AN235" i="58" s="1"/>
  <c r="AN250" i="58" s="1"/>
  <c r="AD112" i="47" s="1"/>
  <c r="AO49" i="58"/>
  <c r="AN225" i="58" l="1"/>
  <c r="AN263" i="58" s="1"/>
  <c r="AD126" i="47" s="1"/>
  <c r="AO192" i="58"/>
  <c r="AO190" i="58"/>
  <c r="AO187" i="58"/>
  <c r="AO186" i="58"/>
  <c r="AO189" i="58"/>
  <c r="AO188" i="58"/>
  <c r="AO194" i="58"/>
  <c r="AO191" i="58"/>
  <c r="AO193" i="58"/>
  <c r="AP50" i="58"/>
  <c r="AN228" i="58"/>
  <c r="AN266" i="58" s="1"/>
  <c r="AD123" i="47" s="1"/>
  <c r="AN221" i="58"/>
  <c r="AN259" i="58" s="1"/>
  <c r="AD120" i="47" s="1"/>
  <c r="AN226" i="58"/>
  <c r="AN264" i="58" s="1"/>
  <c r="AD119" i="47" s="1"/>
  <c r="AN227" i="58"/>
  <c r="AN265" i="58" s="1"/>
  <c r="AD125" i="47" s="1"/>
  <c r="AN220" i="58"/>
  <c r="AO202" i="58"/>
  <c r="AO205" i="58"/>
  <c r="AO203" i="58"/>
  <c r="AO200" i="58"/>
  <c r="AO204" i="58"/>
  <c r="AO197" i="58"/>
  <c r="AO199" i="58"/>
  <c r="AO198" i="58"/>
  <c r="AP51" i="58"/>
  <c r="AO201" i="58"/>
  <c r="AN222" i="58"/>
  <c r="AN260" i="58" s="1"/>
  <c r="AD121" i="47" s="1"/>
  <c r="AN223" i="58"/>
  <c r="AN261" i="58" s="1"/>
  <c r="AD122" i="47" s="1"/>
  <c r="AM258" i="58"/>
  <c r="AC118" i="47" s="1"/>
  <c r="AM245" i="58"/>
  <c r="AP49" i="58"/>
  <c r="AO182" i="58"/>
  <c r="AO241" i="58" s="1"/>
  <c r="AO181" i="58"/>
  <c r="AO240" i="58" s="1"/>
  <c r="AO179" i="58"/>
  <c r="AO238" i="58" s="1"/>
  <c r="AO178" i="58"/>
  <c r="AO237" i="58" s="1"/>
  <c r="AO174" i="58"/>
  <c r="AO233" i="58" s="1"/>
  <c r="AO180" i="58"/>
  <c r="AO239" i="58" s="1"/>
  <c r="AO176" i="58"/>
  <c r="AO235" i="58" s="1"/>
  <c r="AO177" i="58"/>
  <c r="AO236" i="58" s="1"/>
  <c r="AO175" i="58"/>
  <c r="AO234" i="58" s="1"/>
  <c r="AO53" i="58"/>
  <c r="AO208" i="58"/>
  <c r="AO215" i="58"/>
  <c r="AP52" i="58"/>
  <c r="AO213" i="58"/>
  <c r="AO216" i="58"/>
  <c r="AO211" i="58"/>
  <c r="AO212" i="58"/>
  <c r="AO214" i="58"/>
  <c r="AO210" i="58"/>
  <c r="AO209" i="58"/>
  <c r="AN224" i="58"/>
  <c r="AN262" i="58" s="1"/>
  <c r="AD124" i="47" s="1"/>
  <c r="AQ51" i="58" l="1"/>
  <c r="AP201" i="58"/>
  <c r="AP204" i="58"/>
  <c r="AP202" i="58"/>
  <c r="AP203" i="58"/>
  <c r="AP198" i="58"/>
  <c r="AP197" i="58"/>
  <c r="AP200" i="58"/>
  <c r="AP199" i="58"/>
  <c r="AP205" i="58"/>
  <c r="AQ50" i="58"/>
  <c r="AP188" i="58"/>
  <c r="AP187" i="58"/>
  <c r="AP186" i="58"/>
  <c r="AP191" i="58"/>
  <c r="AP194" i="58"/>
  <c r="AP190" i="58"/>
  <c r="AP192" i="58"/>
  <c r="AP226" i="58" s="1"/>
  <c r="AP193" i="58"/>
  <c r="AP189" i="58"/>
  <c r="AO227" i="58"/>
  <c r="AO225" i="58"/>
  <c r="AP209" i="58"/>
  <c r="AP208" i="58"/>
  <c r="AP216" i="58"/>
  <c r="AP214" i="58"/>
  <c r="AQ52" i="58"/>
  <c r="AP212" i="58"/>
  <c r="AP215" i="58"/>
  <c r="AP213" i="58"/>
  <c r="AP211" i="58"/>
  <c r="AP210" i="58"/>
  <c r="AO228" i="58"/>
  <c r="AP174" i="58"/>
  <c r="AP233" i="58" s="1"/>
  <c r="AQ49" i="58"/>
  <c r="AP53" i="58"/>
  <c r="AP182" i="58"/>
  <c r="AP241" i="58" s="1"/>
  <c r="AP181" i="58"/>
  <c r="AP240" i="58" s="1"/>
  <c r="AP179" i="58"/>
  <c r="AP238" i="58" s="1"/>
  <c r="AP180" i="58"/>
  <c r="AP239" i="58" s="1"/>
  <c r="AP177" i="58"/>
  <c r="AP236" i="58" s="1"/>
  <c r="AP178" i="58"/>
  <c r="AP237" i="58" s="1"/>
  <c r="AP176" i="58"/>
  <c r="AP235" i="58" s="1"/>
  <c r="AP175" i="58"/>
  <c r="AP234" i="58" s="1"/>
  <c r="AO222" i="58"/>
  <c r="AO223" i="58"/>
  <c r="AO220" i="58"/>
  <c r="AN258" i="58"/>
  <c r="AD118" i="47" s="1"/>
  <c r="AN245" i="58"/>
  <c r="AO221" i="58"/>
  <c r="AO224" i="58"/>
  <c r="AO226" i="58"/>
  <c r="AO245" i="58" l="1"/>
  <c r="AP223" i="58"/>
  <c r="AP222" i="58"/>
  <c r="AQ176" i="58"/>
  <c r="AQ235" i="58" s="1"/>
  <c r="AQ175" i="58"/>
  <c r="AQ234" i="58" s="1"/>
  <c r="AQ174" i="58"/>
  <c r="AQ233" i="58" s="1"/>
  <c r="AQ53" i="58"/>
  <c r="AQ181" i="58"/>
  <c r="AQ240" i="58" s="1"/>
  <c r="AR49" i="58"/>
  <c r="AQ179" i="58"/>
  <c r="AQ238" i="58" s="1"/>
  <c r="AQ177" i="58"/>
  <c r="AQ236" i="58" s="1"/>
  <c r="AQ182" i="58"/>
  <c r="AQ241" i="58" s="1"/>
  <c r="AQ180" i="58"/>
  <c r="AQ239" i="58" s="1"/>
  <c r="AQ178" i="58"/>
  <c r="AQ237" i="58" s="1"/>
  <c r="AQ189" i="58"/>
  <c r="AQ188" i="58"/>
  <c r="AR50" i="58"/>
  <c r="AQ190" i="58"/>
  <c r="AQ186" i="58"/>
  <c r="AQ187" i="58"/>
  <c r="AQ221" i="58" s="1"/>
  <c r="AQ194" i="58"/>
  <c r="AQ192" i="58"/>
  <c r="AQ193" i="58"/>
  <c r="AQ191" i="58"/>
  <c r="AP227" i="58"/>
  <c r="AP224" i="58"/>
  <c r="AP228" i="58"/>
  <c r="AQ209" i="58"/>
  <c r="AQ208" i="58"/>
  <c r="AQ216" i="58"/>
  <c r="AQ215" i="58"/>
  <c r="AQ212" i="58"/>
  <c r="AQ211" i="58"/>
  <c r="AR52" i="58"/>
  <c r="AQ214" i="58"/>
  <c r="AQ210" i="58"/>
  <c r="AQ213" i="58"/>
  <c r="AP225" i="58"/>
  <c r="AP220" i="58"/>
  <c r="AP221" i="58"/>
  <c r="AQ198" i="58"/>
  <c r="AQ202" i="58"/>
  <c r="AR51" i="58"/>
  <c r="AQ201" i="58"/>
  <c r="AQ203" i="58"/>
  <c r="AQ205" i="58"/>
  <c r="AQ200" i="58"/>
  <c r="AQ197" i="58"/>
  <c r="AQ199" i="58"/>
  <c r="AQ204" i="58"/>
  <c r="AQ225" i="58" l="1"/>
  <c r="AQ227" i="58"/>
  <c r="AR215" i="58"/>
  <c r="AS52" i="58"/>
  <c r="AR214" i="58"/>
  <c r="AR210" i="58"/>
  <c r="AR213" i="58"/>
  <c r="AR212" i="58"/>
  <c r="AR211" i="58"/>
  <c r="AR216" i="58"/>
  <c r="AR209" i="58"/>
  <c r="AR208" i="58"/>
  <c r="AQ226" i="58"/>
  <c r="AQ228" i="58"/>
  <c r="AR174" i="58"/>
  <c r="AR233" i="58" s="1"/>
  <c r="AR182" i="58"/>
  <c r="AR241" i="58" s="1"/>
  <c r="AS49" i="58"/>
  <c r="AR53" i="58"/>
  <c r="AR181" i="58"/>
  <c r="AR240" i="58" s="1"/>
  <c r="AR179" i="58"/>
  <c r="AR238" i="58" s="1"/>
  <c r="AR180" i="58"/>
  <c r="AR239" i="58" s="1"/>
  <c r="AR178" i="58"/>
  <c r="AR237" i="58" s="1"/>
  <c r="AR177" i="58"/>
  <c r="AR236" i="58" s="1"/>
  <c r="AR176" i="58"/>
  <c r="AR235" i="58" s="1"/>
  <c r="AR175" i="58"/>
  <c r="AR234" i="58" s="1"/>
  <c r="AS51" i="58"/>
  <c r="AR202" i="58"/>
  <c r="AR197" i="58"/>
  <c r="AR204" i="58"/>
  <c r="AR205" i="58"/>
  <c r="AR200" i="58"/>
  <c r="AR203" i="58"/>
  <c r="AR199" i="58"/>
  <c r="AR198" i="58"/>
  <c r="AR201" i="58"/>
  <c r="AQ220" i="58"/>
  <c r="AQ224" i="58"/>
  <c r="AR186" i="58"/>
  <c r="AR192" i="58"/>
  <c r="AR190" i="58"/>
  <c r="AR194" i="58"/>
  <c r="AR193" i="58"/>
  <c r="AR227" i="58" s="1"/>
  <c r="AR191" i="58"/>
  <c r="AR225" i="58" s="1"/>
  <c r="AR189" i="58"/>
  <c r="AR188" i="58"/>
  <c r="AR187" i="58"/>
  <c r="AS50" i="58"/>
  <c r="AQ222" i="58"/>
  <c r="AP245" i="58"/>
  <c r="AQ223" i="58"/>
  <c r="AR223" i="58" l="1"/>
  <c r="AR222" i="58"/>
  <c r="AR221" i="58"/>
  <c r="AR228" i="58"/>
  <c r="AQ245" i="58"/>
  <c r="AS192" i="58"/>
  <c r="AS191" i="58"/>
  <c r="AS190" i="58"/>
  <c r="AS189" i="58"/>
  <c r="AS194" i="58"/>
  <c r="AS193" i="58"/>
  <c r="AS186" i="58"/>
  <c r="AS187" i="58"/>
  <c r="AT50" i="58"/>
  <c r="AS188" i="58"/>
  <c r="AS53" i="58"/>
  <c r="AT49" i="58"/>
  <c r="AS181" i="58"/>
  <c r="AS240" i="58" s="1"/>
  <c r="AO255" i="58" s="1"/>
  <c r="AE116" i="47" s="1"/>
  <c r="AS177" i="58"/>
  <c r="AS236" i="58" s="1"/>
  <c r="AO251" i="58" s="1"/>
  <c r="AE113" i="47" s="1"/>
  <c r="AS180" i="58"/>
  <c r="AS239" i="58" s="1"/>
  <c r="AO254" i="58" s="1"/>
  <c r="AE110" i="47" s="1"/>
  <c r="AS176" i="58"/>
  <c r="AS235" i="58" s="1"/>
  <c r="AO250" i="58" s="1"/>
  <c r="AE112" i="47" s="1"/>
  <c r="AS182" i="58"/>
  <c r="AS241" i="58" s="1"/>
  <c r="AO256" i="58" s="1"/>
  <c r="AE114" i="47" s="1"/>
  <c r="AS179" i="58"/>
  <c r="AS238" i="58" s="1"/>
  <c r="AO253" i="58" s="1"/>
  <c r="AE117" i="47" s="1"/>
  <c r="AS175" i="58"/>
  <c r="AS234" i="58" s="1"/>
  <c r="AO249" i="58" s="1"/>
  <c r="AE111" i="47" s="1"/>
  <c r="AS178" i="58"/>
  <c r="AS237" i="58" s="1"/>
  <c r="AO252" i="58" s="1"/>
  <c r="AE115" i="47" s="1"/>
  <c r="AS174" i="58"/>
  <c r="AS233" i="58" s="1"/>
  <c r="AO248" i="58" s="1"/>
  <c r="AE109" i="47" s="1"/>
  <c r="AR224" i="58"/>
  <c r="AS209" i="58"/>
  <c r="AT52" i="58"/>
  <c r="AS211" i="58"/>
  <c r="AS210" i="58"/>
  <c r="AS216" i="58"/>
  <c r="AS212" i="58"/>
  <c r="AS208" i="58"/>
  <c r="AS214" i="58"/>
  <c r="AS215" i="58"/>
  <c r="AS213" i="58"/>
  <c r="AR226" i="58"/>
  <c r="AR220" i="58"/>
  <c r="AS205" i="58"/>
  <c r="AS204" i="58"/>
  <c r="AS199" i="58"/>
  <c r="AS202" i="58"/>
  <c r="AT51" i="58"/>
  <c r="AS203" i="58"/>
  <c r="AS198" i="58"/>
  <c r="AS201" i="58"/>
  <c r="AS200" i="58"/>
  <c r="AS197" i="58"/>
  <c r="AR245" i="58" l="1"/>
  <c r="AS222" i="58"/>
  <c r="AO260" i="58" s="1"/>
  <c r="AE121" i="47" s="1"/>
  <c r="AU50" i="58"/>
  <c r="AT193" i="58"/>
  <c r="AT194" i="58"/>
  <c r="AT192" i="58"/>
  <c r="AT189" i="58"/>
  <c r="AT188" i="58"/>
  <c r="AT186" i="58"/>
  <c r="AT191" i="58"/>
  <c r="AT190" i="58"/>
  <c r="AT187" i="58"/>
  <c r="AS221" i="58"/>
  <c r="AO259" i="58" s="1"/>
  <c r="AE120" i="47" s="1"/>
  <c r="AS220" i="58"/>
  <c r="AS227" i="58"/>
  <c r="AO265" i="58" s="1"/>
  <c r="AE125" i="47" s="1"/>
  <c r="AS228" i="58"/>
  <c r="AO266" i="58" s="1"/>
  <c r="AE123" i="47" s="1"/>
  <c r="AS223" i="58"/>
  <c r="AO261" i="58" s="1"/>
  <c r="AE122" i="47" s="1"/>
  <c r="AS224" i="58"/>
  <c r="AO262" i="58" s="1"/>
  <c r="AE124" i="47" s="1"/>
  <c r="AS225" i="58"/>
  <c r="AO263" i="58" s="1"/>
  <c r="AE126" i="47" s="1"/>
  <c r="AT199" i="58"/>
  <c r="AU51" i="58"/>
  <c r="AT205" i="58"/>
  <c r="AT203" i="58"/>
  <c r="AT202" i="58"/>
  <c r="AT204" i="58"/>
  <c r="AT198" i="58"/>
  <c r="AT197" i="58"/>
  <c r="AT201" i="58"/>
  <c r="AT200" i="58"/>
  <c r="AS226" i="58"/>
  <c r="AO264" i="58" s="1"/>
  <c r="AE119" i="47" s="1"/>
  <c r="AT213" i="58"/>
  <c r="AT216" i="58"/>
  <c r="AT212" i="58"/>
  <c r="AT208" i="58"/>
  <c r="AU52" i="58"/>
  <c r="AT210" i="58"/>
  <c r="AT209" i="58"/>
  <c r="AT215" i="58"/>
  <c r="AT211" i="58"/>
  <c r="AT214" i="58"/>
  <c r="AT176" i="58"/>
  <c r="AT235" i="58" s="1"/>
  <c r="AT174" i="58"/>
  <c r="AT233" i="58" s="1"/>
  <c r="AU49" i="58"/>
  <c r="AT175" i="58"/>
  <c r="AT234" i="58" s="1"/>
  <c r="AT53" i="58"/>
  <c r="AT182" i="58"/>
  <c r="AT241" i="58" s="1"/>
  <c r="AT181" i="58"/>
  <c r="AT240" i="58" s="1"/>
  <c r="AT178" i="58"/>
  <c r="AT237" i="58" s="1"/>
  <c r="AT180" i="58"/>
  <c r="AT239" i="58" s="1"/>
  <c r="AT179" i="58"/>
  <c r="AT238" i="58" s="1"/>
  <c r="AT177" i="58"/>
  <c r="AT236" i="58" s="1"/>
  <c r="AT221" i="58" l="1"/>
  <c r="AU208" i="58"/>
  <c r="AU210" i="58"/>
  <c r="AU209" i="58"/>
  <c r="AU214" i="58"/>
  <c r="AU216" i="58"/>
  <c r="AU215" i="58"/>
  <c r="AU212" i="58"/>
  <c r="AU211" i="58"/>
  <c r="AV52" i="58"/>
  <c r="AU213" i="58"/>
  <c r="AT224" i="58"/>
  <c r="AT225" i="58"/>
  <c r="AU202" i="58"/>
  <c r="AU197" i="58"/>
  <c r="AU199" i="58"/>
  <c r="AU201" i="58"/>
  <c r="AU200" i="58"/>
  <c r="AU198" i="58"/>
  <c r="AU204" i="58"/>
  <c r="AV51" i="58"/>
  <c r="AU203" i="58"/>
  <c r="AU205" i="58"/>
  <c r="AT220" i="58"/>
  <c r="AT245" i="58" s="1"/>
  <c r="AT222" i="58"/>
  <c r="AU53" i="58"/>
  <c r="AV49" i="58"/>
  <c r="AU177" i="58"/>
  <c r="AU236" i="58" s="1"/>
  <c r="AU180" i="58"/>
  <c r="AU239" i="58" s="1"/>
  <c r="AU175" i="58"/>
  <c r="AU234" i="58" s="1"/>
  <c r="AU176" i="58"/>
  <c r="AU235" i="58" s="1"/>
  <c r="AU174" i="58"/>
  <c r="AU233" i="58" s="1"/>
  <c r="AU182" i="58"/>
  <c r="AU241" i="58" s="1"/>
  <c r="AU179" i="58"/>
  <c r="AU238" i="58" s="1"/>
  <c r="AU178" i="58"/>
  <c r="AU237" i="58" s="1"/>
  <c r="AU181" i="58"/>
  <c r="AU240" i="58" s="1"/>
  <c r="AT223" i="58"/>
  <c r="AT226" i="58"/>
  <c r="AT228" i="58"/>
  <c r="AT227" i="58"/>
  <c r="AU194" i="58"/>
  <c r="AU193" i="58"/>
  <c r="AU191" i="58"/>
  <c r="AU190" i="58"/>
  <c r="AU224" i="58" s="1"/>
  <c r="AU189" i="58"/>
  <c r="AU223" i="58" s="1"/>
  <c r="AU192" i="58"/>
  <c r="AU226" i="58" s="1"/>
  <c r="AV50" i="58"/>
  <c r="AU187" i="58"/>
  <c r="AU221" i="58" s="1"/>
  <c r="AU188" i="58"/>
  <c r="AU186" i="58"/>
  <c r="AO258" i="58"/>
  <c r="AE118" i="47" s="1"/>
  <c r="AS245" i="58"/>
  <c r="AU227" i="58" l="1"/>
  <c r="AU225" i="58"/>
  <c r="AU228" i="58"/>
  <c r="AU220" i="58"/>
  <c r="AV214" i="58"/>
  <c r="AV213" i="58"/>
  <c r="AW52" i="58"/>
  <c r="AV212" i="58"/>
  <c r="AV211" i="58"/>
  <c r="AV210" i="58"/>
  <c r="AV216" i="58"/>
  <c r="AV209" i="58"/>
  <c r="AV208" i="58"/>
  <c r="AV215" i="58"/>
  <c r="AV200" i="58"/>
  <c r="AV198" i="58"/>
  <c r="AV199" i="58"/>
  <c r="AV197" i="58"/>
  <c r="AW51" i="58"/>
  <c r="AV205" i="58"/>
  <c r="AV203" i="58"/>
  <c r="AV202" i="58"/>
  <c r="AV201" i="58"/>
  <c r="AV204" i="58"/>
  <c r="AV188" i="58"/>
  <c r="AV187" i="58"/>
  <c r="AW50" i="58"/>
  <c r="AV186" i="58"/>
  <c r="AV194" i="58"/>
  <c r="AV193" i="58"/>
  <c r="AV191" i="58"/>
  <c r="AV192" i="58"/>
  <c r="AV190" i="58"/>
  <c r="AV189" i="58"/>
  <c r="AV223" i="58" s="1"/>
  <c r="AV176" i="58"/>
  <c r="AV235" i="58" s="1"/>
  <c r="AV181" i="58"/>
  <c r="AV240" i="58" s="1"/>
  <c r="AV175" i="58"/>
  <c r="AV234" i="58" s="1"/>
  <c r="AV174" i="58"/>
  <c r="AV233" i="58" s="1"/>
  <c r="AV182" i="58"/>
  <c r="AV241" i="58" s="1"/>
  <c r="AV53" i="58"/>
  <c r="AW49" i="58"/>
  <c r="AV180" i="58"/>
  <c r="AV239" i="58" s="1"/>
  <c r="AV179" i="58"/>
  <c r="AV238" i="58" s="1"/>
  <c r="AV178" i="58"/>
  <c r="AV237" i="58" s="1"/>
  <c r="AV177" i="58"/>
  <c r="AV236" i="58" s="1"/>
  <c r="AU222" i="58"/>
  <c r="AU245" i="58" s="1"/>
  <c r="AV221" i="58" l="1"/>
  <c r="AV222" i="58"/>
  <c r="AV224" i="58"/>
  <c r="AV226" i="58"/>
  <c r="AW186" i="58"/>
  <c r="AW194" i="58"/>
  <c r="AW189" i="58"/>
  <c r="AW193" i="58"/>
  <c r="AW191" i="58"/>
  <c r="AX50" i="58"/>
  <c r="AW187" i="58"/>
  <c r="AW192" i="58"/>
  <c r="AW190" i="58"/>
  <c r="AW188" i="58"/>
  <c r="AV225" i="58"/>
  <c r="AW200" i="58"/>
  <c r="AW198" i="58"/>
  <c r="AX51" i="58"/>
  <c r="AW204" i="58"/>
  <c r="AW199" i="58"/>
  <c r="AW197" i="58"/>
  <c r="AW205" i="58"/>
  <c r="AW201" i="58"/>
  <c r="AW203" i="58"/>
  <c r="AW202" i="58"/>
  <c r="AW214" i="58"/>
  <c r="AW213" i="58"/>
  <c r="AW210" i="58"/>
  <c r="AX52" i="58"/>
  <c r="AW212" i="58"/>
  <c r="AW216" i="58"/>
  <c r="AW211" i="58"/>
  <c r="AW209" i="58"/>
  <c r="AW208" i="58"/>
  <c r="AW215" i="58"/>
  <c r="AV227" i="58"/>
  <c r="AW174" i="58"/>
  <c r="AW233" i="58" s="1"/>
  <c r="AW182" i="58"/>
  <c r="AW241" i="58" s="1"/>
  <c r="AW180" i="58"/>
  <c r="AW239" i="58" s="1"/>
  <c r="AW175" i="58"/>
  <c r="AW234" i="58" s="1"/>
  <c r="AW181" i="58"/>
  <c r="AW240" i="58" s="1"/>
  <c r="AX49" i="58"/>
  <c r="AW53" i="58"/>
  <c r="AW179" i="58"/>
  <c r="AW238" i="58" s="1"/>
  <c r="AW178" i="58"/>
  <c r="AW237" i="58" s="1"/>
  <c r="AW176" i="58"/>
  <c r="AW235" i="58" s="1"/>
  <c r="AW177" i="58"/>
  <c r="AW236" i="58" s="1"/>
  <c r="AV228" i="58"/>
  <c r="AV220" i="58"/>
  <c r="AV245" i="58" l="1"/>
  <c r="AW222" i="58"/>
  <c r="AW224" i="58"/>
  <c r="AW226" i="58"/>
  <c r="AW221" i="58"/>
  <c r="AX190" i="58"/>
  <c r="AX189" i="58"/>
  <c r="AX186" i="58"/>
  <c r="AX193" i="58"/>
  <c r="AX194" i="58"/>
  <c r="AY50" i="58"/>
  <c r="AX188" i="58"/>
  <c r="AX187" i="58"/>
  <c r="AX192" i="58"/>
  <c r="AX191" i="58"/>
  <c r="AW225" i="58"/>
  <c r="AW227" i="58"/>
  <c r="AW223" i="58"/>
  <c r="AX182" i="58"/>
  <c r="AX241" i="58" s="1"/>
  <c r="AP256" i="58" s="1"/>
  <c r="AF114" i="47" s="1"/>
  <c r="AX53" i="58"/>
  <c r="AX181" i="58"/>
  <c r="AX240" i="58" s="1"/>
  <c r="AP255" i="58" s="1"/>
  <c r="AF116" i="47" s="1"/>
  <c r="AX180" i="58"/>
  <c r="AX239" i="58" s="1"/>
  <c r="AP254" i="58" s="1"/>
  <c r="AF110" i="47" s="1"/>
  <c r="AX178" i="58"/>
  <c r="AX237" i="58" s="1"/>
  <c r="AP252" i="58" s="1"/>
  <c r="AF115" i="47" s="1"/>
  <c r="AX175" i="58"/>
  <c r="AX234" i="58" s="1"/>
  <c r="AP249" i="58" s="1"/>
  <c r="AF111" i="47" s="1"/>
  <c r="AX179" i="58"/>
  <c r="AX238" i="58" s="1"/>
  <c r="AP253" i="58" s="1"/>
  <c r="AF117" i="47" s="1"/>
  <c r="AX176" i="58"/>
  <c r="AX235" i="58" s="1"/>
  <c r="AP250" i="58" s="1"/>
  <c r="AF112" i="47" s="1"/>
  <c r="AY49" i="58"/>
  <c r="AX177" i="58"/>
  <c r="AX236" i="58" s="1"/>
  <c r="AP251" i="58" s="1"/>
  <c r="AF113" i="47" s="1"/>
  <c r="AX174" i="58"/>
  <c r="AX233" i="58" s="1"/>
  <c r="AP248" i="58" s="1"/>
  <c r="AF109" i="47" s="1"/>
  <c r="AX200" i="58"/>
  <c r="AX198" i="58"/>
  <c r="AY51" i="58"/>
  <c r="AX204" i="58"/>
  <c r="AX199" i="58"/>
  <c r="AX197" i="58"/>
  <c r="AX205" i="58"/>
  <c r="AX201" i="58"/>
  <c r="AX203" i="58"/>
  <c r="AX202" i="58"/>
  <c r="AW228" i="58"/>
  <c r="AX212" i="58"/>
  <c r="AX211" i="58"/>
  <c r="AX210" i="58"/>
  <c r="AX216" i="58"/>
  <c r="AX214" i="58"/>
  <c r="AY52" i="58"/>
  <c r="AX208" i="58"/>
  <c r="AX209" i="58"/>
  <c r="AX213" i="58"/>
  <c r="AX215" i="58"/>
  <c r="AW220" i="58"/>
  <c r="AX221" i="58" l="1"/>
  <c r="AP259" i="58" s="1"/>
  <c r="AF120" i="47" s="1"/>
  <c r="AX222" i="58"/>
  <c r="AP260" i="58" s="1"/>
  <c r="AF121" i="47" s="1"/>
  <c r="AY191" i="58"/>
  <c r="AY189" i="58"/>
  <c r="AY186" i="58"/>
  <c r="AY190" i="58"/>
  <c r="AY187" i="58"/>
  <c r="AZ50" i="58"/>
  <c r="AY188" i="58"/>
  <c r="AY194" i="58"/>
  <c r="AY228" i="58" s="1"/>
  <c r="AY193" i="58"/>
  <c r="AY192" i="58"/>
  <c r="AX228" i="58"/>
  <c r="AP266" i="58" s="1"/>
  <c r="AF123" i="47" s="1"/>
  <c r="AX227" i="58"/>
  <c r="AP265" i="58" s="1"/>
  <c r="AF125" i="47" s="1"/>
  <c r="AY202" i="58"/>
  <c r="AY203" i="58"/>
  <c r="AY205" i="58"/>
  <c r="AZ51" i="58"/>
  <c r="AY200" i="58"/>
  <c r="AY199" i="58"/>
  <c r="AY198" i="58"/>
  <c r="AY197" i="58"/>
  <c r="AY201" i="58"/>
  <c r="AY204" i="58"/>
  <c r="AX220" i="58"/>
  <c r="AX223" i="58"/>
  <c r="AP261" i="58" s="1"/>
  <c r="AF122" i="47" s="1"/>
  <c r="AX224" i="58"/>
  <c r="AP262" i="58" s="1"/>
  <c r="AF124" i="47" s="1"/>
  <c r="AZ52" i="58"/>
  <c r="AY215" i="58"/>
  <c r="AY216" i="58"/>
  <c r="AY214" i="58"/>
  <c r="AY208" i="58"/>
  <c r="AY210" i="58"/>
  <c r="AY211" i="58"/>
  <c r="AY213" i="58"/>
  <c r="AY212" i="58"/>
  <c r="AY209" i="58"/>
  <c r="AW245" i="58"/>
  <c r="AY174" i="58"/>
  <c r="AY233" i="58" s="1"/>
  <c r="AY177" i="58"/>
  <c r="AY236" i="58" s="1"/>
  <c r="AY176" i="58"/>
  <c r="AY235" i="58" s="1"/>
  <c r="AY175" i="58"/>
  <c r="AY234" i="58" s="1"/>
  <c r="AY182" i="58"/>
  <c r="AY241" i="58" s="1"/>
  <c r="AZ49" i="58"/>
  <c r="AY180" i="58"/>
  <c r="AY239" i="58" s="1"/>
  <c r="AY181" i="58"/>
  <c r="AY240" i="58" s="1"/>
  <c r="AY53" i="58"/>
  <c r="AY179" i="58"/>
  <c r="AY238" i="58" s="1"/>
  <c r="AY178" i="58"/>
  <c r="AY237" i="58" s="1"/>
  <c r="AX225" i="58"/>
  <c r="AP263" i="58" s="1"/>
  <c r="AF126" i="47" s="1"/>
  <c r="AX226" i="58"/>
  <c r="AP264" i="58" s="1"/>
  <c r="AF119" i="47" s="1"/>
  <c r="AY227" i="58" l="1"/>
  <c r="AY226" i="58"/>
  <c r="AY222" i="58"/>
  <c r="AZ175" i="58"/>
  <c r="AZ234" i="58" s="1"/>
  <c r="AZ174" i="58"/>
  <c r="AZ233" i="58" s="1"/>
  <c r="AZ181" i="58"/>
  <c r="AZ240" i="58" s="1"/>
  <c r="AZ180" i="58"/>
  <c r="AZ239" i="58" s="1"/>
  <c r="AZ182" i="58"/>
  <c r="AZ241" i="58" s="1"/>
  <c r="AZ177" i="58"/>
  <c r="AZ236" i="58" s="1"/>
  <c r="AZ176" i="58"/>
  <c r="AZ235" i="58" s="1"/>
  <c r="AZ179" i="58"/>
  <c r="AZ238" i="58" s="1"/>
  <c r="AZ178" i="58"/>
  <c r="AZ237" i="58" s="1"/>
  <c r="BA49" i="58"/>
  <c r="AZ53" i="58"/>
  <c r="AZ193" i="58"/>
  <c r="AZ190" i="58"/>
  <c r="AZ194" i="58"/>
  <c r="AZ191" i="58"/>
  <c r="AZ189" i="58"/>
  <c r="AZ188" i="58"/>
  <c r="AZ187" i="58"/>
  <c r="AZ186" i="58"/>
  <c r="AZ192" i="58"/>
  <c r="AZ226" i="58" s="1"/>
  <c r="BA50" i="58"/>
  <c r="AY221" i="58"/>
  <c r="BA51" i="58"/>
  <c r="AZ203" i="58"/>
  <c r="AZ199" i="58"/>
  <c r="AZ205" i="58"/>
  <c r="AZ201" i="58"/>
  <c r="AZ204" i="58"/>
  <c r="AZ197" i="58"/>
  <c r="AZ202" i="58"/>
  <c r="AZ200" i="58"/>
  <c r="AZ198" i="58"/>
  <c r="AY224" i="58"/>
  <c r="AY220" i="58"/>
  <c r="AZ216" i="58"/>
  <c r="AZ215" i="58"/>
  <c r="AZ214" i="58"/>
  <c r="AZ212" i="58"/>
  <c r="AZ209" i="58"/>
  <c r="BA52" i="58"/>
  <c r="AZ213" i="58"/>
  <c r="AZ210" i="58"/>
  <c r="AZ208" i="58"/>
  <c r="AZ211" i="58"/>
  <c r="AY223" i="58"/>
  <c r="AY225" i="58"/>
  <c r="AX245" i="58"/>
  <c r="AP258" i="58"/>
  <c r="AF118" i="47" s="1"/>
  <c r="BA53" i="58" l="1"/>
  <c r="BA182" i="58"/>
  <c r="BA241" i="58" s="1"/>
  <c r="BA181" i="58"/>
  <c r="BA240" i="58" s="1"/>
  <c r="BA180" i="58"/>
  <c r="BA239" i="58" s="1"/>
  <c r="BB49" i="58"/>
  <c r="BA179" i="58"/>
  <c r="BA238" i="58" s="1"/>
  <c r="BA178" i="58"/>
  <c r="BA237" i="58" s="1"/>
  <c r="BA177" i="58"/>
  <c r="BA236" i="58" s="1"/>
  <c r="BA175" i="58"/>
  <c r="BA234" i="58" s="1"/>
  <c r="BA174" i="58"/>
  <c r="BA233" i="58" s="1"/>
  <c r="BA176" i="58"/>
  <c r="BA235" i="58" s="1"/>
  <c r="AY245" i="58"/>
  <c r="BA190" i="58"/>
  <c r="BB50" i="58"/>
  <c r="BA189" i="58"/>
  <c r="BA187" i="58"/>
  <c r="BA193" i="58"/>
  <c r="BA192" i="58"/>
  <c r="BA188" i="58"/>
  <c r="BA186" i="58"/>
  <c r="BA194" i="58"/>
  <c r="BA191" i="58"/>
  <c r="AZ220" i="58"/>
  <c r="AZ221" i="58"/>
  <c r="AZ222" i="58"/>
  <c r="BA214" i="58"/>
  <c r="BA212" i="58"/>
  <c r="BA213" i="58"/>
  <c r="BA209" i="58"/>
  <c r="BA208" i="58"/>
  <c r="BA211" i="58"/>
  <c r="BB52" i="58"/>
  <c r="BA215" i="58"/>
  <c r="BA210" i="58"/>
  <c r="BA216" i="58"/>
  <c r="AZ223" i="58"/>
  <c r="AZ225" i="58"/>
  <c r="AZ228" i="58"/>
  <c r="AZ224" i="58"/>
  <c r="AZ227" i="58"/>
  <c r="BA198" i="58"/>
  <c r="BA197" i="58"/>
  <c r="BA201" i="58"/>
  <c r="BB51" i="58"/>
  <c r="BA202" i="58"/>
  <c r="BA200" i="58"/>
  <c r="BA205" i="58"/>
  <c r="BA203" i="58"/>
  <c r="BA204" i="58"/>
  <c r="BA199" i="58"/>
  <c r="AZ245" i="58" l="1"/>
  <c r="BA225" i="58"/>
  <c r="BA228" i="58"/>
  <c r="BB203" i="58"/>
  <c r="BB201" i="58"/>
  <c r="BC51" i="58"/>
  <c r="BB202" i="58"/>
  <c r="BB199" i="58"/>
  <c r="BB204" i="58"/>
  <c r="BB205" i="58"/>
  <c r="BB200" i="58"/>
  <c r="BB198" i="58"/>
  <c r="BB197" i="58"/>
  <c r="BB208" i="58"/>
  <c r="BB215" i="58"/>
  <c r="BB213" i="58"/>
  <c r="BB210" i="58"/>
  <c r="BB214" i="58"/>
  <c r="BB209" i="58"/>
  <c r="BB211" i="58"/>
  <c r="BB216" i="58"/>
  <c r="BC52" i="58"/>
  <c r="BB212" i="58"/>
  <c r="BA220" i="58"/>
  <c r="BA245" i="58" s="1"/>
  <c r="BA222" i="58"/>
  <c r="BA226" i="58"/>
  <c r="BA227" i="58"/>
  <c r="BB182" i="58"/>
  <c r="BB241" i="58" s="1"/>
  <c r="BB181" i="58"/>
  <c r="BB240" i="58" s="1"/>
  <c r="BB174" i="58"/>
  <c r="BB233" i="58" s="1"/>
  <c r="BB179" i="58"/>
  <c r="BB238" i="58" s="1"/>
  <c r="BB178" i="58"/>
  <c r="BB237" i="58" s="1"/>
  <c r="BB176" i="58"/>
  <c r="BB235" i="58" s="1"/>
  <c r="BC49" i="58"/>
  <c r="BB53" i="58"/>
  <c r="BB180" i="58"/>
  <c r="BB239" i="58" s="1"/>
  <c r="BB177" i="58"/>
  <c r="BB236" i="58" s="1"/>
  <c r="BB175" i="58"/>
  <c r="BB234" i="58" s="1"/>
  <c r="BA221" i="58"/>
  <c r="BA223" i="58"/>
  <c r="BB193" i="58"/>
  <c r="BB227" i="58" s="1"/>
  <c r="BB194" i="58"/>
  <c r="BB188" i="58"/>
  <c r="BB222" i="58" s="1"/>
  <c r="BB187" i="58"/>
  <c r="BB186" i="58"/>
  <c r="BB220" i="58" s="1"/>
  <c r="BB192" i="58"/>
  <c r="BB226" i="58" s="1"/>
  <c r="BB190" i="58"/>
  <c r="BB224" i="58" s="1"/>
  <c r="BB191" i="58"/>
  <c r="BB225" i="58" s="1"/>
  <c r="BB189" i="58"/>
  <c r="BC50" i="58"/>
  <c r="BA224" i="58"/>
  <c r="BB228" i="58" l="1"/>
  <c r="BB221" i="58"/>
  <c r="BB223" i="58"/>
  <c r="BC181" i="58"/>
  <c r="BC240" i="58" s="1"/>
  <c r="BC180" i="58"/>
  <c r="BC239" i="58" s="1"/>
  <c r="BC177" i="58"/>
  <c r="BC236" i="58" s="1"/>
  <c r="BD49" i="58"/>
  <c r="BC178" i="58"/>
  <c r="BC237" i="58" s="1"/>
  <c r="BC179" i="58"/>
  <c r="BC238" i="58" s="1"/>
  <c r="BC175" i="58"/>
  <c r="BC234" i="58" s="1"/>
  <c r="BC176" i="58"/>
  <c r="BC235" i="58" s="1"/>
  <c r="BC174" i="58"/>
  <c r="BC233" i="58" s="1"/>
  <c r="BC53" i="58"/>
  <c r="BC182" i="58"/>
  <c r="BC241" i="58" s="1"/>
  <c r="BC212" i="58"/>
  <c r="BC214" i="58"/>
  <c r="BC215" i="58"/>
  <c r="BD52" i="58"/>
  <c r="BC213" i="58"/>
  <c r="BC210" i="58"/>
  <c r="BC208" i="58"/>
  <c r="BC211" i="58"/>
  <c r="BC209" i="58"/>
  <c r="BC216" i="58"/>
  <c r="BC197" i="58"/>
  <c r="BC204" i="58"/>
  <c r="BC203" i="58"/>
  <c r="BD51" i="58"/>
  <c r="BC205" i="58"/>
  <c r="BC200" i="58"/>
  <c r="BC201" i="58"/>
  <c r="BC202" i="58"/>
  <c r="BC199" i="58"/>
  <c r="BC198" i="58"/>
  <c r="BD50" i="58"/>
  <c r="BC194" i="58"/>
  <c r="BC228" i="58" s="1"/>
  <c r="BC193" i="58"/>
  <c r="BC186" i="58"/>
  <c r="BC187" i="58"/>
  <c r="BC191" i="58"/>
  <c r="BC190" i="58"/>
  <c r="BC189" i="58"/>
  <c r="BC192" i="58"/>
  <c r="BC188" i="58"/>
  <c r="BB245" i="58" l="1"/>
  <c r="BC222" i="58"/>
  <c r="BC224" i="58"/>
  <c r="BC221" i="58"/>
  <c r="BC220" i="58"/>
  <c r="BC227" i="58"/>
  <c r="BD186" i="58"/>
  <c r="BD194" i="58"/>
  <c r="BD193" i="58"/>
  <c r="BD192" i="58"/>
  <c r="BE50" i="58"/>
  <c r="BD191" i="58"/>
  <c r="BD190" i="58"/>
  <c r="BD189" i="58"/>
  <c r="BD187" i="58"/>
  <c r="BD188" i="58"/>
  <c r="BC226" i="58"/>
  <c r="BD174" i="58"/>
  <c r="BD233" i="58" s="1"/>
  <c r="BD182" i="58"/>
  <c r="BD241" i="58" s="1"/>
  <c r="BE49" i="58"/>
  <c r="BD53" i="58"/>
  <c r="BD177" i="58"/>
  <c r="BD236" i="58" s="1"/>
  <c r="BD175" i="58"/>
  <c r="BD234" i="58" s="1"/>
  <c r="BD179" i="58"/>
  <c r="BD238" i="58" s="1"/>
  <c r="BD176" i="58"/>
  <c r="BD235" i="58" s="1"/>
  <c r="BD180" i="58"/>
  <c r="BD239" i="58" s="1"/>
  <c r="BD181" i="58"/>
  <c r="BD240" i="58" s="1"/>
  <c r="BD178" i="58"/>
  <c r="BD237" i="58" s="1"/>
  <c r="BC223" i="58"/>
  <c r="BD210" i="58"/>
  <c r="BD215" i="58"/>
  <c r="BE52" i="58"/>
  <c r="BD213" i="58"/>
  <c r="BD211" i="58"/>
  <c r="BD212" i="58"/>
  <c r="BD216" i="58"/>
  <c r="BD209" i="58"/>
  <c r="BD208" i="58"/>
  <c r="BD214" i="58"/>
  <c r="BC225" i="58"/>
  <c r="BD201" i="58"/>
  <c r="BD205" i="58"/>
  <c r="BD204" i="58"/>
  <c r="BD202" i="58"/>
  <c r="BD199" i="58"/>
  <c r="BE51" i="58"/>
  <c r="BD198" i="58"/>
  <c r="BD203" i="58"/>
  <c r="BD200" i="58"/>
  <c r="BD197" i="58"/>
  <c r="BC245" i="58" l="1"/>
  <c r="BD222" i="58"/>
  <c r="BD221" i="58"/>
  <c r="BD223" i="58"/>
  <c r="BD224" i="58"/>
  <c r="BD225" i="58"/>
  <c r="BE194" i="58"/>
  <c r="BF50" i="58"/>
  <c r="BE193" i="58"/>
  <c r="BE189" i="58"/>
  <c r="BE192" i="58"/>
  <c r="BE191" i="58"/>
  <c r="BE190" i="58"/>
  <c r="BE186" i="58"/>
  <c r="BE188" i="58"/>
  <c r="BE187" i="58"/>
  <c r="BD226" i="58"/>
  <c r="BD227" i="58"/>
  <c r="BE210" i="58"/>
  <c r="BE208" i="58"/>
  <c r="BE214" i="58"/>
  <c r="BF52" i="58"/>
  <c r="BE212" i="58"/>
  <c r="BE213" i="58"/>
  <c r="BE211" i="58"/>
  <c r="BE209" i="58"/>
  <c r="BE216" i="58"/>
  <c r="BE215" i="58"/>
  <c r="BF49" i="58"/>
  <c r="BE53" i="58"/>
  <c r="BE182" i="58"/>
  <c r="BE241" i="58" s="1"/>
  <c r="BE179" i="58"/>
  <c r="BE238" i="58" s="1"/>
  <c r="BE181" i="58"/>
  <c r="BE240" i="58" s="1"/>
  <c r="BE174" i="58"/>
  <c r="BE233" i="58" s="1"/>
  <c r="BE180" i="58"/>
  <c r="BE239" i="58" s="1"/>
  <c r="BE178" i="58"/>
  <c r="BE237" i="58" s="1"/>
  <c r="BE177" i="58"/>
  <c r="BE236" i="58" s="1"/>
  <c r="BE175" i="58"/>
  <c r="BE234" i="58" s="1"/>
  <c r="BE176" i="58"/>
  <c r="BE235" i="58" s="1"/>
  <c r="BD228" i="58"/>
  <c r="BD220" i="58"/>
  <c r="BE197" i="58"/>
  <c r="BE200" i="58"/>
  <c r="BE198" i="58"/>
  <c r="BF51" i="58"/>
  <c r="BE205" i="58"/>
  <c r="BE204" i="58"/>
  <c r="BE203" i="58"/>
  <c r="BE199" i="58"/>
  <c r="BE201" i="58"/>
  <c r="BE202" i="58"/>
  <c r="BE224" i="58" l="1"/>
  <c r="BE225" i="58"/>
  <c r="BE226" i="58"/>
  <c r="BF214" i="58"/>
  <c r="BF213" i="58"/>
  <c r="BF212" i="58"/>
  <c r="BG52" i="58"/>
  <c r="BF209" i="58"/>
  <c r="BF208" i="58"/>
  <c r="BF210" i="58"/>
  <c r="BF216" i="58"/>
  <c r="BF211" i="58"/>
  <c r="BF215" i="58"/>
  <c r="BE223" i="58"/>
  <c r="BE227" i="58"/>
  <c r="BF188" i="58"/>
  <c r="BF194" i="58"/>
  <c r="BF192" i="58"/>
  <c r="BF226" i="58" s="1"/>
  <c r="BF187" i="58"/>
  <c r="BF186" i="58"/>
  <c r="BF191" i="58"/>
  <c r="BF225" i="58" s="1"/>
  <c r="BF189" i="58"/>
  <c r="BF193" i="58"/>
  <c r="BG50" i="58"/>
  <c r="BF190" i="58"/>
  <c r="BF203" i="58"/>
  <c r="BF202" i="58"/>
  <c r="BF198" i="58"/>
  <c r="BF205" i="58"/>
  <c r="BG51" i="58"/>
  <c r="BF197" i="58"/>
  <c r="BF201" i="58"/>
  <c r="BF199" i="58"/>
  <c r="BF200" i="58"/>
  <c r="BF204" i="58"/>
  <c r="BE228" i="58"/>
  <c r="BD245" i="58"/>
  <c r="BF177" i="58"/>
  <c r="BF236" i="58" s="1"/>
  <c r="BF182" i="58"/>
  <c r="BF241" i="58" s="1"/>
  <c r="BF176" i="58"/>
  <c r="BF235" i="58" s="1"/>
  <c r="BF175" i="58"/>
  <c r="BF234" i="58" s="1"/>
  <c r="BF181" i="58"/>
  <c r="BF240" i="58" s="1"/>
  <c r="BG49" i="58"/>
  <c r="BF53" i="58"/>
  <c r="BF174" i="58"/>
  <c r="BF233" i="58" s="1"/>
  <c r="BF180" i="58"/>
  <c r="BF239" i="58" s="1"/>
  <c r="BF179" i="58"/>
  <c r="BF238" i="58" s="1"/>
  <c r="BF178" i="58"/>
  <c r="BF237" i="58" s="1"/>
  <c r="BE221" i="58"/>
  <c r="BE222" i="58"/>
  <c r="BE220" i="58"/>
  <c r="BF221" i="58" l="1"/>
  <c r="BG194" i="58"/>
  <c r="BG193" i="58"/>
  <c r="BG191" i="58"/>
  <c r="BG192" i="58"/>
  <c r="BG190" i="58"/>
  <c r="BG186" i="58"/>
  <c r="BG189" i="58"/>
  <c r="BG187" i="58"/>
  <c r="BH50" i="58"/>
  <c r="BG188" i="58"/>
  <c r="BF227" i="58"/>
  <c r="BF223" i="58"/>
  <c r="BF220" i="58"/>
  <c r="BH49" i="58"/>
  <c r="BG53" i="58"/>
  <c r="BG175" i="58"/>
  <c r="BG234" i="58" s="1"/>
  <c r="BG182" i="58"/>
  <c r="BG241" i="58" s="1"/>
  <c r="BG177" i="58"/>
  <c r="BG236" i="58" s="1"/>
  <c r="BG180" i="58"/>
  <c r="BG239" i="58" s="1"/>
  <c r="BG179" i="58"/>
  <c r="BG238" i="58" s="1"/>
  <c r="BG178" i="58"/>
  <c r="BG237" i="58" s="1"/>
  <c r="BG176" i="58"/>
  <c r="BG235" i="58" s="1"/>
  <c r="BG181" i="58"/>
  <c r="BG240" i="58" s="1"/>
  <c r="BG174" i="58"/>
  <c r="BG233" i="58" s="1"/>
  <c r="BG210" i="58"/>
  <c r="BG213" i="58"/>
  <c r="BG209" i="58"/>
  <c r="BG208" i="58"/>
  <c r="BG212" i="58"/>
  <c r="BH52" i="58"/>
  <c r="BG216" i="58"/>
  <c r="BG215" i="58"/>
  <c r="BG211" i="58"/>
  <c r="BG214" i="58"/>
  <c r="BG199" i="58"/>
  <c r="BG198" i="58"/>
  <c r="BG201" i="58"/>
  <c r="BH51" i="58"/>
  <c r="BG205" i="58"/>
  <c r="BG203" i="58"/>
  <c r="BG197" i="58"/>
  <c r="BG204" i="58"/>
  <c r="BG202" i="58"/>
  <c r="BG200" i="58"/>
  <c r="BF228" i="58"/>
  <c r="BF222" i="58"/>
  <c r="BE245" i="58"/>
  <c r="BF224" i="58"/>
  <c r="BG222" i="58" l="1"/>
  <c r="BH189" i="58"/>
  <c r="BH187" i="58"/>
  <c r="BI50" i="58"/>
  <c r="BH194" i="58"/>
  <c r="BH188" i="58"/>
  <c r="BH186" i="58"/>
  <c r="BH190" i="58"/>
  <c r="BH193" i="58"/>
  <c r="BH192" i="58"/>
  <c r="BH191" i="58"/>
  <c r="BG221" i="58"/>
  <c r="BG223" i="58"/>
  <c r="BH213" i="58"/>
  <c r="BH210" i="58"/>
  <c r="BH212" i="58"/>
  <c r="BH216" i="58"/>
  <c r="BH214" i="58"/>
  <c r="BH211" i="58"/>
  <c r="BI52" i="58"/>
  <c r="BH209" i="58"/>
  <c r="BH215" i="58"/>
  <c r="BH208" i="58"/>
  <c r="BG220" i="58"/>
  <c r="BG245" i="58" s="1"/>
  <c r="BG224" i="58"/>
  <c r="BG226" i="58"/>
  <c r="BG225" i="58"/>
  <c r="BH204" i="58"/>
  <c r="BI51" i="58"/>
  <c r="BH198" i="58"/>
  <c r="BH202" i="58"/>
  <c r="BH197" i="58"/>
  <c r="BH201" i="58"/>
  <c r="BH203" i="58"/>
  <c r="BH200" i="58"/>
  <c r="BH205" i="58"/>
  <c r="BH199" i="58"/>
  <c r="BH182" i="58"/>
  <c r="BH241" i="58" s="1"/>
  <c r="AQ256" i="58" s="1"/>
  <c r="AG114" i="47" s="1"/>
  <c r="BI49" i="58"/>
  <c r="BH181" i="58"/>
  <c r="BH240" i="58" s="1"/>
  <c r="AQ255" i="58" s="1"/>
  <c r="AG116" i="47" s="1"/>
  <c r="BH53" i="58"/>
  <c r="BH180" i="58"/>
  <c r="BH239" i="58" s="1"/>
  <c r="AQ254" i="58" s="1"/>
  <c r="AG110" i="47" s="1"/>
  <c r="BH176" i="58"/>
  <c r="BH235" i="58" s="1"/>
  <c r="AQ250" i="58" s="1"/>
  <c r="AG112" i="47" s="1"/>
  <c r="BH178" i="58"/>
  <c r="BH237" i="58" s="1"/>
  <c r="AQ252" i="58" s="1"/>
  <c r="AG115" i="47" s="1"/>
  <c r="BH175" i="58"/>
  <c r="BH234" i="58" s="1"/>
  <c r="AQ249" i="58" s="1"/>
  <c r="AG111" i="47" s="1"/>
  <c r="BH179" i="58"/>
  <c r="BH238" i="58" s="1"/>
  <c r="AQ253" i="58" s="1"/>
  <c r="AG117" i="47" s="1"/>
  <c r="BH177" i="58"/>
  <c r="BH236" i="58" s="1"/>
  <c r="AQ251" i="58" s="1"/>
  <c r="AG113" i="47" s="1"/>
  <c r="BH174" i="58"/>
  <c r="BH233" i="58" s="1"/>
  <c r="AQ248" i="58" s="1"/>
  <c r="AG109" i="47" s="1"/>
  <c r="BG227" i="58"/>
  <c r="BF245" i="58"/>
  <c r="BG228" i="58"/>
  <c r="BH222" i="58" l="1"/>
  <c r="AQ260" i="58" s="1"/>
  <c r="AG121" i="47" s="1"/>
  <c r="BH225" i="58"/>
  <c r="AQ263" i="58" s="1"/>
  <c r="AG126" i="47" s="1"/>
  <c r="BH226" i="58"/>
  <c r="AQ264" i="58" s="1"/>
  <c r="AG119" i="47" s="1"/>
  <c r="BH227" i="58"/>
  <c r="AQ265" i="58" s="1"/>
  <c r="AG125" i="47" s="1"/>
  <c r="BI215" i="58"/>
  <c r="BI216" i="58"/>
  <c r="BI208" i="58"/>
  <c r="BI214" i="58"/>
  <c r="BI212" i="58"/>
  <c r="BI210" i="58"/>
  <c r="BI213" i="58"/>
  <c r="BI211" i="58"/>
  <c r="BI209" i="58"/>
  <c r="BJ52" i="58"/>
  <c r="BH224" i="58"/>
  <c r="AQ262" i="58" s="1"/>
  <c r="AG124" i="47" s="1"/>
  <c r="BH220" i="58"/>
  <c r="BI205" i="58"/>
  <c r="BI202" i="58"/>
  <c r="BI197" i="58"/>
  <c r="BI201" i="58"/>
  <c r="BI203" i="58"/>
  <c r="BI200" i="58"/>
  <c r="BI199" i="58"/>
  <c r="BI198" i="58"/>
  <c r="BJ51" i="58"/>
  <c r="BI204" i="58"/>
  <c r="BH228" i="58"/>
  <c r="AQ266" i="58" s="1"/>
  <c r="AG123" i="47" s="1"/>
  <c r="BI194" i="58"/>
  <c r="BI228" i="58" s="1"/>
  <c r="BJ50" i="58"/>
  <c r="BI191" i="58"/>
  <c r="BI193" i="58"/>
  <c r="BI227" i="58" s="1"/>
  <c r="BI190" i="58"/>
  <c r="BI188" i="58"/>
  <c r="BI192" i="58"/>
  <c r="BI189" i="58"/>
  <c r="BI187" i="58"/>
  <c r="BI186" i="58"/>
  <c r="BI178" i="58"/>
  <c r="BI237" i="58" s="1"/>
  <c r="BI182" i="58"/>
  <c r="BI241" i="58" s="1"/>
  <c r="BI177" i="58"/>
  <c r="BI236" i="58" s="1"/>
  <c r="BI176" i="58"/>
  <c r="BI235" i="58" s="1"/>
  <c r="BJ49" i="58"/>
  <c r="BI175" i="58"/>
  <c r="BI234" i="58" s="1"/>
  <c r="BI174" i="58"/>
  <c r="BI233" i="58" s="1"/>
  <c r="BI181" i="58"/>
  <c r="BI240" i="58" s="1"/>
  <c r="BI53" i="58"/>
  <c r="BI180" i="58"/>
  <c r="BI239" i="58" s="1"/>
  <c r="BI179" i="58"/>
  <c r="BI238" i="58" s="1"/>
  <c r="BH221" i="58"/>
  <c r="AQ259" i="58" s="1"/>
  <c r="AG120" i="47" s="1"/>
  <c r="BH223" i="58"/>
  <c r="AQ261" i="58" s="1"/>
  <c r="AG122" i="47" s="1"/>
  <c r="BI226" i="58" l="1"/>
  <c r="BI224" i="58"/>
  <c r="BI225" i="58"/>
  <c r="BI220" i="58"/>
  <c r="BI223" i="58"/>
  <c r="BI221" i="58"/>
  <c r="BK51" i="58"/>
  <c r="BJ199" i="58"/>
  <c r="BJ202" i="58"/>
  <c r="BJ205" i="58"/>
  <c r="BJ200" i="58"/>
  <c r="BJ198" i="58"/>
  <c r="BJ203" i="58"/>
  <c r="BJ201" i="58"/>
  <c r="BJ204" i="58"/>
  <c r="BJ197" i="58"/>
  <c r="BI222" i="58"/>
  <c r="BJ177" i="58"/>
  <c r="BJ236" i="58" s="1"/>
  <c r="BJ175" i="58"/>
  <c r="BJ234" i="58" s="1"/>
  <c r="BJ174" i="58"/>
  <c r="BJ233" i="58" s="1"/>
  <c r="BJ182" i="58"/>
  <c r="BJ241" i="58" s="1"/>
  <c r="BJ181" i="58"/>
  <c r="BJ240" i="58" s="1"/>
  <c r="BJ180" i="58"/>
  <c r="BJ239" i="58" s="1"/>
  <c r="BJ179" i="58"/>
  <c r="BJ238" i="58" s="1"/>
  <c r="BJ178" i="58"/>
  <c r="BJ237" i="58" s="1"/>
  <c r="BJ176" i="58"/>
  <c r="BJ235" i="58" s="1"/>
  <c r="BJ53" i="58"/>
  <c r="BK49" i="58"/>
  <c r="BK50" i="58"/>
  <c r="BJ189" i="58"/>
  <c r="BJ192" i="58"/>
  <c r="BJ194" i="58"/>
  <c r="BJ191" i="58"/>
  <c r="BJ190" i="58"/>
  <c r="BJ187" i="58"/>
  <c r="BJ188" i="58"/>
  <c r="BJ186" i="58"/>
  <c r="BJ193" i="58"/>
  <c r="AQ258" i="58"/>
  <c r="AG118" i="47" s="1"/>
  <c r="BH245" i="58"/>
  <c r="BJ213" i="58"/>
  <c r="BJ208" i="58"/>
  <c r="BK52" i="58"/>
  <c r="BJ216" i="58"/>
  <c r="BJ215" i="58"/>
  <c r="BJ214" i="58"/>
  <c r="BJ212" i="58"/>
  <c r="BJ211" i="58"/>
  <c r="BJ210" i="58"/>
  <c r="BJ209" i="58"/>
  <c r="BJ227" i="58" l="1"/>
  <c r="BI245" i="58"/>
  <c r="BJ223" i="58"/>
  <c r="BK191" i="58"/>
  <c r="BK190" i="58"/>
  <c r="BK189" i="58"/>
  <c r="BK188" i="58"/>
  <c r="BK186" i="58"/>
  <c r="BK192" i="58"/>
  <c r="BK187" i="58"/>
  <c r="BL50" i="58"/>
  <c r="BK194" i="58"/>
  <c r="BK193" i="58"/>
  <c r="BK174" i="58"/>
  <c r="BK233" i="58" s="1"/>
  <c r="BK181" i="58"/>
  <c r="BK240" i="58" s="1"/>
  <c r="BK175" i="58"/>
  <c r="BK234" i="58" s="1"/>
  <c r="BK180" i="58"/>
  <c r="BK239" i="58" s="1"/>
  <c r="BK179" i="58"/>
  <c r="BK238" i="58" s="1"/>
  <c r="BK182" i="58"/>
  <c r="BK241" i="58" s="1"/>
  <c r="BK178" i="58"/>
  <c r="BK237" i="58" s="1"/>
  <c r="BK177" i="58"/>
  <c r="BK236" i="58" s="1"/>
  <c r="BL49" i="58"/>
  <c r="BK53" i="58"/>
  <c r="BK176" i="58"/>
  <c r="BK235" i="58" s="1"/>
  <c r="BJ220" i="58"/>
  <c r="BJ222" i="58"/>
  <c r="BJ221" i="58"/>
  <c r="BJ224" i="58"/>
  <c r="BJ225" i="58"/>
  <c r="BJ228" i="58"/>
  <c r="BK213" i="58"/>
  <c r="BK211" i="58"/>
  <c r="BK210" i="58"/>
  <c r="BK208" i="58"/>
  <c r="BL52" i="58"/>
  <c r="BK215" i="58"/>
  <c r="BK209" i="58"/>
  <c r="BK216" i="58"/>
  <c r="BK214" i="58"/>
  <c r="BK212" i="58"/>
  <c r="BJ226" i="58"/>
  <c r="BK204" i="58"/>
  <c r="BK202" i="58"/>
  <c r="BK205" i="58"/>
  <c r="BK201" i="58"/>
  <c r="BK199" i="58"/>
  <c r="BL51" i="58"/>
  <c r="BK200" i="58"/>
  <c r="BK203" i="58"/>
  <c r="BK197" i="58"/>
  <c r="BK198" i="58"/>
  <c r="BJ245" i="58" l="1"/>
  <c r="BK227" i="58"/>
  <c r="BK228" i="58"/>
  <c r="BL200" i="58"/>
  <c r="BL199" i="58"/>
  <c r="BL202" i="58"/>
  <c r="BL198" i="58"/>
  <c r="BL197" i="58"/>
  <c r="BL205" i="58"/>
  <c r="BM51" i="58"/>
  <c r="BL203" i="58"/>
  <c r="BL204" i="58"/>
  <c r="BL201" i="58"/>
  <c r="BL216" i="58"/>
  <c r="BL211" i="58"/>
  <c r="BL215" i="58"/>
  <c r="BL213" i="58"/>
  <c r="BL208" i="58"/>
  <c r="BL214" i="58"/>
  <c r="BL209" i="58"/>
  <c r="BL212" i="58"/>
  <c r="BL210" i="58"/>
  <c r="BM52" i="58"/>
  <c r="BL194" i="58"/>
  <c r="BL228" i="58" s="1"/>
  <c r="BL193" i="58"/>
  <c r="BL192" i="58"/>
  <c r="BL191" i="58"/>
  <c r="BM50" i="58"/>
  <c r="BL190" i="58"/>
  <c r="BL189" i="58"/>
  <c r="BL223" i="58" s="1"/>
  <c r="BL188" i="58"/>
  <c r="BL187" i="58"/>
  <c r="BL221" i="58" s="1"/>
  <c r="BL186" i="58"/>
  <c r="BL220" i="58" s="1"/>
  <c r="BL178" i="58"/>
  <c r="BL237" i="58" s="1"/>
  <c r="BL177" i="58"/>
  <c r="BL236" i="58" s="1"/>
  <c r="BL176" i="58"/>
  <c r="BL235" i="58" s="1"/>
  <c r="BM49" i="58"/>
  <c r="BL53" i="58"/>
  <c r="BL182" i="58"/>
  <c r="BL241" i="58" s="1"/>
  <c r="BL174" i="58"/>
  <c r="BL233" i="58" s="1"/>
  <c r="BL175" i="58"/>
  <c r="BL234" i="58" s="1"/>
  <c r="BL181" i="58"/>
  <c r="BL240" i="58" s="1"/>
  <c r="BL180" i="58"/>
  <c r="BL239" i="58" s="1"/>
  <c r="BL179" i="58"/>
  <c r="BL238" i="58" s="1"/>
  <c r="BK221" i="58"/>
  <c r="BK226" i="58"/>
  <c r="BK220" i="58"/>
  <c r="BK222" i="58"/>
  <c r="BK223" i="58"/>
  <c r="BK224" i="58"/>
  <c r="BK225" i="58"/>
  <c r="BM53" i="58" l="1"/>
  <c r="BM174" i="58"/>
  <c r="BM233" i="58" s="1"/>
  <c r="BM181" i="58"/>
  <c r="BM240" i="58" s="1"/>
  <c r="BN49" i="58"/>
  <c r="BM180" i="58"/>
  <c r="BM239" i="58" s="1"/>
  <c r="BM177" i="58"/>
  <c r="BM236" i="58" s="1"/>
  <c r="BM182" i="58"/>
  <c r="BM241" i="58" s="1"/>
  <c r="BM176" i="58"/>
  <c r="BM235" i="58" s="1"/>
  <c r="BM175" i="58"/>
  <c r="BM234" i="58" s="1"/>
  <c r="BM179" i="58"/>
  <c r="BM238" i="58" s="1"/>
  <c r="BM178" i="58"/>
  <c r="BM237" i="58" s="1"/>
  <c r="BL227" i="58"/>
  <c r="BK245" i="58"/>
  <c r="BM208" i="58"/>
  <c r="BM211" i="58"/>
  <c r="BN52" i="58"/>
  <c r="BM216" i="58"/>
  <c r="BM215" i="58"/>
  <c r="BM214" i="58"/>
  <c r="BM213" i="58"/>
  <c r="BM210" i="58"/>
  <c r="BM212" i="58"/>
  <c r="BM209" i="58"/>
  <c r="BM200" i="58"/>
  <c r="BM204" i="58"/>
  <c r="BM202" i="58"/>
  <c r="BM203" i="58"/>
  <c r="BM201" i="58"/>
  <c r="BM205" i="58"/>
  <c r="BN51" i="58"/>
  <c r="BM199" i="58"/>
  <c r="BM198" i="58"/>
  <c r="BM197" i="58"/>
  <c r="BL222" i="58"/>
  <c r="BL224" i="58"/>
  <c r="BM189" i="58"/>
  <c r="BM223" i="58" s="1"/>
  <c r="BM194" i="58"/>
  <c r="BM193" i="58"/>
  <c r="BN50" i="58"/>
  <c r="BM188" i="58"/>
  <c r="BM187" i="58"/>
  <c r="BM186" i="58"/>
  <c r="BM192" i="58"/>
  <c r="BM191" i="58"/>
  <c r="BM225" i="58" s="1"/>
  <c r="BM190" i="58"/>
  <c r="BL225" i="58"/>
  <c r="BL226" i="58"/>
  <c r="BM226" i="58" l="1"/>
  <c r="BM224" i="58"/>
  <c r="BM221" i="58"/>
  <c r="BM220" i="58"/>
  <c r="BL245" i="58"/>
  <c r="BO51" i="58"/>
  <c r="BN203" i="58"/>
  <c r="BN201" i="58"/>
  <c r="BN204" i="58"/>
  <c r="BN202" i="58"/>
  <c r="BN200" i="58"/>
  <c r="BN199" i="58"/>
  <c r="BN198" i="58"/>
  <c r="BN197" i="58"/>
  <c r="BN205" i="58"/>
  <c r="BM222" i="58"/>
  <c r="BN209" i="58"/>
  <c r="BN208" i="58"/>
  <c r="BN214" i="58"/>
  <c r="BN216" i="58"/>
  <c r="BO52" i="58"/>
  <c r="BN215" i="58"/>
  <c r="BN212" i="58"/>
  <c r="BN213" i="58"/>
  <c r="BN210" i="58"/>
  <c r="BN211" i="58"/>
  <c r="BN177" i="58"/>
  <c r="BN236" i="58" s="1"/>
  <c r="BN182" i="58"/>
  <c r="BN241" i="58" s="1"/>
  <c r="BN176" i="58"/>
  <c r="BN235" i="58" s="1"/>
  <c r="BN174" i="58"/>
  <c r="BN233" i="58" s="1"/>
  <c r="BO49" i="58"/>
  <c r="BN175" i="58"/>
  <c r="BN234" i="58" s="1"/>
  <c r="BN53" i="58"/>
  <c r="BN180" i="58"/>
  <c r="BN239" i="58" s="1"/>
  <c r="BN181" i="58"/>
  <c r="BN240" i="58" s="1"/>
  <c r="BN179" i="58"/>
  <c r="BN238" i="58" s="1"/>
  <c r="BN178" i="58"/>
  <c r="BN237" i="58" s="1"/>
  <c r="BN188" i="58"/>
  <c r="BN187" i="58"/>
  <c r="BN186" i="58"/>
  <c r="BN220" i="58" s="1"/>
  <c r="BN191" i="58"/>
  <c r="BN194" i="58"/>
  <c r="BN192" i="58"/>
  <c r="BN189" i="58"/>
  <c r="BN193" i="58"/>
  <c r="BN190" i="58"/>
  <c r="BO50" i="58"/>
  <c r="BM227" i="58"/>
  <c r="BM228" i="58"/>
  <c r="BN226" i="58" l="1"/>
  <c r="BN224" i="58"/>
  <c r="BN227" i="58"/>
  <c r="BN221" i="58"/>
  <c r="BN222" i="58"/>
  <c r="BM245" i="58"/>
  <c r="BO194" i="58"/>
  <c r="BO193" i="58"/>
  <c r="BO188" i="58"/>
  <c r="BO192" i="58"/>
  <c r="BO190" i="58"/>
  <c r="BO191" i="58"/>
  <c r="BO189" i="58"/>
  <c r="BP50" i="58"/>
  <c r="BO187" i="58"/>
  <c r="BO186" i="58"/>
  <c r="BO214" i="58"/>
  <c r="BO211" i="58"/>
  <c r="BO210" i="58"/>
  <c r="BO213" i="58"/>
  <c r="BO216" i="58"/>
  <c r="BO212" i="58"/>
  <c r="BO209" i="58"/>
  <c r="BP52" i="58"/>
  <c r="BO215" i="58"/>
  <c r="BO208" i="58"/>
  <c r="BN223" i="58"/>
  <c r="BO176" i="58"/>
  <c r="BO235" i="58" s="1"/>
  <c r="BO182" i="58"/>
  <c r="BO241" i="58" s="1"/>
  <c r="BO181" i="58"/>
  <c r="BO240" i="58" s="1"/>
  <c r="BO178" i="58"/>
  <c r="BO237" i="58" s="1"/>
  <c r="BO175" i="58"/>
  <c r="BO234" i="58" s="1"/>
  <c r="BO180" i="58"/>
  <c r="BO239" i="58" s="1"/>
  <c r="BO179" i="58"/>
  <c r="BO238" i="58" s="1"/>
  <c r="BO177" i="58"/>
  <c r="BO236" i="58" s="1"/>
  <c r="BO53" i="58"/>
  <c r="BO174" i="58"/>
  <c r="BO233" i="58" s="1"/>
  <c r="BP49" i="58"/>
  <c r="BN228" i="58"/>
  <c r="BO200" i="58"/>
  <c r="BO205" i="58"/>
  <c r="BO199" i="58"/>
  <c r="BO198" i="58"/>
  <c r="BO203" i="58"/>
  <c r="BO197" i="58"/>
  <c r="BO201" i="58"/>
  <c r="BO204" i="58"/>
  <c r="BO202" i="58"/>
  <c r="BP51" i="58"/>
  <c r="BN225" i="58"/>
  <c r="BN245" i="58" l="1"/>
  <c r="BO221" i="58"/>
  <c r="BO220" i="58"/>
  <c r="BP182" i="58"/>
  <c r="BP241" i="58" s="1"/>
  <c r="BP179" i="58"/>
  <c r="BP238" i="58" s="1"/>
  <c r="BP181" i="58"/>
  <c r="BP240" i="58" s="1"/>
  <c r="BP53" i="58"/>
  <c r="BP180" i="58"/>
  <c r="BP239" i="58" s="1"/>
  <c r="BP178" i="58"/>
  <c r="BP237" i="58" s="1"/>
  <c r="BP174" i="58"/>
  <c r="BP233" i="58" s="1"/>
  <c r="BP177" i="58"/>
  <c r="BP236" i="58" s="1"/>
  <c r="BP176" i="58"/>
  <c r="BP235" i="58" s="1"/>
  <c r="BQ49" i="58"/>
  <c r="BP175" i="58"/>
  <c r="BP234" i="58" s="1"/>
  <c r="BP189" i="58"/>
  <c r="BQ50" i="58"/>
  <c r="BP188" i="58"/>
  <c r="BP193" i="58"/>
  <c r="BP187" i="58"/>
  <c r="BP191" i="58"/>
  <c r="BP186" i="58"/>
  <c r="BP190" i="58"/>
  <c r="BP194" i="58"/>
  <c r="BP192" i="58"/>
  <c r="BP199" i="58"/>
  <c r="BP204" i="58"/>
  <c r="BP198" i="58"/>
  <c r="BP197" i="58"/>
  <c r="BQ51" i="58"/>
  <c r="BP201" i="58"/>
  <c r="BP202" i="58"/>
  <c r="BP203" i="58"/>
  <c r="BP205" i="58"/>
  <c r="BP200" i="58"/>
  <c r="BO223" i="58"/>
  <c r="BP209" i="58"/>
  <c r="BP210" i="58"/>
  <c r="BP208" i="58"/>
  <c r="BP216" i="58"/>
  <c r="BP215" i="58"/>
  <c r="BP213" i="58"/>
  <c r="BP214" i="58"/>
  <c r="BQ52" i="58"/>
  <c r="BP212" i="58"/>
  <c r="BP211" i="58"/>
  <c r="BO225" i="58"/>
  <c r="BO224" i="58"/>
  <c r="BO226" i="58"/>
  <c r="BO222" i="58"/>
  <c r="BO227" i="58"/>
  <c r="BO228" i="58"/>
  <c r="BP226" i="58" l="1"/>
  <c r="BP225" i="58"/>
  <c r="BQ179" i="58"/>
  <c r="BQ238" i="58" s="1"/>
  <c r="BQ178" i="58"/>
  <c r="BQ237" i="58" s="1"/>
  <c r="BQ53" i="58"/>
  <c r="BQ177" i="58"/>
  <c r="BQ236" i="58" s="1"/>
  <c r="BQ176" i="58"/>
  <c r="BQ235" i="58" s="1"/>
  <c r="BQ175" i="58"/>
  <c r="BQ234" i="58" s="1"/>
  <c r="BQ174" i="58"/>
  <c r="BQ233" i="58" s="1"/>
  <c r="BR49" i="58"/>
  <c r="BQ180" i="58"/>
  <c r="BQ239" i="58" s="1"/>
  <c r="BQ182" i="58"/>
  <c r="BQ241" i="58" s="1"/>
  <c r="BQ181" i="58"/>
  <c r="BQ240" i="58" s="1"/>
  <c r="BP228" i="58"/>
  <c r="BP224" i="58"/>
  <c r="BP220" i="58"/>
  <c r="BQ212" i="58"/>
  <c r="BQ211" i="58"/>
  <c r="BQ208" i="58"/>
  <c r="BQ216" i="58"/>
  <c r="BQ210" i="58"/>
  <c r="BQ214" i="58"/>
  <c r="BQ213" i="58"/>
  <c r="BQ215" i="58"/>
  <c r="BQ209" i="58"/>
  <c r="BR52" i="58"/>
  <c r="BP221" i="58"/>
  <c r="BP227" i="58"/>
  <c r="BQ204" i="58"/>
  <c r="BQ199" i="58"/>
  <c r="BQ198" i="58"/>
  <c r="BQ203" i="58"/>
  <c r="BQ201" i="58"/>
  <c r="BQ200" i="58"/>
  <c r="BQ197" i="58"/>
  <c r="BQ202" i="58"/>
  <c r="BR51" i="58"/>
  <c r="BQ205" i="58"/>
  <c r="BP222" i="58"/>
  <c r="BQ191" i="58"/>
  <c r="BQ189" i="58"/>
  <c r="BQ186" i="58"/>
  <c r="BQ190" i="58"/>
  <c r="BQ188" i="58"/>
  <c r="BQ187" i="58"/>
  <c r="BR50" i="58"/>
  <c r="BQ194" i="58"/>
  <c r="BQ193" i="58"/>
  <c r="BQ192" i="58"/>
  <c r="BP223" i="58"/>
  <c r="BO245" i="58"/>
  <c r="BQ226" i="58" l="1"/>
  <c r="BQ227" i="58"/>
  <c r="BQ222" i="58"/>
  <c r="BQ228" i="58"/>
  <c r="BR213" i="58"/>
  <c r="BR211" i="58"/>
  <c r="BR209" i="58"/>
  <c r="BR210" i="58"/>
  <c r="BR216" i="58"/>
  <c r="BR215" i="58"/>
  <c r="BR214" i="58"/>
  <c r="BR212" i="58"/>
  <c r="BR208" i="58"/>
  <c r="BR178" i="58"/>
  <c r="BR237" i="58" s="1"/>
  <c r="AR252" i="58" s="1"/>
  <c r="AH115" i="47" s="1"/>
  <c r="AJ115" i="47" s="1"/>
  <c r="BR175" i="58"/>
  <c r="BR234" i="58" s="1"/>
  <c r="AR249" i="58" s="1"/>
  <c r="AH111" i="47" s="1"/>
  <c r="AJ111" i="47" s="1"/>
  <c r="BR182" i="58"/>
  <c r="BR241" i="58" s="1"/>
  <c r="AR256" i="58" s="1"/>
  <c r="AH114" i="47" s="1"/>
  <c r="AJ114" i="47" s="1"/>
  <c r="BR53" i="58"/>
  <c r="BR177" i="58"/>
  <c r="BR236" i="58" s="1"/>
  <c r="AR251" i="58" s="1"/>
  <c r="AH113" i="47" s="1"/>
  <c r="AJ113" i="47" s="1"/>
  <c r="BR180" i="58"/>
  <c r="BR239" i="58" s="1"/>
  <c r="AR254" i="58" s="1"/>
  <c r="AH110" i="47" s="1"/>
  <c r="AJ110" i="47" s="1"/>
  <c r="BR176" i="58"/>
  <c r="BR235" i="58" s="1"/>
  <c r="AR250" i="58" s="1"/>
  <c r="AH112" i="47" s="1"/>
  <c r="AJ112" i="47" s="1"/>
  <c r="BR179" i="58"/>
  <c r="BR238" i="58" s="1"/>
  <c r="AR253" i="58" s="1"/>
  <c r="AH117" i="47" s="1"/>
  <c r="AJ117" i="47" s="1"/>
  <c r="BR174" i="58"/>
  <c r="BR233" i="58" s="1"/>
  <c r="AR248" i="58" s="1"/>
  <c r="AH109" i="47" s="1"/>
  <c r="AJ109" i="47" s="1"/>
  <c r="BR181" i="58"/>
  <c r="BR240" i="58" s="1"/>
  <c r="AR255" i="58" s="1"/>
  <c r="AH116" i="47" s="1"/>
  <c r="AJ116" i="47" s="1"/>
  <c r="BQ221" i="58"/>
  <c r="BQ220" i="58"/>
  <c r="BR189" i="58"/>
  <c r="BR187" i="58"/>
  <c r="BR188" i="58"/>
  <c r="BR194" i="58"/>
  <c r="BR191" i="58"/>
  <c r="BR186" i="58"/>
  <c r="BR220" i="58" s="1"/>
  <c r="AR258" i="58" s="1"/>
  <c r="AH118" i="47" s="1"/>
  <c r="AJ118" i="47" s="1"/>
  <c r="BR190" i="58"/>
  <c r="BR193" i="58"/>
  <c r="BR192" i="58"/>
  <c r="BQ224" i="58"/>
  <c r="BQ223" i="58"/>
  <c r="BP245" i="58"/>
  <c r="BR205" i="58"/>
  <c r="BR204" i="58"/>
  <c r="BR200" i="58"/>
  <c r="BR197" i="58"/>
  <c r="BR203" i="58"/>
  <c r="BR202" i="58"/>
  <c r="BR198" i="58"/>
  <c r="BR201" i="58"/>
  <c r="BR199" i="58"/>
  <c r="BQ225" i="58"/>
  <c r="BR227" i="58" l="1"/>
  <c r="AR265" i="58" s="1"/>
  <c r="AH125" i="47" s="1"/>
  <c r="AJ125" i="47" s="1"/>
  <c r="BR226" i="58"/>
  <c r="AR264" i="58" s="1"/>
  <c r="AH119" i="47" s="1"/>
  <c r="AJ119" i="47" s="1"/>
  <c r="BQ245" i="58"/>
  <c r="BR222" i="58"/>
  <c r="AR260" i="58" s="1"/>
  <c r="AH121" i="47" s="1"/>
  <c r="AJ121" i="47" s="1"/>
  <c r="BR221" i="58"/>
  <c r="AR259" i="58" s="1"/>
  <c r="AH120" i="47" s="1"/>
  <c r="AJ120" i="47" s="1"/>
  <c r="BR223" i="58"/>
  <c r="AR261" i="58" s="1"/>
  <c r="AH122" i="47" s="1"/>
  <c r="AJ122" i="47" s="1"/>
  <c r="BR224" i="58"/>
  <c r="AR262" i="58" s="1"/>
  <c r="AH124" i="47" s="1"/>
  <c r="AJ124" i="47" s="1"/>
  <c r="BR225" i="58"/>
  <c r="AR263" i="58" s="1"/>
  <c r="AH126" i="47" s="1"/>
  <c r="AJ126" i="47" s="1"/>
  <c r="BR228" i="58"/>
  <c r="AR266" i="58" s="1"/>
  <c r="AH123" i="47" s="1"/>
  <c r="AJ123" i="47" s="1"/>
  <c r="BR245"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7"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P57" authorId="2" shapeId="0" xr:uid="{53C6C8FC-6784-4F93-AF58-9B51F2FCACFF}">
      <text>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text>
    </comment>
    <comment ref="L79" authorId="3"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<sst xmlns="http://schemas.openxmlformats.org/spreadsheetml/2006/main" count="4638" uniqueCount="806">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</sst>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4">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70244453260904"/>
      <name val="Arial"/>
      <family val="2"/>
    </font>
    <font>
      <b/>
      <i/>
      <sz val="16"/>
      <color theme="1"/>
      <name val="Arial1"/>
      <family val="2"/>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70244453260904"/>
      <name val="Arial"/>
      <family val="2"/>
    </font>
    <font>
      <sz val="11"/>
      <color rgb="FF9C6500"/>
      <name val="Calibri"/>
      <family val="2"/>
      <scheme val="minor"/>
    </font>
    <font>
      <sz val="11"/>
      <color theme="1"/>
      <name val="Arial1"/>
      <family val="2"/>
    </font>
    <font>
      <sz val="12"/>
      <color theme="1"/>
      <name val="Calibri"/>
      <family val="2"/>
      <scheme val="minor"/>
    </font>
    <font>
      <b/>
      <i/>
      <u/>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sz val="10"/>
      <color theme="10"/>
      <name val="Calibri"/>
      <family val="1"/>
      <scheme val="minor"/>
    </font>
    <font>
      <u/>
      <sz val="10"/>
      <color indexed="12"/>
      <name val="Calibri"/>
      <family val="1"/>
      <charset val="134"/>
    </font>
    <font>
      <u/>
      <sz val="10"/>
      <color indexed="12"/>
      <name val="Cambria"/>
      <family val="1"/>
    </font>
    <font>
      <u/>
      <sz val="10"/>
      <color indexed="12"/>
      <name val="Arial"/>
      <family val="2"/>
    </font>
    <font>
      <u/>
      <sz val="8.5"/>
      <color indexed="12"/>
      <name val="Cambria"/>
      <family val="1"/>
      <charset val="134"/>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amily val="2"/>
    </font>
    <font>
      <u/>
      <sz val="10"/>
      <color theme="5" tint="0.79985961485641044"/>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74059266945403"/>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7329630420850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sz val="12"/>
      <color theme="10"/>
      <name val="Calibri"/>
      <family val="2"/>
      <scheme val="minor"/>
    </font>
    <font>
      <sz val="11"/>
      <color theme="1"/>
      <name val="Arial"/>
      <family val="2"/>
    </font>
    <font>
      <sz val="10"/>
      <name val="Courier"/>
      <family val="3"/>
    </font>
    <font>
      <sz val="10"/>
      <color theme="6" tint="-0.24985503707998902"/>
      <name val="Arial"/>
      <family val="2"/>
      <charset val="238"/>
    </font>
    <font>
      <sz val="10"/>
      <color theme="9" tint="-0.24985503707998902"/>
      <name val="Arial"/>
      <family val="2"/>
    </font>
    <font>
      <sz val="10"/>
      <name val="Tahoma"/>
      <family val="2"/>
    </font>
    <font>
      <sz val="11"/>
      <color theme="1"/>
      <name val="Calibri"/>
      <family val="2"/>
      <scheme val="minor"/>
    </font>
  </fonts>
  <fills count="73">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506668294322"/>
        <bgColor indexed="64"/>
      </patternFill>
    </fill>
    <fill>
      <patternFill patternType="solid">
        <fgColor theme="4" tint="0.79985961485641044"/>
        <bgColor indexed="64"/>
      </patternFill>
    </fill>
    <fill>
      <patternFill patternType="solid">
        <fgColor indexed="31"/>
        <bgColor indexed="64"/>
      </patternFill>
    </fill>
    <fill>
      <patternFill patternType="solid">
        <fgColor theme="5" tint="0.79985961485641044"/>
        <bgColor indexed="64"/>
      </patternFill>
    </fill>
    <fill>
      <patternFill patternType="solid">
        <fgColor indexed="45"/>
        <bgColor indexed="64"/>
      </patternFill>
    </fill>
    <fill>
      <patternFill patternType="solid">
        <fgColor theme="6" tint="0.79985961485641044"/>
        <bgColor indexed="64"/>
      </patternFill>
    </fill>
    <fill>
      <patternFill patternType="solid">
        <fgColor indexed="42"/>
        <bgColor indexed="64"/>
      </patternFill>
    </fill>
    <fill>
      <patternFill patternType="solid">
        <fgColor theme="7" tint="0.79985961485641044"/>
        <bgColor indexed="64"/>
      </patternFill>
    </fill>
    <fill>
      <patternFill patternType="solid">
        <fgColor indexed="46"/>
        <bgColor indexed="64"/>
      </patternFill>
    </fill>
    <fill>
      <patternFill patternType="solid">
        <fgColor theme="8" tint="0.79985961485641044"/>
        <bgColor indexed="64"/>
      </patternFill>
    </fill>
    <fill>
      <patternFill patternType="solid">
        <fgColor indexed="47"/>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indexed="44"/>
        <bgColor indexed="64"/>
      </patternFill>
    </fill>
    <fill>
      <patternFill patternType="solid">
        <fgColor theme="5" tint="0.59974974822229687"/>
        <bgColor indexed="64"/>
      </patternFill>
    </fill>
    <fill>
      <patternFill patternType="solid">
        <fgColor indexed="29"/>
        <bgColor indexed="64"/>
      </patternFill>
    </fill>
    <fill>
      <patternFill patternType="solid">
        <fgColor theme="6" tint="0.59974974822229687"/>
        <bgColor indexed="64"/>
      </patternFill>
    </fill>
    <fill>
      <patternFill patternType="solid">
        <fgColor indexed="11"/>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indexed="51"/>
        <bgColor indexed="64"/>
      </patternFill>
    </fill>
    <fill>
      <patternFill patternType="solid">
        <fgColor theme="4" tint="0.39997558519241921"/>
        <bgColor indexed="64"/>
      </patternFill>
    </fill>
    <fill>
      <patternFill patternType="solid">
        <fgColor indexed="3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indexed="36"/>
        <bgColor indexed="64"/>
      </patternFill>
    </fill>
    <fill>
      <patternFill patternType="solid">
        <fgColor theme="8" tint="0.39997558519241921"/>
        <bgColor indexed="64"/>
      </patternFill>
    </fill>
    <fill>
      <patternFill patternType="solid">
        <fgColor indexed="49"/>
        <bgColor indexed="64"/>
      </patternFill>
    </fill>
    <fill>
      <patternFill patternType="solid">
        <fgColor theme="9" tint="0.39997558519241921"/>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506668294322"/>
        <bgColor indexed="64"/>
      </patternFill>
    </fill>
    <fill>
      <patternFill patternType="solid">
        <fgColor theme="6" tint="0.59974974822229687"/>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59974974822229687"/>
        <bgColor indexed="64"/>
      </patternFill>
    </fill>
    <fill>
      <patternFill patternType="solid">
        <fgColor theme="8" tint="0.39994506668294322"/>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84130375072486"/>
        <bgColor indexed="64"/>
      </patternFill>
    </fill>
    <fill>
      <patternFill patternType="solid">
        <fgColor rgb="FFCC6600"/>
        <bgColor indexed="64"/>
      </patternFill>
    </fill>
    <fill>
      <patternFill patternType="solid">
        <fgColor theme="6" tint="0.59987182226020086"/>
        <bgColor indexed="64"/>
      </patternFill>
    </fill>
    <fill>
      <patternFill patternType="solid">
        <fgColor rgb="FFFFFF00"/>
        <bgColor indexed="64"/>
      </patternFill>
    </fill>
    <fill>
      <patternFill patternType="solid">
        <fgColor rgb="FFFFC000"/>
        <bgColor indexed="64"/>
      </patternFill>
    </fill>
    <fill>
      <patternFill patternType="solid">
        <fgColor theme="0" tint="-0.34974211859492782"/>
        <bgColor indexed="64"/>
      </patternFill>
    </fill>
    <fill>
      <patternFill patternType="solid">
        <fgColor theme="0" tint="-0.14975432599871821"/>
        <bgColor indexed="64"/>
      </patternFill>
    </fill>
    <fill>
      <patternFill patternType="solid">
        <fgColor theme="3" tint="-0.24973296304208503"/>
        <bgColor indexed="64"/>
      </patternFill>
    </fill>
    <fill>
      <patternFill patternType="solid">
        <fgColor theme="3" tint="0.59974974822229687"/>
        <bgColor indexed="64"/>
      </patternFill>
    </fill>
    <fill>
      <patternFill patternType="solid">
        <fgColor theme="0" tint="-0.24973296304208503"/>
        <bgColor indexed="64"/>
      </patternFill>
    </fill>
    <fill>
      <patternFill patternType="solid">
        <fgColor theme="0"/>
        <bgColor indexed="64"/>
      </patternFill>
    </fill>
    <fill>
      <patternFill patternType="solid">
        <fgColor theme="9" tint="-0.49974059266945403"/>
        <bgColor indexed="64"/>
      </patternFill>
    </fill>
  </fills>
  <borders count="75">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auto="1"/>
      </bottom>
      <diagonal/>
    </border>
    <border>
      <left/>
      <right/>
      <top/>
      <bottom style="thick">
        <color theme="4" tint="0.49974059266945403"/>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theme="6" tint="-0.49974059266945403"/>
      </left>
      <right style="thin">
        <color theme="6" tint="-0.49974059266945403"/>
      </right>
      <top style="thin">
        <color theme="6" tint="-0.49974059266945403"/>
      </top>
      <bottom style="thin">
        <color theme="6" tint="-0.49974059266945403"/>
      </bottom>
      <diagonal/>
    </border>
    <border>
      <left style="thin">
        <color theme="7" tint="-0.24970244453260904"/>
      </left>
      <right style="thin">
        <color theme="7" tint="-0.24970244453260904"/>
      </right>
      <top style="thin">
        <color theme="7" tint="-0.24970244453260904"/>
      </top>
      <bottom style="thin">
        <color theme="7" tint="-0.2497024445326090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74059266945403"/>
      </left>
      <right style="thin">
        <color theme="8" tint="-0.49974059266945403"/>
      </right>
      <top style="thin">
        <color theme="8" tint="-0.49974059266945403"/>
      </top>
      <bottom style="thin">
        <color theme="8" tint="-0.49974059266945403"/>
      </bottom>
      <diagonal/>
    </border>
    <border>
      <left style="thin">
        <color indexed="21"/>
      </left>
      <right style="thin">
        <color indexed="21"/>
      </right>
      <top style="thin">
        <color indexed="21"/>
      </top>
      <bottom style="thin">
        <color indexed="21"/>
      </bottom>
      <diagonal/>
    </border>
    <border>
      <left/>
      <right/>
      <top/>
      <bottom style="double">
        <color rgb="FFFF800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70244453260904"/>
      </bottom>
      <diagonal/>
    </border>
    <border>
      <left/>
      <right/>
      <top style="thin">
        <color theme="4"/>
      </top>
      <bottom style="double">
        <color theme="4"/>
      </bottom>
      <diagonal/>
    </border>
    <border>
      <left/>
      <right/>
      <top style="thin">
        <color indexed="62"/>
      </top>
      <bottom style="double">
        <color indexed="62"/>
      </bottom>
      <diagonal/>
    </border>
    <border>
      <left/>
      <right/>
      <top/>
      <bottom style="thick">
        <color theme="4" tint="0.49983214819788202"/>
      </bottom>
      <diagonal/>
    </border>
    <border>
      <left/>
      <right/>
      <top/>
      <bottom style="thick">
        <color theme="4" tint="0.49989318521683401"/>
      </bottom>
      <diagonal/>
    </border>
    <border>
      <left style="thin">
        <color theme="7" tint="-0.24985503707998902"/>
      </left>
      <right style="thin">
        <color theme="7" tint="-0.24985503707998902"/>
      </right>
      <top style="thin">
        <color theme="7" tint="-0.24985503707998902"/>
      </top>
      <bottom style="thin">
        <color theme="7" tint="-0.24985503707998902"/>
      </bottom>
      <diagonal/>
    </border>
    <border>
      <left style="thin">
        <color theme="6" tint="-0.49989318521683401"/>
      </left>
      <right style="thin">
        <color theme="6" tint="-0.49989318521683401"/>
      </right>
      <top style="thin">
        <color theme="6" tint="-0.49989318521683401"/>
      </top>
      <bottom style="thin">
        <color theme="6" tint="-0.49989318521683401"/>
      </bottom>
      <diagonal/>
    </border>
    <border>
      <left style="thin">
        <color theme="8" tint="-0.49989318521683401"/>
      </left>
      <right style="thin">
        <color theme="8" tint="-0.49989318521683401"/>
      </right>
      <top style="thin">
        <color theme="8" tint="-0.49989318521683401"/>
      </top>
      <bottom style="thin">
        <color theme="8" tint="-0.49989318521683401"/>
      </bottom>
      <diagonal/>
    </border>
    <border>
      <left style="thin">
        <color auto="1"/>
      </left>
      <right/>
      <top/>
      <bottom/>
      <diagonal/>
    </border>
    <border>
      <left/>
      <right/>
      <top/>
      <bottom style="thin">
        <color auto="1"/>
      </bottom>
      <diagonal/>
    </border>
    <border>
      <left/>
      <right/>
      <top/>
      <bottom style="medium">
        <color theme="3" tint="0.59974974822229687"/>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style="thin">
        <color auto="1"/>
      </right>
      <top/>
      <bottom style="medium">
        <color theme="3" tint="0.59974974822229687"/>
      </bottom>
      <diagonal/>
    </border>
    <border>
      <left style="thin">
        <color auto="1"/>
      </left>
      <right/>
      <top style="thin">
        <color auto="1"/>
      </top>
      <bottom style="thin">
        <color auto="1"/>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style="thick">
        <color rgb="FF7030A0"/>
      </right>
      <top/>
      <bottom style="thick">
        <color rgb="FF7030A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7F7F7F"/>
      </top>
      <bottom style="thin">
        <color rgb="FF7F7F7F"/>
      </bottom>
      <diagonal/>
    </border>
    <border>
      <left/>
      <right/>
      <top style="thin">
        <color rgb="FF7F7F7F"/>
      </top>
      <bottom style="thick">
        <color rgb="FF7030A0"/>
      </bottom>
      <diagonal/>
    </border>
    <border>
      <left style="medium">
        <color auto="1"/>
      </left>
      <right style="medium">
        <color auto="1"/>
      </right>
      <top style="medium">
        <color auto="1"/>
      </top>
      <bottom/>
      <diagonal/>
    </border>
    <border>
      <left style="medium">
        <color auto="1"/>
      </left>
      <right style="medium">
        <color auto="1"/>
      </right>
      <top style="thin">
        <color rgb="FF7F7F7F"/>
      </top>
      <bottom style="medium">
        <color auto="1"/>
      </bottom>
      <diagonal/>
    </border>
  </borders>
  <cellStyleXfs count="4563">
    <xf numFmtId="0" fontId="0" fillId="0" borderId="0"/>
    <xf numFmtId="9" fontId="173" fillId="0" borderId="0" applyFont="0" applyFill="0" applyBorder="0" applyAlignment="0" applyProtection="0"/>
    <xf numFmtId="167" fontId="173"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xf>
    <xf numFmtId="0" fontId="3" fillId="0" borderId="3"/>
    <xf numFmtId="169" fontId="19" fillId="0" borderId="0"/>
    <xf numFmtId="0" fontId="2" fillId="0" borderId="0"/>
    <xf numFmtId="170" fontId="20" fillId="0" borderId="0"/>
    <xf numFmtId="0" fontId="21" fillId="0" borderId="0" applyNumberFormat="0" applyFill="0" applyBorder="0" applyProtection="0"/>
    <xf numFmtId="0" fontId="21" fillId="0" borderId="0" applyNumberFormat="0" applyFill="0" applyBorder="0" applyProtection="0"/>
    <xf numFmtId="0" fontId="22" fillId="0" borderId="0">
      <alignment horizontal="center"/>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xf>
    <xf numFmtId="0" fontId="4" fillId="0" borderId="0" applyNumberFormat="0" applyFill="0" applyBorder="0" applyAlignment="0" applyProtection="0"/>
    <xf numFmtId="0" fontId="25" fillId="0" borderId="0" applyNumberFormat="0" applyFill="0" applyBorder="0">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173" fillId="0" borderId="0"/>
    <xf numFmtId="0" fontId="2" fillId="0" borderId="0"/>
    <xf numFmtId="0" fontId="3" fillId="0" borderId="0"/>
    <xf numFmtId="0" fontId="3" fillId="0" borderId="0"/>
    <xf numFmtId="0" fontId="29" fillId="0" borderId="0"/>
    <xf numFmtId="0" fontId="3" fillId="0" borderId="0"/>
    <xf numFmtId="0" fontId="173" fillId="0" borderId="0"/>
    <xf numFmtId="0" fontId="3" fillId="0" borderId="0"/>
    <xf numFmtId="0" fontId="173" fillId="0" borderId="0"/>
    <xf numFmtId="0" fontId="30" fillId="0" borderId="0"/>
    <xf numFmtId="0" fontId="3" fillId="0" borderId="0"/>
    <xf numFmtId="0" fontId="3" fillId="7" borderId="0" applyNumberFormat="0" applyFont="0" applyBorder="0" applyAlignment="0" applyProtection="0"/>
    <xf numFmtId="0" fontId="3" fillId="0" borderId="0"/>
    <xf numFmtId="0" fontId="173"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xf numFmtId="171" fontId="31" fillId="0" borderId="0"/>
    <xf numFmtId="0" fontId="7" fillId="0" borderId="0"/>
    <xf numFmtId="0" fontId="173" fillId="0" borderId="0"/>
    <xf numFmtId="0" fontId="42" fillId="0" borderId="7" applyNumberFormat="0" applyFill="0" applyAlignment="0" applyProtection="0"/>
    <xf numFmtId="0" fontId="46" fillId="0" borderId="0"/>
    <xf numFmtId="0" fontId="48" fillId="0" borderId="7" applyNumberFormat="0" applyFill="0" applyAlignment="0" applyProtection="0"/>
    <xf numFmtId="179" fontId="49" fillId="0" borderId="0" applyFont="0" applyFill="0" applyBorder="0" applyAlignment="0" applyProtection="0"/>
    <xf numFmtId="0" fontId="173" fillId="0" borderId="0"/>
    <xf numFmtId="0" fontId="46" fillId="0" borderId="0"/>
    <xf numFmtId="0" fontId="3" fillId="9" borderId="8" applyNumberFormat="0" applyFont="0" applyAlignment="0"/>
    <xf numFmtId="9" fontId="173" fillId="0" borderId="0" applyFont="0" applyFill="0" applyBorder="0" applyAlignment="0" applyProtection="0"/>
    <xf numFmtId="0" fontId="173" fillId="0" borderId="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xf numFmtId="0" fontId="50" fillId="19" borderId="0" applyNumberFormat="0" applyBorder="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52" borderId="8"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64" fillId="4" borderId="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6" fillId="54"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70" fillId="0" borderId="0" applyFont="0" applyFill="0" applyBorder="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xf numFmtId="169" fontId="19" fillId="0" borderId="0"/>
    <xf numFmtId="169" fontId="73" fillId="0" borderId="0"/>
    <xf numFmtId="169" fontId="73" fillId="0" borderId="0"/>
    <xf numFmtId="169" fontId="73" fillId="0" borderId="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7"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171" fontId="78" fillId="0" borderId="0">
      <protection locked="0"/>
    </xf>
    <xf numFmtId="171" fontId="78" fillId="0" borderId="0">
      <protection locked="0"/>
    </xf>
    <xf numFmtId="171" fontId="79" fillId="0" borderId="0">
      <protection locked="0"/>
    </xf>
    <xf numFmtId="171" fontId="78" fillId="0" borderId="0">
      <protection locked="0"/>
    </xf>
    <xf numFmtId="171" fontId="78" fillId="0" borderId="0">
      <protection locked="0"/>
    </xf>
    <xf numFmtId="171" fontId="78" fillId="0" borderId="0">
      <protection locked="0"/>
    </xf>
    <xf numFmtId="171" fontId="79" fillId="0" borderId="0">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xf numFmtId="0" fontId="85" fillId="0" borderId="15" applyNumberFormat="0" applyProtection="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xf>
    <xf numFmtId="0" fontId="99" fillId="0" borderId="0">
      <alignment horizontal="center"/>
    </xf>
    <xf numFmtId="0" fontId="22" fillId="0" borderId="0">
      <alignment horizontal="center" textRotation="90"/>
    </xf>
    <xf numFmtId="0" fontId="99" fillId="0" borderId="0">
      <alignment horizontal="center" textRotation="90"/>
    </xf>
    <xf numFmtId="0" fontId="99" fillId="0" borderId="0">
      <alignment horizontal="center" textRotation="90"/>
    </xf>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protection locked="0"/>
    </xf>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25" fillId="0" borderId="0" applyNumberFormat="0" applyFill="0" applyBorder="0">
      <protection locked="0"/>
    </xf>
    <xf numFmtId="0" fontId="103" fillId="0" borderId="0" applyNumberFormat="0" applyFill="0" applyBorder="0">
      <protection locked="0"/>
    </xf>
    <xf numFmtId="0" fontId="103" fillId="0" borderId="0" applyNumberFormat="0" applyFill="0" applyBorder="0">
      <protection locked="0"/>
    </xf>
    <xf numFmtId="0" fontId="25" fillId="0" borderId="0" applyNumberFormat="0" applyFill="0" applyBorder="0">
      <protection locked="0"/>
    </xf>
    <xf numFmtId="0" fontId="103" fillId="0" borderId="0" applyNumberFormat="0" applyFill="0" applyBorder="0">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4" fillId="0" borderId="0" applyNumberFormat="0" applyFill="0" applyBorder="0">
      <protection locked="0"/>
    </xf>
    <xf numFmtId="0" fontId="104" fillId="0" borderId="0" applyNumberFormat="0" applyFill="0" applyBorder="0">
      <protection locked="0"/>
    </xf>
    <xf numFmtId="0" fontId="104" fillId="0" borderId="0" applyNumberFormat="0" applyFill="0" applyBorder="0">
      <protection locked="0"/>
    </xf>
    <xf numFmtId="0" fontId="105" fillId="0" borderId="0" applyNumberFormat="0" applyFill="0" applyBorder="0">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56" borderId="20" applyNumberFormat="0" applyFont="0" applyAlignment="0"/>
    <xf numFmtId="0" fontId="3" fillId="57" borderId="20"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115" fillId="6"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178" fontId="117"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46"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29" fillId="0" borderId="0"/>
    <xf numFmtId="0" fontId="1" fillId="0" borderId="0"/>
    <xf numFmtId="180" fontId="3"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180" fontId="3" fillId="0" borderId="0"/>
    <xf numFmtId="180" fontId="3" fillId="0" borderId="0"/>
    <xf numFmtId="180" fontId="3" fillId="0" borderId="0"/>
    <xf numFmtId="180" fontId="3"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180" fontId="3" fillId="0" borderId="0"/>
    <xf numFmtId="0" fontId="118" fillId="0" borderId="0"/>
    <xf numFmtId="0" fontId="118" fillId="0" borderId="0"/>
    <xf numFmtId="0" fontId="118" fillId="0" borderId="0"/>
    <xf numFmtId="0" fontId="2" fillId="0" borderId="0"/>
    <xf numFmtId="0" fontId="3" fillId="0" borderId="0">
      <alignment vertical="center"/>
    </xf>
    <xf numFmtId="171" fontId="3" fillId="0" borderId="0">
      <alignment vertical="center"/>
    </xf>
    <xf numFmtId="171" fontId="3" fillId="0" borderId="0"/>
    <xf numFmtId="0" fontId="29" fillId="0" borderId="0"/>
    <xf numFmtId="0" fontId="29" fillId="0" borderId="0"/>
    <xf numFmtId="171"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3" fillId="0" borderId="0"/>
    <xf numFmtId="0" fontId="3" fillId="0" borderId="0"/>
    <xf numFmtId="0" fontId="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70" fillId="0" borderId="0">
      <alignment vertical="center"/>
    </xf>
    <xf numFmtId="171" fontId="70" fillId="0" borderId="0">
      <alignment vertical="center"/>
    </xf>
    <xf numFmtId="0" fontId="173" fillId="0" borderId="0"/>
    <xf numFmtId="0" fontId="173" fillId="0" borderId="0"/>
    <xf numFmtId="0" fontId="173" fillId="0" borderId="0"/>
    <xf numFmtId="0" fontId="173" fillId="0" borderId="0"/>
    <xf numFmtId="0" fontId="173" fillId="0" borderId="0"/>
    <xf numFmtId="0" fontId="173" fillId="0" borderId="0"/>
    <xf numFmtId="0" fontId="2"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173" fillId="0" borderId="0"/>
    <xf numFmtId="0" fontId="173" fillId="0" borderId="0"/>
    <xf numFmtId="0" fontId="173" fillId="0" borderId="0"/>
    <xf numFmtId="0" fontId="173" fillId="0" borderId="0"/>
    <xf numFmtId="180" fontId="173" fillId="0" borderId="0"/>
    <xf numFmtId="18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173" fillId="0" borderId="0"/>
    <xf numFmtId="0" fontId="2" fillId="0" borderId="0"/>
    <xf numFmtId="0" fontId="173" fillId="0" borderId="0"/>
    <xf numFmtId="0" fontId="173" fillId="0" borderId="0"/>
    <xf numFmtId="0" fontId="173" fillId="0" borderId="0"/>
    <xf numFmtId="171" fontId="46" fillId="0" borderId="0"/>
    <xf numFmtId="0" fontId="173" fillId="0" borderId="0"/>
    <xf numFmtId="0" fontId="173" fillId="0" borderId="0"/>
    <xf numFmtId="0" fontId="173" fillId="0" borderId="0"/>
    <xf numFmtId="0" fontId="173" fillId="0" borderId="0"/>
    <xf numFmtId="0" fontId="173" fillId="0" borderId="0"/>
    <xf numFmtId="180" fontId="173" fillId="0" borderId="0"/>
    <xf numFmtId="0" fontId="30" fillId="0" borderId="0"/>
    <xf numFmtId="0" fontId="119" fillId="0" borderId="0"/>
    <xf numFmtId="0" fontId="119" fillId="0" borderId="0"/>
    <xf numFmtId="0" fontId="120" fillId="0" borderId="0"/>
    <xf numFmtId="0" fontId="3" fillId="0" borderId="0"/>
    <xf numFmtId="0" fontId="1" fillId="0" borderId="0"/>
    <xf numFmtId="0" fontId="50" fillId="0" borderId="0"/>
    <xf numFmtId="0" fontId="50" fillId="0" borderId="0"/>
    <xf numFmtId="0" fontId="50" fillId="0" borderId="0"/>
    <xf numFmtId="171" fontId="173" fillId="0" borderId="0"/>
    <xf numFmtId="171" fontId="173" fillId="0" borderId="0"/>
    <xf numFmtId="0" fontId="173" fillId="0" borderId="0"/>
    <xf numFmtId="0" fontId="173"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3" fillId="0" borderId="0"/>
    <xf numFmtId="0" fontId="3" fillId="0" borderId="0"/>
    <xf numFmtId="0" fontId="3" fillId="0" borderId="0"/>
    <xf numFmtId="0" fontId="3" fillId="0" borderId="0"/>
    <xf numFmtId="0" fontId="3" fillId="0" borderId="0"/>
    <xf numFmtId="0" fontId="173" fillId="0" borderId="0"/>
    <xf numFmtId="180" fontId="173" fillId="0" borderId="0"/>
    <xf numFmtId="180" fontId="173" fillId="0" borderId="0"/>
    <xf numFmtId="0" fontId="3" fillId="0" borderId="0"/>
    <xf numFmtId="0" fontId="2" fillId="0" borderId="0"/>
    <xf numFmtId="0" fontId="2" fillId="0" borderId="0"/>
    <xf numFmtId="0" fontId="1" fillId="0" borderId="0"/>
    <xf numFmtId="0" fontId="50" fillId="0" borderId="0"/>
    <xf numFmtId="0" fontId="50" fillId="0" borderId="0"/>
    <xf numFmtId="0" fontId="50" fillId="0" borderId="0"/>
    <xf numFmtId="0" fontId="173" fillId="0" borderId="0"/>
    <xf numFmtId="0" fontId="50" fillId="0" borderId="0"/>
    <xf numFmtId="180" fontId="173" fillId="0" borderId="0"/>
    <xf numFmtId="180" fontId="173" fillId="0" borderId="0"/>
    <xf numFmtId="180" fontId="173" fillId="0" borderId="0"/>
    <xf numFmtId="0" fontId="50" fillId="0" borderId="0"/>
    <xf numFmtId="171"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171" fontId="173" fillId="0" borderId="0"/>
    <xf numFmtId="171" fontId="173" fillId="0" borderId="0"/>
    <xf numFmtId="171"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alignment vertical="center"/>
    </xf>
    <xf numFmtId="171" fontId="69" fillId="0" borderId="0">
      <alignment vertical="center"/>
    </xf>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51" fillId="0" borderId="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8" borderId="6"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9"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9"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xf numFmtId="0" fontId="122" fillId="0" borderId="0" applyNumberFormat="0" applyFill="0" applyBorder="0" applyProtection="0"/>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6" fillId="4" borderId="25"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49"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ill="0" applyBorder="0" applyAlignment="0" applyProtection="0"/>
    <xf numFmtId="179" fontId="70" fillId="0" borderId="0" applyFont="0" applyFill="0" applyBorder="0" applyProtection="0"/>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70" fillId="0" borderId="0" applyFont="0" applyFill="0" applyBorder="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0" fontId="31" fillId="0" borderId="0"/>
    <xf numFmtId="0" fontId="129" fillId="0" borderId="0"/>
    <xf numFmtId="0" fontId="129" fillId="0" borderId="0"/>
    <xf numFmtId="171" fontId="129" fillId="0" borderId="0"/>
    <xf numFmtId="171" fontId="129" fillId="0" borderId="0"/>
    <xf numFmtId="171" fontId="129" fillId="0" borderId="0"/>
    <xf numFmtId="0" fontId="130" fillId="0" borderId="0" applyFill="0" applyBorder="0"/>
    <xf numFmtId="0" fontId="131" fillId="0" borderId="0" applyFill="0" applyBorder="0"/>
    <xf numFmtId="0" fontId="131" fillId="0" borderId="0" applyFill="0" applyBorder="0"/>
    <xf numFmtId="0" fontId="132" fillId="0" borderId="0" applyFill="0" applyBorder="0"/>
    <xf numFmtId="0" fontId="47" fillId="0" borderId="27" applyNumberFormat="0">
      <alignment horizontal="left" vertical="center"/>
    </xf>
    <xf numFmtId="0" fontId="133" fillId="0" borderId="0" applyNumberFormat="0" applyFill="0" applyBorder="0" applyProtection="0"/>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xf>
    <xf numFmtId="171" fontId="140" fillId="0" borderId="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xf numFmtId="0" fontId="3" fillId="38" borderId="21" applyNumberFormat="0" applyFont="0" applyAlignment="0"/>
    <xf numFmtId="0" fontId="3" fillId="38" borderId="21" applyNumberFormat="0" applyFont="0" applyAlignment="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167" fontId="173" fillId="0" borderId="0" applyFont="0" applyFill="0" applyBorder="0" applyAlignment="0" applyProtection="0"/>
    <xf numFmtId="167" fontId="173"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173" fillId="0" borderId="0" applyFont="0" applyFill="0" applyBorder="0" applyAlignment="0" applyProtection="0"/>
    <xf numFmtId="0" fontId="45" fillId="49" borderId="0" applyNumberFormat="0" applyBorder="0" applyAlignment="0" applyProtection="0"/>
    <xf numFmtId="0" fontId="49" fillId="0" borderId="0"/>
    <xf numFmtId="0" fontId="173" fillId="60" borderId="0" applyNumberFormat="0" applyBorder="0" applyAlignment="0" applyProtection="0"/>
    <xf numFmtId="167" fontId="49" fillId="0" borderId="0" applyFont="0" applyFill="0" applyBorder="0" applyAlignment="0" applyProtection="0"/>
    <xf numFmtId="0" fontId="30" fillId="0" borderId="0"/>
    <xf numFmtId="0" fontId="153" fillId="0" borderId="0"/>
    <xf numFmtId="0" fontId="145" fillId="0" borderId="0" applyNumberFormat="0" applyFill="0" applyBorder="0" applyAlignment="0" applyProtection="0"/>
    <xf numFmtId="0" fontId="173" fillId="10" borderId="0" applyNumberFormat="0" applyBorder="0" applyAlignment="0" applyProtection="0"/>
    <xf numFmtId="0" fontId="173" fillId="12" borderId="0" applyNumberFormat="0" applyBorder="0" applyAlignment="0" applyProtection="0"/>
    <xf numFmtId="0" fontId="23" fillId="0" borderId="30" applyNumberFormat="0" applyFill="0" applyAlignment="0" applyProtection="0"/>
    <xf numFmtId="0" fontId="30" fillId="0" borderId="0"/>
    <xf numFmtId="0" fontId="165" fillId="0" borderId="0" applyNumberFormat="0" applyFill="0" applyBorder="0" applyAlignment="0" applyProtection="0"/>
    <xf numFmtId="0" fontId="164" fillId="54"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61" borderId="0" applyNumberFormat="0" applyBorder="0" applyAlignment="0" applyProtection="0"/>
    <xf numFmtId="0" fontId="166" fillId="31" borderId="0" applyNumberFormat="0" applyBorder="0" applyAlignment="0" applyProtection="0"/>
    <xf numFmtId="0" fontId="1" fillId="0" borderId="0"/>
    <xf numFmtId="9" fontId="1" fillId="0" borderId="0" applyFont="0" applyFill="0" applyBorder="0" applyAlignment="0" applyProtection="0"/>
    <xf numFmtId="0" fontId="45" fillId="62" borderId="0" applyAlignment="0" applyProtection="0"/>
    <xf numFmtId="0" fontId="167" fillId="0" borderId="0" applyNumberFormat="0" applyFill="0" applyBorder="0" applyAlignment="0" applyProtection="0"/>
    <xf numFmtId="43" fontId="173" fillId="0" borderId="0" applyFont="0" applyFill="0" applyBorder="0" applyAlignment="0" applyProtection="0"/>
    <xf numFmtId="167" fontId="17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3" fillId="0" borderId="0"/>
    <xf numFmtId="0" fontId="173" fillId="0" borderId="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73" fillId="0" borderId="0"/>
    <xf numFmtId="0" fontId="103" fillId="0" borderId="0" applyNumberFormat="0" applyFill="0" applyBorder="0">
      <protection locked="0"/>
    </xf>
    <xf numFmtId="9" fontId="173" fillId="0" borderId="0" applyFont="0" applyFill="0" applyBorder="0" applyAlignment="0" applyProtection="0"/>
    <xf numFmtId="0" fontId="168" fillId="0" borderId="0"/>
    <xf numFmtId="43" fontId="168" fillId="0" borderId="0" applyFont="0" applyFill="0" applyBorder="0" applyAlignment="0" applyProtection="0"/>
    <xf numFmtId="43" fontId="173"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xf numFmtId="0" fontId="30" fillId="0" borderId="0"/>
    <xf numFmtId="0" fontId="153" fillId="0" borderId="0"/>
    <xf numFmtId="0" fontId="173" fillId="0" borderId="0"/>
    <xf numFmtId="0" fontId="49" fillId="0" borderId="0"/>
    <xf numFmtId="9" fontId="173"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173" fillId="0" borderId="0"/>
    <xf numFmtId="0" fontId="18" fillId="4" borderId="2" applyNumberFormat="0" applyAlignment="0" applyProtection="0"/>
    <xf numFmtId="0" fontId="26" fillId="5" borderId="2" applyNumberFormat="0" applyAlignment="0" applyProtection="0"/>
    <xf numFmtId="0" fontId="103" fillId="0" borderId="0" applyNumberFormat="0" applyFill="0" applyBorder="0">
      <protection locked="0"/>
    </xf>
    <xf numFmtId="9"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73" fillId="18" borderId="0" applyNumberFormat="0" applyBorder="0" applyAlignment="0" applyProtection="0"/>
    <xf numFmtId="0" fontId="45" fillId="33" borderId="0" applyNumberFormat="0" applyBorder="0" applyAlignment="0" applyProtection="0"/>
    <xf numFmtId="43" fontId="173" fillId="0" borderId="0" applyFont="0" applyFill="0" applyBorder="0" applyAlignment="0" applyProtection="0"/>
    <xf numFmtId="0" fontId="28" fillId="6" borderId="0" applyNumberFormat="0" applyBorder="0" applyAlignment="0" applyProtection="0"/>
    <xf numFmtId="0" fontId="3" fillId="0" borderId="0"/>
    <xf numFmtId="0" fontId="3" fillId="0" borderId="0"/>
    <xf numFmtId="0" fontId="3" fillId="0" borderId="0"/>
    <xf numFmtId="0" fontId="169"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71"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43"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169" fontId="19" fillId="0" borderId="0"/>
    <xf numFmtId="0" fontId="170" fillId="0" borderId="0" applyNumberFormat="0" applyFill="0" applyBorder="0" applyProtection="0"/>
    <xf numFmtId="0" fontId="43" fillId="55" borderId="0" applyNumberFormat="0" applyBorder="0" applyAlignment="0" applyProtection="0"/>
    <xf numFmtId="0" fontId="85" fillId="0" borderId="15" applyNumberFormat="0" applyProtection="0"/>
    <xf numFmtId="0" fontId="22" fillId="0" borderId="0">
      <alignment horizontal="center"/>
    </xf>
    <xf numFmtId="0" fontId="90" fillId="0" borderId="31" applyNumberFormat="0" applyFill="0" applyAlignment="0" applyProtection="0"/>
    <xf numFmtId="0" fontId="22" fillId="0" borderId="0">
      <alignment horizontal="center" textRotation="90"/>
    </xf>
    <xf numFmtId="0" fontId="25" fillId="0" borderId="0" applyNumberFormat="0" applyFill="0" applyBorder="0">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xf numFmtId="0" fontId="172" fillId="0" borderId="0"/>
    <xf numFmtId="0" fontId="31" fillId="0" borderId="0"/>
    <xf numFmtId="171" fontId="31" fillId="0" borderId="0"/>
    <xf numFmtId="43" fontId="173" fillId="0" borderId="0" applyFont="0" applyFill="0" applyBorder="0" applyAlignment="0" applyProtection="0"/>
    <xf numFmtId="0" fontId="3" fillId="51" borderId="32" applyNumberFormat="0" applyFont="0" applyAlignment="0"/>
    <xf numFmtId="0" fontId="3" fillId="9" borderId="33" applyNumberFormat="0" applyFont="0" applyAlignment="0"/>
    <xf numFmtId="0" fontId="11" fillId="63" borderId="33" applyNumberFormat="0" applyFont="0" applyAlignment="0"/>
    <xf numFmtId="0" fontId="90" fillId="0" borderId="31" applyNumberFormat="0" applyFill="0" applyAlignment="0" applyProtection="0"/>
    <xf numFmtId="0" fontId="26" fillId="5" borderId="2" applyNumberFormat="0" applyAlignment="0" applyProtection="0"/>
    <xf numFmtId="0" fontId="3" fillId="57" borderId="34" applyNumberFormat="0" applyFont="0" applyAlignment="0"/>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6" fillId="5" borderId="2" applyNumberFormat="0" applyAlignment="0" applyProtection="0"/>
  </cellStyleXfs>
  <cellXfs count="366">
    <xf numFmtId="0" fontId="0" fillId="0" borderId="0" xfId="0"/>
    <xf numFmtId="0" fontId="3" fillId="0" borderId="0" xfId="33" applyFont="1" applyAlignment="1">
      <alignment horizontal="left"/>
    </xf>
    <xf numFmtId="0" fontId="24" fillId="0" borderId="5" xfId="23"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5"/>
    <xf numFmtId="0" fontId="24" fillId="0" borderId="5" xfId="23"/>
    <xf numFmtId="0" fontId="10" fillId="0" borderId="0" xfId="35" applyFont="1"/>
    <xf numFmtId="0" fontId="10" fillId="0" borderId="0" xfId="35" applyFont="1" applyAlignment="1">
      <alignment horizontal="center" wrapText="1"/>
    </xf>
    <xf numFmtId="0" fontId="11" fillId="0" borderId="0" xfId="35" applyFont="1"/>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29"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29" applyNumberFormat="1"/>
    <xf numFmtId="0" fontId="0" fillId="0" borderId="0" xfId="0" quotePrefix="1"/>
    <xf numFmtId="175" fontId="0" fillId="0" borderId="0" xfId="0" applyNumberFormat="1"/>
    <xf numFmtId="0" fontId="23" fillId="0" borderId="4" xfId="22"/>
    <xf numFmtId="0" fontId="24" fillId="0" borderId="0" xfId="25"/>
    <xf numFmtId="11" fontId="0" fillId="0" borderId="35" xfId="0" applyNumberFormat="1" applyBorder="1"/>
    <xf numFmtId="0" fontId="0" fillId="0" borderId="35" xfId="0" applyBorder="1"/>
    <xf numFmtId="2" fontId="0" fillId="0" borderId="35" xfId="0" applyNumberFormat="1" applyBorder="1"/>
    <xf numFmtId="173" fontId="0" fillId="0" borderId="35" xfId="0" applyNumberFormat="1" applyBorder="1"/>
    <xf numFmtId="2" fontId="26" fillId="5" borderId="2" xfId="29" applyNumberFormat="1"/>
    <xf numFmtId="173" fontId="32" fillId="0" borderId="0" xfId="0" applyNumberFormat="1" applyFont="1"/>
    <xf numFmtId="172" fontId="26" fillId="5" borderId="2" xfId="29" applyNumberFormat="1"/>
    <xf numFmtId="2" fontId="26" fillId="8" borderId="6" xfId="46" applyNumberFormat="1" applyFont="1"/>
    <xf numFmtId="173" fontId="18" fillId="4" borderId="2" xfId="8" applyNumberFormat="1"/>
    <xf numFmtId="175" fontId="0" fillId="0" borderId="35" xfId="0" applyNumberFormat="1" applyBorder="1"/>
    <xf numFmtId="0" fontId="24" fillId="0" borderId="0" xfId="23" applyBorder="1"/>
    <xf numFmtId="0" fontId="35" fillId="0" borderId="0" xfId="23" applyFont="1" applyBorder="1"/>
    <xf numFmtId="0" fontId="24" fillId="0" borderId="5" xfId="23" applyAlignment="1"/>
    <xf numFmtId="2" fontId="36" fillId="0" borderId="0" xfId="0" applyNumberFormat="1" applyFont="1"/>
    <xf numFmtId="2" fontId="0" fillId="8" borderId="6" xfId="46" applyNumberFormat="1" applyFont="1"/>
    <xf numFmtId="172" fontId="0" fillId="0" borderId="0" xfId="1" applyNumberFormat="1" applyFont="1"/>
    <xf numFmtId="1" fontId="26" fillId="5" borderId="2" xfId="29" applyNumberFormat="1"/>
    <xf numFmtId="2" fontId="26" fillId="0" borderId="2" xfId="29" applyNumberFormat="1" applyFill="1"/>
    <xf numFmtId="9" fontId="26" fillId="0" borderId="2" xfId="29" applyNumberFormat="1" applyFill="1"/>
    <xf numFmtId="0" fontId="23" fillId="0" borderId="4" xfId="22" applyAlignment="1">
      <alignment horizontal="left"/>
    </xf>
    <xf numFmtId="1" fontId="26" fillId="8" borderId="6" xfId="46" applyNumberFormat="1" applyFont="1"/>
    <xf numFmtId="9" fontId="26" fillId="8" borderId="6" xfId="1" applyFont="1" applyFill="1" applyBorder="1"/>
    <xf numFmtId="9" fontId="26" fillId="5" borderId="2" xfId="1" applyFont="1" applyFill="1" applyBorder="1"/>
    <xf numFmtId="0" fontId="24" fillId="0" borderId="0" xfId="23" applyBorder="1" applyAlignment="1">
      <alignment horizontal="left"/>
    </xf>
    <xf numFmtId="9" fontId="33" fillId="5" borderId="2" xfId="29" applyNumberFormat="1" applyFont="1"/>
    <xf numFmtId="2" fontId="33" fillId="5" borderId="2" xfId="29" applyNumberFormat="1" applyFont="1"/>
    <xf numFmtId="172" fontId="33" fillId="5" borderId="2" xfId="29" applyNumberFormat="1" applyFont="1"/>
    <xf numFmtId="173" fontId="26" fillId="0" borderId="2" xfId="29" applyNumberFormat="1" applyFill="1"/>
    <xf numFmtId="1" fontId="26" fillId="0" borderId="2" xfId="29" applyNumberFormat="1" applyFill="1"/>
    <xf numFmtId="9" fontId="33" fillId="5" borderId="2" xfId="1" applyFont="1" applyFill="1" applyBorder="1"/>
    <xf numFmtId="173" fontId="33" fillId="5" borderId="2" xfId="29" applyNumberFormat="1" applyFont="1"/>
    <xf numFmtId="2" fontId="39" fillId="0" borderId="2" xfId="29" applyNumberFormat="1" applyFont="1" applyFill="1"/>
    <xf numFmtId="1" fontId="32" fillId="0" borderId="0" xfId="0" applyNumberFormat="1" applyFont="1"/>
    <xf numFmtId="9" fontId="0" fillId="0" borderId="0" xfId="1" applyFont="1"/>
    <xf numFmtId="0" fontId="0" fillId="0" borderId="0" xfId="0" applyAlignment="1">
      <alignment wrapText="1"/>
    </xf>
    <xf numFmtId="14" fontId="0" fillId="0" borderId="0" xfId="0" applyNumberFormat="1"/>
    <xf numFmtId="0" fontId="32" fillId="0" borderId="36" xfId="0" applyFont="1" applyBorder="1"/>
    <xf numFmtId="0" fontId="24" fillId="0" borderId="5" xfId="24" applyAlignment="1">
      <alignment horizontal="left"/>
    </xf>
    <xf numFmtId="0" fontId="24" fillId="0" borderId="5" xfId="24"/>
    <xf numFmtId="0" fontId="173" fillId="0" borderId="35" xfId="33" applyBorder="1"/>
    <xf numFmtId="0" fontId="173" fillId="0" borderId="0" xfId="33"/>
    <xf numFmtId="2" fontId="173" fillId="0" borderId="35" xfId="33" applyNumberFormat="1" applyBorder="1"/>
    <xf numFmtId="2" fontId="173" fillId="0" borderId="0" xfId="33" applyNumberFormat="1"/>
    <xf numFmtId="0" fontId="3" fillId="64" borderId="0" xfId="33" applyFont="1" applyFill="1" applyAlignment="1">
      <alignment horizontal="left"/>
    </xf>
    <xf numFmtId="0" fontId="173" fillId="64" borderId="0" xfId="33" applyFill="1"/>
    <xf numFmtId="0" fontId="173" fillId="65" borderId="0" xfId="33" applyFill="1"/>
    <xf numFmtId="9" fontId="173" fillId="65" borderId="0" xfId="33" applyNumberFormat="1" applyFill="1"/>
    <xf numFmtId="173" fontId="173" fillId="0" borderId="0" xfId="33" applyNumberFormat="1"/>
    <xf numFmtId="1" fontId="173" fillId="0" borderId="35" xfId="33" applyNumberFormat="1" applyBorder="1"/>
    <xf numFmtId="1" fontId="173" fillId="0" borderId="0" xfId="33" applyNumberFormat="1"/>
    <xf numFmtId="0" fontId="173" fillId="0" borderId="37" xfId="33" applyBorder="1"/>
    <xf numFmtId="173" fontId="173" fillId="0" borderId="35" xfId="33" applyNumberFormat="1" applyBorder="1"/>
    <xf numFmtId="2" fontId="26" fillId="65" borderId="2" xfId="30" applyNumberFormat="1" applyFill="1"/>
    <xf numFmtId="2" fontId="173" fillId="64" borderId="0" xfId="33" applyNumberFormat="1" applyFill="1"/>
    <xf numFmtId="2" fontId="173" fillId="64" borderId="35" xfId="33" applyNumberFormat="1" applyFill="1" applyBorder="1"/>
    <xf numFmtId="3" fontId="173" fillId="0" borderId="0" xfId="33" applyNumberFormat="1"/>
    <xf numFmtId="0" fontId="40" fillId="0" borderId="5" xfId="24" applyFont="1" applyAlignment="1">
      <alignment horizontal="left"/>
    </xf>
    <xf numFmtId="1" fontId="26" fillId="5" borderId="2" xfId="30" applyNumberFormat="1"/>
    <xf numFmtId="173" fontId="26" fillId="5" borderId="2" xfId="30" applyNumberFormat="1"/>
    <xf numFmtId="174" fontId="173" fillId="0" borderId="0" xfId="33" applyNumberFormat="1"/>
    <xf numFmtId="0" fontId="32" fillId="0" borderId="0" xfId="33" applyFont="1"/>
    <xf numFmtId="2" fontId="26" fillId="5" borderId="2" xfId="30" applyNumberFormat="1"/>
    <xf numFmtId="0" fontId="41" fillId="3" borderId="0" xfId="5" applyFont="1"/>
    <xf numFmtId="0" fontId="36" fillId="0" borderId="0" xfId="0" applyFont="1" applyAlignment="1">
      <alignment horizontal="center"/>
    </xf>
    <xf numFmtId="9" fontId="26" fillId="5" borderId="38" xfId="29" applyNumberFormat="1" applyBorder="1"/>
    <xf numFmtId="175" fontId="0" fillId="8" borderId="6" xfId="46" applyNumberFormat="1" applyFont="1"/>
    <xf numFmtId="0" fontId="0" fillId="0" borderId="39" xfId="0" applyBorder="1"/>
    <xf numFmtId="0" fontId="0" fillId="0" borderId="40" xfId="0" applyBorder="1"/>
    <xf numFmtId="0" fontId="0" fillId="0" borderId="41" xfId="0" applyBorder="1"/>
    <xf numFmtId="0" fontId="0" fillId="0" borderId="36" xfId="0" applyBorder="1"/>
    <xf numFmtId="0" fontId="10" fillId="0" borderId="40" xfId="35" applyFont="1" applyBorder="1"/>
    <xf numFmtId="0" fontId="10" fillId="0" borderId="42" xfId="35" applyFont="1" applyBorder="1" applyAlignment="1">
      <alignment horizontal="center" wrapText="1"/>
    </xf>
    <xf numFmtId="0" fontId="0" fillId="0" borderId="42" xfId="0" applyBorder="1"/>
    <xf numFmtId="0" fontId="0" fillId="0" borderId="43" xfId="0" applyBorder="1"/>
    <xf numFmtId="0" fontId="0" fillId="0" borderId="44" xfId="0" applyBorder="1"/>
    <xf numFmtId="0" fontId="36" fillId="0" borderId="43" xfId="0" applyFont="1" applyBorder="1"/>
    <xf numFmtId="177" fontId="0" fillId="0" borderId="0" xfId="0" applyNumberFormat="1"/>
    <xf numFmtId="177" fontId="32" fillId="0" borderId="0" xfId="0" applyNumberFormat="1" applyFont="1"/>
    <xf numFmtId="0" fontId="0" fillId="0" borderId="45" xfId="0" applyBorder="1"/>
    <xf numFmtId="0" fontId="0" fillId="0" borderId="46" xfId="0" applyBorder="1"/>
    <xf numFmtId="0" fontId="0" fillId="0" borderId="47" xfId="0" applyBorder="1"/>
    <xf numFmtId="0" fontId="0" fillId="0" borderId="1" xfId="0" applyBorder="1"/>
    <xf numFmtId="173" fontId="0" fillId="0" borderId="0" xfId="0" quotePrefix="1" applyNumberFormat="1"/>
    <xf numFmtId="2" fontId="36" fillId="0" borderId="43" xfId="0" applyNumberFormat="1" applyFont="1" applyBorder="1"/>
    <xf numFmtId="0" fontId="71" fillId="0" borderId="0" xfId="0" applyFont="1"/>
    <xf numFmtId="0" fontId="0" fillId="0" borderId="0" xfId="0" applyAlignment="1">
      <alignment horizontal="right"/>
    </xf>
    <xf numFmtId="172" fontId="26" fillId="0" borderId="2" xfId="29" applyNumberFormat="1" applyFill="1"/>
    <xf numFmtId="10" fontId="26" fillId="0" borderId="2" xfId="29" applyNumberFormat="1" applyFill="1"/>
    <xf numFmtId="172" fontId="0" fillId="0" borderId="35" xfId="0" applyNumberFormat="1" applyBorder="1"/>
    <xf numFmtId="2" fontId="41" fillId="3" borderId="0" xfId="5" applyNumberFormat="1" applyFont="1"/>
    <xf numFmtId="167" fontId="41" fillId="3" borderId="0" xfId="5" applyNumberFormat="1" applyFont="1"/>
    <xf numFmtId="15" fontId="0" fillId="0" borderId="0" xfId="0" applyNumberFormat="1"/>
    <xf numFmtId="9" fontId="173" fillId="0" borderId="0" xfId="33" applyNumberFormat="1"/>
    <xf numFmtId="10" fontId="16" fillId="3" borderId="0" xfId="5" applyNumberFormat="1"/>
    <xf numFmtId="167" fontId="3" fillId="0" borderId="0" xfId="13" applyNumberFormat="1" applyFill="1" applyBorder="1"/>
    <xf numFmtId="2" fontId="0" fillId="0" borderId="43" xfId="0" applyNumberFormat="1" applyBorder="1"/>
    <xf numFmtId="0" fontId="24" fillId="0" borderId="48" xfId="23" applyBorder="1"/>
    <xf numFmtId="0" fontId="24" fillId="39" borderId="5" xfId="24" applyFill="1" applyAlignment="1">
      <alignment horizontal="left"/>
    </xf>
    <xf numFmtId="0" fontId="24" fillId="39" borderId="5" xfId="24" applyFill="1"/>
    <xf numFmtId="1" fontId="26" fillId="5" borderId="49" xfId="30" applyNumberFormat="1" applyBorder="1"/>
    <xf numFmtId="0" fontId="173" fillId="0" borderId="43" xfId="33" applyBorder="1"/>
    <xf numFmtId="0" fontId="24" fillId="0" borderId="48" xfId="24" applyBorder="1"/>
    <xf numFmtId="2" fontId="26" fillId="5" borderId="50" xfId="30" applyNumberFormat="1" applyBorder="1"/>
    <xf numFmtId="0" fontId="32" fillId="0" borderId="43" xfId="33" applyFont="1" applyBorder="1"/>
    <xf numFmtId="0" fontId="141" fillId="0" borderId="5" xfId="24" applyFont="1"/>
    <xf numFmtId="176" fontId="0" fillId="0" borderId="0" xfId="2" applyNumberFormat="1" applyFont="1" applyBorder="1"/>
    <xf numFmtId="0" fontId="24" fillId="0" borderId="43" xfId="24" applyBorder="1"/>
    <xf numFmtId="0" fontId="24" fillId="0" borderId="0" xfId="24" applyBorder="1"/>
    <xf numFmtId="0" fontId="142" fillId="0" borderId="5" xfId="24" applyFont="1"/>
    <xf numFmtId="0" fontId="142" fillId="0" borderId="0" xfId="24" applyFont="1" applyBorder="1" applyAlignment="1">
      <alignment horizontal="left"/>
    </xf>
    <xf numFmtId="173" fontId="32" fillId="0" borderId="16" xfId="33" applyNumberFormat="1" applyFont="1" applyBorder="1"/>
    <xf numFmtId="0" fontId="143" fillId="0" borderId="0" xfId="35" applyFont="1"/>
    <xf numFmtId="0" fontId="173" fillId="0" borderId="36" xfId="33" applyBorder="1"/>
    <xf numFmtId="2" fontId="173" fillId="0" borderId="43" xfId="33" applyNumberFormat="1" applyBorder="1"/>
    <xf numFmtId="0" fontId="142" fillId="0" borderId="5" xfId="24" applyFont="1" applyAlignment="1">
      <alignment horizontal="left"/>
    </xf>
    <xf numFmtId="1" fontId="32" fillId="0" borderId="0" xfId="33" applyNumberFormat="1" applyFont="1"/>
    <xf numFmtId="1" fontId="39" fillId="5" borderId="2" xfId="30" applyNumberFormat="1" applyFont="1"/>
    <xf numFmtId="1" fontId="39" fillId="5" borderId="49" xfId="30" applyNumberFormat="1" applyFont="1" applyBorder="1"/>
    <xf numFmtId="0" fontId="173" fillId="0" borderId="51" xfId="33" applyBorder="1"/>
    <xf numFmtId="1" fontId="173" fillId="0" borderId="43" xfId="33" applyNumberFormat="1" applyBorder="1"/>
    <xf numFmtId="0" fontId="173" fillId="0" borderId="52" xfId="33" applyBorder="1"/>
    <xf numFmtId="1" fontId="32" fillId="66" borderId="0" xfId="33" applyNumberFormat="1" applyFont="1" applyFill="1"/>
    <xf numFmtId="174" fontId="0" fillId="8" borderId="6" xfId="46" applyNumberFormat="1" applyFont="1"/>
    <xf numFmtId="9" fontId="0" fillId="0" borderId="43" xfId="1" applyFont="1" applyFill="1" applyBorder="1"/>
    <xf numFmtId="2" fontId="149" fillId="5" borderId="2" xfId="29" applyNumberFormat="1" applyFont="1"/>
    <xf numFmtId="9" fontId="0" fillId="64" borderId="0" xfId="0" applyNumberFormat="1" applyFill="1"/>
    <xf numFmtId="0" fontId="38" fillId="67" borderId="2" xfId="32" applyFont="1" applyFill="1" applyBorder="1" applyAlignment="1">
      <alignment horizontal="center"/>
    </xf>
    <xf numFmtId="172" fontId="0" fillId="64" borderId="0" xfId="1" applyNumberFormat="1" applyFont="1" applyFill="1"/>
    <xf numFmtId="9" fontId="0" fillId="64" borderId="0" xfId="1" applyFont="1" applyFill="1"/>
    <xf numFmtId="0" fontId="0" fillId="64" borderId="0" xfId="0" applyFill="1"/>
    <xf numFmtId="172" fontId="0" fillId="29" borderId="0" xfId="1" applyNumberFormat="1" applyFont="1" applyFill="1" applyAlignment="1">
      <alignment horizontal="center"/>
    </xf>
    <xf numFmtId="174" fontId="0" fillId="64" borderId="0" xfId="0" applyNumberFormat="1" applyFill="1"/>
    <xf numFmtId="0" fontId="150" fillId="67" borderId="2" xfId="32" applyFont="1" applyFill="1" applyBorder="1" applyAlignment="1">
      <alignment horizontal="center"/>
    </xf>
    <xf numFmtId="0" fontId="151" fillId="6" borderId="2" xfId="32" applyFont="1" applyBorder="1" applyAlignment="1">
      <alignment horizontal="center"/>
    </xf>
    <xf numFmtId="0" fontId="0" fillId="0" borderId="0" xfId="0" quotePrefix="1" applyAlignment="1">
      <alignment horizontal="center"/>
    </xf>
    <xf numFmtId="9" fontId="0" fillId="64" borderId="0" xfId="1" applyFont="1" applyFill="1" applyBorder="1"/>
    <xf numFmtId="173" fontId="26" fillId="8" borderId="6" xfId="46" applyNumberFormat="1" applyFont="1"/>
    <xf numFmtId="1" fontId="0" fillId="64" borderId="0" xfId="1" applyNumberFormat="1" applyFont="1" applyFill="1"/>
    <xf numFmtId="1" fontId="0" fillId="64" borderId="0" xfId="0" applyNumberFormat="1" applyFill="1"/>
    <xf numFmtId="177" fontId="0" fillId="64" borderId="0" xfId="0" applyNumberFormat="1" applyFill="1"/>
    <xf numFmtId="173" fontId="0" fillId="64" borderId="0" xfId="0" applyNumberFormat="1" applyFill="1"/>
    <xf numFmtId="0" fontId="152" fillId="68" borderId="0" xfId="0" applyFont="1" applyFill="1"/>
    <xf numFmtId="0" fontId="0" fillId="69" borderId="0" xfId="0" applyFill="1"/>
    <xf numFmtId="2" fontId="0" fillId="69" borderId="0" xfId="0" applyNumberFormat="1" applyFill="1"/>
    <xf numFmtId="9" fontId="45" fillId="49" borderId="0" xfId="4423" applyNumberFormat="1"/>
    <xf numFmtId="0" fontId="45" fillId="49" borderId="0" xfId="4423"/>
    <xf numFmtId="0" fontId="33" fillId="0" borderId="0" xfId="0" applyFont="1"/>
    <xf numFmtId="22" fontId="0" fillId="0" borderId="0" xfId="0" applyNumberFormat="1"/>
    <xf numFmtId="2" fontId="173" fillId="12" borderId="0" xfId="33" applyNumberFormat="1" applyFill="1"/>
    <xf numFmtId="173" fontId="18" fillId="12" borderId="2" xfId="8" applyNumberFormat="1" applyFill="1"/>
    <xf numFmtId="173" fontId="173" fillId="12" borderId="35" xfId="33" applyNumberFormat="1" applyFill="1" applyBorder="1"/>
    <xf numFmtId="2" fontId="33" fillId="0" borderId="0" xfId="33" applyNumberFormat="1" applyFont="1"/>
    <xf numFmtId="0" fontId="33" fillId="64" borderId="0" xfId="33" applyFont="1" applyFill="1"/>
    <xf numFmtId="0" fontId="33" fillId="64" borderId="37" xfId="33" applyFont="1" applyFill="1" applyBorder="1"/>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 applyNumberFormat="1" applyFont="1"/>
    <xf numFmtId="9" fontId="0" fillId="8" borderId="6" xfId="46" applyNumberFormat="1" applyFont="1"/>
    <xf numFmtId="9" fontId="26" fillId="0" borderId="2" xfId="1" applyFont="1" applyBorder="1"/>
    <xf numFmtId="173" fontId="0" fillId="0" borderId="0" xfId="1" applyNumberFormat="1" applyFont="1"/>
    <xf numFmtId="1" fontId="0" fillId="0" borderId="6" xfId="46" applyNumberFormat="1" applyFont="1" applyFill="1"/>
    <xf numFmtId="1" fontId="3" fillId="0" borderId="0" xfId="13" applyNumberFormat="1"/>
    <xf numFmtId="176" fontId="3" fillId="0" borderId="0" xfId="13" applyNumberFormat="1"/>
    <xf numFmtId="9" fontId="0" fillId="0" borderId="35" xfId="1" applyFont="1" applyBorder="1"/>
    <xf numFmtId="172" fontId="0" fillId="0" borderId="35" xfId="1" applyNumberFormat="1" applyFont="1" applyBorder="1"/>
    <xf numFmtId="172" fontId="26" fillId="0" borderId="2" xfId="1" applyNumberFormat="1" applyFont="1" applyBorder="1"/>
    <xf numFmtId="0" fontId="0" fillId="8" borderId="6" xfId="46" applyFont="1"/>
    <xf numFmtId="0" fontId="0" fillId="0" borderId="35" xfId="1" applyNumberFormat="1" applyFont="1" applyBorder="1"/>
    <xf numFmtId="1" fontId="26" fillId="0" borderId="2" xfId="1" applyNumberFormat="1" applyFont="1" applyBorder="1"/>
    <xf numFmtId="0" fontId="0" fillId="0" borderId="0" xfId="1" applyNumberFormat="1" applyFont="1"/>
    <xf numFmtId="173" fontId="0" fillId="0" borderId="35" xfId="1" applyNumberFormat="1" applyFont="1" applyBorder="1"/>
    <xf numFmtId="172" fontId="32" fillId="0" borderId="0" xfId="0" applyNumberFormat="1" applyFont="1"/>
    <xf numFmtId="172" fontId="32" fillId="0" borderId="0" xfId="1" applyNumberFormat="1" applyFont="1"/>
    <xf numFmtId="167" fontId="26" fillId="5" borderId="2" xfId="2" applyFont="1" applyFill="1" applyBorder="1"/>
    <xf numFmtId="10" fontId="0" fillId="64" borderId="0" xfId="0" applyNumberFormat="1" applyFill="1"/>
    <xf numFmtId="9" fontId="0" fillId="8" borderId="6" xfId="1" applyFont="1" applyFill="1" applyBorder="1"/>
    <xf numFmtId="9" fontId="18" fillId="4" borderId="2" xfId="1" applyFont="1" applyFill="1" applyBorder="1" applyAlignment="1">
      <alignment horizontal="center"/>
    </xf>
    <xf numFmtId="0" fontId="24" fillId="0" borderId="5" xfId="23" applyAlignment="1">
      <alignment horizontal="center"/>
    </xf>
    <xf numFmtId="10" fontId="33" fillId="5" borderId="2" xfId="29"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29"/>
    <xf numFmtId="0" fontId="173" fillId="64" borderId="35" xfId="33" applyFill="1" applyBorder="1"/>
    <xf numFmtId="9" fontId="173" fillId="39" borderId="0" xfId="33" applyNumberFormat="1" applyFill="1"/>
    <xf numFmtId="0" fontId="144" fillId="0" borderId="36" xfId="33" applyFont="1" applyBorder="1" applyAlignment="1">
      <alignment horizontal="left"/>
    </xf>
    <xf numFmtId="0" fontId="85" fillId="0" borderId="0" xfId="33" applyFont="1" applyAlignment="1">
      <alignment horizontal="left"/>
    </xf>
    <xf numFmtId="0" fontId="144" fillId="0" borderId="0" xfId="33" applyFont="1" applyAlignment="1">
      <alignment horizontal="left"/>
    </xf>
    <xf numFmtId="0" fontId="32" fillId="0" borderId="16" xfId="33" applyFont="1" applyBorder="1"/>
    <xf numFmtId="0" fontId="173" fillId="0" borderId="16" xfId="33" applyBorder="1"/>
    <xf numFmtId="174" fontId="173" fillId="0" borderId="16" xfId="33" applyNumberFormat="1" applyBorder="1"/>
    <xf numFmtId="9" fontId="33" fillId="8" borderId="6" xfId="46" applyNumberFormat="1" applyFont="1"/>
    <xf numFmtId="185" fontId="149" fillId="0" borderId="53" xfId="2766" applyNumberFormat="1" applyFont="1" applyBorder="1" applyAlignment="1">
      <alignment vertical="center" wrapText="1"/>
    </xf>
    <xf numFmtId="174" fontId="149" fillId="0" borderId="0" xfId="0" applyNumberFormat="1" applyFont="1"/>
    <xf numFmtId="2" fontId="149" fillId="0" borderId="0" xfId="0" applyNumberFormat="1" applyFont="1"/>
    <xf numFmtId="9" fontId="26" fillId="29" borderId="2" xfId="29" applyNumberFormat="1" applyFill="1"/>
    <xf numFmtId="9" fontId="26" fillId="29" borderId="2" xfId="1" applyFont="1" applyFill="1" applyBorder="1"/>
    <xf numFmtId="2" fontId="0" fillId="29" borderId="0" xfId="0" applyNumberFormat="1" applyFill="1"/>
    <xf numFmtId="172" fontId="0" fillId="8" borderId="6" xfId="46" applyNumberFormat="1" applyFont="1"/>
    <xf numFmtId="10" fontId="26" fillId="0" borderId="2" xfId="1" applyNumberFormat="1" applyFont="1" applyBorder="1"/>
    <xf numFmtId="10" fontId="26" fillId="29" borderId="2" xfId="1" applyNumberFormat="1" applyFont="1" applyFill="1" applyBorder="1"/>
    <xf numFmtId="172" fontId="26" fillId="29" borderId="2" xfId="1" applyNumberFormat="1" applyFont="1" applyFill="1" applyBorder="1"/>
    <xf numFmtId="1" fontId="144" fillId="0" borderId="0" xfId="13" applyNumberFormat="1" applyFont="1"/>
    <xf numFmtId="1" fontId="24" fillId="0" borderId="5" xfId="23" applyNumberFormat="1" applyAlignment="1">
      <alignment horizontal="left"/>
    </xf>
    <xf numFmtId="2" fontId="156" fillId="0" borderId="0" xfId="0" applyNumberFormat="1" applyFont="1"/>
    <xf numFmtId="0" fontId="156" fillId="64" borderId="0" xfId="0" applyFont="1" applyFill="1" applyAlignment="1">
      <alignment horizontal="center"/>
    </xf>
    <xf numFmtId="2" fontId="156" fillId="64" borderId="0" xfId="1" applyNumberFormat="1" applyFont="1" applyFill="1" applyAlignment="1">
      <alignment horizontal="center"/>
    </xf>
    <xf numFmtId="0" fontId="157" fillId="0" borderId="0" xfId="0" applyFont="1"/>
    <xf numFmtId="2" fontId="0" fillId="39" borderId="0" xfId="0" applyNumberFormat="1" applyFill="1"/>
    <xf numFmtId="173" fontId="0" fillId="39" borderId="0" xfId="1" applyNumberFormat="1" applyFont="1" applyFill="1"/>
    <xf numFmtId="172" fontId="0" fillId="39" borderId="0" xfId="1" applyNumberFormat="1" applyFont="1" applyFill="1"/>
    <xf numFmtId="172" fontId="0" fillId="29" borderId="0" xfId="1"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 applyNumberFormat="1" applyFont="1" applyBorder="1"/>
    <xf numFmtId="173" fontId="26" fillId="5" borderId="2" xfId="29" applyNumberFormat="1"/>
    <xf numFmtId="173" fontId="33" fillId="0" borderId="2" xfId="29" applyNumberFormat="1" applyFont="1" applyFill="1"/>
    <xf numFmtId="2" fontId="18" fillId="4" borderId="2" xfId="8" applyNumberFormat="1"/>
    <xf numFmtId="173" fontId="1" fillId="10" borderId="2" xfId="66" applyNumberFormat="1" applyBorder="1"/>
    <xf numFmtId="177" fontId="1" fillId="10" borderId="2" xfId="66" applyNumberFormat="1" applyBorder="1"/>
    <xf numFmtId="172" fontId="1" fillId="10" borderId="2" xfId="66" applyNumberFormat="1" applyBorder="1"/>
    <xf numFmtId="174" fontId="1" fillId="10" borderId="2" xfId="66" applyNumberFormat="1" applyBorder="1"/>
    <xf numFmtId="0" fontId="1" fillId="10" borderId="2" xfId="66" applyBorder="1"/>
    <xf numFmtId="2" fontId="0" fillId="0" borderId="0" xfId="0" quotePrefix="1" applyNumberFormat="1"/>
    <xf numFmtId="2" fontId="173" fillId="12" borderId="35" xfId="33" applyNumberFormat="1" applyFill="1" applyBorder="1"/>
    <xf numFmtId="177" fontId="134" fillId="10" borderId="2" xfId="66" applyNumberFormat="1" applyFont="1" applyBorder="1"/>
    <xf numFmtId="173" fontId="134" fillId="10" borderId="2" xfId="66" applyNumberFormat="1" applyFont="1" applyBorder="1"/>
    <xf numFmtId="172" fontId="1" fillId="10" borderId="2" xfId="1" applyNumberFormat="1" applyFont="1" applyFill="1" applyBorder="1"/>
    <xf numFmtId="0" fontId="173" fillId="10" borderId="2" xfId="4430" applyBorder="1"/>
    <xf numFmtId="0" fontId="173" fillId="12" borderId="2" xfId="4431" applyBorder="1"/>
    <xf numFmtId="9" fontId="33" fillId="0" borderId="2" xfId="1" applyFont="1" applyBorder="1"/>
    <xf numFmtId="174" fontId="18" fillId="4" borderId="2" xfId="8" applyNumberFormat="1"/>
    <xf numFmtId="0" fontId="0" fillId="70" borderId="0" xfId="0" applyFill="1"/>
    <xf numFmtId="0" fontId="0" fillId="25" borderId="0" xfId="0" applyFill="1"/>
    <xf numFmtId="0" fontId="0" fillId="20" borderId="0" xfId="0" applyFill="1"/>
    <xf numFmtId="0" fontId="0" fillId="71" borderId="36"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66" applyNumberFormat="1" applyFont="1" applyBorder="1"/>
    <xf numFmtId="10" fontId="0" fillId="0" borderId="0" xfId="1" applyNumberFormat="1" applyFont="1"/>
    <xf numFmtId="0" fontId="18" fillId="4" borderId="2" xfId="8"/>
    <xf numFmtId="2" fontId="33" fillId="0" borderId="2" xfId="29" applyNumberFormat="1" applyFont="1" applyFill="1"/>
    <xf numFmtId="9" fontId="33" fillId="0" borderId="2" xfId="29" applyNumberFormat="1" applyFont="1" applyFill="1"/>
    <xf numFmtId="174" fontId="0" fillId="0" borderId="0" xfId="1" applyNumberFormat="1" applyFont="1"/>
    <xf numFmtId="186" fontId="173" fillId="65" borderId="0" xfId="33" applyNumberFormat="1" applyFill="1"/>
    <xf numFmtId="186" fontId="0" fillId="64" borderId="0" xfId="1" applyNumberFormat="1" applyFont="1" applyFill="1"/>
    <xf numFmtId="0" fontId="173" fillId="0" borderId="0" xfId="33" applyAlignment="1">
      <alignment vertical="top" wrapText="1"/>
    </xf>
    <xf numFmtId="186" fontId="0" fillId="0" borderId="0" xfId="1" applyNumberFormat="1" applyFont="1"/>
    <xf numFmtId="186" fontId="173" fillId="0" borderId="0" xfId="33" applyNumberFormat="1"/>
    <xf numFmtId="10" fontId="173" fillId="0" borderId="0" xfId="33" applyNumberFormat="1"/>
    <xf numFmtId="9" fontId="0" fillId="0" borderId="0" xfId="1" applyFont="1" applyAlignment="1">
      <alignment vertical="top" wrapText="1"/>
    </xf>
    <xf numFmtId="187" fontId="0" fillId="0" borderId="0" xfId="1" applyNumberFormat="1" applyFont="1" applyFill="1" applyBorder="1"/>
    <xf numFmtId="174" fontId="26" fillId="5" borderId="50" xfId="30" applyNumberFormat="1" applyBorder="1"/>
    <xf numFmtId="174" fontId="26" fillId="5" borderId="2" xfId="30" applyNumberFormat="1"/>
    <xf numFmtId="0" fontId="159" fillId="64" borderId="0" xfId="0" applyFont="1" applyFill="1" applyAlignment="1">
      <alignment wrapText="1"/>
    </xf>
    <xf numFmtId="173" fontId="18" fillId="4" borderId="38" xfId="8" applyNumberFormat="1"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1" fontId="144" fillId="0" borderId="0" xfId="13" applyNumberFormat="1" applyFont="1" applyBorder="1"/>
    <xf numFmtId="1" fontId="144" fillId="0" borderId="58" xfId="13" applyNumberFormat="1" applyFont="1" applyBorder="1"/>
    <xf numFmtId="173" fontId="0" fillId="39" borderId="0" xfId="0" applyNumberFormat="1" applyFill="1"/>
    <xf numFmtId="0" fontId="0" fillId="0" borderId="59" xfId="0" applyBorder="1"/>
    <xf numFmtId="173" fontId="0" fillId="0" borderId="60" xfId="0" applyNumberFormat="1" applyBorder="1"/>
    <xf numFmtId="0" fontId="161" fillId="0" borderId="54" xfId="0" applyFont="1" applyBorder="1"/>
    <xf numFmtId="2" fontId="26" fillId="0" borderId="38" xfId="29" applyNumberFormat="1" applyFill="1" applyBorder="1"/>
    <xf numFmtId="173" fontId="26" fillId="0" borderId="61" xfId="29" applyNumberFormat="1" applyFill="1" applyBorder="1"/>
    <xf numFmtId="2" fontId="26" fillId="5" borderId="61" xfId="29" applyNumberFormat="1" applyBorder="1"/>
    <xf numFmtId="2" fontId="26" fillId="5" borderId="62" xfId="29" applyNumberFormat="1" applyBorder="1"/>
    <xf numFmtId="2" fontId="0" fillId="0" borderId="57" xfId="0" applyNumberFormat="1" applyBorder="1"/>
    <xf numFmtId="2" fontId="0" fillId="0" borderId="58" xfId="1" applyNumberFormat="1" applyFont="1" applyBorder="1"/>
    <xf numFmtId="2" fontId="0" fillId="0" borderId="59" xfId="0" applyNumberFormat="1" applyBorder="1"/>
    <xf numFmtId="2" fontId="0" fillId="0" borderId="60" xfId="0" applyNumberFormat="1" applyBorder="1"/>
    <xf numFmtId="2" fontId="0" fillId="0" borderId="63" xfId="1" applyNumberFormat="1" applyFont="1" applyBorder="1"/>
    <xf numFmtId="0" fontId="160" fillId="0" borderId="55" xfId="0" applyFont="1" applyBorder="1"/>
    <xf numFmtId="0" fontId="161" fillId="0" borderId="55" xfId="0" applyFont="1" applyBorder="1"/>
    <xf numFmtId="9" fontId="26" fillId="64" borderId="6" xfId="1" applyFont="1" applyFill="1" applyBorder="1"/>
    <xf numFmtId="172" fontId="26" fillId="64" borderId="6" xfId="1" applyNumberFormat="1" applyFont="1" applyFill="1" applyBorder="1"/>
    <xf numFmtId="9" fontId="33" fillId="64" borderId="2" xfId="1" applyFont="1" applyFill="1" applyBorder="1"/>
    <xf numFmtId="9" fontId="45" fillId="72" borderId="2" xfId="1" applyFont="1" applyFill="1" applyBorder="1"/>
    <xf numFmtId="0" fontId="160" fillId="0" borderId="0" xfId="0" applyFont="1"/>
    <xf numFmtId="2" fontId="26" fillId="16" borderId="2" xfId="29" applyNumberFormat="1" applyFill="1"/>
    <xf numFmtId="2" fontId="0" fillId="16" borderId="60" xfId="0" applyNumberFormat="1" applyFill="1" applyBorder="1"/>
    <xf numFmtId="2" fontId="33" fillId="16" borderId="0" xfId="0" applyNumberFormat="1" applyFont="1" applyFill="1"/>
    <xf numFmtId="173" fontId="0" fillId="20" borderId="0" xfId="0" applyNumberFormat="1" applyFill="1"/>
    <xf numFmtId="173" fontId="0" fillId="20" borderId="60"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68" xfId="0" applyNumberFormat="1" applyFill="1" applyBorder="1"/>
    <xf numFmtId="173" fontId="0" fillId="39" borderId="69" xfId="0" applyNumberFormat="1" applyFill="1" applyBorder="1"/>
    <xf numFmtId="173" fontId="0" fillId="39" borderId="3" xfId="0" applyNumberFormat="1" applyFill="1" applyBorder="1"/>
    <xf numFmtId="173" fontId="0" fillId="39" borderId="70" xfId="0" applyNumberFormat="1" applyFill="1" applyBorder="1"/>
    <xf numFmtId="0" fontId="0" fillId="39" borderId="0" xfId="0" applyFill="1"/>
    <xf numFmtId="0" fontId="160" fillId="0" borderId="60" xfId="0" applyFont="1" applyBorder="1"/>
    <xf numFmtId="2" fontId="26" fillId="5" borderId="71" xfId="29" applyNumberFormat="1" applyBorder="1"/>
    <xf numFmtId="2" fontId="0" fillId="0" borderId="0" xfId="1" applyNumberFormat="1" applyFont="1" applyBorder="1"/>
    <xf numFmtId="2" fontId="26" fillId="29" borderId="72" xfId="29" applyNumberFormat="1" applyFill="1" applyBorder="1"/>
    <xf numFmtId="2" fontId="0" fillId="29" borderId="60" xfId="1" applyNumberFormat="1" applyFont="1" applyFill="1" applyBorder="1"/>
    <xf numFmtId="2" fontId="0" fillId="14" borderId="0" xfId="0" applyNumberFormat="1" applyFill="1"/>
    <xf numFmtId="9" fontId="26" fillId="14" borderId="2" xfId="29" applyNumberFormat="1" applyFill="1"/>
    <xf numFmtId="2" fontId="26" fillId="14" borderId="2" xfId="29" applyNumberFormat="1" applyFill="1"/>
    <xf numFmtId="2" fontId="0" fillId="25" borderId="0" xfId="0" applyNumberFormat="1" applyFill="1"/>
    <xf numFmtId="2" fontId="26" fillId="20" borderId="2" xfId="29" applyNumberFormat="1" applyFill="1"/>
    <xf numFmtId="2" fontId="0" fillId="20" borderId="0" xfId="1" applyNumberFormat="1" applyFont="1" applyFill="1"/>
    <xf numFmtId="2" fontId="33" fillId="20" borderId="2" xfId="29" applyNumberFormat="1" applyFont="1" applyFill="1"/>
    <xf numFmtId="0" fontId="159" fillId="29" borderId="73" xfId="0" applyFont="1" applyFill="1" applyBorder="1" applyAlignment="1">
      <alignment wrapText="1"/>
    </xf>
    <xf numFmtId="172" fontId="33" fillId="29" borderId="74" xfId="1" applyNumberFormat="1" applyFont="1" applyFill="1" applyBorder="1"/>
    <xf numFmtId="9" fontId="160" fillId="29" borderId="2" xfId="29" applyNumberFormat="1" applyFont="1" applyFill="1"/>
    <xf numFmtId="172" fontId="160" fillId="65" borderId="0" xfId="1" applyNumberFormat="1" applyFont="1" applyFill="1"/>
    <xf numFmtId="9" fontId="160" fillId="65" borderId="0" xfId="1" applyFont="1" applyFill="1"/>
    <xf numFmtId="2" fontId="160" fillId="29" borderId="2" xfId="29" applyNumberFormat="1" applyFont="1" applyFill="1"/>
    <xf numFmtId="2" fontId="160" fillId="0" borderId="0" xfId="1" applyNumberFormat="1" applyFont="1"/>
    <xf numFmtId="0" fontId="163" fillId="0" borderId="0" xfId="0" applyFont="1"/>
    <xf numFmtId="9" fontId="0" fillId="0" borderId="1" xfId="1" applyFont="1" applyBorder="1"/>
    <xf numFmtId="0" fontId="173" fillId="0" borderId="1" xfId="33" applyBorder="1"/>
    <xf numFmtId="0" fontId="0" fillId="0" borderId="1" xfId="0" applyBorder="1" applyAlignment="1">
      <alignment horizontal="right"/>
    </xf>
    <xf numFmtId="0" fontId="24" fillId="0" borderId="5" xfId="23" applyAlignment="1">
      <alignment horizontal="left"/>
    </xf>
    <xf numFmtId="0" fontId="3" fillId="0" borderId="0" xfId="33" applyFont="1" applyAlignment="1">
      <alignment horizontal="left"/>
    </xf>
    <xf numFmtId="0" fontId="0" fillId="0" borderId="0" xfId="0"/>
    <xf numFmtId="0" fontId="162" fillId="0" borderId="0" xfId="0" applyFont="1" applyAlignment="1">
      <alignment horizontal="center"/>
    </xf>
  </cellXfs>
  <cellStyles count="4563">
    <cellStyle name="20% - Accent1" xfId="4430" builtinId="30"/>
    <cellStyle name="20% - Accent1 2" xfId="66" xr:uid="{00000000-0005-0000-0000-000045000000}"/>
    <cellStyle name="20% - Accent1 2 2" xfId="67" xr:uid="{00000000-0005-0000-0000-000046000000}"/>
    <cellStyle name="20% - Accent1 2 2 2" xfId="68" xr:uid="{00000000-0005-0000-0000-000047000000}"/>
    <cellStyle name="20% - Accent1 2 2 3" xfId="69" xr:uid="{00000000-0005-0000-0000-000048000000}"/>
    <cellStyle name="20% - Accent1 2 2_AGL" xfId="70" xr:uid="{00000000-0005-0000-0000-000049000000}"/>
    <cellStyle name="20% - Accent1 2 3" xfId="71" xr:uid="{00000000-0005-0000-0000-00004A000000}"/>
    <cellStyle name="20% - Accent1 2 4" xfId="72" xr:uid="{00000000-0005-0000-0000-00004B000000}"/>
    <cellStyle name="20% - Accent1 2_AGL" xfId="73" xr:uid="{00000000-0005-0000-0000-00004C000000}"/>
    <cellStyle name="20% - Accent1 3" xfId="74" xr:uid="{00000000-0005-0000-0000-00004D000000}"/>
    <cellStyle name="20% - Accent1 3 2" xfId="75" xr:uid="{00000000-0005-0000-0000-00004E000000}"/>
    <cellStyle name="20% - Accent1 3 2 2" xfId="76" xr:uid="{00000000-0005-0000-0000-00004F000000}"/>
    <cellStyle name="20% - Accent1 3 2 3" xfId="77" xr:uid="{00000000-0005-0000-0000-000050000000}"/>
    <cellStyle name="20% - Accent1 3 2_AGL" xfId="78" xr:uid="{00000000-0005-0000-0000-000051000000}"/>
    <cellStyle name="20% - Accent1 3 3" xfId="79" xr:uid="{00000000-0005-0000-0000-000052000000}"/>
    <cellStyle name="20% - Accent1 3 4" xfId="80" xr:uid="{00000000-0005-0000-0000-000053000000}"/>
    <cellStyle name="20% - Accent1 3_AGL" xfId="81" xr:uid="{00000000-0005-0000-0000-000054000000}"/>
    <cellStyle name="20% - Accent1 4" xfId="82" xr:uid="{00000000-0005-0000-0000-000055000000}"/>
    <cellStyle name="20% - Accent1 4 2" xfId="83" xr:uid="{00000000-0005-0000-0000-000056000000}"/>
    <cellStyle name="20% - Accent1 4 2 2" xfId="84" xr:uid="{00000000-0005-0000-0000-000057000000}"/>
    <cellStyle name="20% - Accent1 4 2 3" xfId="85" xr:uid="{00000000-0005-0000-0000-000058000000}"/>
    <cellStyle name="20% - Accent1 4 2_AGL" xfId="86" xr:uid="{00000000-0005-0000-0000-000059000000}"/>
    <cellStyle name="20% - Accent1 4 3" xfId="87" xr:uid="{00000000-0005-0000-0000-00005A000000}"/>
    <cellStyle name="20% - Accent1 4 4" xfId="88" xr:uid="{00000000-0005-0000-0000-00005B000000}"/>
    <cellStyle name="20% - Accent1 4_AGL" xfId="89" xr:uid="{00000000-0005-0000-0000-00005C000000}"/>
    <cellStyle name="20% - Accent1 5" xfId="90" xr:uid="{00000000-0005-0000-0000-00005D000000}"/>
    <cellStyle name="20% - Accent1 5 2" xfId="91" xr:uid="{00000000-0005-0000-0000-00005E000000}"/>
    <cellStyle name="20% - Accent1 5 2 2" xfId="92" xr:uid="{00000000-0005-0000-0000-00005F000000}"/>
    <cellStyle name="20% - Accent1 5 2 3" xfId="93" xr:uid="{00000000-0005-0000-0000-000060000000}"/>
    <cellStyle name="20% - Accent1 5 2_AGL" xfId="94" xr:uid="{00000000-0005-0000-0000-000061000000}"/>
    <cellStyle name="20% - Accent1 5 3" xfId="95" xr:uid="{00000000-0005-0000-0000-000062000000}"/>
    <cellStyle name="20% - Accent1 5 4" xfId="96" xr:uid="{00000000-0005-0000-0000-000063000000}"/>
    <cellStyle name="20% - Accent1 5_AGL" xfId="97" xr:uid="{00000000-0005-0000-0000-000064000000}"/>
    <cellStyle name="20% - Accent1 6" xfId="98" xr:uid="{00000000-0005-0000-0000-000065000000}"/>
    <cellStyle name="20% - Accent1 6 2" xfId="99" xr:uid="{00000000-0005-0000-0000-000066000000}"/>
    <cellStyle name="20% - Accent1 6 3" xfId="100" xr:uid="{00000000-0005-0000-0000-000067000000}"/>
    <cellStyle name="20% - Accent1 6_AGL" xfId="101" xr:uid="{00000000-0005-0000-0000-000068000000}"/>
    <cellStyle name="20% - Accent1 7" xfId="102" xr:uid="{00000000-0005-0000-0000-000069000000}"/>
    <cellStyle name="20% - Accent1 8" xfId="103" xr:uid="{00000000-0005-0000-0000-00006A000000}"/>
    <cellStyle name="20% - Accent2" xfId="4431" builtinId="34"/>
    <cellStyle name="20% - Accent2 2" xfId="104" xr:uid="{00000000-0005-0000-0000-00006B000000}"/>
    <cellStyle name="20% - Accent2 2 2" xfId="105" xr:uid="{00000000-0005-0000-0000-00006C000000}"/>
    <cellStyle name="20% - Accent2 2 2 2" xfId="106" xr:uid="{00000000-0005-0000-0000-00006D000000}"/>
    <cellStyle name="20% - Accent2 2 2 3" xfId="107" xr:uid="{00000000-0005-0000-0000-00006E000000}"/>
    <cellStyle name="20% - Accent2 2 2_AGL" xfId="108" xr:uid="{00000000-0005-0000-0000-00006F000000}"/>
    <cellStyle name="20% - Accent2 2 3" xfId="109" xr:uid="{00000000-0005-0000-0000-000070000000}"/>
    <cellStyle name="20% - Accent2 2 4" xfId="110" xr:uid="{00000000-0005-0000-0000-000071000000}"/>
    <cellStyle name="20% - Accent2 2_AGL" xfId="111" xr:uid="{00000000-0005-0000-0000-000072000000}"/>
    <cellStyle name="20% - Accent2 3" xfId="112" xr:uid="{00000000-0005-0000-0000-000073000000}"/>
    <cellStyle name="20% - Accent2 3 2" xfId="113" xr:uid="{00000000-0005-0000-0000-000074000000}"/>
    <cellStyle name="20% - Accent2 3 2 2" xfId="114" xr:uid="{00000000-0005-0000-0000-000075000000}"/>
    <cellStyle name="20% - Accent2 3 2 3" xfId="115" xr:uid="{00000000-0005-0000-0000-000076000000}"/>
    <cellStyle name="20% - Accent2 3 2_AGL" xfId="116" xr:uid="{00000000-0005-0000-0000-000077000000}"/>
    <cellStyle name="20% - Accent2 3 3" xfId="117" xr:uid="{00000000-0005-0000-0000-000078000000}"/>
    <cellStyle name="20% - Accent2 3 4" xfId="118" xr:uid="{00000000-0005-0000-0000-000079000000}"/>
    <cellStyle name="20% - Accent2 3_AGL" xfId="119" xr:uid="{00000000-0005-0000-0000-00007A000000}"/>
    <cellStyle name="20% - Accent2 4" xfId="120" xr:uid="{00000000-0005-0000-0000-00007B000000}"/>
    <cellStyle name="20% - Accent2 4 2" xfId="121" xr:uid="{00000000-0005-0000-0000-00007C000000}"/>
    <cellStyle name="20% - Accent2 4 2 2" xfId="122" xr:uid="{00000000-0005-0000-0000-00007D000000}"/>
    <cellStyle name="20% - Accent2 4 2 2 2" xfId="123" xr:uid="{00000000-0005-0000-0000-00007E000000}"/>
    <cellStyle name="20% - Accent2 4 2 3" xfId="124" xr:uid="{00000000-0005-0000-0000-00007F000000}"/>
    <cellStyle name="20% - Accent2 4 2 3 2" xfId="125" xr:uid="{00000000-0005-0000-0000-000080000000}"/>
    <cellStyle name="20% - Accent2 4 2 4" xfId="126" xr:uid="{00000000-0005-0000-0000-000081000000}"/>
    <cellStyle name="20% - Accent2 4 2_AGL" xfId="127" xr:uid="{00000000-0005-0000-0000-000082000000}"/>
    <cellStyle name="20% - Accent2 4 3" xfId="128" xr:uid="{00000000-0005-0000-0000-000083000000}"/>
    <cellStyle name="20% - Accent2 4 3 2" xfId="129" xr:uid="{00000000-0005-0000-0000-000084000000}"/>
    <cellStyle name="20% - Accent2 4 4" xfId="130" xr:uid="{00000000-0005-0000-0000-000085000000}"/>
    <cellStyle name="20% - Accent2 4 4 2" xfId="131" xr:uid="{00000000-0005-0000-0000-000086000000}"/>
    <cellStyle name="20% - Accent2 4 5" xfId="132" xr:uid="{00000000-0005-0000-0000-000087000000}"/>
    <cellStyle name="20% - Accent2 4_AGL" xfId="133" xr:uid="{00000000-0005-0000-0000-000088000000}"/>
    <cellStyle name="20% - Accent2 5" xfId="134" xr:uid="{00000000-0005-0000-0000-000089000000}"/>
    <cellStyle name="20% - Accent2 5 2" xfId="135" xr:uid="{00000000-0005-0000-0000-00008A000000}"/>
    <cellStyle name="20% - Accent2 5 3" xfId="136" xr:uid="{00000000-0005-0000-0000-00008B000000}"/>
    <cellStyle name="20% - Accent2 5_AGL" xfId="137" xr:uid="{00000000-0005-0000-0000-00008C000000}"/>
    <cellStyle name="20% - Accent2 6" xfId="138" xr:uid="{00000000-0005-0000-0000-00008D000000}"/>
    <cellStyle name="20% - Accent2 6 2" xfId="139" xr:uid="{00000000-0005-0000-0000-00008E000000}"/>
    <cellStyle name="20% - Accent2 6 2 2" xfId="140" xr:uid="{00000000-0005-0000-0000-00008F000000}"/>
    <cellStyle name="20% - Accent2 6 3" xfId="141" xr:uid="{00000000-0005-0000-0000-000090000000}"/>
    <cellStyle name="20% - Accent2 6 3 2" xfId="142" xr:uid="{00000000-0005-0000-0000-000091000000}"/>
    <cellStyle name="20% - Accent2 6 4" xfId="143" xr:uid="{00000000-0005-0000-0000-000092000000}"/>
    <cellStyle name="20% - Accent2 6_AGL" xfId="144" xr:uid="{00000000-0005-0000-0000-000093000000}"/>
    <cellStyle name="20% - Accent2 7" xfId="145" xr:uid="{00000000-0005-0000-0000-000094000000}"/>
    <cellStyle name="20% - Accent2 8" xfId="146" xr:uid="{00000000-0005-0000-0000-000095000000}"/>
    <cellStyle name="20% - Accent3 2" xfId="147" xr:uid="{00000000-0005-0000-0000-000096000000}"/>
    <cellStyle name="20% - Accent3 2 2" xfId="148" xr:uid="{00000000-0005-0000-0000-000097000000}"/>
    <cellStyle name="20% - Accent3 2 2 2" xfId="149" xr:uid="{00000000-0005-0000-0000-000098000000}"/>
    <cellStyle name="20% - Accent3 2 2 3" xfId="150" xr:uid="{00000000-0005-0000-0000-000099000000}"/>
    <cellStyle name="20% - Accent3 2 2_AGL" xfId="151" xr:uid="{00000000-0005-0000-0000-00009A000000}"/>
    <cellStyle name="20% - Accent3 2 3" xfId="152" xr:uid="{00000000-0005-0000-0000-00009B000000}"/>
    <cellStyle name="20% - Accent3 2 4" xfId="153" xr:uid="{00000000-0005-0000-0000-00009C000000}"/>
    <cellStyle name="20% - Accent3 2_AGL" xfId="154" xr:uid="{00000000-0005-0000-0000-00009D000000}"/>
    <cellStyle name="20% - Accent3 3" xfId="155" xr:uid="{00000000-0005-0000-0000-00009E000000}"/>
    <cellStyle name="20% - Accent3 3 2" xfId="156" xr:uid="{00000000-0005-0000-0000-00009F000000}"/>
    <cellStyle name="20% - Accent3 3 2 2" xfId="157" xr:uid="{00000000-0005-0000-0000-0000A0000000}"/>
    <cellStyle name="20% - Accent3 3 2 3" xfId="158" xr:uid="{00000000-0005-0000-0000-0000A1000000}"/>
    <cellStyle name="20% - Accent3 3 2_AGL" xfId="159" xr:uid="{00000000-0005-0000-0000-0000A2000000}"/>
    <cellStyle name="20% - Accent3 3 3" xfId="160" xr:uid="{00000000-0005-0000-0000-0000A3000000}"/>
    <cellStyle name="20% - Accent3 3 4" xfId="161" xr:uid="{00000000-0005-0000-0000-0000A4000000}"/>
    <cellStyle name="20% - Accent3 3_AGL" xfId="162" xr:uid="{00000000-0005-0000-0000-0000A5000000}"/>
    <cellStyle name="20% - Accent3 4" xfId="163" xr:uid="{00000000-0005-0000-0000-0000A6000000}"/>
    <cellStyle name="20% - Accent3 4 2" xfId="164" xr:uid="{00000000-0005-0000-0000-0000A7000000}"/>
    <cellStyle name="20% - Accent3 4 3" xfId="165" xr:uid="{00000000-0005-0000-0000-0000A8000000}"/>
    <cellStyle name="20% - Accent3 4_AGL" xfId="166" xr:uid="{00000000-0005-0000-0000-0000A9000000}"/>
    <cellStyle name="20% - Accent3 5" xfId="167" xr:uid="{00000000-0005-0000-0000-0000AA000000}"/>
    <cellStyle name="20% - Accent3 6" xfId="168" xr:uid="{00000000-0005-0000-0000-0000AB000000}"/>
    <cellStyle name="20% - Accent4 2" xfId="169" xr:uid="{00000000-0005-0000-0000-0000AC000000}"/>
    <cellStyle name="20% - Accent4 2 2" xfId="170" xr:uid="{00000000-0005-0000-0000-0000AD000000}"/>
    <cellStyle name="20% - Accent4 2 2 2" xfId="171" xr:uid="{00000000-0005-0000-0000-0000AE000000}"/>
    <cellStyle name="20% - Accent4 2 2 3" xfId="172" xr:uid="{00000000-0005-0000-0000-0000AF000000}"/>
    <cellStyle name="20% - Accent4 2 2_AGL" xfId="173" xr:uid="{00000000-0005-0000-0000-0000B0000000}"/>
    <cellStyle name="20% - Accent4 2 3" xfId="174" xr:uid="{00000000-0005-0000-0000-0000B1000000}"/>
    <cellStyle name="20% - Accent4 2 4" xfId="175" xr:uid="{00000000-0005-0000-0000-0000B2000000}"/>
    <cellStyle name="20% - Accent4 2_AGL" xfId="176" xr:uid="{00000000-0005-0000-0000-0000B3000000}"/>
    <cellStyle name="20% - Accent4 3" xfId="177" xr:uid="{00000000-0005-0000-0000-0000B4000000}"/>
    <cellStyle name="20% - Accent4 3 2" xfId="178" xr:uid="{00000000-0005-0000-0000-0000B5000000}"/>
    <cellStyle name="20% - Accent4 3 2 2" xfId="179" xr:uid="{00000000-0005-0000-0000-0000B6000000}"/>
    <cellStyle name="20% - Accent4 3 2 3" xfId="180" xr:uid="{00000000-0005-0000-0000-0000B7000000}"/>
    <cellStyle name="20% - Accent4 3 2_AGL" xfId="181" xr:uid="{00000000-0005-0000-0000-0000B8000000}"/>
    <cellStyle name="20% - Accent4 3 3" xfId="182" xr:uid="{00000000-0005-0000-0000-0000B9000000}"/>
    <cellStyle name="20% - Accent4 3 4" xfId="183" xr:uid="{00000000-0005-0000-0000-0000BA000000}"/>
    <cellStyle name="20% - Accent4 3_AGL" xfId="184" xr:uid="{00000000-0005-0000-0000-0000BB000000}"/>
    <cellStyle name="20% - Accent4 4" xfId="185" xr:uid="{00000000-0005-0000-0000-0000BC000000}"/>
    <cellStyle name="20% - Accent4 4 2" xfId="186" xr:uid="{00000000-0005-0000-0000-0000BD000000}"/>
    <cellStyle name="20% - Accent4 4 3" xfId="187" xr:uid="{00000000-0005-0000-0000-0000BE000000}"/>
    <cellStyle name="20% - Accent4 4_AGL" xfId="188" xr:uid="{00000000-0005-0000-0000-0000BF000000}"/>
    <cellStyle name="20% - Accent4 5" xfId="189" xr:uid="{00000000-0005-0000-0000-0000C0000000}"/>
    <cellStyle name="20% - Accent4 6" xfId="190" xr:uid="{00000000-0005-0000-0000-0000C1000000}"/>
    <cellStyle name="20% - Accent5 2" xfId="191" xr:uid="{00000000-0005-0000-0000-0000C2000000}"/>
    <cellStyle name="20% - Accent5 2 2" xfId="192" xr:uid="{00000000-0005-0000-0000-0000C3000000}"/>
    <cellStyle name="20% - Accent5 2 2 2" xfId="193" xr:uid="{00000000-0005-0000-0000-0000C4000000}"/>
    <cellStyle name="20% - Accent5 2 2 3" xfId="194" xr:uid="{00000000-0005-0000-0000-0000C5000000}"/>
    <cellStyle name="20% - Accent5 2 2_AGL" xfId="195" xr:uid="{00000000-0005-0000-0000-0000C6000000}"/>
    <cellStyle name="20% - Accent5 2 3" xfId="196" xr:uid="{00000000-0005-0000-0000-0000C7000000}"/>
    <cellStyle name="20% - Accent5 2 4" xfId="197" xr:uid="{00000000-0005-0000-0000-0000C8000000}"/>
    <cellStyle name="20% - Accent5 2 5" xfId="4481" xr:uid="{00000000-0005-0000-0000-000084110000}"/>
    <cellStyle name="20% - Accent5 2_AGL" xfId="198" xr:uid="{00000000-0005-0000-0000-0000C9000000}"/>
    <cellStyle name="20% - Accent5 3" xfId="199" xr:uid="{00000000-0005-0000-0000-0000CA000000}"/>
    <cellStyle name="20% - Accent5 3 2" xfId="200" xr:uid="{00000000-0005-0000-0000-0000CB000000}"/>
    <cellStyle name="20% - Accent5 3 2 2" xfId="201" xr:uid="{00000000-0005-0000-0000-0000CC000000}"/>
    <cellStyle name="20% - Accent5 3 2 3" xfId="202" xr:uid="{00000000-0005-0000-0000-0000CD000000}"/>
    <cellStyle name="20% - Accent5 3 2_AGL" xfId="203" xr:uid="{00000000-0005-0000-0000-0000CE000000}"/>
    <cellStyle name="20% - Accent5 3 3" xfId="204" xr:uid="{00000000-0005-0000-0000-0000CF000000}"/>
    <cellStyle name="20% - Accent5 3 4" xfId="205" xr:uid="{00000000-0005-0000-0000-0000D0000000}"/>
    <cellStyle name="20% - Accent5 3_AGL" xfId="206" xr:uid="{00000000-0005-0000-0000-0000D1000000}"/>
    <cellStyle name="20% - Accent5 4" xfId="207" xr:uid="{00000000-0005-0000-0000-0000D2000000}"/>
    <cellStyle name="20% - Accent5 4 2" xfId="208" xr:uid="{00000000-0005-0000-0000-0000D3000000}"/>
    <cellStyle name="20% - Accent5 4 3" xfId="209" xr:uid="{00000000-0005-0000-0000-0000D4000000}"/>
    <cellStyle name="20% - Accent5 4_AGL" xfId="210" xr:uid="{00000000-0005-0000-0000-0000D5000000}"/>
    <cellStyle name="20% - Accent5 5" xfId="211" xr:uid="{00000000-0005-0000-0000-0000D6000000}"/>
    <cellStyle name="20% - Accent5 6" xfId="212" xr:uid="{00000000-0005-0000-0000-0000D7000000}"/>
    <cellStyle name="20% - Accent6 10" xfId="213" xr:uid="{00000000-0005-0000-0000-0000D8000000}"/>
    <cellStyle name="20% - Accent6 2" xfId="214" xr:uid="{00000000-0005-0000-0000-0000D9000000}"/>
    <cellStyle name="20% - Accent6 2 2" xfId="215" xr:uid="{00000000-0005-0000-0000-0000DA000000}"/>
    <cellStyle name="20% - Accent6 2 2 2" xfId="216" xr:uid="{00000000-0005-0000-0000-0000DB000000}"/>
    <cellStyle name="20% - Accent6 2 2 3" xfId="217" xr:uid="{00000000-0005-0000-0000-0000DC000000}"/>
    <cellStyle name="20% - Accent6 2 2_AGL" xfId="218" xr:uid="{00000000-0005-0000-0000-0000DD000000}"/>
    <cellStyle name="20% - Accent6 2 3" xfId="219" xr:uid="{00000000-0005-0000-0000-0000DE000000}"/>
    <cellStyle name="20% - Accent6 2 4" xfId="220" xr:uid="{00000000-0005-0000-0000-0000DF000000}"/>
    <cellStyle name="20% - Accent6 2_AGL" xfId="221" xr:uid="{00000000-0005-0000-0000-0000E0000000}"/>
    <cellStyle name="20% - Accent6 3" xfId="222" xr:uid="{00000000-0005-0000-0000-0000E1000000}"/>
    <cellStyle name="20% - Accent6 3 2" xfId="223" xr:uid="{00000000-0005-0000-0000-0000E2000000}"/>
    <cellStyle name="20% - Accent6 3 2 2" xfId="224" xr:uid="{00000000-0005-0000-0000-0000E3000000}"/>
    <cellStyle name="20% - Accent6 3 2 3" xfId="225" xr:uid="{00000000-0005-0000-0000-0000E4000000}"/>
    <cellStyle name="20% - Accent6 3 2_AGL" xfId="226" xr:uid="{00000000-0005-0000-0000-0000E5000000}"/>
    <cellStyle name="20% - Accent6 3 3" xfId="227" xr:uid="{00000000-0005-0000-0000-0000E6000000}"/>
    <cellStyle name="20% - Accent6 3 4" xfId="228" xr:uid="{00000000-0005-0000-0000-0000E7000000}"/>
    <cellStyle name="20% - Accent6 3_AGL" xfId="229" xr:uid="{00000000-0005-0000-0000-0000E8000000}"/>
    <cellStyle name="20% - Accent6 4" xfId="230" xr:uid="{00000000-0005-0000-0000-0000E9000000}"/>
    <cellStyle name="20% - Accent6 4 2" xfId="231" xr:uid="{00000000-0005-0000-0000-0000EA000000}"/>
    <cellStyle name="20% - Accent6 4 2 2" xfId="232" xr:uid="{00000000-0005-0000-0000-0000EB000000}"/>
    <cellStyle name="20% - Accent6 4 2 3" xfId="233" xr:uid="{00000000-0005-0000-0000-0000EC000000}"/>
    <cellStyle name="20% - Accent6 4 2_AGL" xfId="234" xr:uid="{00000000-0005-0000-0000-0000ED000000}"/>
    <cellStyle name="20% - Accent6 4 3" xfId="235" xr:uid="{00000000-0005-0000-0000-0000EE000000}"/>
    <cellStyle name="20% - Accent6 4 3 2" xfId="236" xr:uid="{00000000-0005-0000-0000-0000EF000000}"/>
    <cellStyle name="20% - Accent6 4 4" xfId="237" xr:uid="{00000000-0005-0000-0000-0000F0000000}"/>
    <cellStyle name="20% - Accent6 4 5" xfId="238" xr:uid="{00000000-0005-0000-0000-0000F1000000}"/>
    <cellStyle name="20% - Accent6 4_AGL" xfId="239" xr:uid="{00000000-0005-0000-0000-0000F2000000}"/>
    <cellStyle name="20% - Accent6 5" xfId="240" xr:uid="{00000000-0005-0000-0000-0000F3000000}"/>
    <cellStyle name="20% - Accent6 5 2" xfId="241" xr:uid="{00000000-0005-0000-0000-0000F4000000}"/>
    <cellStyle name="20% - Accent6 5 2 2" xfId="242" xr:uid="{00000000-0005-0000-0000-0000F5000000}"/>
    <cellStyle name="20% - Accent6 5 2 3" xfId="243" xr:uid="{00000000-0005-0000-0000-0000F6000000}"/>
    <cellStyle name="20% - Accent6 5 2_AGL" xfId="244" xr:uid="{00000000-0005-0000-0000-0000F7000000}"/>
    <cellStyle name="20% - Accent6 5 3" xfId="245" xr:uid="{00000000-0005-0000-0000-0000F8000000}"/>
    <cellStyle name="20% - Accent6 5 4" xfId="246" xr:uid="{00000000-0005-0000-0000-0000F9000000}"/>
    <cellStyle name="20% - Accent6 5_AGL" xfId="247" xr:uid="{00000000-0005-0000-0000-0000FA000000}"/>
    <cellStyle name="20% - Accent6 6" xfId="248" xr:uid="{00000000-0005-0000-0000-0000FB000000}"/>
    <cellStyle name="20% - Accent6 6 2" xfId="249" xr:uid="{00000000-0005-0000-0000-0000FC000000}"/>
    <cellStyle name="20% - Accent6 6 2 2" xfId="250" xr:uid="{00000000-0005-0000-0000-0000FD000000}"/>
    <cellStyle name="20% - Accent6 6 2 3" xfId="251" xr:uid="{00000000-0005-0000-0000-0000FE000000}"/>
    <cellStyle name="20% - Accent6 6 2_AGL" xfId="252" xr:uid="{00000000-0005-0000-0000-0000FF000000}"/>
    <cellStyle name="20% - Accent6 6 3" xfId="253" xr:uid="{00000000-0005-0000-0000-000000010000}"/>
    <cellStyle name="20% - Accent6 6 4" xfId="254" xr:uid="{00000000-0005-0000-0000-000001010000}"/>
    <cellStyle name="20% - Accent6 6_AGL" xfId="255" xr:uid="{00000000-0005-0000-0000-000002010000}"/>
    <cellStyle name="20% - Accent6 7" xfId="256" xr:uid="{00000000-0005-0000-0000-000003010000}"/>
    <cellStyle name="20% - Accent6 7 2" xfId="257" xr:uid="{00000000-0005-0000-0000-000004010000}"/>
    <cellStyle name="20% - Accent6 7 2 2" xfId="258" xr:uid="{00000000-0005-0000-0000-000005010000}"/>
    <cellStyle name="20% - Accent6 7 2 3" xfId="259" xr:uid="{00000000-0005-0000-0000-000006010000}"/>
    <cellStyle name="20% - Accent6 7 2_AGL" xfId="260" xr:uid="{00000000-0005-0000-0000-000007010000}"/>
    <cellStyle name="20% - Accent6 7 3" xfId="261" xr:uid="{00000000-0005-0000-0000-000008010000}"/>
    <cellStyle name="20% - Accent6 7 4" xfId="262" xr:uid="{00000000-0005-0000-0000-000009010000}"/>
    <cellStyle name="20% - Accent6 7_AGL" xfId="263" xr:uid="{00000000-0005-0000-0000-00000A010000}"/>
    <cellStyle name="20% - Accent6 8" xfId="264" xr:uid="{00000000-0005-0000-0000-00000B010000}"/>
    <cellStyle name="20% - Accent6 8 2" xfId="265" xr:uid="{00000000-0005-0000-0000-00000C010000}"/>
    <cellStyle name="20% - Accent6 8 3" xfId="266" xr:uid="{00000000-0005-0000-0000-00000D010000}"/>
    <cellStyle name="20% - Accent6 8_AGL" xfId="267" xr:uid="{00000000-0005-0000-0000-00000E010000}"/>
    <cellStyle name="20% - Accent6 9" xfId="268" xr:uid="{00000000-0005-0000-0000-00000F010000}"/>
    <cellStyle name="40% - Accent1 2" xfId="269" xr:uid="{00000000-0005-0000-0000-000010010000}"/>
    <cellStyle name="40% - Accent1 2 2" xfId="270" xr:uid="{00000000-0005-0000-0000-000011010000}"/>
    <cellStyle name="40% - Accent1 2 2 2" xfId="271" xr:uid="{00000000-0005-0000-0000-000012010000}"/>
    <cellStyle name="40% - Accent1 2 2 3" xfId="272" xr:uid="{00000000-0005-0000-0000-000013010000}"/>
    <cellStyle name="40% - Accent1 2 2_AGL" xfId="273" xr:uid="{00000000-0005-0000-0000-000014010000}"/>
    <cellStyle name="40% - Accent1 2 3" xfId="274" xr:uid="{00000000-0005-0000-0000-000015010000}"/>
    <cellStyle name="40% - Accent1 2 4" xfId="275" xr:uid="{00000000-0005-0000-0000-000016010000}"/>
    <cellStyle name="40% - Accent1 2 5" xfId="4438" xr:uid="{00000000-0005-0000-0000-000059110000}"/>
    <cellStyle name="40% - Accent1 2_AGL" xfId="276" xr:uid="{00000000-0005-0000-0000-000017010000}"/>
    <cellStyle name="40% - Accent1 3" xfId="277" xr:uid="{00000000-0005-0000-0000-000018010000}"/>
    <cellStyle name="40% - Accent1 3 2" xfId="278" xr:uid="{00000000-0005-0000-0000-000019010000}"/>
    <cellStyle name="40% - Accent1 3 2 2" xfId="279" xr:uid="{00000000-0005-0000-0000-00001A010000}"/>
    <cellStyle name="40% - Accent1 3 2 3" xfId="280" xr:uid="{00000000-0005-0000-0000-00001B010000}"/>
    <cellStyle name="40% - Accent1 3 2_AGL" xfId="281" xr:uid="{00000000-0005-0000-0000-00001C010000}"/>
    <cellStyle name="40% - Accent1 3 3" xfId="282" xr:uid="{00000000-0005-0000-0000-00001D010000}"/>
    <cellStyle name="40% - Accent1 3 4" xfId="283" xr:uid="{00000000-0005-0000-0000-00001E010000}"/>
    <cellStyle name="40% - Accent1 3_AGL" xfId="284" xr:uid="{00000000-0005-0000-0000-00001F010000}"/>
    <cellStyle name="40% - Accent1 4" xfId="285" xr:uid="{00000000-0005-0000-0000-000020010000}"/>
    <cellStyle name="40% - Accent1 4 2" xfId="286" xr:uid="{00000000-0005-0000-0000-000021010000}"/>
    <cellStyle name="40% - Accent1 4 3" xfId="287" xr:uid="{00000000-0005-0000-0000-000022010000}"/>
    <cellStyle name="40% - Accent1 4_AGL" xfId="288" xr:uid="{00000000-0005-0000-0000-000023010000}"/>
    <cellStyle name="40% - Accent1 5" xfId="289" xr:uid="{00000000-0005-0000-0000-000024010000}"/>
    <cellStyle name="40% - Accent1 6" xfId="290" xr:uid="{00000000-0005-0000-0000-000025010000}"/>
    <cellStyle name="40% - Accent2 2" xfId="291" xr:uid="{00000000-0005-0000-0000-000026010000}"/>
    <cellStyle name="40% - Accent2 2 2" xfId="292" xr:uid="{00000000-0005-0000-0000-000027010000}"/>
    <cellStyle name="40% - Accent2 2 2 2" xfId="293" xr:uid="{00000000-0005-0000-0000-000028010000}"/>
    <cellStyle name="40% - Accent2 2 2 3" xfId="294" xr:uid="{00000000-0005-0000-0000-000029010000}"/>
    <cellStyle name="40% - Accent2 2 2_AGL" xfId="295" xr:uid="{00000000-0005-0000-0000-00002A010000}"/>
    <cellStyle name="40% - Accent2 2 3" xfId="296" xr:uid="{00000000-0005-0000-0000-00002B010000}"/>
    <cellStyle name="40% - Accent2 2 4" xfId="297" xr:uid="{00000000-0005-0000-0000-00002C010000}"/>
    <cellStyle name="40% - Accent2 2_AGL" xfId="298" xr:uid="{00000000-0005-0000-0000-00002D010000}"/>
    <cellStyle name="40% - Accent2 3" xfId="299" xr:uid="{00000000-0005-0000-0000-00002E010000}"/>
    <cellStyle name="40% - Accent2 3 2" xfId="300" xr:uid="{00000000-0005-0000-0000-00002F010000}"/>
    <cellStyle name="40% - Accent2 3 2 2" xfId="301" xr:uid="{00000000-0005-0000-0000-000030010000}"/>
    <cellStyle name="40% - Accent2 3 2 3" xfId="302" xr:uid="{00000000-0005-0000-0000-000031010000}"/>
    <cellStyle name="40% - Accent2 3 2_AGL" xfId="303" xr:uid="{00000000-0005-0000-0000-000032010000}"/>
    <cellStyle name="40% - Accent2 3 3" xfId="304" xr:uid="{00000000-0005-0000-0000-000033010000}"/>
    <cellStyle name="40% - Accent2 3 4" xfId="305" xr:uid="{00000000-0005-0000-0000-000034010000}"/>
    <cellStyle name="40% - Accent2 3_AGL" xfId="306" xr:uid="{00000000-0005-0000-0000-000035010000}"/>
    <cellStyle name="40% - Accent2 4" xfId="307" xr:uid="{00000000-0005-0000-0000-000036010000}"/>
    <cellStyle name="40% - Accent2 4 2" xfId="308" xr:uid="{00000000-0005-0000-0000-000037010000}"/>
    <cellStyle name="40% - Accent2 4 3" xfId="309" xr:uid="{00000000-0005-0000-0000-000038010000}"/>
    <cellStyle name="40% - Accent2 4_AGL" xfId="310" xr:uid="{00000000-0005-0000-0000-000039010000}"/>
    <cellStyle name="40% - Accent2 5" xfId="311" xr:uid="{00000000-0005-0000-0000-00003A010000}"/>
    <cellStyle name="40% - Accent2 6" xfId="312" xr:uid="{00000000-0005-0000-0000-00003B010000}"/>
    <cellStyle name="40% - Accent3 2" xfId="313" xr:uid="{00000000-0005-0000-0000-00003C010000}"/>
    <cellStyle name="40% - Accent3 2 2" xfId="314" xr:uid="{00000000-0005-0000-0000-00003D010000}"/>
    <cellStyle name="40% - Accent3 2 2 2" xfId="315" xr:uid="{00000000-0005-0000-0000-00003E010000}"/>
    <cellStyle name="40% - Accent3 2 2 3" xfId="316" xr:uid="{00000000-0005-0000-0000-00003F010000}"/>
    <cellStyle name="40% - Accent3 2 2_AGL" xfId="317" xr:uid="{00000000-0005-0000-0000-000040010000}"/>
    <cellStyle name="40% - Accent3 2 3" xfId="318" xr:uid="{00000000-0005-0000-0000-000041010000}"/>
    <cellStyle name="40% - Accent3 2 4" xfId="319" xr:uid="{00000000-0005-0000-0000-000042010000}"/>
    <cellStyle name="40% - Accent3 2_AGL" xfId="320" xr:uid="{00000000-0005-0000-0000-000043010000}"/>
    <cellStyle name="40% - Accent3 3" xfId="321" xr:uid="{00000000-0005-0000-0000-000044010000}"/>
    <cellStyle name="40% - Accent3 3 2" xfId="322" xr:uid="{00000000-0005-0000-0000-000045010000}"/>
    <cellStyle name="40% - Accent3 3 2 2" xfId="323" xr:uid="{00000000-0005-0000-0000-000046010000}"/>
    <cellStyle name="40% - Accent3 3 2 3" xfId="324" xr:uid="{00000000-0005-0000-0000-000047010000}"/>
    <cellStyle name="40% - Accent3 3 2_AGL" xfId="325" xr:uid="{00000000-0005-0000-0000-000048010000}"/>
    <cellStyle name="40% - Accent3 3 3" xfId="326" xr:uid="{00000000-0005-0000-0000-000049010000}"/>
    <cellStyle name="40% - Accent3 3 4" xfId="327" xr:uid="{00000000-0005-0000-0000-00004A010000}"/>
    <cellStyle name="40% - Accent3 3_AGL" xfId="328" xr:uid="{00000000-0005-0000-0000-00004B010000}"/>
    <cellStyle name="40% - Accent3 4" xfId="329" xr:uid="{00000000-0005-0000-0000-00004C010000}"/>
    <cellStyle name="40% - Accent3 4 2" xfId="330" xr:uid="{00000000-0005-0000-0000-00004D010000}"/>
    <cellStyle name="40% - Accent3 4 3" xfId="331" xr:uid="{00000000-0005-0000-0000-00004E010000}"/>
    <cellStyle name="40% - Accent3 4_AGL" xfId="332" xr:uid="{00000000-0005-0000-0000-00004F010000}"/>
    <cellStyle name="40% - Accent3 5" xfId="333" xr:uid="{00000000-0005-0000-0000-000050010000}"/>
    <cellStyle name="40% - Accent3 6" xfId="334" xr:uid="{00000000-0005-0000-0000-000051010000}"/>
    <cellStyle name="40% - Accent4 2" xfId="335" xr:uid="{00000000-0005-0000-0000-000052010000}"/>
    <cellStyle name="40% - Accent4 2 2" xfId="336" xr:uid="{00000000-0005-0000-0000-000053010000}"/>
    <cellStyle name="40% - Accent4 2 2 2" xfId="337" xr:uid="{00000000-0005-0000-0000-000054010000}"/>
    <cellStyle name="40% - Accent4 2 2 3" xfId="338" xr:uid="{00000000-0005-0000-0000-000055010000}"/>
    <cellStyle name="40% - Accent4 2 2_AGL" xfId="339" xr:uid="{00000000-0005-0000-0000-000056010000}"/>
    <cellStyle name="40% - Accent4 2 3" xfId="340" xr:uid="{00000000-0005-0000-0000-000057010000}"/>
    <cellStyle name="40% - Accent4 2 4" xfId="341" xr:uid="{00000000-0005-0000-0000-000058010000}"/>
    <cellStyle name="40% - Accent4 2_AGL" xfId="342" xr:uid="{00000000-0005-0000-0000-000059010000}"/>
    <cellStyle name="40% - Accent4 3" xfId="343" xr:uid="{00000000-0005-0000-0000-00005A010000}"/>
    <cellStyle name="40% - Accent4 3 2" xfId="344" xr:uid="{00000000-0005-0000-0000-00005B010000}"/>
    <cellStyle name="40% - Accent4 3 2 2" xfId="345" xr:uid="{00000000-0005-0000-0000-00005C010000}"/>
    <cellStyle name="40% - Accent4 3 2 3" xfId="346" xr:uid="{00000000-0005-0000-0000-00005D010000}"/>
    <cellStyle name="40% - Accent4 3 2_AGL" xfId="347" xr:uid="{00000000-0005-0000-0000-00005E010000}"/>
    <cellStyle name="40% - Accent4 3 3" xfId="348" xr:uid="{00000000-0005-0000-0000-00005F010000}"/>
    <cellStyle name="40% - Accent4 3 4" xfId="349" xr:uid="{00000000-0005-0000-0000-000060010000}"/>
    <cellStyle name="40% - Accent4 3_AGL" xfId="350" xr:uid="{00000000-0005-0000-0000-000061010000}"/>
    <cellStyle name="40% - Accent4 4" xfId="351" xr:uid="{00000000-0005-0000-0000-000062010000}"/>
    <cellStyle name="40% - Accent4 4 2" xfId="352" xr:uid="{00000000-0005-0000-0000-000063010000}"/>
    <cellStyle name="40% - Accent4 4 3" xfId="353" xr:uid="{00000000-0005-0000-0000-000064010000}"/>
    <cellStyle name="40% - Accent4 4_AGL" xfId="354" xr:uid="{00000000-0005-0000-0000-000065010000}"/>
    <cellStyle name="40% - Accent4 5" xfId="355" xr:uid="{00000000-0005-0000-0000-000066010000}"/>
    <cellStyle name="40% - Accent4 6" xfId="356" xr:uid="{00000000-0005-0000-0000-000067010000}"/>
    <cellStyle name="40% - Accent5 2" xfId="357" xr:uid="{00000000-0005-0000-0000-000068010000}"/>
    <cellStyle name="40% - Accent5 2 2" xfId="358" xr:uid="{00000000-0005-0000-0000-000069010000}"/>
    <cellStyle name="40% - Accent5 2 2 2" xfId="359" xr:uid="{00000000-0005-0000-0000-00006A010000}"/>
    <cellStyle name="40% - Accent5 2 2 3" xfId="360" xr:uid="{00000000-0005-0000-0000-00006B010000}"/>
    <cellStyle name="40% - Accent5 2 2_AGL" xfId="361" xr:uid="{00000000-0005-0000-0000-00006C010000}"/>
    <cellStyle name="40% - Accent5 2 3" xfId="362" xr:uid="{00000000-0005-0000-0000-00006D010000}"/>
    <cellStyle name="40% - Accent5 2 4" xfId="363" xr:uid="{00000000-0005-0000-0000-00006E010000}"/>
    <cellStyle name="40% - Accent5 2_AGL" xfId="364" xr:uid="{00000000-0005-0000-0000-00006F010000}"/>
    <cellStyle name="40% - Accent5 3" xfId="365" xr:uid="{00000000-0005-0000-0000-000070010000}"/>
    <cellStyle name="40% - Accent5 3 2" xfId="366" xr:uid="{00000000-0005-0000-0000-000071010000}"/>
    <cellStyle name="40% - Accent5 3 2 2" xfId="367" xr:uid="{00000000-0005-0000-0000-000072010000}"/>
    <cellStyle name="40% - Accent5 3 2 3" xfId="368" xr:uid="{00000000-0005-0000-0000-000073010000}"/>
    <cellStyle name="40% - Accent5 3 2_AGL" xfId="369" xr:uid="{00000000-0005-0000-0000-000074010000}"/>
    <cellStyle name="40% - Accent5 3 3" xfId="370" xr:uid="{00000000-0005-0000-0000-000075010000}"/>
    <cellStyle name="40% - Accent5 3 4" xfId="371" xr:uid="{00000000-0005-0000-0000-000076010000}"/>
    <cellStyle name="40% - Accent5 3_AGL" xfId="372" xr:uid="{00000000-0005-0000-0000-000077010000}"/>
    <cellStyle name="40% - Accent5 4" xfId="373" xr:uid="{00000000-0005-0000-0000-000078010000}"/>
    <cellStyle name="40% - Accent5 4 2" xfId="374" xr:uid="{00000000-0005-0000-0000-000079010000}"/>
    <cellStyle name="40% - Accent5 4 3" xfId="375" xr:uid="{00000000-0005-0000-0000-00007A010000}"/>
    <cellStyle name="40% - Accent5 4_AGL" xfId="376" xr:uid="{00000000-0005-0000-0000-00007B010000}"/>
    <cellStyle name="40% - Accent5 5" xfId="377" xr:uid="{00000000-0005-0000-0000-00007C010000}"/>
    <cellStyle name="40% - Accent5 6" xfId="378" xr:uid="{00000000-0005-0000-0000-00007D010000}"/>
    <cellStyle name="40% - Accent6 2" xfId="379" xr:uid="{00000000-0005-0000-0000-00007E010000}"/>
    <cellStyle name="40% - Accent6 2 2" xfId="380" xr:uid="{00000000-0005-0000-0000-00007F010000}"/>
    <cellStyle name="40% - Accent6 2 2 2" xfId="381" xr:uid="{00000000-0005-0000-0000-000080010000}"/>
    <cellStyle name="40% - Accent6 2 2 3" xfId="382" xr:uid="{00000000-0005-0000-0000-000081010000}"/>
    <cellStyle name="40% - Accent6 2 2_AGL" xfId="383" xr:uid="{00000000-0005-0000-0000-000082010000}"/>
    <cellStyle name="40% - Accent6 2 3" xfId="384" xr:uid="{00000000-0005-0000-0000-000083010000}"/>
    <cellStyle name="40% - Accent6 2 4" xfId="385" xr:uid="{00000000-0005-0000-0000-000084010000}"/>
    <cellStyle name="40% - Accent6 2_AGL" xfId="386" xr:uid="{00000000-0005-0000-0000-000085010000}"/>
    <cellStyle name="40% - Accent6 3" xfId="387" xr:uid="{00000000-0005-0000-0000-000086010000}"/>
    <cellStyle name="40% - Accent6 3 2" xfId="388" xr:uid="{00000000-0005-0000-0000-000087010000}"/>
    <cellStyle name="40% - Accent6 3 2 2" xfId="389" xr:uid="{00000000-0005-0000-0000-000088010000}"/>
    <cellStyle name="40% - Accent6 3 2 3" xfId="390" xr:uid="{00000000-0005-0000-0000-000089010000}"/>
    <cellStyle name="40% - Accent6 3 2_AGL" xfId="391" xr:uid="{00000000-0005-0000-0000-00008A010000}"/>
    <cellStyle name="40% - Accent6 3 3" xfId="392" xr:uid="{00000000-0005-0000-0000-00008B010000}"/>
    <cellStyle name="40% - Accent6 3 4" xfId="393" xr:uid="{00000000-0005-0000-0000-00008C010000}"/>
    <cellStyle name="40% - Accent6 3_AGL" xfId="394" xr:uid="{00000000-0005-0000-0000-00008D010000}"/>
    <cellStyle name="40% - Accent6 4" xfId="395" xr:uid="{00000000-0005-0000-0000-00008E010000}"/>
    <cellStyle name="40% - Accent6 4 2" xfId="396" xr:uid="{00000000-0005-0000-0000-00008F010000}"/>
    <cellStyle name="40% - Accent6 4 3" xfId="397" xr:uid="{00000000-0005-0000-0000-000090010000}"/>
    <cellStyle name="40% - Accent6 4_AGL" xfId="398" xr:uid="{00000000-0005-0000-0000-000091010000}"/>
    <cellStyle name="40% - Accent6 5" xfId="399" xr:uid="{00000000-0005-0000-0000-000092010000}"/>
    <cellStyle name="40% - Accent6 6" xfId="400" xr:uid="{00000000-0005-0000-0000-000093010000}"/>
    <cellStyle name="5x indented GHG Textfiels" xfId="3" xr:uid="{00000000-0005-0000-0000-000006000000}"/>
    <cellStyle name="60% - Accent1 2" xfId="401" xr:uid="{00000000-0005-0000-0000-000094010000}"/>
    <cellStyle name="60% - Accent1 2 2" xfId="402" xr:uid="{00000000-0005-0000-0000-000095010000}"/>
    <cellStyle name="60% - Accent1 2 3" xfId="403" xr:uid="{00000000-0005-0000-0000-000096010000}"/>
    <cellStyle name="60% - Accent1 2 4" xfId="4439" xr:uid="{00000000-0005-0000-0000-00005A110000}"/>
    <cellStyle name="60% - Accent1 2_AGL" xfId="404" xr:uid="{00000000-0005-0000-0000-000097010000}"/>
    <cellStyle name="60% - Accent1 3" xfId="405" xr:uid="{00000000-0005-0000-0000-000098010000}"/>
    <cellStyle name="60% - Accent1 4" xfId="406" xr:uid="{00000000-0005-0000-0000-000099010000}"/>
    <cellStyle name="60% - Accent2 2" xfId="407" xr:uid="{00000000-0005-0000-0000-00009A010000}"/>
    <cellStyle name="60% - Accent2 2 2" xfId="408" xr:uid="{00000000-0005-0000-0000-00009B010000}"/>
    <cellStyle name="60% - Accent2 2 3" xfId="409" xr:uid="{00000000-0005-0000-0000-00009C010000}"/>
    <cellStyle name="60% - Accent2 2 4" xfId="4482" xr:uid="{00000000-0005-0000-0000-000085110000}"/>
    <cellStyle name="60% - Accent2 2_AGL" xfId="410" xr:uid="{00000000-0005-0000-0000-00009D010000}"/>
    <cellStyle name="60% - Accent2 3" xfId="411" xr:uid="{00000000-0005-0000-0000-00009E010000}"/>
    <cellStyle name="60% - Accent2 4" xfId="412" xr:uid="{00000000-0005-0000-0000-00009F010000}"/>
    <cellStyle name="60% - Accent3 2" xfId="413" xr:uid="{00000000-0005-0000-0000-0000A0010000}"/>
    <cellStyle name="60% - Accent3 2 2" xfId="414" xr:uid="{00000000-0005-0000-0000-0000A1010000}"/>
    <cellStyle name="60% - Accent3 2 3" xfId="415" xr:uid="{00000000-0005-0000-0000-0000A2010000}"/>
    <cellStyle name="60% - Accent3 2_AGL" xfId="416" xr:uid="{00000000-0005-0000-0000-0000A3010000}"/>
    <cellStyle name="60% - Accent3 3" xfId="417" xr:uid="{00000000-0005-0000-0000-0000A4010000}"/>
    <cellStyle name="60% - Accent3 4" xfId="418" xr:uid="{00000000-0005-0000-0000-0000A5010000}"/>
    <cellStyle name="60% - Accent4 2" xfId="419" xr:uid="{00000000-0005-0000-0000-0000A6010000}"/>
    <cellStyle name="60% - Accent4 2 2" xfId="420" xr:uid="{00000000-0005-0000-0000-0000A7010000}"/>
    <cellStyle name="60% - Accent4 2 3" xfId="421" xr:uid="{00000000-0005-0000-0000-0000A8010000}"/>
    <cellStyle name="60% - Accent4 2_AGL" xfId="422" xr:uid="{00000000-0005-0000-0000-0000A9010000}"/>
    <cellStyle name="60% - Accent4 3" xfId="423" xr:uid="{00000000-0005-0000-0000-0000AA010000}"/>
    <cellStyle name="60% - Accent4 4" xfId="424" xr:uid="{00000000-0005-0000-0000-0000AB010000}"/>
    <cellStyle name="60% - Accent5 2" xfId="425" xr:uid="{00000000-0005-0000-0000-0000AC010000}"/>
    <cellStyle name="60% - Accent5 2 2" xfId="426" xr:uid="{00000000-0005-0000-0000-0000AD010000}"/>
    <cellStyle name="60% - Accent5 2 3" xfId="427" xr:uid="{00000000-0005-0000-0000-0000AE010000}"/>
    <cellStyle name="60% - Accent5 2_AGL" xfId="428" xr:uid="{00000000-0005-0000-0000-0000AF010000}"/>
    <cellStyle name="60% - Accent5 3" xfId="429" xr:uid="{00000000-0005-0000-0000-0000B0010000}"/>
    <cellStyle name="60% - Accent5 4" xfId="430" xr:uid="{00000000-0005-0000-0000-0000B1010000}"/>
    <cellStyle name="60% - Accent6 2" xfId="431" xr:uid="{00000000-0005-0000-0000-0000B2010000}"/>
    <cellStyle name="60% - Accent6 2 2" xfId="432" xr:uid="{00000000-0005-0000-0000-0000B3010000}"/>
    <cellStyle name="60% - Accent6 2 3" xfId="433" xr:uid="{00000000-0005-0000-0000-0000B4010000}"/>
    <cellStyle name="60% - Accent6 2_AGL" xfId="434" xr:uid="{00000000-0005-0000-0000-0000B5010000}"/>
    <cellStyle name="60% - Accent6 3" xfId="435" xr:uid="{00000000-0005-0000-0000-0000B6010000}"/>
    <cellStyle name="60% - Accent6 4" xfId="436" xr:uid="{00000000-0005-0000-0000-0000B7010000}"/>
    <cellStyle name="Accent1 2" xfId="437" xr:uid="{00000000-0005-0000-0000-0000B8010000}"/>
    <cellStyle name="Accent1 2 2" xfId="438" xr:uid="{00000000-0005-0000-0000-0000B9010000}"/>
    <cellStyle name="Accent1 2 3" xfId="439" xr:uid="{00000000-0005-0000-0000-0000BA010000}"/>
    <cellStyle name="Accent1 2 4" xfId="4437" xr:uid="{00000000-0005-0000-0000-000058110000}"/>
    <cellStyle name="Accent1 2_AGL" xfId="440" xr:uid="{00000000-0005-0000-0000-0000BB010000}"/>
    <cellStyle name="Accent1 3" xfId="441" xr:uid="{00000000-0005-0000-0000-0000BC010000}"/>
    <cellStyle name="Accent1 4" xfId="442" xr:uid="{00000000-0005-0000-0000-0000BD010000}"/>
    <cellStyle name="Accent2 2" xfId="443" xr:uid="{00000000-0005-0000-0000-0000BE010000}"/>
    <cellStyle name="Accent2 2 2" xfId="444" xr:uid="{00000000-0005-0000-0000-0000BF010000}"/>
    <cellStyle name="Accent2 2 3" xfId="445" xr:uid="{00000000-0005-0000-0000-0000C0010000}"/>
    <cellStyle name="Accent2 2_AGL" xfId="446" xr:uid="{00000000-0005-0000-0000-0000C1010000}"/>
    <cellStyle name="Accent2 3" xfId="447" xr:uid="{00000000-0005-0000-0000-0000C2010000}"/>
    <cellStyle name="Accent2 4" xfId="448" xr:uid="{00000000-0005-0000-0000-0000C3010000}"/>
    <cellStyle name="Accent3 2" xfId="449" xr:uid="{00000000-0005-0000-0000-0000C4010000}"/>
    <cellStyle name="Accent3 2 2" xfId="450" xr:uid="{00000000-0005-0000-0000-0000C5010000}"/>
    <cellStyle name="Accent3 2 3" xfId="451" xr:uid="{00000000-0005-0000-0000-0000C6010000}"/>
    <cellStyle name="Accent3 2_AGL" xfId="452" xr:uid="{00000000-0005-0000-0000-0000C7010000}"/>
    <cellStyle name="Accent3 3" xfId="453" xr:uid="{00000000-0005-0000-0000-0000C8010000}"/>
    <cellStyle name="Accent3 4" xfId="454" xr:uid="{00000000-0005-0000-0000-0000C9010000}"/>
    <cellStyle name="Accent4 2" xfId="455" xr:uid="{00000000-0005-0000-0000-0000CA010000}"/>
    <cellStyle name="Accent4 2 2" xfId="456" xr:uid="{00000000-0005-0000-0000-0000CB010000}"/>
    <cellStyle name="Accent4 2 3" xfId="457" xr:uid="{00000000-0005-0000-0000-0000CC010000}"/>
    <cellStyle name="Accent4 2_AGL" xfId="458" xr:uid="{00000000-0005-0000-0000-0000CD010000}"/>
    <cellStyle name="Accent4 3" xfId="459" xr:uid="{00000000-0005-0000-0000-0000CE010000}"/>
    <cellStyle name="Accent4 3 2" xfId="460" xr:uid="{00000000-0005-0000-0000-0000CF010000}"/>
    <cellStyle name="Accent4 3 3" xfId="461" xr:uid="{00000000-0005-0000-0000-0000D0010000}"/>
    <cellStyle name="Accent4 3_AGL" xfId="462" xr:uid="{00000000-0005-0000-0000-0000D1010000}"/>
    <cellStyle name="Accent4 4" xfId="463" xr:uid="{00000000-0005-0000-0000-0000D2010000}"/>
    <cellStyle name="Accent4 5" xfId="464" xr:uid="{00000000-0005-0000-0000-0000D3010000}"/>
    <cellStyle name="Accent5 2" xfId="465" xr:uid="{00000000-0005-0000-0000-0000D4010000}"/>
    <cellStyle name="Accent5 2 2" xfId="466" xr:uid="{00000000-0005-0000-0000-0000D5010000}"/>
    <cellStyle name="Accent5 2 3" xfId="467" xr:uid="{00000000-0005-0000-0000-0000D6010000}"/>
    <cellStyle name="Accent5 2_AGL" xfId="468" xr:uid="{00000000-0005-0000-0000-0000D7010000}"/>
    <cellStyle name="Accent5 3" xfId="469" xr:uid="{00000000-0005-0000-0000-0000D8010000}"/>
    <cellStyle name="Accent5 4" xfId="470" xr:uid="{00000000-0005-0000-0000-0000D9010000}"/>
    <cellStyle name="Accent6" xfId="4423" builtinId="49"/>
    <cellStyle name="Accent6 2" xfId="471" xr:uid="{00000000-0005-0000-0000-0000DA010000}"/>
    <cellStyle name="Accent6 2 2" xfId="472" xr:uid="{00000000-0005-0000-0000-0000DB010000}"/>
    <cellStyle name="Accent6 2 3" xfId="473" xr:uid="{00000000-0005-0000-0000-0000DC010000}"/>
    <cellStyle name="Accent6 2_AGL" xfId="474" xr:uid="{00000000-0005-0000-0000-0000DD010000}"/>
    <cellStyle name="Accent6 3" xfId="475" xr:uid="{00000000-0005-0000-0000-0000DE010000}"/>
    <cellStyle name="Accent6 3 2" xfId="476" xr:uid="{00000000-0005-0000-0000-0000DF010000}"/>
    <cellStyle name="Accent6 3 3" xfId="477" xr:uid="{00000000-0005-0000-0000-0000E0010000}"/>
    <cellStyle name="Accent6 3_AGL" xfId="478" xr:uid="{00000000-0005-0000-0000-0000E1010000}"/>
    <cellStyle name="Accent6 4" xfId="479" xr:uid="{00000000-0005-0000-0000-0000E2010000}"/>
    <cellStyle name="Accent6 5" xfId="480" xr:uid="{00000000-0005-0000-0000-0000E3010000}"/>
    <cellStyle name="Advanced user input" xfId="481" xr:uid="{00000000-0005-0000-0000-0000E4010000}"/>
    <cellStyle name="Advanced user input 2" xfId="482" xr:uid="{00000000-0005-0000-0000-0000E5010000}"/>
    <cellStyle name="Advanced user input 2 2" xfId="483" xr:uid="{00000000-0005-0000-0000-0000E6010000}"/>
    <cellStyle name="Advanced user input 2 2 2" xfId="4412" xr:uid="{00000000-0005-0000-0000-00003F110000}"/>
    <cellStyle name="Advanced user input 2 2 3" xfId="3948" xr:uid="{00000000-0005-0000-0000-00006F0F0000}"/>
    <cellStyle name="Advanced user input 2 3" xfId="4413" xr:uid="{00000000-0005-0000-0000-000040110000}"/>
    <cellStyle name="Advanced user input 2 4" xfId="3947" xr:uid="{00000000-0005-0000-0000-00006E0F0000}"/>
    <cellStyle name="Advanced user input 2_Sheet10" xfId="484" xr:uid="{00000000-0005-0000-0000-0000E7010000}"/>
    <cellStyle name="Advanced user input 3" xfId="485" xr:uid="{00000000-0005-0000-0000-0000E8010000}"/>
    <cellStyle name="Advanced user input 3 2" xfId="4411" xr:uid="{00000000-0005-0000-0000-00003E110000}"/>
    <cellStyle name="Advanced user input 3 3" xfId="3949" xr:uid="{00000000-0005-0000-0000-0000700F0000}"/>
    <cellStyle name="Advanced user input 4" xfId="4551" xr:uid="{00000000-0005-0000-0000-0000CA110000}"/>
    <cellStyle name="Advanced user input_AGL" xfId="486" xr:uid="{00000000-0005-0000-0000-0000E9010000}"/>
    <cellStyle name="AggblueCels_1x" xfId="4" xr:uid="{00000000-0005-0000-0000-000007000000}"/>
    <cellStyle name="Another spreadsheet" xfId="4425" xr:uid="{00000000-0005-0000-0000-00004C110000}"/>
    <cellStyle name="Bad" xfId="5" builtinId="27"/>
    <cellStyle name="Bad 2" xfId="6" xr:uid="{00000000-0005-0000-0000-000009000000}"/>
    <cellStyle name="Bad 2 10" xfId="487" xr:uid="{00000000-0005-0000-0000-0000EA010000}"/>
    <cellStyle name="Bad 2 11" xfId="4520" xr:uid="{00000000-0005-0000-0000-0000AB110000}"/>
    <cellStyle name="Bad 2 2" xfId="488" xr:uid="{00000000-0005-0000-0000-0000EB010000}"/>
    <cellStyle name="Bad 2 2 2" xfId="489" xr:uid="{00000000-0005-0000-0000-0000EC010000}"/>
    <cellStyle name="Bad 2 2 3" xfId="490" xr:uid="{00000000-0005-0000-0000-0000ED010000}"/>
    <cellStyle name="Bad 2 2_AGL" xfId="491" xr:uid="{00000000-0005-0000-0000-0000EE010000}"/>
    <cellStyle name="Bad 2 3" xfId="492" xr:uid="{00000000-0005-0000-0000-0000EF010000}"/>
    <cellStyle name="Bad 2 4" xfId="493" xr:uid="{00000000-0005-0000-0000-0000F0010000}"/>
    <cellStyle name="Bad 2 5" xfId="494" xr:uid="{00000000-0005-0000-0000-0000F1010000}"/>
    <cellStyle name="Bad 2 6" xfId="495" xr:uid="{00000000-0005-0000-0000-0000F2010000}"/>
    <cellStyle name="Bad 2 7" xfId="496" xr:uid="{00000000-0005-0000-0000-0000F3010000}"/>
    <cellStyle name="Bad 2 8" xfId="497" xr:uid="{00000000-0005-0000-0000-0000F4010000}"/>
    <cellStyle name="Bad 2 9" xfId="498" xr:uid="{00000000-0005-0000-0000-0000F5010000}"/>
    <cellStyle name="Bad 2_AGL" xfId="499" xr:uid="{00000000-0005-0000-0000-0000F6010000}"/>
    <cellStyle name="Bad 3" xfId="500" xr:uid="{00000000-0005-0000-0000-0000F7010000}"/>
    <cellStyle name="Bad 3 2" xfId="501" xr:uid="{00000000-0005-0000-0000-0000F8010000}"/>
    <cellStyle name="Bad 3 2 2" xfId="502" xr:uid="{00000000-0005-0000-0000-0000F9010000}"/>
    <cellStyle name="Bad 3 2 3" xfId="503" xr:uid="{00000000-0005-0000-0000-0000FA010000}"/>
    <cellStyle name="Bad 3 2_AGL" xfId="504" xr:uid="{00000000-0005-0000-0000-0000FB010000}"/>
    <cellStyle name="Bad 3 3" xfId="505" xr:uid="{00000000-0005-0000-0000-0000FC010000}"/>
    <cellStyle name="Bad 3 4" xfId="506" xr:uid="{00000000-0005-0000-0000-0000FD010000}"/>
    <cellStyle name="Bad 3_AGL" xfId="507" xr:uid="{00000000-0005-0000-0000-0000FE010000}"/>
    <cellStyle name="Bad 4" xfId="508" xr:uid="{00000000-0005-0000-0000-0000FF010000}"/>
    <cellStyle name="Bad 4 2" xfId="509" xr:uid="{00000000-0005-0000-0000-000000020000}"/>
    <cellStyle name="Bad 4 3" xfId="510" xr:uid="{00000000-0005-0000-0000-000001020000}"/>
    <cellStyle name="Bad 4_AGL" xfId="511" xr:uid="{00000000-0005-0000-0000-000002020000}"/>
    <cellStyle name="Bad 5" xfId="512" xr:uid="{00000000-0005-0000-0000-000003020000}"/>
    <cellStyle name="Bad 6" xfId="513" xr:uid="{00000000-0005-0000-0000-000004020000}"/>
    <cellStyle name="Basic User Data Input" xfId="63" xr:uid="{00000000-0005-0000-0000-000042000000}"/>
    <cellStyle name="Basic User Data Input 2" xfId="514" xr:uid="{00000000-0005-0000-0000-000005020000}"/>
    <cellStyle name="Basic User Data Input 2 2" xfId="515" xr:uid="{00000000-0005-0000-0000-000006020000}"/>
    <cellStyle name="Basic User Data Input 2 2 2" xfId="4409" xr:uid="{00000000-0005-0000-0000-00003C110000}"/>
    <cellStyle name="Basic User Data Input 2 2 3" xfId="3951" xr:uid="{00000000-0005-0000-0000-0000720F0000}"/>
    <cellStyle name="Basic User Data Input 2 3" xfId="4410" xr:uid="{00000000-0005-0000-0000-00003D110000}"/>
    <cellStyle name="Basic User Data Input 2 4" xfId="3950" xr:uid="{00000000-0005-0000-0000-0000710F0000}"/>
    <cellStyle name="Basic User Data Input 2_Sheet10" xfId="516" xr:uid="{00000000-0005-0000-0000-000007020000}"/>
    <cellStyle name="Basic User Data Input 3" xfId="517" xr:uid="{00000000-0005-0000-0000-000008020000}"/>
    <cellStyle name="Basic User Data Input 3 2" xfId="4408" xr:uid="{00000000-0005-0000-0000-00003B110000}"/>
    <cellStyle name="Basic User Data Input 3 3" xfId="3952" xr:uid="{00000000-0005-0000-0000-0000730F0000}"/>
    <cellStyle name="Basic User Data Input 4" xfId="4552" xr:uid="{00000000-0005-0000-0000-0000CB110000}"/>
    <cellStyle name="Basic User Data Input_AGL" xfId="518" xr:uid="{00000000-0005-0000-0000-000009020000}"/>
    <cellStyle name="Basic User Selection" xfId="519" xr:uid="{00000000-0005-0000-0000-00000A020000}"/>
    <cellStyle name="Basic User Selection 2" xfId="520" xr:uid="{00000000-0005-0000-0000-00000B020000}"/>
    <cellStyle name="Basic User Selection 2 2" xfId="521" xr:uid="{00000000-0005-0000-0000-00000C020000}"/>
    <cellStyle name="Basic User Selection 2 2 2" xfId="4406" xr:uid="{00000000-0005-0000-0000-000039110000}"/>
    <cellStyle name="Basic User Selection 2 2 3" xfId="3954" xr:uid="{00000000-0005-0000-0000-0000750F0000}"/>
    <cellStyle name="Basic User Selection 2 3" xfId="4407" xr:uid="{00000000-0005-0000-0000-00003A110000}"/>
    <cellStyle name="Basic User Selection 2 4" xfId="3953" xr:uid="{00000000-0005-0000-0000-0000740F0000}"/>
    <cellStyle name="Basic User Selection 2_Sheet10" xfId="522" xr:uid="{00000000-0005-0000-0000-00000D020000}"/>
    <cellStyle name="Basic User Selection 3" xfId="523" xr:uid="{00000000-0005-0000-0000-00000E020000}"/>
    <cellStyle name="Basic User Selection 3 2" xfId="4405" xr:uid="{00000000-0005-0000-0000-000038110000}"/>
    <cellStyle name="Basic User Selection 3 3" xfId="3955" xr:uid="{00000000-0005-0000-0000-0000760F0000}"/>
    <cellStyle name="Basic User Selection 4" xfId="4553" xr:uid="{00000000-0005-0000-0000-0000CC110000}"/>
    <cellStyle name="Basic User Selection_AGL" xfId="524" xr:uid="{00000000-0005-0000-0000-00000F020000}"/>
    <cellStyle name="Calc" xfId="7" xr:uid="{00000000-0005-0000-0000-00000A000000}"/>
    <cellStyle name="Calc 2" xfId="525" xr:uid="{00000000-0005-0000-0000-000010020000}"/>
    <cellStyle name="Calc 2 2" xfId="526" xr:uid="{00000000-0005-0000-0000-000011020000}"/>
    <cellStyle name="Calc 2 2 2" xfId="527" xr:uid="{00000000-0005-0000-0000-000012020000}"/>
    <cellStyle name="Calc 2 2 3" xfId="528" xr:uid="{00000000-0005-0000-0000-000013020000}"/>
    <cellStyle name="Calc 2 2_AGL" xfId="529" xr:uid="{00000000-0005-0000-0000-000014020000}"/>
    <cellStyle name="Calc 2 3" xfId="530" xr:uid="{00000000-0005-0000-0000-000015020000}"/>
    <cellStyle name="Calc 2 4" xfId="531" xr:uid="{00000000-0005-0000-0000-000016020000}"/>
    <cellStyle name="Calc 2_AGL" xfId="532" xr:uid="{00000000-0005-0000-0000-000017020000}"/>
    <cellStyle name="Calc 3" xfId="533" xr:uid="{00000000-0005-0000-0000-000018020000}"/>
    <cellStyle name="Calc 4" xfId="534" xr:uid="{00000000-0005-0000-0000-000019020000}"/>
    <cellStyle name="Calc_AGL" xfId="535" xr:uid="{00000000-0005-0000-0000-00001A020000}"/>
    <cellStyle name="Calculation" xfId="8" builtinId="22"/>
    <cellStyle name="Calculation 2" xfId="536" xr:uid="{00000000-0005-0000-0000-00001B020000}"/>
    <cellStyle name="Calculation 2 2" xfId="537" xr:uid="{00000000-0005-0000-0000-00001C020000}"/>
    <cellStyle name="Calculation 2 2 2" xfId="538" xr:uid="{00000000-0005-0000-0000-00001D020000}"/>
    <cellStyle name="Calculation 2 2 2 2" xfId="4403" xr:uid="{00000000-0005-0000-0000-000036110000}"/>
    <cellStyle name="Calculation 2 2 2 3" xfId="3957" xr:uid="{00000000-0005-0000-0000-0000780F0000}"/>
    <cellStyle name="Calculation 2 2 3" xfId="4404" xr:uid="{00000000-0005-0000-0000-000037110000}"/>
    <cellStyle name="Calculation 2 2 4" xfId="3956" xr:uid="{00000000-0005-0000-0000-0000770F0000}"/>
    <cellStyle name="Calculation 2 2_Sheet10" xfId="539" xr:uid="{00000000-0005-0000-0000-00001E020000}"/>
    <cellStyle name="Calculation 2 3" xfId="540" xr:uid="{00000000-0005-0000-0000-00001F020000}"/>
    <cellStyle name="Calculation 2 3 2" xfId="4402" xr:uid="{00000000-0005-0000-0000-000035110000}"/>
    <cellStyle name="Calculation 2 3 3" xfId="3958" xr:uid="{00000000-0005-0000-0000-0000790F0000}"/>
    <cellStyle name="Calculation 2 4" xfId="4475" xr:uid="{00000000-0005-0000-0000-00007E110000}"/>
    <cellStyle name="Calculation 2 5" xfId="4521" xr:uid="{00000000-0005-0000-0000-0000AC110000}"/>
    <cellStyle name="Calculation 2_AGL" xfId="541" xr:uid="{00000000-0005-0000-0000-000020020000}"/>
    <cellStyle name="Calculation 3" xfId="542" xr:uid="{00000000-0005-0000-0000-000021020000}"/>
    <cellStyle name="Calculation 3 2" xfId="543" xr:uid="{00000000-0005-0000-0000-000022020000}"/>
    <cellStyle name="Calculation 3 2 2" xfId="544" xr:uid="{00000000-0005-0000-0000-000023020000}"/>
    <cellStyle name="Calculation 3 2 2 2" xfId="4400" xr:uid="{00000000-0005-0000-0000-000033110000}"/>
    <cellStyle name="Calculation 3 2 2 3" xfId="3960" xr:uid="{00000000-0005-0000-0000-00007B0F0000}"/>
    <cellStyle name="Calculation 3 2 3" xfId="4401" xr:uid="{00000000-0005-0000-0000-000034110000}"/>
    <cellStyle name="Calculation 3 2 4" xfId="3959" xr:uid="{00000000-0005-0000-0000-00007A0F0000}"/>
    <cellStyle name="Calculation 3 2_Sheet10" xfId="545" xr:uid="{00000000-0005-0000-0000-000024020000}"/>
    <cellStyle name="Calculation 3 3" xfId="546" xr:uid="{00000000-0005-0000-0000-000025020000}"/>
    <cellStyle name="Calculation 3 3 2" xfId="4399" xr:uid="{00000000-0005-0000-0000-000032110000}"/>
    <cellStyle name="Calculation 3 3 3" xfId="3961" xr:uid="{00000000-0005-0000-0000-00007C0F0000}"/>
    <cellStyle name="Calculation 3_AGL" xfId="547" xr:uid="{00000000-0005-0000-0000-000026020000}"/>
    <cellStyle name="Calculation 4" xfId="548" xr:uid="{00000000-0005-0000-0000-000027020000}"/>
    <cellStyle name="Calculation 4 2" xfId="549" xr:uid="{00000000-0005-0000-0000-000028020000}"/>
    <cellStyle name="Calculation 4 2 2" xfId="550" xr:uid="{00000000-0005-0000-0000-000029020000}"/>
    <cellStyle name="Calculation 4 2 2 2" xfId="4397" xr:uid="{00000000-0005-0000-0000-000030110000}"/>
    <cellStyle name="Calculation 4 2 2 3" xfId="3963" xr:uid="{00000000-0005-0000-0000-00007E0F0000}"/>
    <cellStyle name="Calculation 4 2 3" xfId="4398" xr:uid="{00000000-0005-0000-0000-000031110000}"/>
    <cellStyle name="Calculation 4 2 4" xfId="3962" xr:uid="{00000000-0005-0000-0000-00007D0F0000}"/>
    <cellStyle name="Calculation 4 2_Sheet10" xfId="551" xr:uid="{00000000-0005-0000-0000-00002A020000}"/>
    <cellStyle name="Calculation 4 3" xfId="552" xr:uid="{00000000-0005-0000-0000-00002B020000}"/>
    <cellStyle name="Calculation 4 3 2" xfId="4396" xr:uid="{00000000-0005-0000-0000-00002F110000}"/>
    <cellStyle name="Calculation 4 3 3" xfId="3964" xr:uid="{00000000-0005-0000-0000-00007F0F0000}"/>
    <cellStyle name="Calculation 4_AGL" xfId="553" xr:uid="{00000000-0005-0000-0000-00002C020000}"/>
    <cellStyle name="Calculation 5" xfId="554" xr:uid="{00000000-0005-0000-0000-00002D020000}"/>
    <cellStyle name="Calculation 5 2" xfId="555" xr:uid="{00000000-0005-0000-0000-00002E020000}"/>
    <cellStyle name="Calculation 5 2 2" xfId="4394" xr:uid="{00000000-0005-0000-0000-00002D110000}"/>
    <cellStyle name="Calculation 5 2 3" xfId="3966" xr:uid="{00000000-0005-0000-0000-0000810F0000}"/>
    <cellStyle name="Calculation 5 3" xfId="4395" xr:uid="{00000000-0005-0000-0000-00002E110000}"/>
    <cellStyle name="Calculation 5 4" xfId="3965" xr:uid="{00000000-0005-0000-0000-0000800F0000}"/>
    <cellStyle name="Calculation 5_Sheet10" xfId="556" xr:uid="{00000000-0005-0000-0000-00002F020000}"/>
    <cellStyle name="Calculation 6" xfId="557" xr:uid="{00000000-0005-0000-0000-000030020000}"/>
    <cellStyle name="Calculation 6 2" xfId="4393" xr:uid="{00000000-0005-0000-0000-00002C110000}"/>
    <cellStyle name="Calculation 6 3" xfId="3967" xr:uid="{00000000-0005-0000-0000-0000820F0000}"/>
    <cellStyle name="Check Cell 2" xfId="558" xr:uid="{00000000-0005-0000-0000-000031020000}"/>
    <cellStyle name="Check Cell 2 2" xfId="559" xr:uid="{00000000-0005-0000-0000-000032020000}"/>
    <cellStyle name="Check Cell 2 3" xfId="560" xr:uid="{00000000-0005-0000-0000-000033020000}"/>
    <cellStyle name="Check Cell 2 4" xfId="4435" xr:uid="{00000000-0005-0000-0000-000056110000}"/>
    <cellStyle name="Check Cell 2_AGL" xfId="561" xr:uid="{00000000-0005-0000-0000-000034020000}"/>
    <cellStyle name="Check Cell 3" xfId="562" xr:uid="{00000000-0005-0000-0000-000035020000}"/>
    <cellStyle name="Check Cell 4" xfId="563" xr:uid="{00000000-0005-0000-0000-000036020000}"/>
    <cellStyle name="Comma" xfId="2" builtinId="3"/>
    <cellStyle name="Comma  - Style1" xfId="564" xr:uid="{00000000-0005-0000-0000-000037020000}"/>
    <cellStyle name="Comma  - Style1 2" xfId="4522" xr:uid="{00000000-0005-0000-0000-0000AD110000}"/>
    <cellStyle name="Comma  - Style2" xfId="565" xr:uid="{00000000-0005-0000-0000-000038020000}"/>
    <cellStyle name="Comma  - Style2 2" xfId="4523" xr:uid="{00000000-0005-0000-0000-0000AE110000}"/>
    <cellStyle name="Comma  - Style3" xfId="566" xr:uid="{00000000-0005-0000-0000-000039020000}"/>
    <cellStyle name="Comma  - Style3 2" xfId="4524" xr:uid="{00000000-0005-0000-0000-0000AF110000}"/>
    <cellStyle name="Comma  - Style4" xfId="567" xr:uid="{00000000-0005-0000-0000-00003A020000}"/>
    <cellStyle name="Comma  - Style4 2" xfId="4525" xr:uid="{00000000-0005-0000-0000-0000B0110000}"/>
    <cellStyle name="Comma  - Style5" xfId="568" xr:uid="{00000000-0005-0000-0000-00003B020000}"/>
    <cellStyle name="Comma  - Style5 2" xfId="4526" xr:uid="{00000000-0005-0000-0000-0000B1110000}"/>
    <cellStyle name="Comma  - Style6" xfId="569" xr:uid="{00000000-0005-0000-0000-00003C020000}"/>
    <cellStyle name="Comma  - Style6 2" xfId="4527" xr:uid="{00000000-0005-0000-0000-0000B2110000}"/>
    <cellStyle name="Comma  - Style7" xfId="570" xr:uid="{00000000-0005-0000-0000-00003D020000}"/>
    <cellStyle name="Comma  - Style7 2" xfId="4528" xr:uid="{00000000-0005-0000-0000-0000B3110000}"/>
    <cellStyle name="Comma  - Style8" xfId="571" xr:uid="{00000000-0005-0000-0000-00003E020000}"/>
    <cellStyle name="Comma  - Style8 2" xfId="4529" xr:uid="{00000000-0005-0000-0000-0000B4110000}"/>
    <cellStyle name="Comma [0] 2" xfId="572" xr:uid="{00000000-0005-0000-0000-00003F020000}"/>
    <cellStyle name="Comma [0] 2 2" xfId="573" xr:uid="{00000000-0005-0000-0000-000040020000}"/>
    <cellStyle name="Comma [0] 2 2 2" xfId="3969" xr:uid="{00000000-0005-0000-0000-0000840F0000}"/>
    <cellStyle name="Comma [0] 2 3" xfId="574" xr:uid="{00000000-0005-0000-0000-000041020000}"/>
    <cellStyle name="Comma [0] 2 3 2" xfId="3970" xr:uid="{00000000-0005-0000-0000-0000850F0000}"/>
    <cellStyle name="Comma [0] 2 4" xfId="3968" xr:uid="{00000000-0005-0000-0000-0000830F0000}"/>
    <cellStyle name="Comma 10" xfId="575" xr:uid="{00000000-0005-0000-0000-000042020000}"/>
    <cellStyle name="Comma 10 2" xfId="576" xr:uid="{00000000-0005-0000-0000-000043020000}"/>
    <cellStyle name="Comma 10 2 2" xfId="577" xr:uid="{00000000-0005-0000-0000-000044020000}"/>
    <cellStyle name="Comma 10 2 2 2" xfId="578" xr:uid="{00000000-0005-0000-0000-000045020000}"/>
    <cellStyle name="Comma 10 2 2 2 2" xfId="3973" xr:uid="{00000000-0005-0000-0000-0000880F0000}"/>
    <cellStyle name="Comma 10 2 2 3" xfId="3972" xr:uid="{00000000-0005-0000-0000-0000870F0000}"/>
    <cellStyle name="Comma 10 2 3" xfId="579" xr:uid="{00000000-0005-0000-0000-000046020000}"/>
    <cellStyle name="Comma 10 2 3 2" xfId="580" xr:uid="{00000000-0005-0000-0000-000047020000}"/>
    <cellStyle name="Comma 10 2 3 2 2" xfId="3975" xr:uid="{00000000-0005-0000-0000-00008A0F0000}"/>
    <cellStyle name="Comma 10 2 3 3" xfId="3974" xr:uid="{00000000-0005-0000-0000-0000890F0000}"/>
    <cellStyle name="Comma 10 2 4" xfId="581" xr:uid="{00000000-0005-0000-0000-000048020000}"/>
    <cellStyle name="Comma 10 2 4 2" xfId="3976" xr:uid="{00000000-0005-0000-0000-00008B0F0000}"/>
    <cellStyle name="Comma 10 2 5" xfId="3971" xr:uid="{00000000-0005-0000-0000-0000860F0000}"/>
    <cellStyle name="Comma 10 3" xfId="582" xr:uid="{00000000-0005-0000-0000-000049020000}"/>
    <cellStyle name="Comma 10 3 2" xfId="583" xr:uid="{00000000-0005-0000-0000-00004A020000}"/>
    <cellStyle name="Comma 10 3 2 2" xfId="584" xr:uid="{00000000-0005-0000-0000-00004B020000}"/>
    <cellStyle name="Comma 10 3 2 2 2" xfId="3979" xr:uid="{00000000-0005-0000-0000-00008E0F0000}"/>
    <cellStyle name="Comma 10 3 2 3" xfId="3978" xr:uid="{00000000-0005-0000-0000-00008D0F0000}"/>
    <cellStyle name="Comma 10 3 3" xfId="585" xr:uid="{00000000-0005-0000-0000-00004C020000}"/>
    <cellStyle name="Comma 10 3 3 2" xfId="586" xr:uid="{00000000-0005-0000-0000-00004D020000}"/>
    <cellStyle name="Comma 10 3 3 2 2" xfId="3981" xr:uid="{00000000-0005-0000-0000-0000900F0000}"/>
    <cellStyle name="Comma 10 3 3 3" xfId="3980" xr:uid="{00000000-0005-0000-0000-00008F0F0000}"/>
    <cellStyle name="Comma 10 3 4" xfId="587" xr:uid="{00000000-0005-0000-0000-00004E020000}"/>
    <cellStyle name="Comma 10 3 4 2" xfId="3982" xr:uid="{00000000-0005-0000-0000-0000910F0000}"/>
    <cellStyle name="Comma 10 3 5" xfId="3977" xr:uid="{00000000-0005-0000-0000-00008C0F0000}"/>
    <cellStyle name="Comma 10 4" xfId="588" xr:uid="{00000000-0005-0000-0000-00004F020000}"/>
    <cellStyle name="Comma 10 4 2" xfId="589" xr:uid="{00000000-0005-0000-0000-000050020000}"/>
    <cellStyle name="Comma 10 4 2 2" xfId="590" xr:uid="{00000000-0005-0000-0000-000051020000}"/>
    <cellStyle name="Comma 10 4 2 2 2" xfId="3985" xr:uid="{00000000-0005-0000-0000-0000940F0000}"/>
    <cellStyle name="Comma 10 4 2 3" xfId="3984" xr:uid="{00000000-0005-0000-0000-0000930F0000}"/>
    <cellStyle name="Comma 10 4 3" xfId="591" xr:uid="{00000000-0005-0000-0000-000052020000}"/>
    <cellStyle name="Comma 10 4 3 2" xfId="592" xr:uid="{00000000-0005-0000-0000-000053020000}"/>
    <cellStyle name="Comma 10 4 3 2 2" xfId="3987" xr:uid="{00000000-0005-0000-0000-0000960F0000}"/>
    <cellStyle name="Comma 10 4 3 3" xfId="3986" xr:uid="{00000000-0005-0000-0000-0000950F0000}"/>
    <cellStyle name="Comma 10 4 4" xfId="593" xr:uid="{00000000-0005-0000-0000-000054020000}"/>
    <cellStyle name="Comma 10 4 4 2" xfId="3988" xr:uid="{00000000-0005-0000-0000-0000970F0000}"/>
    <cellStyle name="Comma 10 4 5" xfId="3983" xr:uid="{00000000-0005-0000-0000-0000920F0000}"/>
    <cellStyle name="Comma 10 5" xfId="594" xr:uid="{00000000-0005-0000-0000-000055020000}"/>
    <cellStyle name="Comma 10 5 2" xfId="595" xr:uid="{00000000-0005-0000-0000-000056020000}"/>
    <cellStyle name="Comma 10 5 2 2" xfId="596" xr:uid="{00000000-0005-0000-0000-000057020000}"/>
    <cellStyle name="Comma 10 5 2 2 2" xfId="3991" xr:uid="{00000000-0005-0000-0000-00009A0F0000}"/>
    <cellStyle name="Comma 10 5 2 3" xfId="3990" xr:uid="{00000000-0005-0000-0000-0000990F0000}"/>
    <cellStyle name="Comma 10 5 3" xfId="597" xr:uid="{00000000-0005-0000-0000-000058020000}"/>
    <cellStyle name="Comma 10 5 3 2" xfId="598" xr:uid="{00000000-0005-0000-0000-000059020000}"/>
    <cellStyle name="Comma 10 5 3 2 2" xfId="3993" xr:uid="{00000000-0005-0000-0000-00009C0F0000}"/>
    <cellStyle name="Comma 10 5 3 3" xfId="3992" xr:uid="{00000000-0005-0000-0000-00009B0F0000}"/>
    <cellStyle name="Comma 10 5 4" xfId="599" xr:uid="{00000000-0005-0000-0000-00005A020000}"/>
    <cellStyle name="Comma 10 5 4 2" xfId="3994" xr:uid="{00000000-0005-0000-0000-00009D0F0000}"/>
    <cellStyle name="Comma 10 5 5" xfId="3989" xr:uid="{00000000-0005-0000-0000-0000980F0000}"/>
    <cellStyle name="Comma 10 6" xfId="600" xr:uid="{00000000-0005-0000-0000-00005B020000}"/>
    <cellStyle name="Comma 10 7" xfId="601" xr:uid="{00000000-0005-0000-0000-00005C020000}"/>
    <cellStyle name="Comma 11" xfId="602" xr:uid="{00000000-0005-0000-0000-00005D020000}"/>
    <cellStyle name="Comma 11 2" xfId="603" xr:uid="{00000000-0005-0000-0000-00005E020000}"/>
    <cellStyle name="Comma 11 2 2" xfId="604" xr:uid="{00000000-0005-0000-0000-00005F020000}"/>
    <cellStyle name="Comma 11 2 2 2" xfId="605" xr:uid="{00000000-0005-0000-0000-000060020000}"/>
    <cellStyle name="Comma 11 2 2 2 2" xfId="3997" xr:uid="{00000000-0005-0000-0000-0000A00F0000}"/>
    <cellStyle name="Comma 11 2 2 3" xfId="3996" xr:uid="{00000000-0005-0000-0000-00009F0F0000}"/>
    <cellStyle name="Comma 11 2 3" xfId="606" xr:uid="{00000000-0005-0000-0000-000061020000}"/>
    <cellStyle name="Comma 11 2 3 2" xfId="607" xr:uid="{00000000-0005-0000-0000-000062020000}"/>
    <cellStyle name="Comma 11 2 3 2 2" xfId="3999" xr:uid="{00000000-0005-0000-0000-0000A20F0000}"/>
    <cellStyle name="Comma 11 2 3 3" xfId="3998" xr:uid="{00000000-0005-0000-0000-0000A10F0000}"/>
    <cellStyle name="Comma 11 2 4" xfId="608" xr:uid="{00000000-0005-0000-0000-000063020000}"/>
    <cellStyle name="Comma 11 2 4 2" xfId="4000" xr:uid="{00000000-0005-0000-0000-0000A30F0000}"/>
    <cellStyle name="Comma 11 2 5" xfId="3995" xr:uid="{00000000-0005-0000-0000-00009E0F0000}"/>
    <cellStyle name="Comma 11 3" xfId="609" xr:uid="{00000000-0005-0000-0000-000064020000}"/>
    <cellStyle name="Comma 11 3 2" xfId="610" xr:uid="{00000000-0005-0000-0000-000065020000}"/>
    <cellStyle name="Comma 11 3 2 2" xfId="611" xr:uid="{00000000-0005-0000-0000-000066020000}"/>
    <cellStyle name="Comma 11 3 2 2 2" xfId="4003" xr:uid="{00000000-0005-0000-0000-0000A60F0000}"/>
    <cellStyle name="Comma 11 3 2 3" xfId="4002" xr:uid="{00000000-0005-0000-0000-0000A50F0000}"/>
    <cellStyle name="Comma 11 3 3" xfId="612" xr:uid="{00000000-0005-0000-0000-000067020000}"/>
    <cellStyle name="Comma 11 3 3 2" xfId="613" xr:uid="{00000000-0005-0000-0000-000068020000}"/>
    <cellStyle name="Comma 11 3 3 2 2" xfId="4005" xr:uid="{00000000-0005-0000-0000-0000A80F0000}"/>
    <cellStyle name="Comma 11 3 3 3" xfId="4004" xr:uid="{00000000-0005-0000-0000-0000A70F0000}"/>
    <cellStyle name="Comma 11 3 4" xfId="614" xr:uid="{00000000-0005-0000-0000-000069020000}"/>
    <cellStyle name="Comma 11 3 4 2" xfId="4006" xr:uid="{00000000-0005-0000-0000-0000A90F0000}"/>
    <cellStyle name="Comma 11 3 5" xfId="4001" xr:uid="{00000000-0005-0000-0000-0000A40F0000}"/>
    <cellStyle name="Comma 11 4" xfId="615" xr:uid="{00000000-0005-0000-0000-00006A020000}"/>
    <cellStyle name="Comma 11 4 2" xfId="616" xr:uid="{00000000-0005-0000-0000-00006B020000}"/>
    <cellStyle name="Comma 11 4 2 2" xfId="617" xr:uid="{00000000-0005-0000-0000-00006C020000}"/>
    <cellStyle name="Comma 11 4 2 2 2" xfId="4009" xr:uid="{00000000-0005-0000-0000-0000AC0F0000}"/>
    <cellStyle name="Comma 11 4 2 3" xfId="4008" xr:uid="{00000000-0005-0000-0000-0000AB0F0000}"/>
    <cellStyle name="Comma 11 4 3" xfId="618" xr:uid="{00000000-0005-0000-0000-00006D020000}"/>
    <cellStyle name="Comma 11 4 3 2" xfId="619" xr:uid="{00000000-0005-0000-0000-00006E020000}"/>
    <cellStyle name="Comma 11 4 3 2 2" xfId="4011" xr:uid="{00000000-0005-0000-0000-0000AE0F0000}"/>
    <cellStyle name="Comma 11 4 3 3" xfId="4010" xr:uid="{00000000-0005-0000-0000-0000AD0F0000}"/>
    <cellStyle name="Comma 11 4 4" xfId="620" xr:uid="{00000000-0005-0000-0000-00006F020000}"/>
    <cellStyle name="Comma 11 4 4 2" xfId="4012" xr:uid="{00000000-0005-0000-0000-0000AF0F0000}"/>
    <cellStyle name="Comma 11 4 5" xfId="4007" xr:uid="{00000000-0005-0000-0000-0000AA0F0000}"/>
    <cellStyle name="Comma 11 5" xfId="621" xr:uid="{00000000-0005-0000-0000-000070020000}"/>
    <cellStyle name="Comma 11 5 2" xfId="622" xr:uid="{00000000-0005-0000-0000-000071020000}"/>
    <cellStyle name="Comma 11 5 2 2" xfId="623" xr:uid="{00000000-0005-0000-0000-000072020000}"/>
    <cellStyle name="Comma 11 5 2 2 2" xfId="4015" xr:uid="{00000000-0005-0000-0000-0000B20F0000}"/>
    <cellStyle name="Comma 11 5 2 3" xfId="4014" xr:uid="{00000000-0005-0000-0000-0000B10F0000}"/>
    <cellStyle name="Comma 11 5 3" xfId="624" xr:uid="{00000000-0005-0000-0000-000073020000}"/>
    <cellStyle name="Comma 11 5 3 2" xfId="625" xr:uid="{00000000-0005-0000-0000-000074020000}"/>
    <cellStyle name="Comma 11 5 3 2 2" xfId="4017" xr:uid="{00000000-0005-0000-0000-0000B40F0000}"/>
    <cellStyle name="Comma 11 5 3 3" xfId="4016" xr:uid="{00000000-0005-0000-0000-0000B30F0000}"/>
    <cellStyle name="Comma 11 5 4" xfId="626" xr:uid="{00000000-0005-0000-0000-000075020000}"/>
    <cellStyle name="Comma 11 5 4 2" xfId="4018" xr:uid="{00000000-0005-0000-0000-0000B50F0000}"/>
    <cellStyle name="Comma 11 5 5" xfId="4013" xr:uid="{00000000-0005-0000-0000-0000B00F0000}"/>
    <cellStyle name="Comma 11 6" xfId="627" xr:uid="{00000000-0005-0000-0000-000076020000}"/>
    <cellStyle name="Comma 11 7" xfId="628" xr:uid="{00000000-0005-0000-0000-000077020000}"/>
    <cellStyle name="Comma 12" xfId="629" xr:uid="{00000000-0005-0000-0000-000078020000}"/>
    <cellStyle name="Comma 12 2" xfId="630" xr:uid="{00000000-0005-0000-0000-000079020000}"/>
    <cellStyle name="Comma 12 2 2" xfId="631" xr:uid="{00000000-0005-0000-0000-00007A020000}"/>
    <cellStyle name="Comma 12 2 2 2" xfId="4021" xr:uid="{00000000-0005-0000-0000-0000B80F0000}"/>
    <cellStyle name="Comma 12 2 3" xfId="4020" xr:uid="{00000000-0005-0000-0000-0000B70F0000}"/>
    <cellStyle name="Comma 12 3" xfId="632" xr:uid="{00000000-0005-0000-0000-00007B020000}"/>
    <cellStyle name="Comma 12 3 2" xfId="633" xr:uid="{00000000-0005-0000-0000-00007C020000}"/>
    <cellStyle name="Comma 12 3 2 2" xfId="4023" xr:uid="{00000000-0005-0000-0000-0000BA0F0000}"/>
    <cellStyle name="Comma 12 3 3" xfId="4022" xr:uid="{00000000-0005-0000-0000-0000B90F0000}"/>
    <cellStyle name="Comma 12 4" xfId="634" xr:uid="{00000000-0005-0000-0000-00007D020000}"/>
    <cellStyle name="Comma 12 4 2" xfId="4024" xr:uid="{00000000-0005-0000-0000-0000BB0F0000}"/>
    <cellStyle name="Comma 12 5" xfId="4019" xr:uid="{00000000-0005-0000-0000-0000B60F0000}"/>
    <cellStyle name="Comma 13" xfId="635" xr:uid="{00000000-0005-0000-0000-00007E020000}"/>
    <cellStyle name="Comma 13 2" xfId="636" xr:uid="{00000000-0005-0000-0000-00007F020000}"/>
    <cellStyle name="Comma 13 2 2" xfId="637" xr:uid="{00000000-0005-0000-0000-000080020000}"/>
    <cellStyle name="Comma 13 2 2 2" xfId="4027" xr:uid="{00000000-0005-0000-0000-0000BE0F0000}"/>
    <cellStyle name="Comma 13 2 3" xfId="4026" xr:uid="{00000000-0005-0000-0000-0000BD0F0000}"/>
    <cellStyle name="Comma 13 3" xfId="638" xr:uid="{00000000-0005-0000-0000-000081020000}"/>
    <cellStyle name="Comma 13 3 2" xfId="639" xr:uid="{00000000-0005-0000-0000-000082020000}"/>
    <cellStyle name="Comma 13 3 2 2" xfId="4029" xr:uid="{00000000-0005-0000-0000-0000C00F0000}"/>
    <cellStyle name="Comma 13 3 3" xfId="4028" xr:uid="{00000000-0005-0000-0000-0000BF0F0000}"/>
    <cellStyle name="Comma 13 4" xfId="640" xr:uid="{00000000-0005-0000-0000-000083020000}"/>
    <cellStyle name="Comma 13 4 2" xfId="4030" xr:uid="{00000000-0005-0000-0000-0000C10F0000}"/>
    <cellStyle name="Comma 13 5" xfId="4025" xr:uid="{00000000-0005-0000-0000-0000BC0F0000}"/>
    <cellStyle name="Comma 14" xfId="641" xr:uid="{00000000-0005-0000-0000-000084020000}"/>
    <cellStyle name="Comma 14 2" xfId="642" xr:uid="{00000000-0005-0000-0000-000085020000}"/>
    <cellStyle name="Comma 14 2 2" xfId="643" xr:uid="{00000000-0005-0000-0000-000086020000}"/>
    <cellStyle name="Comma 14 2 2 2" xfId="4033" xr:uid="{00000000-0005-0000-0000-0000C40F0000}"/>
    <cellStyle name="Comma 14 2 3" xfId="4032" xr:uid="{00000000-0005-0000-0000-0000C30F0000}"/>
    <cellStyle name="Comma 14 3" xfId="644" xr:uid="{00000000-0005-0000-0000-000087020000}"/>
    <cellStyle name="Comma 14 3 2" xfId="645" xr:uid="{00000000-0005-0000-0000-000088020000}"/>
    <cellStyle name="Comma 14 3 2 2" xfId="4035" xr:uid="{00000000-0005-0000-0000-0000C60F0000}"/>
    <cellStyle name="Comma 14 3 3" xfId="4034" xr:uid="{00000000-0005-0000-0000-0000C50F0000}"/>
    <cellStyle name="Comma 14 4" xfId="646" xr:uid="{00000000-0005-0000-0000-000089020000}"/>
    <cellStyle name="Comma 14 4 2" xfId="4036" xr:uid="{00000000-0005-0000-0000-0000C70F0000}"/>
    <cellStyle name="Comma 14 5" xfId="4031" xr:uid="{00000000-0005-0000-0000-0000C20F0000}"/>
    <cellStyle name="Comma 15" xfId="647" xr:uid="{00000000-0005-0000-0000-00008A020000}"/>
    <cellStyle name="Comma 15 2" xfId="648" xr:uid="{00000000-0005-0000-0000-00008B020000}"/>
    <cellStyle name="Comma 15 2 2" xfId="649" xr:uid="{00000000-0005-0000-0000-00008C020000}"/>
    <cellStyle name="Comma 15 2 2 2" xfId="4039" xr:uid="{00000000-0005-0000-0000-0000CA0F0000}"/>
    <cellStyle name="Comma 15 2 3" xfId="4038" xr:uid="{00000000-0005-0000-0000-0000C90F0000}"/>
    <cellStyle name="Comma 15 3" xfId="650" xr:uid="{00000000-0005-0000-0000-00008D020000}"/>
    <cellStyle name="Comma 15 3 2" xfId="651" xr:uid="{00000000-0005-0000-0000-00008E020000}"/>
    <cellStyle name="Comma 15 3 2 2" xfId="4041" xr:uid="{00000000-0005-0000-0000-0000CC0F0000}"/>
    <cellStyle name="Comma 15 3 3" xfId="4040" xr:uid="{00000000-0005-0000-0000-0000CB0F0000}"/>
    <cellStyle name="Comma 15 4" xfId="652" xr:uid="{00000000-0005-0000-0000-00008F020000}"/>
    <cellStyle name="Comma 15 4 2" xfId="4042" xr:uid="{00000000-0005-0000-0000-0000CD0F0000}"/>
    <cellStyle name="Comma 15 5" xfId="4037" xr:uid="{00000000-0005-0000-0000-0000C80F0000}"/>
    <cellStyle name="Comma 16" xfId="653" xr:uid="{00000000-0005-0000-0000-000090020000}"/>
    <cellStyle name="Comma 16 2" xfId="654" xr:uid="{00000000-0005-0000-0000-000091020000}"/>
    <cellStyle name="Comma 16 2 2" xfId="655" xr:uid="{00000000-0005-0000-0000-000092020000}"/>
    <cellStyle name="Comma 16 2 2 2" xfId="4045" xr:uid="{00000000-0005-0000-0000-0000D00F0000}"/>
    <cellStyle name="Comma 16 2 3" xfId="4044" xr:uid="{00000000-0005-0000-0000-0000CF0F0000}"/>
    <cellStyle name="Comma 16 3" xfId="656" xr:uid="{00000000-0005-0000-0000-000093020000}"/>
    <cellStyle name="Comma 16 3 2" xfId="657" xr:uid="{00000000-0005-0000-0000-000094020000}"/>
    <cellStyle name="Comma 16 3 2 2" xfId="4047" xr:uid="{00000000-0005-0000-0000-0000D20F0000}"/>
    <cellStyle name="Comma 16 3 3" xfId="4046" xr:uid="{00000000-0005-0000-0000-0000D10F0000}"/>
    <cellStyle name="Comma 16 4" xfId="658" xr:uid="{00000000-0005-0000-0000-000095020000}"/>
    <cellStyle name="Comma 16 4 2" xfId="4048" xr:uid="{00000000-0005-0000-0000-0000D30F0000}"/>
    <cellStyle name="Comma 16 5" xfId="4043" xr:uid="{00000000-0005-0000-0000-0000CE0F0000}"/>
    <cellStyle name="Comma 17" xfId="659" xr:uid="{00000000-0005-0000-0000-000096020000}"/>
    <cellStyle name="Comma 17 2" xfId="660" xr:uid="{00000000-0005-0000-0000-000097020000}"/>
    <cellStyle name="Comma 17 2 2" xfId="661" xr:uid="{00000000-0005-0000-0000-000098020000}"/>
    <cellStyle name="Comma 17 2 2 2" xfId="4051" xr:uid="{00000000-0005-0000-0000-0000D60F0000}"/>
    <cellStyle name="Comma 17 2 3" xfId="4050" xr:uid="{00000000-0005-0000-0000-0000D50F0000}"/>
    <cellStyle name="Comma 17 3" xfId="662" xr:uid="{00000000-0005-0000-0000-000099020000}"/>
    <cellStyle name="Comma 17 3 2" xfId="663" xr:uid="{00000000-0005-0000-0000-00009A020000}"/>
    <cellStyle name="Comma 17 3 2 2" xfId="4053" xr:uid="{00000000-0005-0000-0000-0000D80F0000}"/>
    <cellStyle name="Comma 17 3 3" xfId="4052" xr:uid="{00000000-0005-0000-0000-0000D70F0000}"/>
    <cellStyle name="Comma 17 4" xfId="664" xr:uid="{00000000-0005-0000-0000-00009B020000}"/>
    <cellStyle name="Comma 17 4 2" xfId="4054" xr:uid="{00000000-0005-0000-0000-0000D90F0000}"/>
    <cellStyle name="Comma 17 5" xfId="4049" xr:uid="{00000000-0005-0000-0000-0000D40F0000}"/>
    <cellStyle name="Comma 18" xfId="665" xr:uid="{00000000-0005-0000-0000-00009C020000}"/>
    <cellStyle name="Comma 18 2" xfId="666" xr:uid="{00000000-0005-0000-0000-00009D020000}"/>
    <cellStyle name="Comma 18 2 2" xfId="667" xr:uid="{00000000-0005-0000-0000-00009E020000}"/>
    <cellStyle name="Comma 18 2 2 2" xfId="4057" xr:uid="{00000000-0005-0000-0000-0000DC0F0000}"/>
    <cellStyle name="Comma 18 2 3" xfId="4056" xr:uid="{00000000-0005-0000-0000-0000DB0F0000}"/>
    <cellStyle name="Comma 18 3" xfId="668" xr:uid="{00000000-0005-0000-0000-00009F020000}"/>
    <cellStyle name="Comma 18 3 2" xfId="669" xr:uid="{00000000-0005-0000-0000-0000A0020000}"/>
    <cellStyle name="Comma 18 3 2 2" xfId="4059" xr:uid="{00000000-0005-0000-0000-0000DE0F0000}"/>
    <cellStyle name="Comma 18 3 3" xfId="4058" xr:uid="{00000000-0005-0000-0000-0000DD0F0000}"/>
    <cellStyle name="Comma 18 4" xfId="670" xr:uid="{00000000-0005-0000-0000-0000A1020000}"/>
    <cellStyle name="Comma 18 4 2" xfId="4060" xr:uid="{00000000-0005-0000-0000-0000DF0F0000}"/>
    <cellStyle name="Comma 18 5" xfId="4055" xr:uid="{00000000-0005-0000-0000-0000DA0F0000}"/>
    <cellStyle name="Comma 19" xfId="671" xr:uid="{00000000-0005-0000-0000-0000A2020000}"/>
    <cellStyle name="Comma 19 2" xfId="672" xr:uid="{00000000-0005-0000-0000-0000A3020000}"/>
    <cellStyle name="Comma 19 2 2" xfId="673" xr:uid="{00000000-0005-0000-0000-0000A4020000}"/>
    <cellStyle name="Comma 19 2 2 2" xfId="4063" xr:uid="{00000000-0005-0000-0000-0000E20F0000}"/>
    <cellStyle name="Comma 19 2 3" xfId="4062" xr:uid="{00000000-0005-0000-0000-0000E10F0000}"/>
    <cellStyle name="Comma 19 3" xfId="674" xr:uid="{00000000-0005-0000-0000-0000A5020000}"/>
    <cellStyle name="Comma 19 3 2" xfId="675" xr:uid="{00000000-0005-0000-0000-0000A6020000}"/>
    <cellStyle name="Comma 19 3 2 2" xfId="4065" xr:uid="{00000000-0005-0000-0000-0000E40F0000}"/>
    <cellStyle name="Comma 19 3 3" xfId="4064" xr:uid="{00000000-0005-0000-0000-0000E30F0000}"/>
    <cellStyle name="Comma 19 4" xfId="676" xr:uid="{00000000-0005-0000-0000-0000A7020000}"/>
    <cellStyle name="Comma 19 4 2" xfId="4066" xr:uid="{00000000-0005-0000-0000-0000E50F0000}"/>
    <cellStyle name="Comma 19 5" xfId="4061" xr:uid="{00000000-0005-0000-0000-0000E00F0000}"/>
    <cellStyle name="Comma 2" xfId="9" xr:uid="{00000000-0005-0000-0000-00000C000000}"/>
    <cellStyle name="Comma 2 10" xfId="4444" xr:uid="{00000000-0005-0000-0000-00005F110000}"/>
    <cellStyle name="Comma 2 2" xfId="10" xr:uid="{00000000-0005-0000-0000-00000D000000}"/>
    <cellStyle name="Comma 2 2 2" xfId="677" xr:uid="{00000000-0005-0000-0000-0000A8020000}"/>
    <cellStyle name="Comma 2 2 2 2" xfId="4067" xr:uid="{00000000-0005-0000-0000-0000E60F0000}"/>
    <cellStyle name="Comma 2 2 2 2 2" xfId="4511" xr:uid="{00000000-0005-0000-0000-0000A2110000}"/>
    <cellStyle name="Comma 2 2 2 3" xfId="4473" xr:uid="{00000000-0005-0000-0000-00007C110000}"/>
    <cellStyle name="Comma 2 2 2 4" xfId="4557" xr:uid="{00000000-0005-0000-0000-0000D0110000}"/>
    <cellStyle name="Comma 2 2 3" xfId="4460" xr:uid="{00000000-0005-0000-0000-00006F110000}"/>
    <cellStyle name="Comma 2 2 3 2" xfId="4507" xr:uid="{00000000-0005-0000-0000-00009E110000}"/>
    <cellStyle name="Comma 2 2 4" xfId="4498" xr:uid="{00000000-0005-0000-0000-000095110000}"/>
    <cellStyle name="Comma 2 2 4 2" xfId="4516" xr:uid="{00000000-0005-0000-0000-0000A7110000}"/>
    <cellStyle name="Comma 2 2 5" xfId="4445" xr:uid="{00000000-0005-0000-0000-000060110000}"/>
    <cellStyle name="Comma 2 2 6" xfId="4530" xr:uid="{00000000-0005-0000-0000-0000B5110000}"/>
    <cellStyle name="Comma 2 3" xfId="678" xr:uid="{00000000-0005-0000-0000-0000A9020000}"/>
    <cellStyle name="Comma 2 3 2" xfId="679" xr:uid="{00000000-0005-0000-0000-0000AA020000}"/>
    <cellStyle name="Comma 2 3 2 2" xfId="4068" xr:uid="{00000000-0005-0000-0000-0000E70F0000}"/>
    <cellStyle name="Comma 2 3 2 3" xfId="4505" xr:uid="{00000000-0005-0000-0000-00009C110000}"/>
    <cellStyle name="Comma 2 3 2 4" xfId="4561" xr:uid="{00000000-0005-0000-0000-0000D4110000}"/>
    <cellStyle name="Comma 2 3 3" xfId="680" xr:uid="{00000000-0005-0000-0000-0000AB020000}"/>
    <cellStyle name="Comma 2 3 3 2" xfId="4069" xr:uid="{00000000-0005-0000-0000-0000E80F0000}"/>
    <cellStyle name="Comma 2 3 4" xfId="4453" xr:uid="{00000000-0005-0000-0000-000068110000}"/>
    <cellStyle name="Comma 2 3 5" xfId="4550" xr:uid="{00000000-0005-0000-0000-0000C9110000}"/>
    <cellStyle name="Comma 2 4" xfId="681" xr:uid="{00000000-0005-0000-0000-0000AC020000}"/>
    <cellStyle name="Comma 2 4 2" xfId="4499" xr:uid="{00000000-0005-0000-0000-000096110000}"/>
    <cellStyle name="Comma 2 4 2 2" xfId="4517" xr:uid="{00000000-0005-0000-0000-0000A8110000}"/>
    <cellStyle name="Comma 2 4 3" xfId="4510" xr:uid="{00000000-0005-0000-0000-0000A1110000}"/>
    <cellStyle name="Comma 2 4 4" xfId="4472" xr:uid="{00000000-0005-0000-0000-00007B110000}"/>
    <cellStyle name="Comma 2 5" xfId="682" xr:uid="{00000000-0005-0000-0000-0000AD020000}"/>
    <cellStyle name="Comma 2 5 2" xfId="683" xr:uid="{00000000-0005-0000-0000-0000AE020000}"/>
    <cellStyle name="Comma 2 5 2 2" xfId="4519" xr:uid="{00000000-0005-0000-0000-0000AA110000}"/>
    <cellStyle name="Comma 2 5 2 3" xfId="4501" xr:uid="{00000000-0005-0000-0000-000098110000}"/>
    <cellStyle name="Comma 2 5 3" xfId="684" xr:uid="{00000000-0005-0000-0000-0000AF020000}"/>
    <cellStyle name="Comma 2 5 3 2" xfId="4514" xr:uid="{00000000-0005-0000-0000-0000A5110000}"/>
    <cellStyle name="Comma 2 5 4" xfId="4483" xr:uid="{00000000-0005-0000-0000-000086110000}"/>
    <cellStyle name="Comma 2 6" xfId="685" xr:uid="{00000000-0005-0000-0000-0000B0020000}"/>
    <cellStyle name="Comma 2 6 2" xfId="686" xr:uid="{00000000-0005-0000-0000-0000B1020000}"/>
    <cellStyle name="Comma 2 6 2 2" xfId="4506" xr:uid="{00000000-0005-0000-0000-00009D110000}"/>
    <cellStyle name="Comma 2 6 3" xfId="687" xr:uid="{00000000-0005-0000-0000-0000B2020000}"/>
    <cellStyle name="Comma 2 6 4" xfId="4454" xr:uid="{00000000-0005-0000-0000-000069110000}"/>
    <cellStyle name="Comma 2 7" xfId="688" xr:uid="{00000000-0005-0000-0000-0000B3020000}"/>
    <cellStyle name="Comma 2 7 2" xfId="4515" xr:uid="{00000000-0005-0000-0000-0000A6110000}"/>
    <cellStyle name="Comma 2 7 3" xfId="4497" xr:uid="{00000000-0005-0000-0000-000094110000}"/>
    <cellStyle name="Comma 2 8" xfId="689" xr:uid="{00000000-0005-0000-0000-0000B4020000}"/>
    <cellStyle name="Comma 2 8 2" xfId="4502" xr:uid="{00000000-0005-0000-0000-000099110000}"/>
    <cellStyle name="Comma 2 9" xfId="690" xr:uid="{00000000-0005-0000-0000-0000B5020000}"/>
    <cellStyle name="Comma 2 9 2" xfId="4070" xr:uid="{00000000-0005-0000-0000-0000E90F0000}"/>
    <cellStyle name="Comma 20" xfId="691" xr:uid="{00000000-0005-0000-0000-0000B6020000}"/>
    <cellStyle name="Comma 20 2" xfId="692" xr:uid="{00000000-0005-0000-0000-0000B7020000}"/>
    <cellStyle name="Comma 20 2 2" xfId="693" xr:uid="{00000000-0005-0000-0000-0000B8020000}"/>
    <cellStyle name="Comma 20 2 2 2" xfId="4073" xr:uid="{00000000-0005-0000-0000-0000EC0F0000}"/>
    <cellStyle name="Comma 20 2 3" xfId="4072" xr:uid="{00000000-0005-0000-0000-0000EB0F0000}"/>
    <cellStyle name="Comma 20 3" xfId="694" xr:uid="{00000000-0005-0000-0000-0000B9020000}"/>
    <cellStyle name="Comma 20 3 2" xfId="695" xr:uid="{00000000-0005-0000-0000-0000BA020000}"/>
    <cellStyle name="Comma 20 3 2 2" xfId="4075" xr:uid="{00000000-0005-0000-0000-0000EE0F0000}"/>
    <cellStyle name="Comma 20 3 3" xfId="4074" xr:uid="{00000000-0005-0000-0000-0000ED0F0000}"/>
    <cellStyle name="Comma 20 4" xfId="696" xr:uid="{00000000-0005-0000-0000-0000BB020000}"/>
    <cellStyle name="Comma 20 4 2" xfId="4076" xr:uid="{00000000-0005-0000-0000-0000EF0F0000}"/>
    <cellStyle name="Comma 20 5" xfId="4071" xr:uid="{00000000-0005-0000-0000-0000EA0F0000}"/>
    <cellStyle name="Comma 21" xfId="697" xr:uid="{00000000-0005-0000-0000-0000BC020000}"/>
    <cellStyle name="Comma 21 2" xfId="698" xr:uid="{00000000-0005-0000-0000-0000BD020000}"/>
    <cellStyle name="Comma 21 2 2" xfId="699" xr:uid="{00000000-0005-0000-0000-0000BE020000}"/>
    <cellStyle name="Comma 21 2 2 2" xfId="4079" xr:uid="{00000000-0005-0000-0000-0000F20F0000}"/>
    <cellStyle name="Comma 21 2 3" xfId="4078" xr:uid="{00000000-0005-0000-0000-0000F10F0000}"/>
    <cellStyle name="Comma 21 3" xfId="700" xr:uid="{00000000-0005-0000-0000-0000BF020000}"/>
    <cellStyle name="Comma 21 3 2" xfId="701" xr:uid="{00000000-0005-0000-0000-0000C0020000}"/>
    <cellStyle name="Comma 21 3 2 2" xfId="4081" xr:uid="{00000000-0005-0000-0000-0000F40F0000}"/>
    <cellStyle name="Comma 21 3 3" xfId="4080" xr:uid="{00000000-0005-0000-0000-0000F30F0000}"/>
    <cellStyle name="Comma 21 4" xfId="702" xr:uid="{00000000-0005-0000-0000-0000C1020000}"/>
    <cellStyle name="Comma 21 4 2" xfId="4082" xr:uid="{00000000-0005-0000-0000-0000F50F0000}"/>
    <cellStyle name="Comma 21 5" xfId="4077" xr:uid="{00000000-0005-0000-0000-0000F00F0000}"/>
    <cellStyle name="Comma 22" xfId="703" xr:uid="{00000000-0005-0000-0000-0000C2020000}"/>
    <cellStyle name="Comma 22 2" xfId="704" xr:uid="{00000000-0005-0000-0000-0000C3020000}"/>
    <cellStyle name="Comma 22 2 2" xfId="705" xr:uid="{00000000-0005-0000-0000-0000C4020000}"/>
    <cellStyle name="Comma 22 2 2 2" xfId="4085" xr:uid="{00000000-0005-0000-0000-0000F80F0000}"/>
    <cellStyle name="Comma 22 2 3" xfId="4084" xr:uid="{00000000-0005-0000-0000-0000F70F0000}"/>
    <cellStyle name="Comma 22 3" xfId="706" xr:uid="{00000000-0005-0000-0000-0000C5020000}"/>
    <cellStyle name="Comma 22 3 2" xfId="707" xr:uid="{00000000-0005-0000-0000-0000C6020000}"/>
    <cellStyle name="Comma 22 3 2 2" xfId="4087" xr:uid="{00000000-0005-0000-0000-0000FA0F0000}"/>
    <cellStyle name="Comma 22 3 3" xfId="4086" xr:uid="{00000000-0005-0000-0000-0000F90F0000}"/>
    <cellStyle name="Comma 22 4" xfId="708" xr:uid="{00000000-0005-0000-0000-0000C7020000}"/>
    <cellStyle name="Comma 22 4 2" xfId="4088" xr:uid="{00000000-0005-0000-0000-0000FB0F0000}"/>
    <cellStyle name="Comma 22 5" xfId="4083" xr:uid="{00000000-0005-0000-0000-0000F60F0000}"/>
    <cellStyle name="Comma 23" xfId="709" xr:uid="{00000000-0005-0000-0000-0000C8020000}"/>
    <cellStyle name="Comma 23 2" xfId="710" xr:uid="{00000000-0005-0000-0000-0000C9020000}"/>
    <cellStyle name="Comma 23 2 2" xfId="711" xr:uid="{00000000-0005-0000-0000-0000CA020000}"/>
    <cellStyle name="Comma 23 2 2 2" xfId="4091" xr:uid="{00000000-0005-0000-0000-0000FE0F0000}"/>
    <cellStyle name="Comma 23 2 3" xfId="4090" xr:uid="{00000000-0005-0000-0000-0000FD0F0000}"/>
    <cellStyle name="Comma 23 3" xfId="712" xr:uid="{00000000-0005-0000-0000-0000CB020000}"/>
    <cellStyle name="Comma 23 3 2" xfId="713" xr:uid="{00000000-0005-0000-0000-0000CC020000}"/>
    <cellStyle name="Comma 23 3 2 2" xfId="4093" xr:uid="{00000000-0005-0000-0000-000000100000}"/>
    <cellStyle name="Comma 23 3 3" xfId="4092" xr:uid="{00000000-0005-0000-0000-0000FF0F0000}"/>
    <cellStyle name="Comma 23 4" xfId="714" xr:uid="{00000000-0005-0000-0000-0000CD020000}"/>
    <cellStyle name="Comma 23 4 2" xfId="4094" xr:uid="{00000000-0005-0000-0000-000001100000}"/>
    <cellStyle name="Comma 23 5" xfId="4089" xr:uid="{00000000-0005-0000-0000-0000FC0F0000}"/>
    <cellStyle name="Comma 24" xfId="715" xr:uid="{00000000-0005-0000-0000-0000CE020000}"/>
    <cellStyle name="Comma 24 2" xfId="716" xr:uid="{00000000-0005-0000-0000-0000CF020000}"/>
    <cellStyle name="Comma 24 2 2" xfId="717" xr:uid="{00000000-0005-0000-0000-0000D0020000}"/>
    <cellStyle name="Comma 24 2 2 2" xfId="4097" xr:uid="{00000000-0005-0000-0000-000004100000}"/>
    <cellStyle name="Comma 24 2 3" xfId="4096" xr:uid="{00000000-0005-0000-0000-000003100000}"/>
    <cellStyle name="Comma 24 3" xfId="718" xr:uid="{00000000-0005-0000-0000-0000D1020000}"/>
    <cellStyle name="Comma 24 3 2" xfId="719" xr:uid="{00000000-0005-0000-0000-0000D2020000}"/>
    <cellStyle name="Comma 24 3 2 2" xfId="4099" xr:uid="{00000000-0005-0000-0000-000006100000}"/>
    <cellStyle name="Comma 24 3 3" xfId="4098" xr:uid="{00000000-0005-0000-0000-000005100000}"/>
    <cellStyle name="Comma 24 4" xfId="720" xr:uid="{00000000-0005-0000-0000-0000D3020000}"/>
    <cellStyle name="Comma 24 4 2" xfId="4100" xr:uid="{00000000-0005-0000-0000-000007100000}"/>
    <cellStyle name="Comma 24 5" xfId="4095" xr:uid="{00000000-0005-0000-0000-000002100000}"/>
    <cellStyle name="Comma 25" xfId="721" xr:uid="{00000000-0005-0000-0000-0000D4020000}"/>
    <cellStyle name="Comma 25 2" xfId="722" xr:uid="{00000000-0005-0000-0000-0000D5020000}"/>
    <cellStyle name="Comma 25 2 2" xfId="723" xr:uid="{00000000-0005-0000-0000-0000D6020000}"/>
    <cellStyle name="Comma 25 2 2 2" xfId="4103" xr:uid="{00000000-0005-0000-0000-00000A100000}"/>
    <cellStyle name="Comma 25 2 3" xfId="4102" xr:uid="{00000000-0005-0000-0000-000009100000}"/>
    <cellStyle name="Comma 25 3" xfId="724" xr:uid="{00000000-0005-0000-0000-0000D7020000}"/>
    <cellStyle name="Comma 25 3 2" xfId="725" xr:uid="{00000000-0005-0000-0000-0000D8020000}"/>
    <cellStyle name="Comma 25 3 2 2" xfId="4105" xr:uid="{00000000-0005-0000-0000-00000C100000}"/>
    <cellStyle name="Comma 25 3 3" xfId="4104" xr:uid="{00000000-0005-0000-0000-00000B100000}"/>
    <cellStyle name="Comma 25 4" xfId="726" xr:uid="{00000000-0005-0000-0000-0000D9020000}"/>
    <cellStyle name="Comma 25 4 2" xfId="4106" xr:uid="{00000000-0005-0000-0000-00000D100000}"/>
    <cellStyle name="Comma 25 5" xfId="4101" xr:uid="{00000000-0005-0000-0000-000008100000}"/>
    <cellStyle name="Comma 26" xfId="727" xr:uid="{00000000-0005-0000-0000-0000DA020000}"/>
    <cellStyle name="Comma 26 2" xfId="728" xr:uid="{00000000-0005-0000-0000-0000DB020000}"/>
    <cellStyle name="Comma 26 2 2" xfId="729" xr:uid="{00000000-0005-0000-0000-0000DC020000}"/>
    <cellStyle name="Comma 26 2 2 2" xfId="4109" xr:uid="{00000000-0005-0000-0000-000010100000}"/>
    <cellStyle name="Comma 26 2 3" xfId="4108" xr:uid="{00000000-0005-0000-0000-00000F100000}"/>
    <cellStyle name="Comma 26 3" xfId="730" xr:uid="{00000000-0005-0000-0000-0000DD020000}"/>
    <cellStyle name="Comma 26 3 2" xfId="731" xr:uid="{00000000-0005-0000-0000-0000DE020000}"/>
    <cellStyle name="Comma 26 3 2 2" xfId="4111" xr:uid="{00000000-0005-0000-0000-000012100000}"/>
    <cellStyle name="Comma 26 3 3" xfId="4110" xr:uid="{00000000-0005-0000-0000-000011100000}"/>
    <cellStyle name="Comma 26 4" xfId="732" xr:uid="{00000000-0005-0000-0000-0000DF020000}"/>
    <cellStyle name="Comma 26 4 2" xfId="4112" xr:uid="{00000000-0005-0000-0000-000013100000}"/>
    <cellStyle name="Comma 26 5" xfId="4107" xr:uid="{00000000-0005-0000-0000-00000E100000}"/>
    <cellStyle name="Comma 27" xfId="733" xr:uid="{00000000-0005-0000-0000-0000E0020000}"/>
    <cellStyle name="Comma 27 2" xfId="734" xr:uid="{00000000-0005-0000-0000-0000E1020000}"/>
    <cellStyle name="Comma 27 2 2" xfId="735" xr:uid="{00000000-0005-0000-0000-0000E2020000}"/>
    <cellStyle name="Comma 27 2 2 2" xfId="4115" xr:uid="{00000000-0005-0000-0000-000016100000}"/>
    <cellStyle name="Comma 27 2 3" xfId="4114" xr:uid="{00000000-0005-0000-0000-000015100000}"/>
    <cellStyle name="Comma 27 3" xfId="736" xr:uid="{00000000-0005-0000-0000-0000E3020000}"/>
    <cellStyle name="Comma 27 3 2" xfId="737" xr:uid="{00000000-0005-0000-0000-0000E4020000}"/>
    <cellStyle name="Comma 27 3 2 2" xfId="4117" xr:uid="{00000000-0005-0000-0000-000018100000}"/>
    <cellStyle name="Comma 27 3 3" xfId="4116" xr:uid="{00000000-0005-0000-0000-000017100000}"/>
    <cellStyle name="Comma 27 4" xfId="738" xr:uid="{00000000-0005-0000-0000-0000E5020000}"/>
    <cellStyle name="Comma 27 4 2" xfId="4118" xr:uid="{00000000-0005-0000-0000-000019100000}"/>
    <cellStyle name="Comma 27 5" xfId="4113" xr:uid="{00000000-0005-0000-0000-000014100000}"/>
    <cellStyle name="Comma 28" xfId="739" xr:uid="{00000000-0005-0000-0000-0000E6020000}"/>
    <cellStyle name="Comma 29" xfId="740" xr:uid="{00000000-0005-0000-0000-0000E7020000}"/>
    <cellStyle name="Comma 29 2" xfId="741" xr:uid="{00000000-0005-0000-0000-0000E8020000}"/>
    <cellStyle name="Comma 29 2 2" xfId="742" xr:uid="{00000000-0005-0000-0000-0000E9020000}"/>
    <cellStyle name="Comma 29 2 2 2" xfId="4121" xr:uid="{00000000-0005-0000-0000-00001C100000}"/>
    <cellStyle name="Comma 29 2 3" xfId="4120" xr:uid="{00000000-0005-0000-0000-00001B100000}"/>
    <cellStyle name="Comma 29 3" xfId="743" xr:uid="{00000000-0005-0000-0000-0000EA020000}"/>
    <cellStyle name="Comma 29 3 2" xfId="744" xr:uid="{00000000-0005-0000-0000-0000EB020000}"/>
    <cellStyle name="Comma 29 3 2 2" xfId="4123" xr:uid="{00000000-0005-0000-0000-00001E100000}"/>
    <cellStyle name="Comma 29 3 3" xfId="4122" xr:uid="{00000000-0005-0000-0000-00001D100000}"/>
    <cellStyle name="Comma 29 4" xfId="745" xr:uid="{00000000-0005-0000-0000-0000EC020000}"/>
    <cellStyle name="Comma 29 4 2" xfId="4124" xr:uid="{00000000-0005-0000-0000-00001F100000}"/>
    <cellStyle name="Comma 29 5" xfId="4119" xr:uid="{00000000-0005-0000-0000-00001A100000}"/>
    <cellStyle name="Comma 3" xfId="11" xr:uid="{00000000-0005-0000-0000-00000E000000}"/>
    <cellStyle name="Comma 3 2" xfId="12" xr:uid="{00000000-0005-0000-0000-00000F000000}"/>
    <cellStyle name="Comma 3 2 2" xfId="746" xr:uid="{00000000-0005-0000-0000-0000ED020000}"/>
    <cellStyle name="Comma 3 2 2 2" xfId="4125" xr:uid="{00000000-0005-0000-0000-000020100000}"/>
    <cellStyle name="Comma 3 2 2 3" xfId="4509" xr:uid="{00000000-0005-0000-0000-0000A0110000}"/>
    <cellStyle name="Comma 3 2 3" xfId="3946" xr:uid="{00000000-0005-0000-0000-00006D0F0000}"/>
    <cellStyle name="Comma 3 2 4" xfId="4470" xr:uid="{00000000-0005-0000-0000-000079110000}"/>
    <cellStyle name="Comma 3 3" xfId="747" xr:uid="{00000000-0005-0000-0000-0000EE020000}"/>
    <cellStyle name="Comma 3 3 2" xfId="4126" xr:uid="{00000000-0005-0000-0000-000021100000}"/>
    <cellStyle name="Comma 3 3 2 2" xfId="4508" xr:uid="{00000000-0005-0000-0000-00009F110000}"/>
    <cellStyle name="Comma 3 3 3" xfId="4461" xr:uid="{00000000-0005-0000-0000-000070110000}"/>
    <cellStyle name="Comma 3 3 4" xfId="4558" xr:uid="{00000000-0005-0000-0000-0000D1110000}"/>
    <cellStyle name="Comma 3 4" xfId="748" xr:uid="{00000000-0005-0000-0000-0000EF020000}"/>
    <cellStyle name="Comma 3 4 2" xfId="4127" xr:uid="{00000000-0005-0000-0000-000022100000}"/>
    <cellStyle name="Comma 3 4 3" xfId="4504" xr:uid="{00000000-0005-0000-0000-00009B110000}"/>
    <cellStyle name="Comma 3 5" xfId="749" xr:uid="{00000000-0005-0000-0000-0000F0020000}"/>
    <cellStyle name="Comma 3 6" xfId="750" xr:uid="{00000000-0005-0000-0000-0000F1020000}"/>
    <cellStyle name="Comma 3 7" xfId="4448" xr:uid="{00000000-0005-0000-0000-000063110000}"/>
    <cellStyle name="Comma 30" xfId="751" xr:uid="{00000000-0005-0000-0000-0000F2020000}"/>
    <cellStyle name="Comma 30 2" xfId="4128" xr:uid="{00000000-0005-0000-0000-000023100000}"/>
    <cellStyle name="Comma 31" xfId="752" xr:uid="{00000000-0005-0000-0000-0000F3020000}"/>
    <cellStyle name="Comma 31 2" xfId="4129" xr:uid="{00000000-0005-0000-0000-000024100000}"/>
    <cellStyle name="Comma 32" xfId="753" xr:uid="{00000000-0005-0000-0000-0000F4020000}"/>
    <cellStyle name="Comma 32 2" xfId="4130" xr:uid="{00000000-0005-0000-0000-000025100000}"/>
    <cellStyle name="Comma 33" xfId="754" xr:uid="{00000000-0005-0000-0000-0000F5020000}"/>
    <cellStyle name="Comma 33 2" xfId="4131" xr:uid="{00000000-0005-0000-0000-000026100000}"/>
    <cellStyle name="Comma 34" xfId="755" xr:uid="{00000000-0005-0000-0000-0000F6020000}"/>
    <cellStyle name="Comma 34 2" xfId="4132" xr:uid="{00000000-0005-0000-0000-000027100000}"/>
    <cellStyle name="Comma 35" xfId="756" xr:uid="{00000000-0005-0000-0000-0000F7020000}"/>
    <cellStyle name="Comma 35 2" xfId="4133" xr:uid="{00000000-0005-0000-0000-000028100000}"/>
    <cellStyle name="Comma 36" xfId="757" xr:uid="{00000000-0005-0000-0000-0000F8020000}"/>
    <cellStyle name="Comma 36 2" xfId="4134" xr:uid="{00000000-0005-0000-0000-000029100000}"/>
    <cellStyle name="Comma 37" xfId="758" xr:uid="{00000000-0005-0000-0000-0000F9020000}"/>
    <cellStyle name="Comma 37 2" xfId="4135" xr:uid="{00000000-0005-0000-0000-00002A100000}"/>
    <cellStyle name="Comma 38" xfId="759" xr:uid="{00000000-0005-0000-0000-0000FA020000}"/>
    <cellStyle name="Comma 38 2" xfId="4136" xr:uid="{00000000-0005-0000-0000-00002B100000}"/>
    <cellStyle name="Comma 39" xfId="760" xr:uid="{00000000-0005-0000-0000-0000FB020000}"/>
    <cellStyle name="Comma 39 2" xfId="4137" xr:uid="{00000000-0005-0000-0000-00002C100000}"/>
    <cellStyle name="Comma 4" xfId="761" xr:uid="{00000000-0005-0000-0000-0000FC020000}"/>
    <cellStyle name="Comma 4 10" xfId="762" xr:uid="{00000000-0005-0000-0000-0000FD020000}"/>
    <cellStyle name="Comma 4 10 2" xfId="4138" xr:uid="{00000000-0005-0000-0000-00002D100000}"/>
    <cellStyle name="Comma 4 11" xfId="4480" xr:uid="{00000000-0005-0000-0000-000083110000}"/>
    <cellStyle name="Comma 4 12" xfId="4531" xr:uid="{00000000-0005-0000-0000-0000B6110000}"/>
    <cellStyle name="Comma 4 2" xfId="763" xr:uid="{00000000-0005-0000-0000-0000FE020000}"/>
    <cellStyle name="Comma 4 2 2" xfId="4139" xr:uid="{00000000-0005-0000-0000-00002E100000}"/>
    <cellStyle name="Comma 4 2 3" xfId="4513" xr:uid="{00000000-0005-0000-0000-0000A4110000}"/>
    <cellStyle name="Comma 4 2 4" xfId="4559" xr:uid="{00000000-0005-0000-0000-0000D2110000}"/>
    <cellStyle name="Comma 4 3" xfId="764" xr:uid="{00000000-0005-0000-0000-0000FF020000}"/>
    <cellStyle name="Comma 4 3 2" xfId="765" xr:uid="{00000000-0005-0000-0000-000000030000}"/>
    <cellStyle name="Comma 4 3 2 2" xfId="766" xr:uid="{00000000-0005-0000-0000-000001030000}"/>
    <cellStyle name="Comma 4 3 2 2 2" xfId="4142" xr:uid="{00000000-0005-0000-0000-000031100000}"/>
    <cellStyle name="Comma 4 3 2 3" xfId="4141" xr:uid="{00000000-0005-0000-0000-000030100000}"/>
    <cellStyle name="Comma 4 3 3" xfId="767" xr:uid="{00000000-0005-0000-0000-000002030000}"/>
    <cellStyle name="Comma 4 3 3 2" xfId="768" xr:uid="{00000000-0005-0000-0000-000003030000}"/>
    <cellStyle name="Comma 4 3 3 2 2" xfId="4144" xr:uid="{00000000-0005-0000-0000-000033100000}"/>
    <cellStyle name="Comma 4 3 3 3" xfId="4143" xr:uid="{00000000-0005-0000-0000-000032100000}"/>
    <cellStyle name="Comma 4 3 4" xfId="769" xr:uid="{00000000-0005-0000-0000-000004030000}"/>
    <cellStyle name="Comma 4 3 4 2" xfId="4145" xr:uid="{00000000-0005-0000-0000-000034100000}"/>
    <cellStyle name="Comma 4 3 5" xfId="4140" xr:uid="{00000000-0005-0000-0000-00002F100000}"/>
    <cellStyle name="Comma 4 4" xfId="770" xr:uid="{00000000-0005-0000-0000-000005030000}"/>
    <cellStyle name="Comma 4 4 2" xfId="771" xr:uid="{00000000-0005-0000-0000-000006030000}"/>
    <cellStyle name="Comma 4 4 2 2" xfId="772" xr:uid="{00000000-0005-0000-0000-000007030000}"/>
    <cellStyle name="Comma 4 4 2 2 2" xfId="4148" xr:uid="{00000000-0005-0000-0000-000037100000}"/>
    <cellStyle name="Comma 4 4 2 3" xfId="4147" xr:uid="{00000000-0005-0000-0000-000036100000}"/>
    <cellStyle name="Comma 4 4 3" xfId="773" xr:uid="{00000000-0005-0000-0000-000008030000}"/>
    <cellStyle name="Comma 4 4 3 2" xfId="774" xr:uid="{00000000-0005-0000-0000-000009030000}"/>
    <cellStyle name="Comma 4 4 3 2 2" xfId="4150" xr:uid="{00000000-0005-0000-0000-000039100000}"/>
    <cellStyle name="Comma 4 4 3 3" xfId="4149" xr:uid="{00000000-0005-0000-0000-000038100000}"/>
    <cellStyle name="Comma 4 4 4" xfId="775" xr:uid="{00000000-0005-0000-0000-00000A030000}"/>
    <cellStyle name="Comma 4 4 4 2" xfId="4151" xr:uid="{00000000-0005-0000-0000-00003A100000}"/>
    <cellStyle name="Comma 4 4 5" xfId="4146" xr:uid="{00000000-0005-0000-0000-000035100000}"/>
    <cellStyle name="Comma 4 5" xfId="776" xr:uid="{00000000-0005-0000-0000-00000B030000}"/>
    <cellStyle name="Comma 4 6" xfId="777" xr:uid="{00000000-0005-0000-0000-00000C030000}"/>
    <cellStyle name="Comma 4 6 2" xfId="778" xr:uid="{00000000-0005-0000-0000-00000D030000}"/>
    <cellStyle name="Comma 4 6 2 2" xfId="4153" xr:uid="{00000000-0005-0000-0000-00003C100000}"/>
    <cellStyle name="Comma 4 6 3" xfId="4152" xr:uid="{00000000-0005-0000-0000-00003B100000}"/>
    <cellStyle name="Comma 4 7" xfId="779" xr:uid="{00000000-0005-0000-0000-00000E030000}"/>
    <cellStyle name="Comma 4 7 2" xfId="780" xr:uid="{00000000-0005-0000-0000-00000F030000}"/>
    <cellStyle name="Comma 4 7 2 2" xfId="4155" xr:uid="{00000000-0005-0000-0000-00003E100000}"/>
    <cellStyle name="Comma 4 7 3" xfId="4154" xr:uid="{00000000-0005-0000-0000-00003D100000}"/>
    <cellStyle name="Comma 4 8" xfId="781" xr:uid="{00000000-0005-0000-0000-000010030000}"/>
    <cellStyle name="Comma 4 8 2" xfId="4156" xr:uid="{00000000-0005-0000-0000-00003F100000}"/>
    <cellStyle name="Comma 4 9" xfId="782" xr:uid="{00000000-0005-0000-0000-000011030000}"/>
    <cellStyle name="Comma 4 9 2" xfId="4157" xr:uid="{00000000-0005-0000-0000-000040100000}"/>
    <cellStyle name="Comma 40" xfId="783" xr:uid="{00000000-0005-0000-0000-000012030000}"/>
    <cellStyle name="Comma 40 2" xfId="4158" xr:uid="{00000000-0005-0000-0000-000041100000}"/>
    <cellStyle name="Comma 41" xfId="784" xr:uid="{00000000-0005-0000-0000-000013030000}"/>
    <cellStyle name="Comma 41 2" xfId="4159" xr:uid="{00000000-0005-0000-0000-000042100000}"/>
    <cellStyle name="Comma 42" xfId="785" xr:uid="{00000000-0005-0000-0000-000014030000}"/>
    <cellStyle name="Comma 42 2" xfId="4160" xr:uid="{00000000-0005-0000-0000-000043100000}"/>
    <cellStyle name="Comma 43" xfId="786" xr:uid="{00000000-0005-0000-0000-000015030000}"/>
    <cellStyle name="Comma 43 2" xfId="4161" xr:uid="{00000000-0005-0000-0000-000044100000}"/>
    <cellStyle name="Comma 44" xfId="787" xr:uid="{00000000-0005-0000-0000-000016030000}"/>
    <cellStyle name="Comma 44 2" xfId="4162" xr:uid="{00000000-0005-0000-0000-000045100000}"/>
    <cellStyle name="Comma 45" xfId="788" xr:uid="{00000000-0005-0000-0000-000017030000}"/>
    <cellStyle name="Comma 46" xfId="789" xr:uid="{00000000-0005-0000-0000-000018030000}"/>
    <cellStyle name="Comma 47" xfId="790" xr:uid="{00000000-0005-0000-0000-000019030000}"/>
    <cellStyle name="Comma 48" xfId="791" xr:uid="{00000000-0005-0000-0000-00001A030000}"/>
    <cellStyle name="Comma 49" xfId="792" xr:uid="{00000000-0005-0000-0000-00001B030000}"/>
    <cellStyle name="Comma 5" xfId="793" xr:uid="{00000000-0005-0000-0000-00001C030000}"/>
    <cellStyle name="Comma 5 2" xfId="794" xr:uid="{00000000-0005-0000-0000-00001D030000}"/>
    <cellStyle name="Comma 5 2 2" xfId="795" xr:uid="{00000000-0005-0000-0000-00001E030000}"/>
    <cellStyle name="Comma 5 2 2 2" xfId="796" xr:uid="{00000000-0005-0000-0000-00001F030000}"/>
    <cellStyle name="Comma 5 2 2 2 2" xfId="4165" xr:uid="{00000000-0005-0000-0000-000048100000}"/>
    <cellStyle name="Comma 5 2 2 3" xfId="4164" xr:uid="{00000000-0005-0000-0000-000047100000}"/>
    <cellStyle name="Comma 5 2 3" xfId="797" xr:uid="{00000000-0005-0000-0000-000020030000}"/>
    <cellStyle name="Comma 5 2 3 2" xfId="798" xr:uid="{00000000-0005-0000-0000-000021030000}"/>
    <cellStyle name="Comma 5 2 3 2 2" xfId="4167" xr:uid="{00000000-0005-0000-0000-00004A100000}"/>
    <cellStyle name="Comma 5 2 3 3" xfId="4166" xr:uid="{00000000-0005-0000-0000-000049100000}"/>
    <cellStyle name="Comma 5 2 4" xfId="799" xr:uid="{00000000-0005-0000-0000-000022030000}"/>
    <cellStyle name="Comma 5 2 4 2" xfId="4168" xr:uid="{00000000-0005-0000-0000-00004B100000}"/>
    <cellStyle name="Comma 5 2 5" xfId="4163" xr:uid="{00000000-0005-0000-0000-000046100000}"/>
    <cellStyle name="Comma 5 2 6" xfId="4512" xr:uid="{00000000-0005-0000-0000-0000A3110000}"/>
    <cellStyle name="Comma 5 2 7" xfId="4560" xr:uid="{00000000-0005-0000-0000-0000D3110000}"/>
    <cellStyle name="Comma 5 3" xfId="800" xr:uid="{00000000-0005-0000-0000-000023030000}"/>
    <cellStyle name="Comma 5 3 2" xfId="801" xr:uid="{00000000-0005-0000-0000-000024030000}"/>
    <cellStyle name="Comma 5 3 2 2" xfId="802" xr:uid="{00000000-0005-0000-0000-000025030000}"/>
    <cellStyle name="Comma 5 3 2 2 2" xfId="803" xr:uid="{00000000-0005-0000-0000-000026030000}"/>
    <cellStyle name="Comma 5 3 2 2 2 2" xfId="4172" xr:uid="{00000000-0005-0000-0000-00004F100000}"/>
    <cellStyle name="Comma 5 3 2 2 3" xfId="4171" xr:uid="{00000000-0005-0000-0000-00004E100000}"/>
    <cellStyle name="Comma 5 3 2 3" xfId="804" xr:uid="{00000000-0005-0000-0000-000027030000}"/>
    <cellStyle name="Comma 5 3 2 3 2" xfId="805" xr:uid="{00000000-0005-0000-0000-000028030000}"/>
    <cellStyle name="Comma 5 3 2 3 2 2" xfId="4174" xr:uid="{00000000-0005-0000-0000-000051100000}"/>
    <cellStyle name="Comma 5 3 2 3 3" xfId="4173" xr:uid="{00000000-0005-0000-0000-000050100000}"/>
    <cellStyle name="Comma 5 3 2 4" xfId="806" xr:uid="{00000000-0005-0000-0000-000029030000}"/>
    <cellStyle name="Comma 5 3 2 4 2" xfId="4175" xr:uid="{00000000-0005-0000-0000-000052100000}"/>
    <cellStyle name="Comma 5 3 2 5" xfId="4170" xr:uid="{00000000-0005-0000-0000-00004D100000}"/>
    <cellStyle name="Comma 5 3 3" xfId="807" xr:uid="{00000000-0005-0000-0000-00002A030000}"/>
    <cellStyle name="Comma 5 3 3 2" xfId="808" xr:uid="{00000000-0005-0000-0000-00002B030000}"/>
    <cellStyle name="Comma 5 3 3 2 2" xfId="4177" xr:uid="{00000000-0005-0000-0000-000054100000}"/>
    <cellStyle name="Comma 5 3 3 3" xfId="4176" xr:uid="{00000000-0005-0000-0000-000053100000}"/>
    <cellStyle name="Comma 5 3 4" xfId="809" xr:uid="{00000000-0005-0000-0000-00002C030000}"/>
    <cellStyle name="Comma 5 3 4 2" xfId="810" xr:uid="{00000000-0005-0000-0000-00002D030000}"/>
    <cellStyle name="Comma 5 3 4 2 2" xfId="4179" xr:uid="{00000000-0005-0000-0000-000056100000}"/>
    <cellStyle name="Comma 5 3 4 3" xfId="4178" xr:uid="{00000000-0005-0000-0000-000055100000}"/>
    <cellStyle name="Comma 5 3 5" xfId="811" xr:uid="{00000000-0005-0000-0000-00002E030000}"/>
    <cellStyle name="Comma 5 3 5 2" xfId="4180" xr:uid="{00000000-0005-0000-0000-000057100000}"/>
    <cellStyle name="Comma 5 3 6" xfId="4169" xr:uid="{00000000-0005-0000-0000-00004C100000}"/>
    <cellStyle name="Comma 5 4" xfId="812" xr:uid="{00000000-0005-0000-0000-00002F030000}"/>
    <cellStyle name="Comma 5 4 2" xfId="813" xr:uid="{00000000-0005-0000-0000-000030030000}"/>
    <cellStyle name="Comma 5 4 2 2" xfId="814" xr:uid="{00000000-0005-0000-0000-000031030000}"/>
    <cellStyle name="Comma 5 4 2 2 2" xfId="4183" xr:uid="{00000000-0005-0000-0000-00005A100000}"/>
    <cellStyle name="Comma 5 4 2 3" xfId="4182" xr:uid="{00000000-0005-0000-0000-000059100000}"/>
    <cellStyle name="Comma 5 4 3" xfId="815" xr:uid="{00000000-0005-0000-0000-000032030000}"/>
    <cellStyle name="Comma 5 4 3 2" xfId="816" xr:uid="{00000000-0005-0000-0000-000033030000}"/>
    <cellStyle name="Comma 5 4 3 2 2" xfId="4185" xr:uid="{00000000-0005-0000-0000-00005C100000}"/>
    <cellStyle name="Comma 5 4 3 3" xfId="4184" xr:uid="{00000000-0005-0000-0000-00005B100000}"/>
    <cellStyle name="Comma 5 4 4" xfId="817" xr:uid="{00000000-0005-0000-0000-000034030000}"/>
    <cellStyle name="Comma 5 4 4 2" xfId="4186" xr:uid="{00000000-0005-0000-0000-00005D100000}"/>
    <cellStyle name="Comma 5 4 5" xfId="4181" xr:uid="{00000000-0005-0000-0000-000058100000}"/>
    <cellStyle name="Comma 5 5" xfId="818" xr:uid="{00000000-0005-0000-0000-000035030000}"/>
    <cellStyle name="Comma 5 5 2" xfId="819" xr:uid="{00000000-0005-0000-0000-000036030000}"/>
    <cellStyle name="Comma 5 5 2 2" xfId="820" xr:uid="{00000000-0005-0000-0000-000037030000}"/>
    <cellStyle name="Comma 5 5 2 2 2" xfId="4189" xr:uid="{00000000-0005-0000-0000-000060100000}"/>
    <cellStyle name="Comma 5 5 2 3" xfId="4188" xr:uid="{00000000-0005-0000-0000-00005F100000}"/>
    <cellStyle name="Comma 5 5 3" xfId="821" xr:uid="{00000000-0005-0000-0000-000038030000}"/>
    <cellStyle name="Comma 5 5 3 2" xfId="822" xr:uid="{00000000-0005-0000-0000-000039030000}"/>
    <cellStyle name="Comma 5 5 3 2 2" xfId="4191" xr:uid="{00000000-0005-0000-0000-000062100000}"/>
    <cellStyle name="Comma 5 5 3 3" xfId="4190" xr:uid="{00000000-0005-0000-0000-000061100000}"/>
    <cellStyle name="Comma 5 5 4" xfId="823" xr:uid="{00000000-0005-0000-0000-00003A030000}"/>
    <cellStyle name="Comma 5 5 4 2" xfId="4192" xr:uid="{00000000-0005-0000-0000-000063100000}"/>
    <cellStyle name="Comma 5 5 5" xfId="4187" xr:uid="{00000000-0005-0000-0000-00005E100000}"/>
    <cellStyle name="Comma 5 6" xfId="824" xr:uid="{00000000-0005-0000-0000-00003B030000}"/>
    <cellStyle name="Comma 5 6 2" xfId="4193" xr:uid="{00000000-0005-0000-0000-000064100000}"/>
    <cellStyle name="Comma 5 7" xfId="825" xr:uid="{00000000-0005-0000-0000-00003C030000}"/>
    <cellStyle name="Comma 5 7 2" xfId="4194" xr:uid="{00000000-0005-0000-0000-000065100000}"/>
    <cellStyle name="Comma 5 8" xfId="4479" xr:uid="{00000000-0005-0000-0000-000082110000}"/>
    <cellStyle name="Comma 5 9" xfId="4532" xr:uid="{00000000-0005-0000-0000-0000B7110000}"/>
    <cellStyle name="Comma 50" xfId="4414" xr:uid="{00000000-0005-0000-0000-000041110000}"/>
    <cellStyle name="Comma 51" xfId="4415" xr:uid="{00000000-0005-0000-0000-000042110000}"/>
    <cellStyle name="Comma 52" xfId="4422" xr:uid="{00000000-0005-0000-0000-000049110000}"/>
    <cellStyle name="Comma 53" xfId="4426" xr:uid="{00000000-0005-0000-0000-00004D110000}"/>
    <cellStyle name="Comma 6" xfId="826" xr:uid="{00000000-0005-0000-0000-00003D030000}"/>
    <cellStyle name="Comma 6 2" xfId="827" xr:uid="{00000000-0005-0000-0000-00003E030000}"/>
    <cellStyle name="Comma 6 2 2" xfId="828" xr:uid="{00000000-0005-0000-0000-00003F030000}"/>
    <cellStyle name="Comma 6 2 2 2" xfId="829" xr:uid="{00000000-0005-0000-0000-000040030000}"/>
    <cellStyle name="Comma 6 2 2 2 2" xfId="4198" xr:uid="{00000000-0005-0000-0000-000069100000}"/>
    <cellStyle name="Comma 6 2 2 3" xfId="4197" xr:uid="{00000000-0005-0000-0000-000068100000}"/>
    <cellStyle name="Comma 6 2 3" xfId="830" xr:uid="{00000000-0005-0000-0000-000041030000}"/>
    <cellStyle name="Comma 6 2 3 2" xfId="831" xr:uid="{00000000-0005-0000-0000-000042030000}"/>
    <cellStyle name="Comma 6 2 3 2 2" xfId="4200" xr:uid="{00000000-0005-0000-0000-00006B100000}"/>
    <cellStyle name="Comma 6 2 3 3" xfId="4199" xr:uid="{00000000-0005-0000-0000-00006A100000}"/>
    <cellStyle name="Comma 6 2 4" xfId="832" xr:uid="{00000000-0005-0000-0000-000043030000}"/>
    <cellStyle name="Comma 6 2 4 2" xfId="4201" xr:uid="{00000000-0005-0000-0000-00006C100000}"/>
    <cellStyle name="Comma 6 2 5" xfId="4196" xr:uid="{00000000-0005-0000-0000-000067100000}"/>
    <cellStyle name="Comma 6 2 6" xfId="4518" xr:uid="{00000000-0005-0000-0000-0000A9110000}"/>
    <cellStyle name="Comma 6 3" xfId="833" xr:uid="{00000000-0005-0000-0000-000044030000}"/>
    <cellStyle name="Comma 6 3 2" xfId="834" xr:uid="{00000000-0005-0000-0000-000045030000}"/>
    <cellStyle name="Comma 6 3 2 2" xfId="835" xr:uid="{00000000-0005-0000-0000-000046030000}"/>
    <cellStyle name="Comma 6 3 2 2 2" xfId="4204" xr:uid="{00000000-0005-0000-0000-00006F100000}"/>
    <cellStyle name="Comma 6 3 2 3" xfId="4203" xr:uid="{00000000-0005-0000-0000-00006E100000}"/>
    <cellStyle name="Comma 6 3 3" xfId="836" xr:uid="{00000000-0005-0000-0000-000047030000}"/>
    <cellStyle name="Comma 6 3 3 2" xfId="837" xr:uid="{00000000-0005-0000-0000-000048030000}"/>
    <cellStyle name="Comma 6 3 3 2 2" xfId="4206" xr:uid="{00000000-0005-0000-0000-000071100000}"/>
    <cellStyle name="Comma 6 3 3 3" xfId="4205" xr:uid="{00000000-0005-0000-0000-000070100000}"/>
    <cellStyle name="Comma 6 3 4" xfId="838" xr:uid="{00000000-0005-0000-0000-000049030000}"/>
    <cellStyle name="Comma 6 3 4 2" xfId="4207" xr:uid="{00000000-0005-0000-0000-000072100000}"/>
    <cellStyle name="Comma 6 3 5" xfId="4202" xr:uid="{00000000-0005-0000-0000-00006D100000}"/>
    <cellStyle name="Comma 6 4" xfId="839" xr:uid="{00000000-0005-0000-0000-00004A030000}"/>
    <cellStyle name="Comma 6 4 2" xfId="840" xr:uid="{00000000-0005-0000-0000-00004B030000}"/>
    <cellStyle name="Comma 6 4 2 2" xfId="841" xr:uid="{00000000-0005-0000-0000-00004C030000}"/>
    <cellStyle name="Comma 6 4 2 2 2" xfId="4210" xr:uid="{00000000-0005-0000-0000-000075100000}"/>
    <cellStyle name="Comma 6 4 2 3" xfId="4209" xr:uid="{00000000-0005-0000-0000-000074100000}"/>
    <cellStyle name="Comma 6 4 3" xfId="842" xr:uid="{00000000-0005-0000-0000-00004D030000}"/>
    <cellStyle name="Comma 6 4 3 2" xfId="843" xr:uid="{00000000-0005-0000-0000-00004E030000}"/>
    <cellStyle name="Comma 6 4 3 2 2" xfId="4212" xr:uid="{00000000-0005-0000-0000-000077100000}"/>
    <cellStyle name="Comma 6 4 3 3" xfId="4211" xr:uid="{00000000-0005-0000-0000-000076100000}"/>
    <cellStyle name="Comma 6 4 4" xfId="844" xr:uid="{00000000-0005-0000-0000-00004F030000}"/>
    <cellStyle name="Comma 6 4 4 2" xfId="4213" xr:uid="{00000000-0005-0000-0000-000078100000}"/>
    <cellStyle name="Comma 6 4 5" xfId="4208" xr:uid="{00000000-0005-0000-0000-000073100000}"/>
    <cellStyle name="Comma 6 5" xfId="845" xr:uid="{00000000-0005-0000-0000-000050030000}"/>
    <cellStyle name="Comma 6 5 2" xfId="846" xr:uid="{00000000-0005-0000-0000-000051030000}"/>
    <cellStyle name="Comma 6 5 2 2" xfId="4215" xr:uid="{00000000-0005-0000-0000-00007A100000}"/>
    <cellStyle name="Comma 6 5 3" xfId="4214" xr:uid="{00000000-0005-0000-0000-000079100000}"/>
    <cellStyle name="Comma 6 6" xfId="847" xr:uid="{00000000-0005-0000-0000-000052030000}"/>
    <cellStyle name="Comma 6 6 2" xfId="848" xr:uid="{00000000-0005-0000-0000-000053030000}"/>
    <cellStyle name="Comma 6 6 2 2" xfId="4217" xr:uid="{00000000-0005-0000-0000-00007C100000}"/>
    <cellStyle name="Comma 6 6 3" xfId="4216" xr:uid="{00000000-0005-0000-0000-00007B100000}"/>
    <cellStyle name="Comma 6 7" xfId="849" xr:uid="{00000000-0005-0000-0000-000054030000}"/>
    <cellStyle name="Comma 6 7 2" xfId="4218" xr:uid="{00000000-0005-0000-0000-00007D100000}"/>
    <cellStyle name="Comma 6 8" xfId="4195" xr:uid="{00000000-0005-0000-0000-000066100000}"/>
    <cellStyle name="Comma 6 9" xfId="4500" xr:uid="{00000000-0005-0000-0000-000097110000}"/>
    <cellStyle name="Comma 7" xfId="850" xr:uid="{00000000-0005-0000-0000-000055030000}"/>
    <cellStyle name="Comma 7 2" xfId="851" xr:uid="{00000000-0005-0000-0000-000056030000}"/>
    <cellStyle name="Comma 7 2 2" xfId="852" xr:uid="{00000000-0005-0000-0000-000057030000}"/>
    <cellStyle name="Comma 7 2 2 2" xfId="853" xr:uid="{00000000-0005-0000-0000-000058030000}"/>
    <cellStyle name="Comma 7 2 2 2 2" xfId="4222" xr:uid="{00000000-0005-0000-0000-000081100000}"/>
    <cellStyle name="Comma 7 2 2 3" xfId="4221" xr:uid="{00000000-0005-0000-0000-000080100000}"/>
    <cellStyle name="Comma 7 2 3" xfId="854" xr:uid="{00000000-0005-0000-0000-000059030000}"/>
    <cellStyle name="Comma 7 2 3 2" xfId="855" xr:uid="{00000000-0005-0000-0000-00005A030000}"/>
    <cellStyle name="Comma 7 2 3 2 2" xfId="4224" xr:uid="{00000000-0005-0000-0000-000083100000}"/>
    <cellStyle name="Comma 7 2 3 3" xfId="4223" xr:uid="{00000000-0005-0000-0000-000082100000}"/>
    <cellStyle name="Comma 7 2 4" xfId="856" xr:uid="{00000000-0005-0000-0000-00005B030000}"/>
    <cellStyle name="Comma 7 2 4 2" xfId="4225" xr:uid="{00000000-0005-0000-0000-000084100000}"/>
    <cellStyle name="Comma 7 2 5" xfId="4220" xr:uid="{00000000-0005-0000-0000-00007F100000}"/>
    <cellStyle name="Comma 7 3" xfId="857" xr:uid="{00000000-0005-0000-0000-00005C030000}"/>
    <cellStyle name="Comma 7 3 2" xfId="858" xr:uid="{00000000-0005-0000-0000-00005D030000}"/>
    <cellStyle name="Comma 7 3 2 2" xfId="859" xr:uid="{00000000-0005-0000-0000-00005E030000}"/>
    <cellStyle name="Comma 7 3 2 2 2" xfId="4228" xr:uid="{00000000-0005-0000-0000-000087100000}"/>
    <cellStyle name="Comma 7 3 2 3" xfId="4227" xr:uid="{00000000-0005-0000-0000-000086100000}"/>
    <cellStyle name="Comma 7 3 3" xfId="860" xr:uid="{00000000-0005-0000-0000-00005F030000}"/>
    <cellStyle name="Comma 7 3 3 2" xfId="861" xr:uid="{00000000-0005-0000-0000-000060030000}"/>
    <cellStyle name="Comma 7 3 3 2 2" xfId="4230" xr:uid="{00000000-0005-0000-0000-000089100000}"/>
    <cellStyle name="Comma 7 3 3 3" xfId="4229" xr:uid="{00000000-0005-0000-0000-000088100000}"/>
    <cellStyle name="Comma 7 3 4" xfId="862" xr:uid="{00000000-0005-0000-0000-000061030000}"/>
    <cellStyle name="Comma 7 3 4 2" xfId="4231" xr:uid="{00000000-0005-0000-0000-00008A100000}"/>
    <cellStyle name="Comma 7 3 5" xfId="4226" xr:uid="{00000000-0005-0000-0000-000085100000}"/>
    <cellStyle name="Comma 7 4" xfId="863" xr:uid="{00000000-0005-0000-0000-000062030000}"/>
    <cellStyle name="Comma 7 4 2" xfId="864" xr:uid="{00000000-0005-0000-0000-000063030000}"/>
    <cellStyle name="Comma 7 4 2 2" xfId="4233" xr:uid="{00000000-0005-0000-0000-00008C100000}"/>
    <cellStyle name="Comma 7 4 3" xfId="4232" xr:uid="{00000000-0005-0000-0000-00008B100000}"/>
    <cellStyle name="Comma 7 5" xfId="865" xr:uid="{00000000-0005-0000-0000-000064030000}"/>
    <cellStyle name="Comma 7 5 2" xfId="866" xr:uid="{00000000-0005-0000-0000-000065030000}"/>
    <cellStyle name="Comma 7 5 2 2" xfId="4235" xr:uid="{00000000-0005-0000-0000-00008E100000}"/>
    <cellStyle name="Comma 7 5 3" xfId="4234" xr:uid="{00000000-0005-0000-0000-00008D100000}"/>
    <cellStyle name="Comma 7 6" xfId="867" xr:uid="{00000000-0005-0000-0000-000066030000}"/>
    <cellStyle name="Comma 7 6 2" xfId="4236" xr:uid="{00000000-0005-0000-0000-00008F100000}"/>
    <cellStyle name="Comma 7 7" xfId="868" xr:uid="{00000000-0005-0000-0000-000067030000}"/>
    <cellStyle name="Comma 7 7 2" xfId="4237" xr:uid="{00000000-0005-0000-0000-000090100000}"/>
    <cellStyle name="Comma 7 8" xfId="869" xr:uid="{00000000-0005-0000-0000-000068030000}"/>
    <cellStyle name="Comma 7 8 2" xfId="4238" xr:uid="{00000000-0005-0000-0000-000091100000}"/>
    <cellStyle name="Comma 7 9" xfId="4219" xr:uid="{00000000-0005-0000-0000-00007E100000}"/>
    <cellStyle name="Comma 8" xfId="870" xr:uid="{00000000-0005-0000-0000-000069030000}"/>
    <cellStyle name="Comma 8 10" xfId="871" xr:uid="{00000000-0005-0000-0000-00006A030000}"/>
    <cellStyle name="Comma 8 10 2" xfId="872" xr:uid="{00000000-0005-0000-0000-00006B030000}"/>
    <cellStyle name="Comma 8 10 2 2" xfId="4241" xr:uid="{00000000-0005-0000-0000-000094100000}"/>
    <cellStyle name="Comma 8 10 3" xfId="4240" xr:uid="{00000000-0005-0000-0000-000093100000}"/>
    <cellStyle name="Comma 8 11" xfId="873" xr:uid="{00000000-0005-0000-0000-00006C030000}"/>
    <cellStyle name="Comma 8 11 2" xfId="874" xr:uid="{00000000-0005-0000-0000-00006D030000}"/>
    <cellStyle name="Comma 8 11 2 2" xfId="4243" xr:uid="{00000000-0005-0000-0000-000096100000}"/>
    <cellStyle name="Comma 8 11 3" xfId="4242" xr:uid="{00000000-0005-0000-0000-000095100000}"/>
    <cellStyle name="Comma 8 12" xfId="875" xr:uid="{00000000-0005-0000-0000-00006E030000}"/>
    <cellStyle name="Comma 8 12 2" xfId="4244" xr:uid="{00000000-0005-0000-0000-000097100000}"/>
    <cellStyle name="Comma 8 13" xfId="4239" xr:uid="{00000000-0005-0000-0000-000092100000}"/>
    <cellStyle name="Comma 8 2" xfId="876" xr:uid="{00000000-0005-0000-0000-00006F030000}"/>
    <cellStyle name="Comma 8 2 2" xfId="877" xr:uid="{00000000-0005-0000-0000-000070030000}"/>
    <cellStyle name="Comma 8 2 2 2" xfId="878" xr:uid="{00000000-0005-0000-0000-000071030000}"/>
    <cellStyle name="Comma 8 2 2 2 2" xfId="4247" xr:uid="{00000000-0005-0000-0000-00009A100000}"/>
    <cellStyle name="Comma 8 2 2 3" xfId="4246" xr:uid="{00000000-0005-0000-0000-000099100000}"/>
    <cellStyle name="Comma 8 2 3" xfId="879" xr:uid="{00000000-0005-0000-0000-000072030000}"/>
    <cellStyle name="Comma 8 2 3 2" xfId="880" xr:uid="{00000000-0005-0000-0000-000073030000}"/>
    <cellStyle name="Comma 8 2 3 2 2" xfId="4249" xr:uid="{00000000-0005-0000-0000-00009C100000}"/>
    <cellStyle name="Comma 8 2 3 3" xfId="4248" xr:uid="{00000000-0005-0000-0000-00009B100000}"/>
    <cellStyle name="Comma 8 2 4" xfId="881" xr:uid="{00000000-0005-0000-0000-000074030000}"/>
    <cellStyle name="Comma 8 2 4 2" xfId="4250" xr:uid="{00000000-0005-0000-0000-00009D100000}"/>
    <cellStyle name="Comma 8 2 5" xfId="4245" xr:uid="{00000000-0005-0000-0000-000098100000}"/>
    <cellStyle name="Comma 8 3" xfId="882" xr:uid="{00000000-0005-0000-0000-000075030000}"/>
    <cellStyle name="Comma 8 3 2" xfId="883" xr:uid="{00000000-0005-0000-0000-000076030000}"/>
    <cellStyle name="Comma 8 3 2 2" xfId="884" xr:uid="{00000000-0005-0000-0000-000077030000}"/>
    <cellStyle name="Comma 8 3 2 2 2" xfId="4253" xr:uid="{00000000-0005-0000-0000-0000A0100000}"/>
    <cellStyle name="Comma 8 3 2 3" xfId="4252" xr:uid="{00000000-0005-0000-0000-00009F100000}"/>
    <cellStyle name="Comma 8 3 3" xfId="885" xr:uid="{00000000-0005-0000-0000-000078030000}"/>
    <cellStyle name="Comma 8 3 3 2" xfId="886" xr:uid="{00000000-0005-0000-0000-000079030000}"/>
    <cellStyle name="Comma 8 3 3 2 2" xfId="4255" xr:uid="{00000000-0005-0000-0000-0000A2100000}"/>
    <cellStyle name="Comma 8 3 3 3" xfId="4254" xr:uid="{00000000-0005-0000-0000-0000A1100000}"/>
    <cellStyle name="Comma 8 3 4" xfId="887" xr:uid="{00000000-0005-0000-0000-00007A030000}"/>
    <cellStyle name="Comma 8 3 4 2" xfId="4256" xr:uid="{00000000-0005-0000-0000-0000A3100000}"/>
    <cellStyle name="Comma 8 3 5" xfId="4251" xr:uid="{00000000-0005-0000-0000-00009E100000}"/>
    <cellStyle name="Comma 8 4" xfId="888" xr:uid="{00000000-0005-0000-0000-00007B030000}"/>
    <cellStyle name="Comma 8 4 2" xfId="889" xr:uid="{00000000-0005-0000-0000-00007C030000}"/>
    <cellStyle name="Comma 8 4 2 2" xfId="890" xr:uid="{00000000-0005-0000-0000-00007D030000}"/>
    <cellStyle name="Comma 8 4 2 2 2" xfId="4259" xr:uid="{00000000-0005-0000-0000-0000A6100000}"/>
    <cellStyle name="Comma 8 4 2 3" xfId="4258" xr:uid="{00000000-0005-0000-0000-0000A5100000}"/>
    <cellStyle name="Comma 8 4 3" xfId="891" xr:uid="{00000000-0005-0000-0000-00007E030000}"/>
    <cellStyle name="Comma 8 4 3 2" xfId="892" xr:uid="{00000000-0005-0000-0000-00007F030000}"/>
    <cellStyle name="Comma 8 4 3 2 2" xfId="4261" xr:uid="{00000000-0005-0000-0000-0000A8100000}"/>
    <cellStyle name="Comma 8 4 3 3" xfId="4260" xr:uid="{00000000-0005-0000-0000-0000A7100000}"/>
    <cellStyle name="Comma 8 4 4" xfId="893" xr:uid="{00000000-0005-0000-0000-000080030000}"/>
    <cellStyle name="Comma 8 4 4 2" xfId="4262" xr:uid="{00000000-0005-0000-0000-0000A9100000}"/>
    <cellStyle name="Comma 8 4 5" xfId="4257" xr:uid="{00000000-0005-0000-0000-0000A4100000}"/>
    <cellStyle name="Comma 8 5" xfId="894" xr:uid="{00000000-0005-0000-0000-000081030000}"/>
    <cellStyle name="Comma 8 5 2" xfId="895" xr:uid="{00000000-0005-0000-0000-000082030000}"/>
    <cellStyle name="Comma 8 5 2 2" xfId="896" xr:uid="{00000000-0005-0000-0000-000083030000}"/>
    <cellStyle name="Comma 8 5 2 2 2" xfId="4265" xr:uid="{00000000-0005-0000-0000-0000AC100000}"/>
    <cellStyle name="Comma 8 5 2 3" xfId="4264" xr:uid="{00000000-0005-0000-0000-0000AB100000}"/>
    <cellStyle name="Comma 8 5 3" xfId="897" xr:uid="{00000000-0005-0000-0000-000084030000}"/>
    <cellStyle name="Comma 8 5 3 2" xfId="898" xr:uid="{00000000-0005-0000-0000-000085030000}"/>
    <cellStyle name="Comma 8 5 3 2 2" xfId="4267" xr:uid="{00000000-0005-0000-0000-0000AE100000}"/>
    <cellStyle name="Comma 8 5 3 3" xfId="4266" xr:uid="{00000000-0005-0000-0000-0000AD100000}"/>
    <cellStyle name="Comma 8 5 4" xfId="899" xr:uid="{00000000-0005-0000-0000-000086030000}"/>
    <cellStyle name="Comma 8 5 4 2" xfId="4268" xr:uid="{00000000-0005-0000-0000-0000AF100000}"/>
    <cellStyle name="Comma 8 5 5" xfId="4263" xr:uid="{00000000-0005-0000-0000-0000AA100000}"/>
    <cellStyle name="Comma 8 6" xfId="900" xr:uid="{00000000-0005-0000-0000-000087030000}"/>
    <cellStyle name="Comma 8 6 2" xfId="901" xr:uid="{00000000-0005-0000-0000-000088030000}"/>
    <cellStyle name="Comma 8 6 2 2" xfId="902" xr:uid="{00000000-0005-0000-0000-000089030000}"/>
    <cellStyle name="Comma 8 6 2 2 2" xfId="4271" xr:uid="{00000000-0005-0000-0000-0000B2100000}"/>
    <cellStyle name="Comma 8 6 2 3" xfId="4270" xr:uid="{00000000-0005-0000-0000-0000B1100000}"/>
    <cellStyle name="Comma 8 6 3" xfId="903" xr:uid="{00000000-0005-0000-0000-00008A030000}"/>
    <cellStyle name="Comma 8 6 3 2" xfId="904" xr:uid="{00000000-0005-0000-0000-00008B030000}"/>
    <cellStyle name="Comma 8 6 3 2 2" xfId="4273" xr:uid="{00000000-0005-0000-0000-0000B4100000}"/>
    <cellStyle name="Comma 8 6 3 3" xfId="4272" xr:uid="{00000000-0005-0000-0000-0000B3100000}"/>
    <cellStyle name="Comma 8 6 4" xfId="905" xr:uid="{00000000-0005-0000-0000-00008C030000}"/>
    <cellStyle name="Comma 8 6 4 2" xfId="4274" xr:uid="{00000000-0005-0000-0000-0000B5100000}"/>
    <cellStyle name="Comma 8 6 5" xfId="4269" xr:uid="{00000000-0005-0000-0000-0000B0100000}"/>
    <cellStyle name="Comma 8 7" xfId="906" xr:uid="{00000000-0005-0000-0000-00008D030000}"/>
    <cellStyle name="Comma 8 7 2" xfId="907" xr:uid="{00000000-0005-0000-0000-00008E030000}"/>
    <cellStyle name="Comma 8 7 2 2" xfId="908" xr:uid="{00000000-0005-0000-0000-00008F030000}"/>
    <cellStyle name="Comma 8 7 2 2 2" xfId="4277" xr:uid="{00000000-0005-0000-0000-0000B8100000}"/>
    <cellStyle name="Comma 8 7 2 3" xfId="4276" xr:uid="{00000000-0005-0000-0000-0000B7100000}"/>
    <cellStyle name="Comma 8 7 3" xfId="909" xr:uid="{00000000-0005-0000-0000-000090030000}"/>
    <cellStyle name="Comma 8 7 3 2" xfId="910" xr:uid="{00000000-0005-0000-0000-000091030000}"/>
    <cellStyle name="Comma 8 7 3 2 2" xfId="4279" xr:uid="{00000000-0005-0000-0000-0000BA100000}"/>
    <cellStyle name="Comma 8 7 3 3" xfId="4278" xr:uid="{00000000-0005-0000-0000-0000B9100000}"/>
    <cellStyle name="Comma 8 7 4" xfId="911" xr:uid="{00000000-0005-0000-0000-000092030000}"/>
    <cellStyle name="Comma 8 7 4 2" xfId="4280" xr:uid="{00000000-0005-0000-0000-0000BB100000}"/>
    <cellStyle name="Comma 8 7 5" xfId="4275" xr:uid="{00000000-0005-0000-0000-0000B6100000}"/>
    <cellStyle name="Comma 8 8" xfId="912" xr:uid="{00000000-0005-0000-0000-000093030000}"/>
    <cellStyle name="Comma 8 8 2" xfId="913" xr:uid="{00000000-0005-0000-0000-000094030000}"/>
    <cellStyle name="Comma 8 8 2 2" xfId="914" xr:uid="{00000000-0005-0000-0000-000095030000}"/>
    <cellStyle name="Comma 8 8 2 2 2" xfId="4283" xr:uid="{00000000-0005-0000-0000-0000BE100000}"/>
    <cellStyle name="Comma 8 8 2 3" xfId="4282" xr:uid="{00000000-0005-0000-0000-0000BD100000}"/>
    <cellStyle name="Comma 8 8 3" xfId="915" xr:uid="{00000000-0005-0000-0000-000096030000}"/>
    <cellStyle name="Comma 8 8 3 2" xfId="916" xr:uid="{00000000-0005-0000-0000-000097030000}"/>
    <cellStyle name="Comma 8 8 3 2 2" xfId="4285" xr:uid="{00000000-0005-0000-0000-0000C0100000}"/>
    <cellStyle name="Comma 8 8 3 3" xfId="4284" xr:uid="{00000000-0005-0000-0000-0000BF100000}"/>
    <cellStyle name="Comma 8 8 4" xfId="917" xr:uid="{00000000-0005-0000-0000-000098030000}"/>
    <cellStyle name="Comma 8 8 4 2" xfId="4286" xr:uid="{00000000-0005-0000-0000-0000C1100000}"/>
    <cellStyle name="Comma 8 8 5" xfId="4281" xr:uid="{00000000-0005-0000-0000-0000BC100000}"/>
    <cellStyle name="Comma 8 9" xfId="918" xr:uid="{00000000-0005-0000-0000-000099030000}"/>
    <cellStyle name="Comma 8 9 2" xfId="919" xr:uid="{00000000-0005-0000-0000-00009A030000}"/>
    <cellStyle name="Comma 8 9 2 2" xfId="920" xr:uid="{00000000-0005-0000-0000-00009B030000}"/>
    <cellStyle name="Comma 8 9 2 2 2" xfId="4289" xr:uid="{00000000-0005-0000-0000-0000C4100000}"/>
    <cellStyle name="Comma 8 9 2 3" xfId="4288" xr:uid="{00000000-0005-0000-0000-0000C3100000}"/>
    <cellStyle name="Comma 8 9 3" xfId="921" xr:uid="{00000000-0005-0000-0000-00009C030000}"/>
    <cellStyle name="Comma 8 9 3 2" xfId="922" xr:uid="{00000000-0005-0000-0000-00009D030000}"/>
    <cellStyle name="Comma 8 9 3 2 2" xfId="4291" xr:uid="{00000000-0005-0000-0000-0000C6100000}"/>
    <cellStyle name="Comma 8 9 3 3" xfId="4290" xr:uid="{00000000-0005-0000-0000-0000C5100000}"/>
    <cellStyle name="Comma 8 9 4" xfId="923" xr:uid="{00000000-0005-0000-0000-00009E030000}"/>
    <cellStyle name="Comma 8 9 4 2" xfId="4292" xr:uid="{00000000-0005-0000-0000-0000C7100000}"/>
    <cellStyle name="Comma 8 9 5" xfId="4287" xr:uid="{00000000-0005-0000-0000-0000C2100000}"/>
    <cellStyle name="Comma 9" xfId="924" xr:uid="{00000000-0005-0000-0000-00009F030000}"/>
    <cellStyle name="Comma 9 2" xfId="925" xr:uid="{00000000-0005-0000-0000-0000A0030000}"/>
    <cellStyle name="Comma 9 2 2" xfId="926" xr:uid="{00000000-0005-0000-0000-0000A1030000}"/>
    <cellStyle name="Comma 9 2 2 2" xfId="927" xr:uid="{00000000-0005-0000-0000-0000A2030000}"/>
    <cellStyle name="Comma 9 2 2 2 2" xfId="4296" xr:uid="{00000000-0005-0000-0000-0000CB100000}"/>
    <cellStyle name="Comma 9 2 2 3" xfId="4295" xr:uid="{00000000-0005-0000-0000-0000CA100000}"/>
    <cellStyle name="Comma 9 2 3" xfId="928" xr:uid="{00000000-0005-0000-0000-0000A3030000}"/>
    <cellStyle name="Comma 9 2 3 2" xfId="929" xr:uid="{00000000-0005-0000-0000-0000A4030000}"/>
    <cellStyle name="Comma 9 2 3 2 2" xfId="4298" xr:uid="{00000000-0005-0000-0000-0000CD100000}"/>
    <cellStyle name="Comma 9 2 3 3" xfId="4297" xr:uid="{00000000-0005-0000-0000-0000CC100000}"/>
    <cellStyle name="Comma 9 2 4" xfId="930" xr:uid="{00000000-0005-0000-0000-0000A5030000}"/>
    <cellStyle name="Comma 9 2 4 2" xfId="4299" xr:uid="{00000000-0005-0000-0000-0000CE100000}"/>
    <cellStyle name="Comma 9 2 5" xfId="4294" xr:uid="{00000000-0005-0000-0000-0000C9100000}"/>
    <cellStyle name="Comma 9 3" xfId="931" xr:uid="{00000000-0005-0000-0000-0000A6030000}"/>
    <cellStyle name="Comma 9 3 2" xfId="932" xr:uid="{00000000-0005-0000-0000-0000A7030000}"/>
    <cellStyle name="Comma 9 3 2 2" xfId="4301" xr:uid="{00000000-0005-0000-0000-0000D0100000}"/>
    <cellStyle name="Comma 9 3 3" xfId="4300" xr:uid="{00000000-0005-0000-0000-0000CF100000}"/>
    <cellStyle name="Comma 9 4" xfId="933" xr:uid="{00000000-0005-0000-0000-0000A8030000}"/>
    <cellStyle name="Comma 9 4 2" xfId="934" xr:uid="{00000000-0005-0000-0000-0000A9030000}"/>
    <cellStyle name="Comma 9 4 2 2" xfId="4303" xr:uid="{00000000-0005-0000-0000-0000D2100000}"/>
    <cellStyle name="Comma 9 4 3" xfId="4302" xr:uid="{00000000-0005-0000-0000-0000D1100000}"/>
    <cellStyle name="Comma 9 5" xfId="935" xr:uid="{00000000-0005-0000-0000-0000AA030000}"/>
    <cellStyle name="Comma 9 5 2" xfId="4304" xr:uid="{00000000-0005-0000-0000-0000D3100000}"/>
    <cellStyle name="Comma 9 6" xfId="4293" xr:uid="{00000000-0005-0000-0000-0000C8100000}"/>
    <cellStyle name="Comma_Oyv-demand template for Industrial commercial and residential data" xfId="13" xr:uid="{00000000-0005-0000-0000-000010000000}"/>
    <cellStyle name="Comma0" xfId="936" xr:uid="{00000000-0005-0000-0000-0000AB030000}"/>
    <cellStyle name="Constants" xfId="14" xr:uid="{00000000-0005-0000-0000-000011000000}"/>
    <cellStyle name="Currency 2" xfId="937" xr:uid="{00000000-0005-0000-0000-0000AC030000}"/>
    <cellStyle name="Currency 2 2" xfId="938" xr:uid="{00000000-0005-0000-0000-0000AD030000}"/>
    <cellStyle name="Currency 2 3" xfId="939" xr:uid="{00000000-0005-0000-0000-0000AE030000}"/>
    <cellStyle name="Currency 3" xfId="940" xr:uid="{00000000-0005-0000-0000-0000AF030000}"/>
    <cellStyle name="Currency 4" xfId="941" xr:uid="{00000000-0005-0000-0000-0000B0030000}"/>
    <cellStyle name="Currency0" xfId="942" xr:uid="{00000000-0005-0000-0000-0000B1030000}"/>
    <cellStyle name="Date" xfId="943" xr:uid="{00000000-0005-0000-0000-0000B2030000}"/>
    <cellStyle name="Empty_B_border" xfId="15" xr:uid="{00000000-0005-0000-0000-000012000000}"/>
    <cellStyle name="Excel Built-in Normal" xfId="16" xr:uid="{00000000-0005-0000-0000-000013000000}"/>
    <cellStyle name="Excel Built-in Normal 2" xfId="17" xr:uid="{00000000-0005-0000-0000-000014000000}"/>
    <cellStyle name="Excel Built-in Normal 2 2" xfId="944" xr:uid="{00000000-0005-0000-0000-0000B3030000}"/>
    <cellStyle name="Excel Built-in Normal 3" xfId="945" xr:uid="{00000000-0005-0000-0000-0000B4030000}"/>
    <cellStyle name="Excel Built-in Normal 3 2" xfId="946" xr:uid="{00000000-0005-0000-0000-0000B5030000}"/>
    <cellStyle name="Excel Built-in Normal 3 3" xfId="947" xr:uid="{00000000-0005-0000-0000-0000B6030000}"/>
    <cellStyle name="Excel Built-in Normal 3_AGL" xfId="948" xr:uid="{00000000-0005-0000-0000-0000B7030000}"/>
    <cellStyle name="Excel Built-in Normal 4" xfId="4533" xr:uid="{00000000-0005-0000-0000-0000B8110000}"/>
    <cellStyle name="Excel_BuiltIn_Comma" xfId="18" xr:uid="{00000000-0005-0000-0000-000015000000}"/>
    <cellStyle name="Explanatory Text 2" xfId="949" xr:uid="{00000000-0005-0000-0000-0000B8030000}"/>
    <cellStyle name="Explanatory Text 2 2" xfId="950" xr:uid="{00000000-0005-0000-0000-0000B9030000}"/>
    <cellStyle name="Explanatory Text 2 3" xfId="951" xr:uid="{00000000-0005-0000-0000-0000BA030000}"/>
    <cellStyle name="Explanatory Text 2 4" xfId="4434" xr:uid="{00000000-0005-0000-0000-000055110000}"/>
    <cellStyle name="Explanatory Text 2_AGL" xfId="952" xr:uid="{00000000-0005-0000-0000-0000BB030000}"/>
    <cellStyle name="Explanatory Text 3" xfId="953" xr:uid="{00000000-0005-0000-0000-0000BC030000}"/>
    <cellStyle name="Explanatory Text 4" xfId="954" xr:uid="{00000000-0005-0000-0000-0000BD030000}"/>
    <cellStyle name="External" xfId="19" xr:uid="{00000000-0005-0000-0000-000016000000}"/>
    <cellStyle name="External 2" xfId="20" xr:uid="{00000000-0005-0000-0000-000017000000}"/>
    <cellStyle name="External 2 2" xfId="955" xr:uid="{00000000-0005-0000-0000-0000BE030000}"/>
    <cellStyle name="External 2 3" xfId="956" xr:uid="{00000000-0005-0000-0000-0000BF030000}"/>
    <cellStyle name="External 2_AGL" xfId="957" xr:uid="{00000000-0005-0000-0000-0000C0030000}"/>
    <cellStyle name="External 3" xfId="958" xr:uid="{00000000-0005-0000-0000-0000C1030000}"/>
    <cellStyle name="External 3 2" xfId="959" xr:uid="{00000000-0005-0000-0000-0000C2030000}"/>
    <cellStyle name="External 3 3" xfId="960" xr:uid="{00000000-0005-0000-0000-0000C3030000}"/>
    <cellStyle name="External 3_AGL" xfId="961" xr:uid="{00000000-0005-0000-0000-0000C4030000}"/>
    <cellStyle name="External 4" xfId="962" xr:uid="{00000000-0005-0000-0000-0000C5030000}"/>
    <cellStyle name="External 5" xfId="963" xr:uid="{00000000-0005-0000-0000-0000C6030000}"/>
    <cellStyle name="External 6" xfId="4534" xr:uid="{00000000-0005-0000-0000-0000B9110000}"/>
    <cellStyle name="External_AGL" xfId="964" xr:uid="{00000000-0005-0000-0000-0000C7030000}"/>
    <cellStyle name="F2" xfId="965" xr:uid="{00000000-0005-0000-0000-0000C8030000}"/>
    <cellStyle name="F3" xfId="966" xr:uid="{00000000-0005-0000-0000-0000C9030000}"/>
    <cellStyle name="F4" xfId="967" xr:uid="{00000000-0005-0000-0000-0000CA030000}"/>
    <cellStyle name="F5" xfId="968" xr:uid="{00000000-0005-0000-0000-0000CB030000}"/>
    <cellStyle name="F6" xfId="969" xr:uid="{00000000-0005-0000-0000-0000CC030000}"/>
    <cellStyle name="F7" xfId="970" xr:uid="{00000000-0005-0000-0000-0000CD030000}"/>
    <cellStyle name="F8" xfId="971" xr:uid="{00000000-0005-0000-0000-0000CE030000}"/>
    <cellStyle name="Fixed" xfId="972" xr:uid="{00000000-0005-0000-0000-0000CF030000}"/>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10" xfId="973" xr:uid="{00000000-0005-0000-0000-0000D0030000}"/>
    <cellStyle name="Followed Hyperlink 100" xfId="974" xr:uid="{00000000-0005-0000-0000-0000D1030000}"/>
    <cellStyle name="Followed Hyperlink 101" xfId="975" xr:uid="{00000000-0005-0000-0000-0000D2030000}"/>
    <cellStyle name="Followed Hyperlink 102" xfId="976" xr:uid="{00000000-0005-0000-0000-0000D3030000}"/>
    <cellStyle name="Followed Hyperlink 103" xfId="977" xr:uid="{00000000-0005-0000-0000-0000D4030000}"/>
    <cellStyle name="Followed Hyperlink 104" xfId="978" xr:uid="{00000000-0005-0000-0000-0000D5030000}"/>
    <cellStyle name="Followed Hyperlink 105" xfId="979" xr:uid="{00000000-0005-0000-0000-0000D6030000}"/>
    <cellStyle name="Followed Hyperlink 106" xfId="980" xr:uid="{00000000-0005-0000-0000-0000D7030000}"/>
    <cellStyle name="Followed Hyperlink 107" xfId="981" xr:uid="{00000000-0005-0000-0000-0000D8030000}"/>
    <cellStyle name="Followed Hyperlink 108" xfId="982" xr:uid="{00000000-0005-0000-0000-0000D9030000}"/>
    <cellStyle name="Followed Hyperlink 109" xfId="983" xr:uid="{00000000-0005-0000-0000-0000DA030000}"/>
    <cellStyle name="Followed Hyperlink 11" xfId="984" xr:uid="{00000000-0005-0000-0000-0000DB030000}"/>
    <cellStyle name="Followed Hyperlink 110" xfId="985" xr:uid="{00000000-0005-0000-0000-0000DC030000}"/>
    <cellStyle name="Followed Hyperlink 111" xfId="986" xr:uid="{00000000-0005-0000-0000-0000DD030000}"/>
    <cellStyle name="Followed Hyperlink 112" xfId="987" xr:uid="{00000000-0005-0000-0000-0000DE030000}"/>
    <cellStyle name="Followed Hyperlink 113" xfId="988" xr:uid="{00000000-0005-0000-0000-0000DF030000}"/>
    <cellStyle name="Followed Hyperlink 114" xfId="989" xr:uid="{00000000-0005-0000-0000-0000E0030000}"/>
    <cellStyle name="Followed Hyperlink 115" xfId="990" xr:uid="{00000000-0005-0000-0000-0000E1030000}"/>
    <cellStyle name="Followed Hyperlink 116" xfId="991" xr:uid="{00000000-0005-0000-0000-0000E2030000}"/>
    <cellStyle name="Followed Hyperlink 117" xfId="992" xr:uid="{00000000-0005-0000-0000-0000E3030000}"/>
    <cellStyle name="Followed Hyperlink 118" xfId="993" xr:uid="{00000000-0005-0000-0000-0000E4030000}"/>
    <cellStyle name="Followed Hyperlink 119" xfId="994" xr:uid="{00000000-0005-0000-0000-0000E5030000}"/>
    <cellStyle name="Followed Hyperlink 12" xfId="995" xr:uid="{00000000-0005-0000-0000-0000E6030000}"/>
    <cellStyle name="Followed Hyperlink 120" xfId="996" xr:uid="{00000000-0005-0000-0000-0000E7030000}"/>
    <cellStyle name="Followed Hyperlink 121" xfId="997" xr:uid="{00000000-0005-0000-0000-0000E8030000}"/>
    <cellStyle name="Followed Hyperlink 122" xfId="998" xr:uid="{00000000-0005-0000-0000-0000E9030000}"/>
    <cellStyle name="Followed Hyperlink 123" xfId="999" xr:uid="{00000000-0005-0000-0000-0000EA030000}"/>
    <cellStyle name="Followed Hyperlink 124" xfId="1000" xr:uid="{00000000-0005-0000-0000-0000EB030000}"/>
    <cellStyle name="Followed Hyperlink 125" xfId="1001" xr:uid="{00000000-0005-0000-0000-0000EC030000}"/>
    <cellStyle name="Followed Hyperlink 126" xfId="1002" xr:uid="{00000000-0005-0000-0000-0000ED030000}"/>
    <cellStyle name="Followed Hyperlink 127" xfId="1003" xr:uid="{00000000-0005-0000-0000-0000EE030000}"/>
    <cellStyle name="Followed Hyperlink 128" xfId="1004" xr:uid="{00000000-0005-0000-0000-0000EF030000}"/>
    <cellStyle name="Followed Hyperlink 129" xfId="1005" xr:uid="{00000000-0005-0000-0000-0000F0030000}"/>
    <cellStyle name="Followed Hyperlink 13" xfId="1006" xr:uid="{00000000-0005-0000-0000-0000F1030000}"/>
    <cellStyle name="Followed Hyperlink 130" xfId="1007" xr:uid="{00000000-0005-0000-0000-0000F2030000}"/>
    <cellStyle name="Followed Hyperlink 131" xfId="1008" xr:uid="{00000000-0005-0000-0000-0000F3030000}"/>
    <cellStyle name="Followed Hyperlink 132" xfId="1009" xr:uid="{00000000-0005-0000-0000-0000F4030000}"/>
    <cellStyle name="Followed Hyperlink 133" xfId="1010" xr:uid="{00000000-0005-0000-0000-0000F5030000}"/>
    <cellStyle name="Followed Hyperlink 134" xfId="1011" xr:uid="{00000000-0005-0000-0000-0000F6030000}"/>
    <cellStyle name="Followed Hyperlink 135" xfId="1012" xr:uid="{00000000-0005-0000-0000-0000F7030000}"/>
    <cellStyle name="Followed Hyperlink 136" xfId="1013" xr:uid="{00000000-0005-0000-0000-0000F8030000}"/>
    <cellStyle name="Followed Hyperlink 137" xfId="1014" xr:uid="{00000000-0005-0000-0000-0000F9030000}"/>
    <cellStyle name="Followed Hyperlink 138" xfId="1015" xr:uid="{00000000-0005-0000-0000-0000FA030000}"/>
    <cellStyle name="Followed Hyperlink 139" xfId="1016" xr:uid="{00000000-0005-0000-0000-0000FB030000}"/>
    <cellStyle name="Followed Hyperlink 14" xfId="1017" xr:uid="{00000000-0005-0000-0000-0000FC030000}"/>
    <cellStyle name="Followed Hyperlink 140" xfId="1018" xr:uid="{00000000-0005-0000-0000-0000FD030000}"/>
    <cellStyle name="Followed Hyperlink 141" xfId="1019" xr:uid="{00000000-0005-0000-0000-0000FE030000}"/>
    <cellStyle name="Followed Hyperlink 142" xfId="1020" xr:uid="{00000000-0005-0000-0000-0000FF030000}"/>
    <cellStyle name="Followed Hyperlink 143" xfId="1021" xr:uid="{00000000-0005-0000-0000-000000040000}"/>
    <cellStyle name="Followed Hyperlink 144" xfId="1022" xr:uid="{00000000-0005-0000-0000-000001040000}"/>
    <cellStyle name="Followed Hyperlink 145" xfId="1023" xr:uid="{00000000-0005-0000-0000-000002040000}"/>
    <cellStyle name="Followed Hyperlink 146" xfId="1024" xr:uid="{00000000-0005-0000-0000-000003040000}"/>
    <cellStyle name="Followed Hyperlink 147" xfId="1025" xr:uid="{00000000-0005-0000-0000-000004040000}"/>
    <cellStyle name="Followed Hyperlink 148" xfId="1026" xr:uid="{00000000-0005-0000-0000-000005040000}"/>
    <cellStyle name="Followed Hyperlink 149" xfId="1027" xr:uid="{00000000-0005-0000-0000-000006040000}"/>
    <cellStyle name="Followed Hyperlink 15" xfId="1028" xr:uid="{00000000-0005-0000-0000-000007040000}"/>
    <cellStyle name="Followed Hyperlink 150" xfId="1029" xr:uid="{00000000-0005-0000-0000-000008040000}"/>
    <cellStyle name="Followed Hyperlink 151" xfId="1030" xr:uid="{00000000-0005-0000-0000-000009040000}"/>
    <cellStyle name="Followed Hyperlink 152" xfId="1031" xr:uid="{00000000-0005-0000-0000-00000A040000}"/>
    <cellStyle name="Followed Hyperlink 153" xfId="1032" xr:uid="{00000000-0005-0000-0000-00000B040000}"/>
    <cellStyle name="Followed Hyperlink 154" xfId="1033" xr:uid="{00000000-0005-0000-0000-00000C040000}"/>
    <cellStyle name="Followed Hyperlink 155" xfId="1034" xr:uid="{00000000-0005-0000-0000-00000D040000}"/>
    <cellStyle name="Followed Hyperlink 156" xfId="1035" xr:uid="{00000000-0005-0000-0000-00000E040000}"/>
    <cellStyle name="Followed Hyperlink 157" xfId="1036" xr:uid="{00000000-0005-0000-0000-00000F040000}"/>
    <cellStyle name="Followed Hyperlink 158" xfId="1037" xr:uid="{00000000-0005-0000-0000-000010040000}"/>
    <cellStyle name="Followed Hyperlink 159" xfId="1038" xr:uid="{00000000-0005-0000-0000-000011040000}"/>
    <cellStyle name="Followed Hyperlink 16" xfId="1039" xr:uid="{00000000-0005-0000-0000-000012040000}"/>
    <cellStyle name="Followed Hyperlink 160" xfId="1040" xr:uid="{00000000-0005-0000-0000-000013040000}"/>
    <cellStyle name="Followed Hyperlink 161" xfId="1041" xr:uid="{00000000-0005-0000-0000-000014040000}"/>
    <cellStyle name="Followed Hyperlink 162" xfId="1042" xr:uid="{00000000-0005-0000-0000-000015040000}"/>
    <cellStyle name="Followed Hyperlink 163" xfId="1043" xr:uid="{00000000-0005-0000-0000-000016040000}"/>
    <cellStyle name="Followed Hyperlink 164" xfId="1044" xr:uid="{00000000-0005-0000-0000-000017040000}"/>
    <cellStyle name="Followed Hyperlink 165" xfId="1045" xr:uid="{00000000-0005-0000-0000-000018040000}"/>
    <cellStyle name="Followed Hyperlink 166" xfId="1046" xr:uid="{00000000-0005-0000-0000-000019040000}"/>
    <cellStyle name="Followed Hyperlink 167" xfId="1047" xr:uid="{00000000-0005-0000-0000-00001A040000}"/>
    <cellStyle name="Followed Hyperlink 168" xfId="1048" xr:uid="{00000000-0005-0000-0000-00001B040000}"/>
    <cellStyle name="Followed Hyperlink 169" xfId="1049" xr:uid="{00000000-0005-0000-0000-00001C040000}"/>
    <cellStyle name="Followed Hyperlink 17" xfId="1050" xr:uid="{00000000-0005-0000-0000-00001D040000}"/>
    <cellStyle name="Followed Hyperlink 170" xfId="1051" xr:uid="{00000000-0005-0000-0000-00001E040000}"/>
    <cellStyle name="Followed Hyperlink 171" xfId="1052" xr:uid="{00000000-0005-0000-0000-00001F040000}"/>
    <cellStyle name="Followed Hyperlink 172" xfId="1053" xr:uid="{00000000-0005-0000-0000-000020040000}"/>
    <cellStyle name="Followed Hyperlink 173" xfId="1054" xr:uid="{00000000-0005-0000-0000-000021040000}"/>
    <cellStyle name="Followed Hyperlink 174" xfId="1055" xr:uid="{00000000-0005-0000-0000-000022040000}"/>
    <cellStyle name="Followed Hyperlink 175" xfId="1056" xr:uid="{00000000-0005-0000-0000-000023040000}"/>
    <cellStyle name="Followed Hyperlink 176" xfId="1057" xr:uid="{00000000-0005-0000-0000-000024040000}"/>
    <cellStyle name="Followed Hyperlink 177" xfId="1058" xr:uid="{00000000-0005-0000-0000-000025040000}"/>
    <cellStyle name="Followed Hyperlink 178" xfId="1059" xr:uid="{00000000-0005-0000-0000-000026040000}"/>
    <cellStyle name="Followed Hyperlink 179" xfId="1060" xr:uid="{00000000-0005-0000-0000-000027040000}"/>
    <cellStyle name="Followed Hyperlink 18" xfId="1061" xr:uid="{00000000-0005-0000-0000-000028040000}"/>
    <cellStyle name="Followed Hyperlink 180" xfId="1062" xr:uid="{00000000-0005-0000-0000-000029040000}"/>
    <cellStyle name="Followed Hyperlink 181" xfId="1063" xr:uid="{00000000-0005-0000-0000-00002A040000}"/>
    <cellStyle name="Followed Hyperlink 182" xfId="1064" xr:uid="{00000000-0005-0000-0000-00002B040000}"/>
    <cellStyle name="Followed Hyperlink 183" xfId="1065" xr:uid="{00000000-0005-0000-0000-00002C040000}"/>
    <cellStyle name="Followed Hyperlink 184" xfId="1066" xr:uid="{00000000-0005-0000-0000-00002D040000}"/>
    <cellStyle name="Followed Hyperlink 185" xfId="1067" xr:uid="{00000000-0005-0000-0000-00002E040000}"/>
    <cellStyle name="Followed Hyperlink 186" xfId="1068" xr:uid="{00000000-0005-0000-0000-00002F040000}"/>
    <cellStyle name="Followed Hyperlink 187" xfId="1069" xr:uid="{00000000-0005-0000-0000-000030040000}"/>
    <cellStyle name="Followed Hyperlink 188" xfId="1070" xr:uid="{00000000-0005-0000-0000-000031040000}"/>
    <cellStyle name="Followed Hyperlink 189" xfId="1071" xr:uid="{00000000-0005-0000-0000-000032040000}"/>
    <cellStyle name="Followed Hyperlink 19" xfId="1072" xr:uid="{00000000-0005-0000-0000-000033040000}"/>
    <cellStyle name="Followed Hyperlink 190" xfId="1073" xr:uid="{00000000-0005-0000-0000-000034040000}"/>
    <cellStyle name="Followed Hyperlink 191" xfId="1074" xr:uid="{00000000-0005-0000-0000-000035040000}"/>
    <cellStyle name="Followed Hyperlink 192" xfId="1075" xr:uid="{00000000-0005-0000-0000-000036040000}"/>
    <cellStyle name="Followed Hyperlink 193" xfId="1076" xr:uid="{00000000-0005-0000-0000-000037040000}"/>
    <cellStyle name="Followed Hyperlink 194" xfId="1077" xr:uid="{00000000-0005-0000-0000-000038040000}"/>
    <cellStyle name="Followed Hyperlink 195" xfId="1078" xr:uid="{00000000-0005-0000-0000-000039040000}"/>
    <cellStyle name="Followed Hyperlink 196" xfId="1079" xr:uid="{00000000-0005-0000-0000-00003A040000}"/>
    <cellStyle name="Followed Hyperlink 197" xfId="1080" xr:uid="{00000000-0005-0000-0000-00003B040000}"/>
    <cellStyle name="Followed Hyperlink 198" xfId="1081" xr:uid="{00000000-0005-0000-0000-00003C040000}"/>
    <cellStyle name="Followed Hyperlink 199" xfId="1082" xr:uid="{00000000-0005-0000-0000-00003D040000}"/>
    <cellStyle name="Followed Hyperlink 2" xfId="1083" xr:uid="{00000000-0005-0000-0000-00003E040000}"/>
    <cellStyle name="Followed Hyperlink 20" xfId="1084" xr:uid="{00000000-0005-0000-0000-00003F040000}"/>
    <cellStyle name="Followed Hyperlink 200" xfId="1085" xr:uid="{00000000-0005-0000-0000-000040040000}"/>
    <cellStyle name="Followed Hyperlink 201" xfId="1086" xr:uid="{00000000-0005-0000-0000-000041040000}"/>
    <cellStyle name="Followed Hyperlink 202" xfId="1087" xr:uid="{00000000-0005-0000-0000-000042040000}"/>
    <cellStyle name="Followed Hyperlink 203" xfId="1088" xr:uid="{00000000-0005-0000-0000-000043040000}"/>
    <cellStyle name="Followed Hyperlink 204" xfId="1089" xr:uid="{00000000-0005-0000-0000-000044040000}"/>
    <cellStyle name="Followed Hyperlink 205" xfId="1090" xr:uid="{00000000-0005-0000-0000-000045040000}"/>
    <cellStyle name="Followed Hyperlink 206" xfId="1091" xr:uid="{00000000-0005-0000-0000-000046040000}"/>
    <cellStyle name="Followed Hyperlink 207" xfId="1092" xr:uid="{00000000-0005-0000-0000-000047040000}"/>
    <cellStyle name="Followed Hyperlink 208" xfId="1093" xr:uid="{00000000-0005-0000-0000-000048040000}"/>
    <cellStyle name="Followed Hyperlink 209" xfId="1094" xr:uid="{00000000-0005-0000-0000-000049040000}"/>
    <cellStyle name="Followed Hyperlink 21" xfId="1095" xr:uid="{00000000-0005-0000-0000-00004A040000}"/>
    <cellStyle name="Followed Hyperlink 210" xfId="1096" xr:uid="{00000000-0005-0000-0000-00004B040000}"/>
    <cellStyle name="Followed Hyperlink 211" xfId="1097" xr:uid="{00000000-0005-0000-0000-00004C040000}"/>
    <cellStyle name="Followed Hyperlink 212" xfId="1098" xr:uid="{00000000-0005-0000-0000-00004D040000}"/>
    <cellStyle name="Followed Hyperlink 213" xfId="1099" xr:uid="{00000000-0005-0000-0000-00004E040000}"/>
    <cellStyle name="Followed Hyperlink 214" xfId="1100" xr:uid="{00000000-0005-0000-0000-00004F040000}"/>
    <cellStyle name="Followed Hyperlink 215" xfId="1101" xr:uid="{00000000-0005-0000-0000-000050040000}"/>
    <cellStyle name="Followed Hyperlink 216" xfId="1102" xr:uid="{00000000-0005-0000-0000-000051040000}"/>
    <cellStyle name="Followed Hyperlink 217" xfId="1103" xr:uid="{00000000-0005-0000-0000-000052040000}"/>
    <cellStyle name="Followed Hyperlink 218" xfId="1104" xr:uid="{00000000-0005-0000-0000-000053040000}"/>
    <cellStyle name="Followed Hyperlink 219" xfId="1105" xr:uid="{00000000-0005-0000-0000-000054040000}"/>
    <cellStyle name="Followed Hyperlink 22" xfId="1106" xr:uid="{00000000-0005-0000-0000-000055040000}"/>
    <cellStyle name="Followed Hyperlink 220" xfId="1107" xr:uid="{00000000-0005-0000-0000-000056040000}"/>
    <cellStyle name="Followed Hyperlink 221" xfId="1108" xr:uid="{00000000-0005-0000-0000-000057040000}"/>
    <cellStyle name="Followed Hyperlink 222" xfId="1109" xr:uid="{00000000-0005-0000-0000-000058040000}"/>
    <cellStyle name="Followed Hyperlink 223" xfId="1110" xr:uid="{00000000-0005-0000-0000-000059040000}"/>
    <cellStyle name="Followed Hyperlink 224" xfId="1111" xr:uid="{00000000-0005-0000-0000-00005A040000}"/>
    <cellStyle name="Followed Hyperlink 225" xfId="1112" xr:uid="{00000000-0005-0000-0000-00005B040000}"/>
    <cellStyle name="Followed Hyperlink 226" xfId="1113" xr:uid="{00000000-0005-0000-0000-00005C040000}"/>
    <cellStyle name="Followed Hyperlink 227" xfId="1114" xr:uid="{00000000-0005-0000-0000-00005D040000}"/>
    <cellStyle name="Followed Hyperlink 228" xfId="1115" xr:uid="{00000000-0005-0000-0000-00005E040000}"/>
    <cellStyle name="Followed Hyperlink 229" xfId="1116" xr:uid="{00000000-0005-0000-0000-00005F040000}"/>
    <cellStyle name="Followed Hyperlink 23" xfId="1117" xr:uid="{00000000-0005-0000-0000-000060040000}"/>
    <cellStyle name="Followed Hyperlink 230" xfId="1118" xr:uid="{00000000-0005-0000-0000-000061040000}"/>
    <cellStyle name="Followed Hyperlink 231" xfId="1119" xr:uid="{00000000-0005-0000-0000-000062040000}"/>
    <cellStyle name="Followed Hyperlink 232" xfId="1120" xr:uid="{00000000-0005-0000-0000-000063040000}"/>
    <cellStyle name="Followed Hyperlink 233" xfId="1121" xr:uid="{00000000-0005-0000-0000-000064040000}"/>
    <cellStyle name="Followed Hyperlink 234" xfId="1122" xr:uid="{00000000-0005-0000-0000-000065040000}"/>
    <cellStyle name="Followed Hyperlink 235" xfId="1123" xr:uid="{00000000-0005-0000-0000-000066040000}"/>
    <cellStyle name="Followed Hyperlink 236" xfId="1124" xr:uid="{00000000-0005-0000-0000-000067040000}"/>
    <cellStyle name="Followed Hyperlink 237" xfId="1125" xr:uid="{00000000-0005-0000-0000-000068040000}"/>
    <cellStyle name="Followed Hyperlink 238" xfId="1126" xr:uid="{00000000-0005-0000-0000-000069040000}"/>
    <cellStyle name="Followed Hyperlink 239" xfId="1127" xr:uid="{00000000-0005-0000-0000-00006A040000}"/>
    <cellStyle name="Followed Hyperlink 24" xfId="1128" xr:uid="{00000000-0005-0000-0000-00006B040000}"/>
    <cellStyle name="Followed Hyperlink 240" xfId="1129" xr:uid="{00000000-0005-0000-0000-00006C040000}"/>
    <cellStyle name="Followed Hyperlink 241" xfId="1130" xr:uid="{00000000-0005-0000-0000-00006D040000}"/>
    <cellStyle name="Followed Hyperlink 242" xfId="1131" xr:uid="{00000000-0005-0000-0000-00006E040000}"/>
    <cellStyle name="Followed Hyperlink 243" xfId="1132" xr:uid="{00000000-0005-0000-0000-00006F040000}"/>
    <cellStyle name="Followed Hyperlink 244" xfId="1133" xr:uid="{00000000-0005-0000-0000-000070040000}"/>
    <cellStyle name="Followed Hyperlink 245" xfId="1134" xr:uid="{00000000-0005-0000-0000-000071040000}"/>
    <cellStyle name="Followed Hyperlink 246" xfId="1135" xr:uid="{00000000-0005-0000-0000-000072040000}"/>
    <cellStyle name="Followed Hyperlink 247" xfId="1136" xr:uid="{00000000-0005-0000-0000-000073040000}"/>
    <cellStyle name="Followed Hyperlink 248" xfId="1137" xr:uid="{00000000-0005-0000-0000-000074040000}"/>
    <cellStyle name="Followed Hyperlink 249" xfId="1138" xr:uid="{00000000-0005-0000-0000-000075040000}"/>
    <cellStyle name="Followed Hyperlink 25" xfId="1139" xr:uid="{00000000-0005-0000-0000-000076040000}"/>
    <cellStyle name="Followed Hyperlink 250" xfId="1140" xr:uid="{00000000-0005-0000-0000-000077040000}"/>
    <cellStyle name="Followed Hyperlink 251" xfId="1141" xr:uid="{00000000-0005-0000-0000-000078040000}"/>
    <cellStyle name="Followed Hyperlink 252" xfId="1142" xr:uid="{00000000-0005-0000-0000-000079040000}"/>
    <cellStyle name="Followed Hyperlink 253" xfId="1143" xr:uid="{00000000-0005-0000-0000-00007A040000}"/>
    <cellStyle name="Followed Hyperlink 254" xfId="1144" xr:uid="{00000000-0005-0000-0000-00007B040000}"/>
    <cellStyle name="Followed Hyperlink 255" xfId="1145" xr:uid="{00000000-0005-0000-0000-00007C040000}"/>
    <cellStyle name="Followed Hyperlink 256" xfId="1146" xr:uid="{00000000-0005-0000-0000-00007D040000}"/>
    <cellStyle name="Followed Hyperlink 257" xfId="1147" xr:uid="{00000000-0005-0000-0000-00007E040000}"/>
    <cellStyle name="Followed Hyperlink 258" xfId="1148" xr:uid="{00000000-0005-0000-0000-00007F040000}"/>
    <cellStyle name="Followed Hyperlink 259" xfId="1149" xr:uid="{00000000-0005-0000-0000-000080040000}"/>
    <cellStyle name="Followed Hyperlink 26" xfId="1150" xr:uid="{00000000-0005-0000-0000-000081040000}"/>
    <cellStyle name="Followed Hyperlink 260" xfId="1151" xr:uid="{00000000-0005-0000-0000-000082040000}"/>
    <cellStyle name="Followed Hyperlink 261" xfId="1152" xr:uid="{00000000-0005-0000-0000-000083040000}"/>
    <cellStyle name="Followed Hyperlink 262" xfId="1153" xr:uid="{00000000-0005-0000-0000-000084040000}"/>
    <cellStyle name="Followed Hyperlink 263" xfId="1154" xr:uid="{00000000-0005-0000-0000-000085040000}"/>
    <cellStyle name="Followed Hyperlink 264" xfId="1155" xr:uid="{00000000-0005-0000-0000-000086040000}"/>
    <cellStyle name="Followed Hyperlink 265" xfId="1156" xr:uid="{00000000-0005-0000-0000-000087040000}"/>
    <cellStyle name="Followed Hyperlink 266" xfId="1157" xr:uid="{00000000-0005-0000-0000-000088040000}"/>
    <cellStyle name="Followed Hyperlink 267" xfId="1158" xr:uid="{00000000-0005-0000-0000-000089040000}"/>
    <cellStyle name="Followed Hyperlink 268" xfId="1159" xr:uid="{00000000-0005-0000-0000-00008A040000}"/>
    <cellStyle name="Followed Hyperlink 269" xfId="1160" xr:uid="{00000000-0005-0000-0000-00008B040000}"/>
    <cellStyle name="Followed Hyperlink 27" xfId="1161" xr:uid="{00000000-0005-0000-0000-00008C040000}"/>
    <cellStyle name="Followed Hyperlink 270" xfId="1162" xr:uid="{00000000-0005-0000-0000-00008D040000}"/>
    <cellStyle name="Followed Hyperlink 271" xfId="1163" xr:uid="{00000000-0005-0000-0000-00008E040000}"/>
    <cellStyle name="Followed Hyperlink 272" xfId="1164" xr:uid="{00000000-0005-0000-0000-00008F040000}"/>
    <cellStyle name="Followed Hyperlink 273" xfId="1165" xr:uid="{00000000-0005-0000-0000-000090040000}"/>
    <cellStyle name="Followed Hyperlink 274" xfId="1166" xr:uid="{00000000-0005-0000-0000-000091040000}"/>
    <cellStyle name="Followed Hyperlink 28" xfId="1167" xr:uid="{00000000-0005-0000-0000-000092040000}"/>
    <cellStyle name="Followed Hyperlink 29" xfId="1168" xr:uid="{00000000-0005-0000-0000-000093040000}"/>
    <cellStyle name="Followed Hyperlink 3" xfId="1169" xr:uid="{00000000-0005-0000-0000-000094040000}"/>
    <cellStyle name="Followed Hyperlink 30" xfId="1170" xr:uid="{00000000-0005-0000-0000-000095040000}"/>
    <cellStyle name="Followed Hyperlink 31" xfId="1171" xr:uid="{00000000-0005-0000-0000-000096040000}"/>
    <cellStyle name="Followed Hyperlink 32" xfId="1172" xr:uid="{00000000-0005-0000-0000-000097040000}"/>
    <cellStyle name="Followed Hyperlink 33" xfId="1173" xr:uid="{00000000-0005-0000-0000-000098040000}"/>
    <cellStyle name="Followed Hyperlink 34" xfId="1174" xr:uid="{00000000-0005-0000-0000-000099040000}"/>
    <cellStyle name="Followed Hyperlink 35" xfId="1175" xr:uid="{00000000-0005-0000-0000-00009A040000}"/>
    <cellStyle name="Followed Hyperlink 36" xfId="1176" xr:uid="{00000000-0005-0000-0000-00009B040000}"/>
    <cellStyle name="Followed Hyperlink 37" xfId="1177" xr:uid="{00000000-0005-0000-0000-00009C040000}"/>
    <cellStyle name="Followed Hyperlink 38" xfId="1178" xr:uid="{00000000-0005-0000-0000-00009D040000}"/>
    <cellStyle name="Followed Hyperlink 39" xfId="1179" xr:uid="{00000000-0005-0000-0000-00009E040000}"/>
    <cellStyle name="Followed Hyperlink 4" xfId="1180" xr:uid="{00000000-0005-0000-0000-00009F040000}"/>
    <cellStyle name="Followed Hyperlink 40" xfId="1181" xr:uid="{00000000-0005-0000-0000-0000A0040000}"/>
    <cellStyle name="Followed Hyperlink 41" xfId="1182" xr:uid="{00000000-0005-0000-0000-0000A1040000}"/>
    <cellStyle name="Followed Hyperlink 42" xfId="1183" xr:uid="{00000000-0005-0000-0000-0000A2040000}"/>
    <cellStyle name="Followed Hyperlink 43" xfId="1184" xr:uid="{00000000-0005-0000-0000-0000A3040000}"/>
    <cellStyle name="Followed Hyperlink 44" xfId="1185" xr:uid="{00000000-0005-0000-0000-0000A4040000}"/>
    <cellStyle name="Followed Hyperlink 45" xfId="1186" xr:uid="{00000000-0005-0000-0000-0000A5040000}"/>
    <cellStyle name="Followed Hyperlink 46" xfId="1187" xr:uid="{00000000-0005-0000-0000-0000A6040000}"/>
    <cellStyle name="Followed Hyperlink 47" xfId="1188" xr:uid="{00000000-0005-0000-0000-0000A7040000}"/>
    <cellStyle name="Followed Hyperlink 48" xfId="1189" xr:uid="{00000000-0005-0000-0000-0000A8040000}"/>
    <cellStyle name="Followed Hyperlink 49" xfId="1190" xr:uid="{00000000-0005-0000-0000-0000A9040000}"/>
    <cellStyle name="Followed Hyperlink 5" xfId="1191" xr:uid="{00000000-0005-0000-0000-0000AA040000}"/>
    <cellStyle name="Followed Hyperlink 50" xfId="1192" xr:uid="{00000000-0005-0000-0000-0000AB040000}"/>
    <cellStyle name="Followed Hyperlink 51" xfId="1193" xr:uid="{00000000-0005-0000-0000-0000AC040000}"/>
    <cellStyle name="Followed Hyperlink 52" xfId="1194" xr:uid="{00000000-0005-0000-0000-0000AD040000}"/>
    <cellStyle name="Followed Hyperlink 53" xfId="1195" xr:uid="{00000000-0005-0000-0000-0000AE040000}"/>
    <cellStyle name="Followed Hyperlink 54" xfId="1196" xr:uid="{00000000-0005-0000-0000-0000AF040000}"/>
    <cellStyle name="Followed Hyperlink 55" xfId="1197" xr:uid="{00000000-0005-0000-0000-0000B0040000}"/>
    <cellStyle name="Followed Hyperlink 56" xfId="1198" xr:uid="{00000000-0005-0000-0000-0000B1040000}"/>
    <cellStyle name="Followed Hyperlink 57" xfId="1199" xr:uid="{00000000-0005-0000-0000-0000B2040000}"/>
    <cellStyle name="Followed Hyperlink 58" xfId="1200" xr:uid="{00000000-0005-0000-0000-0000B3040000}"/>
    <cellStyle name="Followed Hyperlink 59" xfId="1201" xr:uid="{00000000-0005-0000-0000-0000B4040000}"/>
    <cellStyle name="Followed Hyperlink 6" xfId="1202" xr:uid="{00000000-0005-0000-0000-0000B5040000}"/>
    <cellStyle name="Followed Hyperlink 60" xfId="1203" xr:uid="{00000000-0005-0000-0000-0000B6040000}"/>
    <cellStyle name="Followed Hyperlink 61" xfId="1204" xr:uid="{00000000-0005-0000-0000-0000B7040000}"/>
    <cellStyle name="Followed Hyperlink 62" xfId="1205" xr:uid="{00000000-0005-0000-0000-0000B8040000}"/>
    <cellStyle name="Followed Hyperlink 63" xfId="1206" xr:uid="{00000000-0005-0000-0000-0000B9040000}"/>
    <cellStyle name="Followed Hyperlink 64" xfId="1207" xr:uid="{00000000-0005-0000-0000-0000BA040000}"/>
    <cellStyle name="Followed Hyperlink 65" xfId="1208" xr:uid="{00000000-0005-0000-0000-0000BB040000}"/>
    <cellStyle name="Followed Hyperlink 66" xfId="1209" xr:uid="{00000000-0005-0000-0000-0000BC040000}"/>
    <cellStyle name="Followed Hyperlink 67" xfId="1210" xr:uid="{00000000-0005-0000-0000-0000BD040000}"/>
    <cellStyle name="Followed Hyperlink 68" xfId="1211" xr:uid="{00000000-0005-0000-0000-0000BE040000}"/>
    <cellStyle name="Followed Hyperlink 69" xfId="1212" xr:uid="{00000000-0005-0000-0000-0000BF040000}"/>
    <cellStyle name="Followed Hyperlink 7" xfId="1213" xr:uid="{00000000-0005-0000-0000-0000C0040000}"/>
    <cellStyle name="Followed Hyperlink 70" xfId="1214" xr:uid="{00000000-0005-0000-0000-0000C1040000}"/>
    <cellStyle name="Followed Hyperlink 71" xfId="1215" xr:uid="{00000000-0005-0000-0000-0000C2040000}"/>
    <cellStyle name="Followed Hyperlink 72" xfId="1216" xr:uid="{00000000-0005-0000-0000-0000C3040000}"/>
    <cellStyle name="Followed Hyperlink 73" xfId="1217" xr:uid="{00000000-0005-0000-0000-0000C4040000}"/>
    <cellStyle name="Followed Hyperlink 74" xfId="1218" xr:uid="{00000000-0005-0000-0000-0000C5040000}"/>
    <cellStyle name="Followed Hyperlink 75" xfId="1219" xr:uid="{00000000-0005-0000-0000-0000C6040000}"/>
    <cellStyle name="Followed Hyperlink 76" xfId="1220" xr:uid="{00000000-0005-0000-0000-0000C7040000}"/>
    <cellStyle name="Followed Hyperlink 77" xfId="1221" xr:uid="{00000000-0005-0000-0000-0000C8040000}"/>
    <cellStyle name="Followed Hyperlink 78" xfId="1222" xr:uid="{00000000-0005-0000-0000-0000C9040000}"/>
    <cellStyle name="Followed Hyperlink 79" xfId="1223" xr:uid="{00000000-0005-0000-0000-0000CA040000}"/>
    <cellStyle name="Followed Hyperlink 8" xfId="1224" xr:uid="{00000000-0005-0000-0000-0000CB040000}"/>
    <cellStyle name="Followed Hyperlink 80" xfId="1225" xr:uid="{00000000-0005-0000-0000-0000CC040000}"/>
    <cellStyle name="Followed Hyperlink 81" xfId="1226" xr:uid="{00000000-0005-0000-0000-0000CD040000}"/>
    <cellStyle name="Followed Hyperlink 82" xfId="1227" xr:uid="{00000000-0005-0000-0000-0000CE040000}"/>
    <cellStyle name="Followed Hyperlink 83" xfId="1228" xr:uid="{00000000-0005-0000-0000-0000CF040000}"/>
    <cellStyle name="Followed Hyperlink 84" xfId="1229" xr:uid="{00000000-0005-0000-0000-0000D0040000}"/>
    <cellStyle name="Followed Hyperlink 85" xfId="1230" xr:uid="{00000000-0005-0000-0000-0000D1040000}"/>
    <cellStyle name="Followed Hyperlink 86" xfId="1231" xr:uid="{00000000-0005-0000-0000-0000D2040000}"/>
    <cellStyle name="Followed Hyperlink 87" xfId="1232" xr:uid="{00000000-0005-0000-0000-0000D3040000}"/>
    <cellStyle name="Followed Hyperlink 88" xfId="1233" xr:uid="{00000000-0005-0000-0000-0000D4040000}"/>
    <cellStyle name="Followed Hyperlink 89" xfId="1234" xr:uid="{00000000-0005-0000-0000-0000D5040000}"/>
    <cellStyle name="Followed Hyperlink 9" xfId="1235" xr:uid="{00000000-0005-0000-0000-0000D6040000}"/>
    <cellStyle name="Followed Hyperlink 90" xfId="1236" xr:uid="{00000000-0005-0000-0000-0000D7040000}"/>
    <cellStyle name="Followed Hyperlink 91" xfId="1237" xr:uid="{00000000-0005-0000-0000-0000D8040000}"/>
    <cellStyle name="Followed Hyperlink 92" xfId="1238" xr:uid="{00000000-0005-0000-0000-0000D9040000}"/>
    <cellStyle name="Followed Hyperlink 93" xfId="1239" xr:uid="{00000000-0005-0000-0000-0000DA040000}"/>
    <cellStyle name="Followed Hyperlink 94" xfId="1240" xr:uid="{00000000-0005-0000-0000-0000DB040000}"/>
    <cellStyle name="Followed Hyperlink 95" xfId="1241" xr:uid="{00000000-0005-0000-0000-0000DC040000}"/>
    <cellStyle name="Followed Hyperlink 96" xfId="1242" xr:uid="{00000000-0005-0000-0000-0000DD040000}"/>
    <cellStyle name="Followed Hyperlink 97" xfId="1243" xr:uid="{00000000-0005-0000-0000-0000DE040000}"/>
    <cellStyle name="Followed Hyperlink 98" xfId="1244" xr:uid="{00000000-0005-0000-0000-0000DF040000}"/>
    <cellStyle name="Followed Hyperlink 99" xfId="1245" xr:uid="{00000000-0005-0000-0000-0000E0040000}"/>
    <cellStyle name="Good 2" xfId="1246" xr:uid="{00000000-0005-0000-0000-0000E1040000}"/>
    <cellStyle name="Good 2 2" xfId="1247" xr:uid="{00000000-0005-0000-0000-0000E2040000}"/>
    <cellStyle name="Good 2 2 2" xfId="1248" xr:uid="{00000000-0005-0000-0000-0000E3040000}"/>
    <cellStyle name="Good 2 2 3" xfId="1249" xr:uid="{00000000-0005-0000-0000-0000E4040000}"/>
    <cellStyle name="Good 2 2_AGL" xfId="1250" xr:uid="{00000000-0005-0000-0000-0000E5040000}"/>
    <cellStyle name="Good 2 3" xfId="1251" xr:uid="{00000000-0005-0000-0000-0000E6040000}"/>
    <cellStyle name="Good 2 4" xfId="1252" xr:uid="{00000000-0005-0000-0000-0000E7040000}"/>
    <cellStyle name="Good 2 5" xfId="4535" xr:uid="{00000000-0005-0000-0000-0000BA110000}"/>
    <cellStyle name="Good 2_AGL" xfId="1253" xr:uid="{00000000-0005-0000-0000-0000E8040000}"/>
    <cellStyle name="Good 3" xfId="1254" xr:uid="{00000000-0005-0000-0000-0000E9040000}"/>
    <cellStyle name="Good 3 2" xfId="1255" xr:uid="{00000000-0005-0000-0000-0000EA040000}"/>
    <cellStyle name="Good 3 3" xfId="1256" xr:uid="{00000000-0005-0000-0000-0000EB040000}"/>
    <cellStyle name="Good 3_AGL" xfId="1257" xr:uid="{00000000-0005-0000-0000-0000EC040000}"/>
    <cellStyle name="Good 4" xfId="1258" xr:uid="{00000000-0005-0000-0000-0000ED040000}"/>
    <cellStyle name="Good 5" xfId="1259" xr:uid="{00000000-0005-0000-0000-0000EE040000}"/>
    <cellStyle name="Header1" xfId="1260" xr:uid="{00000000-0005-0000-0000-0000EF040000}"/>
    <cellStyle name="Header1 2" xfId="1261" xr:uid="{00000000-0005-0000-0000-0000F0040000}"/>
    <cellStyle name="Header1 3" xfId="4536" xr:uid="{00000000-0005-0000-0000-0000BB110000}"/>
    <cellStyle name="Header2" xfId="1262" xr:uid="{00000000-0005-0000-0000-0000F1040000}"/>
    <cellStyle name="Header2 10" xfId="1263" xr:uid="{00000000-0005-0000-0000-0000F2040000}"/>
    <cellStyle name="Header2 10 2" xfId="4355" xr:uid="{00000000-0005-0000-0000-000006110000}"/>
    <cellStyle name="Header2 11" xfId="1264" xr:uid="{00000000-0005-0000-0000-0000F3040000}"/>
    <cellStyle name="Header2 11 2" xfId="4354" xr:uid="{00000000-0005-0000-0000-000005110000}"/>
    <cellStyle name="Header2 12" xfId="4356" xr:uid="{00000000-0005-0000-0000-000007110000}"/>
    <cellStyle name="Header2 2" xfId="1265" xr:uid="{00000000-0005-0000-0000-0000F4040000}"/>
    <cellStyle name="Header2 2 2" xfId="1266" xr:uid="{00000000-0005-0000-0000-0000F5040000}"/>
    <cellStyle name="Header2 2 2 2" xfId="4352" xr:uid="{00000000-0005-0000-0000-000003110000}"/>
    <cellStyle name="Header2 2 3" xfId="4353" xr:uid="{00000000-0005-0000-0000-000004110000}"/>
    <cellStyle name="Header2 2_Sheet10" xfId="1267" xr:uid="{00000000-0005-0000-0000-0000F6040000}"/>
    <cellStyle name="Header2 3" xfId="1268" xr:uid="{00000000-0005-0000-0000-0000F7040000}"/>
    <cellStyle name="Header2 3 2" xfId="1269" xr:uid="{00000000-0005-0000-0000-0000F8040000}"/>
    <cellStyle name="Header2 3 2 2" xfId="4350" xr:uid="{00000000-0005-0000-0000-000001110000}"/>
    <cellStyle name="Header2 3 3" xfId="4351" xr:uid="{00000000-0005-0000-0000-000002110000}"/>
    <cellStyle name="Header2 4" xfId="1270" xr:uid="{00000000-0005-0000-0000-0000F9040000}"/>
    <cellStyle name="Header2 4 2" xfId="4349" xr:uid="{00000000-0005-0000-0000-000000110000}"/>
    <cellStyle name="Header2 5" xfId="1271" xr:uid="{00000000-0005-0000-0000-0000FA040000}"/>
    <cellStyle name="Header2 5 2" xfId="4348" xr:uid="{00000000-0005-0000-0000-0000FF100000}"/>
    <cellStyle name="Header2 6" xfId="1272" xr:uid="{00000000-0005-0000-0000-0000FB040000}"/>
    <cellStyle name="Header2 6 2" xfId="4347" xr:uid="{00000000-0005-0000-0000-0000FE100000}"/>
    <cellStyle name="Header2 7" xfId="1273" xr:uid="{00000000-0005-0000-0000-0000FC040000}"/>
    <cellStyle name="Header2 7 2" xfId="4346" xr:uid="{00000000-0005-0000-0000-0000FD100000}"/>
    <cellStyle name="Header2 8" xfId="1274" xr:uid="{00000000-0005-0000-0000-0000FD040000}"/>
    <cellStyle name="Header2 8 2" xfId="4345" xr:uid="{00000000-0005-0000-0000-0000FC100000}"/>
    <cellStyle name="Header2 9" xfId="1275" xr:uid="{00000000-0005-0000-0000-0000FE040000}"/>
    <cellStyle name="Header2 9 2" xfId="4344" xr:uid="{00000000-0005-0000-0000-0000FB100000}"/>
    <cellStyle name="Header2_AGL" xfId="1276" xr:uid="{00000000-0005-0000-0000-0000FF040000}"/>
    <cellStyle name="Heading" xfId="21" xr:uid="{00000000-0005-0000-0000-000018000000}"/>
    <cellStyle name="Heading 1 10" xfId="1277" xr:uid="{00000000-0005-0000-0000-000000050000}"/>
    <cellStyle name="Heading 1 2" xfId="1278" xr:uid="{00000000-0005-0000-0000-000001050000}"/>
    <cellStyle name="Heading 1 2 2" xfId="1279" xr:uid="{00000000-0005-0000-0000-000002050000}"/>
    <cellStyle name="Heading 1 2 2 2" xfId="1280" xr:uid="{00000000-0005-0000-0000-000003050000}"/>
    <cellStyle name="Heading 1 2 2 3" xfId="1281" xr:uid="{00000000-0005-0000-0000-000004050000}"/>
    <cellStyle name="Heading 1 2 2_AGL" xfId="1282" xr:uid="{00000000-0005-0000-0000-000005050000}"/>
    <cellStyle name="Heading 1 2 3" xfId="1283" xr:uid="{00000000-0005-0000-0000-000006050000}"/>
    <cellStyle name="Heading 1 2 4" xfId="1284" xr:uid="{00000000-0005-0000-0000-000007050000}"/>
    <cellStyle name="Heading 1 2 5" xfId="1285" xr:uid="{00000000-0005-0000-0000-000008050000}"/>
    <cellStyle name="Heading 1 2 6" xfId="1286" xr:uid="{00000000-0005-0000-0000-000009050000}"/>
    <cellStyle name="Heading 1 2 7" xfId="1287" xr:uid="{00000000-0005-0000-0000-00000A050000}"/>
    <cellStyle name="Heading 1 2 8" xfId="1288" xr:uid="{00000000-0005-0000-0000-00000B050000}"/>
    <cellStyle name="Heading 1 2 9" xfId="1289" xr:uid="{00000000-0005-0000-0000-00000C050000}"/>
    <cellStyle name="Heading 1 2_AGL" xfId="1290" xr:uid="{00000000-0005-0000-0000-00000D050000}"/>
    <cellStyle name="Heading 1 3" xfId="1291" xr:uid="{00000000-0005-0000-0000-00000E050000}"/>
    <cellStyle name="Heading 1 3 2" xfId="57" xr:uid="{00000000-0005-0000-0000-00003C000000}"/>
    <cellStyle name="Heading 1 3 2 2" xfId="1292" xr:uid="{00000000-0005-0000-0000-00000F050000}"/>
    <cellStyle name="Heading 1 3 2 3" xfId="1293" xr:uid="{00000000-0005-0000-0000-000010050000}"/>
    <cellStyle name="Heading 1 3 2_AGL" xfId="1294" xr:uid="{00000000-0005-0000-0000-000011050000}"/>
    <cellStyle name="Heading 1 3 3" xfId="1295" xr:uid="{00000000-0005-0000-0000-000012050000}"/>
    <cellStyle name="Heading 1 3 4" xfId="1296" xr:uid="{00000000-0005-0000-0000-000013050000}"/>
    <cellStyle name="Heading 1 3_AGL" xfId="1297" xr:uid="{00000000-0005-0000-0000-000014050000}"/>
    <cellStyle name="Heading 1 4" xfId="59" xr:uid="{00000000-0005-0000-0000-00003E000000}"/>
    <cellStyle name="Heading 1 4 2" xfId="1298" xr:uid="{00000000-0005-0000-0000-000015050000}"/>
    <cellStyle name="Heading 1 4 3" xfId="1299" xr:uid="{00000000-0005-0000-0000-000016050000}"/>
    <cellStyle name="Heading 1 4_AGL" xfId="1300" xr:uid="{00000000-0005-0000-0000-000017050000}"/>
    <cellStyle name="Heading 1 5" xfId="1301" xr:uid="{00000000-0005-0000-0000-000018050000}"/>
    <cellStyle name="Heading 1 6" xfId="1302" xr:uid="{00000000-0005-0000-0000-000019050000}"/>
    <cellStyle name="Heading 1 7" xfId="1303" xr:uid="{00000000-0005-0000-0000-00001A050000}"/>
    <cellStyle name="Heading 1 8" xfId="1304" xr:uid="{00000000-0005-0000-0000-00001B050000}"/>
    <cellStyle name="Heading 1 9" xfId="1305" xr:uid="{00000000-0005-0000-0000-00001C050000}"/>
    <cellStyle name="Heading 2" xfId="22" builtinId="17"/>
    <cellStyle name="Heading 2 2" xfId="1306" xr:uid="{00000000-0005-0000-0000-00001D050000}"/>
    <cellStyle name="Heading 2 2 10" xfId="4538" xr:uid="{00000000-0005-0000-0000-0000BD110000}"/>
    <cellStyle name="Heading 2 2 2" xfId="1307" xr:uid="{00000000-0005-0000-0000-00001E050000}"/>
    <cellStyle name="Heading 2 2 2 2" xfId="1308" xr:uid="{00000000-0005-0000-0000-00001F050000}"/>
    <cellStyle name="Heading 2 2 2 3" xfId="1309" xr:uid="{00000000-0005-0000-0000-000020050000}"/>
    <cellStyle name="Heading 2 2 2 4" xfId="4554" xr:uid="{00000000-0005-0000-0000-0000CD110000}"/>
    <cellStyle name="Heading 2 2 2_AGL" xfId="1310" xr:uid="{00000000-0005-0000-0000-000021050000}"/>
    <cellStyle name="Heading 2 2 3" xfId="1311" xr:uid="{00000000-0005-0000-0000-000022050000}"/>
    <cellStyle name="Heading 2 2 4" xfId="1312" xr:uid="{00000000-0005-0000-0000-000023050000}"/>
    <cellStyle name="Heading 2 2 5" xfId="1313" xr:uid="{00000000-0005-0000-0000-000024050000}"/>
    <cellStyle name="Heading 2 2 6" xfId="1314" xr:uid="{00000000-0005-0000-0000-000025050000}"/>
    <cellStyle name="Heading 2 2 7" xfId="1315" xr:uid="{00000000-0005-0000-0000-000026050000}"/>
    <cellStyle name="Heading 2 2 8" xfId="1316" xr:uid="{00000000-0005-0000-0000-000027050000}"/>
    <cellStyle name="Heading 2 2 9" xfId="1317" xr:uid="{00000000-0005-0000-0000-000028050000}"/>
    <cellStyle name="Heading 2 2_AGL" xfId="1318" xr:uid="{00000000-0005-0000-0000-000029050000}"/>
    <cellStyle name="Heading 2 3" xfId="1319" xr:uid="{00000000-0005-0000-0000-00002A050000}"/>
    <cellStyle name="Heading 2 3 2" xfId="1320" xr:uid="{00000000-0005-0000-0000-00002B050000}"/>
    <cellStyle name="Heading 2 3 3" xfId="1321" xr:uid="{00000000-0005-0000-0000-00002C050000}"/>
    <cellStyle name="Heading 2 3_AGL" xfId="1322" xr:uid="{00000000-0005-0000-0000-00002D050000}"/>
    <cellStyle name="Heading 2 4" xfId="1323" xr:uid="{00000000-0005-0000-0000-00002E050000}"/>
    <cellStyle name="Heading 2 4 2" xfId="1324" xr:uid="{00000000-0005-0000-0000-00002F050000}"/>
    <cellStyle name="Heading 2 4 3" xfId="1325" xr:uid="{00000000-0005-0000-0000-000030050000}"/>
    <cellStyle name="Heading 2 4_AGL" xfId="1326" xr:uid="{00000000-0005-0000-0000-000031050000}"/>
    <cellStyle name="Heading 2 5" xfId="1327" xr:uid="{00000000-0005-0000-0000-000032050000}"/>
    <cellStyle name="Heading 2 6" xfId="1328" xr:uid="{00000000-0005-0000-0000-000033050000}"/>
    <cellStyle name="Heading 2 7" xfId="4432" xr:uid="{00000000-0005-0000-0000-000053110000}"/>
    <cellStyle name="Heading 3" xfId="23" builtinId="18"/>
    <cellStyle name="Heading 3 2" xfId="24" xr:uid="{00000000-0005-0000-0000-00001B000000}"/>
    <cellStyle name="Heading 3 2 2" xfId="1329" xr:uid="{00000000-0005-0000-0000-000034050000}"/>
    <cellStyle name="Heading 3 2 3" xfId="1330" xr:uid="{00000000-0005-0000-0000-000035050000}"/>
    <cellStyle name="Heading 3 2_AGL" xfId="1331" xr:uid="{00000000-0005-0000-0000-000036050000}"/>
    <cellStyle name="Heading 3 3" xfId="1332" xr:uid="{00000000-0005-0000-0000-000037050000}"/>
    <cellStyle name="Heading 3 3 2" xfId="1333" xr:uid="{00000000-0005-0000-0000-000038050000}"/>
    <cellStyle name="Heading 3 3 3" xfId="1334" xr:uid="{00000000-0005-0000-0000-000039050000}"/>
    <cellStyle name="Heading 3 3_AGL" xfId="1335" xr:uid="{00000000-0005-0000-0000-00003A050000}"/>
    <cellStyle name="Heading 3 4" xfId="1336" xr:uid="{00000000-0005-0000-0000-00003B050000}"/>
    <cellStyle name="Heading 3 4 2" xfId="1337" xr:uid="{00000000-0005-0000-0000-00003C050000}"/>
    <cellStyle name="Heading 3 4 3" xfId="1338" xr:uid="{00000000-0005-0000-0000-00003D050000}"/>
    <cellStyle name="Heading 3 4_AGL" xfId="1339" xr:uid="{00000000-0005-0000-0000-00003E050000}"/>
    <cellStyle name="Heading 3 5" xfId="1340" xr:uid="{00000000-0005-0000-0000-00003F050000}"/>
    <cellStyle name="Heading 3 6" xfId="1341" xr:uid="{00000000-0005-0000-0000-000040050000}"/>
    <cellStyle name="Heading 4" xfId="25" builtinId="19"/>
    <cellStyle name="Heading 4 2" xfId="1342" xr:uid="{00000000-0005-0000-0000-000041050000}"/>
    <cellStyle name="Heading 4 2 2" xfId="1343" xr:uid="{00000000-0005-0000-0000-000042050000}"/>
    <cellStyle name="Heading 4 2 2 2" xfId="1344" xr:uid="{00000000-0005-0000-0000-000043050000}"/>
    <cellStyle name="Heading 4 2 2 3" xfId="1345" xr:uid="{00000000-0005-0000-0000-000044050000}"/>
    <cellStyle name="Heading 4 2 2_AGL" xfId="1346" xr:uid="{00000000-0005-0000-0000-000045050000}"/>
    <cellStyle name="Heading 4 2 3" xfId="1347" xr:uid="{00000000-0005-0000-0000-000046050000}"/>
    <cellStyle name="Heading 4 2 4" xfId="1348" xr:uid="{00000000-0005-0000-0000-000047050000}"/>
    <cellStyle name="Heading 4 2 5" xfId="1349" xr:uid="{00000000-0005-0000-0000-000048050000}"/>
    <cellStyle name="Heading 4 2 6" xfId="1350" xr:uid="{00000000-0005-0000-0000-000049050000}"/>
    <cellStyle name="Heading 4 2 7" xfId="1351" xr:uid="{00000000-0005-0000-0000-00004A050000}"/>
    <cellStyle name="Heading 4 2 8" xfId="1352" xr:uid="{00000000-0005-0000-0000-00004B050000}"/>
    <cellStyle name="Heading 4 2 9" xfId="1353" xr:uid="{00000000-0005-0000-0000-00004C050000}"/>
    <cellStyle name="Heading 4 2_AGL" xfId="1354" xr:uid="{00000000-0005-0000-0000-00004D050000}"/>
    <cellStyle name="Heading 4 3" xfId="1355" xr:uid="{00000000-0005-0000-0000-00004E050000}"/>
    <cellStyle name="Heading 4 3 2" xfId="1356" xr:uid="{00000000-0005-0000-0000-00004F050000}"/>
    <cellStyle name="Heading 4 3 3" xfId="1357" xr:uid="{00000000-0005-0000-0000-000050050000}"/>
    <cellStyle name="Heading 4 3_AGL" xfId="1358" xr:uid="{00000000-0005-0000-0000-000051050000}"/>
    <cellStyle name="Heading 4 4" xfId="1359" xr:uid="{00000000-0005-0000-0000-000052050000}"/>
    <cellStyle name="Heading 4 5" xfId="1360" xr:uid="{00000000-0005-0000-0000-000053050000}"/>
    <cellStyle name="Heading 5" xfId="1361" xr:uid="{00000000-0005-0000-0000-000054050000}"/>
    <cellStyle name="Heading 6" xfId="1362" xr:uid="{00000000-0005-0000-0000-000055050000}"/>
    <cellStyle name="Heading 7" xfId="4537" xr:uid="{00000000-0005-0000-0000-0000BC110000}"/>
    <cellStyle name="Heading1" xfId="26" xr:uid="{00000000-0005-0000-0000-00001D000000}"/>
    <cellStyle name="Heading1 2" xfId="1363" xr:uid="{00000000-0005-0000-0000-000056050000}"/>
    <cellStyle name="Heading1 3" xfId="1364" xr:uid="{00000000-0005-0000-0000-000057050000}"/>
    <cellStyle name="Heading1 4" xfId="4539" xr:uid="{00000000-0005-0000-0000-0000BE110000}"/>
    <cellStyle name="Heading1_AGL" xfId="1365" xr:uid="{00000000-0005-0000-0000-000058050000}"/>
    <cellStyle name="Headline" xfId="27" xr:uid="{00000000-0005-0000-0000-00001E000000}"/>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4429" builtinId="8"/>
    <cellStyle name="Hyperlink 10" xfId="1366" xr:uid="{00000000-0005-0000-0000-000059050000}"/>
    <cellStyle name="Hyperlink 10 2" xfId="1367" xr:uid="{00000000-0005-0000-0000-00005A050000}"/>
    <cellStyle name="Hyperlink 10 3" xfId="1368" xr:uid="{00000000-0005-0000-0000-00005B050000}"/>
    <cellStyle name="Hyperlink 10 9" xfId="1369" xr:uid="{00000000-0005-0000-0000-00005C050000}"/>
    <cellStyle name="Hyperlink 10_AGL" xfId="1370" xr:uid="{00000000-0005-0000-0000-00005D050000}"/>
    <cellStyle name="Hyperlink 100" xfId="1371" xr:uid="{00000000-0005-0000-0000-00005E050000}"/>
    <cellStyle name="Hyperlink 100 2" xfId="1372" xr:uid="{00000000-0005-0000-0000-00005F050000}"/>
    <cellStyle name="Hyperlink 100 3" xfId="1373" xr:uid="{00000000-0005-0000-0000-000060050000}"/>
    <cellStyle name="Hyperlink 100 9" xfId="1374" xr:uid="{00000000-0005-0000-0000-000061050000}"/>
    <cellStyle name="Hyperlink 100_AGL" xfId="1375" xr:uid="{00000000-0005-0000-0000-000062050000}"/>
    <cellStyle name="Hyperlink 101" xfId="1376" xr:uid="{00000000-0005-0000-0000-000063050000}"/>
    <cellStyle name="Hyperlink 101 2" xfId="1377" xr:uid="{00000000-0005-0000-0000-000064050000}"/>
    <cellStyle name="Hyperlink 101 3" xfId="1378" xr:uid="{00000000-0005-0000-0000-000065050000}"/>
    <cellStyle name="Hyperlink 101 9" xfId="1379" xr:uid="{00000000-0005-0000-0000-000066050000}"/>
    <cellStyle name="Hyperlink 101_AGL" xfId="1380" xr:uid="{00000000-0005-0000-0000-000067050000}"/>
    <cellStyle name="Hyperlink 102" xfId="1381" xr:uid="{00000000-0005-0000-0000-000068050000}"/>
    <cellStyle name="Hyperlink 102 2" xfId="1382" xr:uid="{00000000-0005-0000-0000-000069050000}"/>
    <cellStyle name="Hyperlink 102 3" xfId="1383" xr:uid="{00000000-0005-0000-0000-00006A050000}"/>
    <cellStyle name="Hyperlink 102 9" xfId="1384" xr:uid="{00000000-0005-0000-0000-00006B050000}"/>
    <cellStyle name="Hyperlink 102_AGL" xfId="1385" xr:uid="{00000000-0005-0000-0000-00006C050000}"/>
    <cellStyle name="Hyperlink 103" xfId="1386" xr:uid="{00000000-0005-0000-0000-00006D050000}"/>
    <cellStyle name="Hyperlink 103 2" xfId="1387" xr:uid="{00000000-0005-0000-0000-00006E050000}"/>
    <cellStyle name="Hyperlink 103 3" xfId="1388" xr:uid="{00000000-0005-0000-0000-00006F050000}"/>
    <cellStyle name="Hyperlink 103 9" xfId="1389" xr:uid="{00000000-0005-0000-0000-000070050000}"/>
    <cellStyle name="Hyperlink 103_AGL" xfId="1390" xr:uid="{00000000-0005-0000-0000-000071050000}"/>
    <cellStyle name="Hyperlink 104" xfId="1391" xr:uid="{00000000-0005-0000-0000-000072050000}"/>
    <cellStyle name="Hyperlink 104 2" xfId="1392" xr:uid="{00000000-0005-0000-0000-000073050000}"/>
    <cellStyle name="Hyperlink 104 3" xfId="1393" xr:uid="{00000000-0005-0000-0000-000074050000}"/>
    <cellStyle name="Hyperlink 104 9" xfId="1394" xr:uid="{00000000-0005-0000-0000-000075050000}"/>
    <cellStyle name="Hyperlink 104_AGL" xfId="1395" xr:uid="{00000000-0005-0000-0000-000076050000}"/>
    <cellStyle name="Hyperlink 105" xfId="1396" xr:uid="{00000000-0005-0000-0000-000077050000}"/>
    <cellStyle name="Hyperlink 105 2" xfId="1397" xr:uid="{00000000-0005-0000-0000-000078050000}"/>
    <cellStyle name="Hyperlink 105 3" xfId="1398" xr:uid="{00000000-0005-0000-0000-000079050000}"/>
    <cellStyle name="Hyperlink 105 9" xfId="1399" xr:uid="{00000000-0005-0000-0000-00007A050000}"/>
    <cellStyle name="Hyperlink 105_AGL" xfId="1400" xr:uid="{00000000-0005-0000-0000-00007B050000}"/>
    <cellStyle name="Hyperlink 106" xfId="1401" xr:uid="{00000000-0005-0000-0000-00007C050000}"/>
    <cellStyle name="Hyperlink 106 2" xfId="1402" xr:uid="{00000000-0005-0000-0000-00007D050000}"/>
    <cellStyle name="Hyperlink 106 3" xfId="1403" xr:uid="{00000000-0005-0000-0000-00007E050000}"/>
    <cellStyle name="Hyperlink 106 9" xfId="1404" xr:uid="{00000000-0005-0000-0000-00007F050000}"/>
    <cellStyle name="Hyperlink 106_AGL" xfId="1405" xr:uid="{00000000-0005-0000-0000-000080050000}"/>
    <cellStyle name="Hyperlink 107" xfId="1406" xr:uid="{00000000-0005-0000-0000-000081050000}"/>
    <cellStyle name="Hyperlink 107 2" xfId="1407" xr:uid="{00000000-0005-0000-0000-000082050000}"/>
    <cellStyle name="Hyperlink 107 3" xfId="1408" xr:uid="{00000000-0005-0000-0000-000083050000}"/>
    <cellStyle name="Hyperlink 107 9" xfId="1409" xr:uid="{00000000-0005-0000-0000-000084050000}"/>
    <cellStyle name="Hyperlink 107_AGL" xfId="1410" xr:uid="{00000000-0005-0000-0000-000085050000}"/>
    <cellStyle name="Hyperlink 108" xfId="1411" xr:uid="{00000000-0005-0000-0000-000086050000}"/>
    <cellStyle name="Hyperlink 108 2" xfId="1412" xr:uid="{00000000-0005-0000-0000-000087050000}"/>
    <cellStyle name="Hyperlink 108 3" xfId="1413" xr:uid="{00000000-0005-0000-0000-000088050000}"/>
    <cellStyle name="Hyperlink 108 9" xfId="1414" xr:uid="{00000000-0005-0000-0000-000089050000}"/>
    <cellStyle name="Hyperlink 108_AGL" xfId="1415" xr:uid="{00000000-0005-0000-0000-00008A050000}"/>
    <cellStyle name="Hyperlink 109" xfId="1416" xr:uid="{00000000-0005-0000-0000-00008B050000}"/>
    <cellStyle name="Hyperlink 109 2" xfId="1417" xr:uid="{00000000-0005-0000-0000-00008C050000}"/>
    <cellStyle name="Hyperlink 109 3" xfId="1418" xr:uid="{00000000-0005-0000-0000-00008D050000}"/>
    <cellStyle name="Hyperlink 109 9" xfId="1419" xr:uid="{00000000-0005-0000-0000-00008E050000}"/>
    <cellStyle name="Hyperlink 109_AGL" xfId="1420" xr:uid="{00000000-0005-0000-0000-00008F050000}"/>
    <cellStyle name="Hyperlink 11" xfId="1421" xr:uid="{00000000-0005-0000-0000-000090050000}"/>
    <cellStyle name="Hyperlink 11 2" xfId="1422" xr:uid="{00000000-0005-0000-0000-000091050000}"/>
    <cellStyle name="Hyperlink 11 3" xfId="1423" xr:uid="{00000000-0005-0000-0000-000092050000}"/>
    <cellStyle name="Hyperlink 11 9" xfId="1424" xr:uid="{00000000-0005-0000-0000-000093050000}"/>
    <cellStyle name="Hyperlink 11_AGL" xfId="1425" xr:uid="{00000000-0005-0000-0000-000094050000}"/>
    <cellStyle name="Hyperlink 110" xfId="1426" xr:uid="{00000000-0005-0000-0000-000095050000}"/>
    <cellStyle name="Hyperlink 110 2" xfId="1427" xr:uid="{00000000-0005-0000-0000-000096050000}"/>
    <cellStyle name="Hyperlink 110 3" xfId="1428" xr:uid="{00000000-0005-0000-0000-000097050000}"/>
    <cellStyle name="Hyperlink 110 9" xfId="1429" xr:uid="{00000000-0005-0000-0000-000098050000}"/>
    <cellStyle name="Hyperlink 110_AGL" xfId="1430" xr:uid="{00000000-0005-0000-0000-000099050000}"/>
    <cellStyle name="Hyperlink 111" xfId="1431" xr:uid="{00000000-0005-0000-0000-00009A050000}"/>
    <cellStyle name="Hyperlink 111 2" xfId="1432" xr:uid="{00000000-0005-0000-0000-00009B050000}"/>
    <cellStyle name="Hyperlink 111 3" xfId="1433" xr:uid="{00000000-0005-0000-0000-00009C050000}"/>
    <cellStyle name="Hyperlink 111 9" xfId="1434" xr:uid="{00000000-0005-0000-0000-00009D050000}"/>
    <cellStyle name="Hyperlink 111_AGL" xfId="1435" xr:uid="{00000000-0005-0000-0000-00009E050000}"/>
    <cellStyle name="Hyperlink 112" xfId="1436" xr:uid="{00000000-0005-0000-0000-00009F050000}"/>
    <cellStyle name="Hyperlink 113" xfId="1437" xr:uid="{00000000-0005-0000-0000-0000A0050000}"/>
    <cellStyle name="Hyperlink 114" xfId="1438" xr:uid="{00000000-0005-0000-0000-0000A1050000}"/>
    <cellStyle name="Hyperlink 115" xfId="1439" xr:uid="{00000000-0005-0000-0000-0000A2050000}"/>
    <cellStyle name="Hyperlink 116" xfId="1440" xr:uid="{00000000-0005-0000-0000-0000A3050000}"/>
    <cellStyle name="Hyperlink 117" xfId="1441" xr:uid="{00000000-0005-0000-0000-0000A4050000}"/>
    <cellStyle name="Hyperlink 118" xfId="1442" xr:uid="{00000000-0005-0000-0000-0000A5050000}"/>
    <cellStyle name="Hyperlink 119" xfId="1443" xr:uid="{00000000-0005-0000-0000-0000A6050000}"/>
    <cellStyle name="Hyperlink 12" xfId="1444" xr:uid="{00000000-0005-0000-0000-0000A7050000}"/>
    <cellStyle name="Hyperlink 12 2" xfId="1445" xr:uid="{00000000-0005-0000-0000-0000A8050000}"/>
    <cellStyle name="Hyperlink 12 3" xfId="1446" xr:uid="{00000000-0005-0000-0000-0000A9050000}"/>
    <cellStyle name="Hyperlink 12 9" xfId="1447" xr:uid="{00000000-0005-0000-0000-0000AA050000}"/>
    <cellStyle name="Hyperlink 12_AGL" xfId="1448" xr:uid="{00000000-0005-0000-0000-0000AB050000}"/>
    <cellStyle name="Hyperlink 120" xfId="1449" xr:uid="{00000000-0005-0000-0000-0000AC050000}"/>
    <cellStyle name="Hyperlink 121" xfId="1450" xr:uid="{00000000-0005-0000-0000-0000AD050000}"/>
    <cellStyle name="Hyperlink 122" xfId="1451" xr:uid="{00000000-0005-0000-0000-0000AE050000}"/>
    <cellStyle name="Hyperlink 123" xfId="1452" xr:uid="{00000000-0005-0000-0000-0000AF050000}"/>
    <cellStyle name="Hyperlink 124" xfId="1453" xr:uid="{00000000-0005-0000-0000-0000B0050000}"/>
    <cellStyle name="Hyperlink 125" xfId="1454" xr:uid="{00000000-0005-0000-0000-0000B1050000}"/>
    <cellStyle name="Hyperlink 126" xfId="1455" xr:uid="{00000000-0005-0000-0000-0000B2050000}"/>
    <cellStyle name="Hyperlink 127" xfId="1456" xr:uid="{00000000-0005-0000-0000-0000B3050000}"/>
    <cellStyle name="Hyperlink 128" xfId="1457" xr:uid="{00000000-0005-0000-0000-0000B4050000}"/>
    <cellStyle name="Hyperlink 129" xfId="1458" xr:uid="{00000000-0005-0000-0000-0000B5050000}"/>
    <cellStyle name="Hyperlink 13" xfId="1459" xr:uid="{00000000-0005-0000-0000-0000B6050000}"/>
    <cellStyle name="Hyperlink 13 2" xfId="1460" xr:uid="{00000000-0005-0000-0000-0000B7050000}"/>
    <cellStyle name="Hyperlink 13 3" xfId="1461" xr:uid="{00000000-0005-0000-0000-0000B8050000}"/>
    <cellStyle name="Hyperlink 13 9" xfId="1462" xr:uid="{00000000-0005-0000-0000-0000B9050000}"/>
    <cellStyle name="Hyperlink 13_AGL" xfId="1463" xr:uid="{00000000-0005-0000-0000-0000BA050000}"/>
    <cellStyle name="Hyperlink 130" xfId="1464" xr:uid="{00000000-0005-0000-0000-0000BB050000}"/>
    <cellStyle name="Hyperlink 131" xfId="1465" xr:uid="{00000000-0005-0000-0000-0000BC050000}"/>
    <cellStyle name="Hyperlink 132" xfId="1466" xr:uid="{00000000-0005-0000-0000-0000BD050000}"/>
    <cellStyle name="Hyperlink 133" xfId="1467" xr:uid="{00000000-0005-0000-0000-0000BE050000}"/>
    <cellStyle name="Hyperlink 134" xfId="1468" xr:uid="{00000000-0005-0000-0000-0000BF050000}"/>
    <cellStyle name="Hyperlink 135" xfId="1469" xr:uid="{00000000-0005-0000-0000-0000C0050000}"/>
    <cellStyle name="Hyperlink 136" xfId="1470" xr:uid="{00000000-0005-0000-0000-0000C1050000}"/>
    <cellStyle name="Hyperlink 137" xfId="1471" xr:uid="{00000000-0005-0000-0000-0000C2050000}"/>
    <cellStyle name="Hyperlink 138" xfId="1472" xr:uid="{00000000-0005-0000-0000-0000C3050000}"/>
    <cellStyle name="Hyperlink 139" xfId="1473" xr:uid="{00000000-0005-0000-0000-0000C4050000}"/>
    <cellStyle name="Hyperlink 14" xfId="1474" xr:uid="{00000000-0005-0000-0000-0000C5050000}"/>
    <cellStyle name="Hyperlink 14 2" xfId="1475" xr:uid="{00000000-0005-0000-0000-0000C6050000}"/>
    <cellStyle name="Hyperlink 14 3" xfId="1476" xr:uid="{00000000-0005-0000-0000-0000C7050000}"/>
    <cellStyle name="Hyperlink 14 9" xfId="1477" xr:uid="{00000000-0005-0000-0000-0000C8050000}"/>
    <cellStyle name="Hyperlink 14_AGL" xfId="1478" xr:uid="{00000000-0005-0000-0000-0000C9050000}"/>
    <cellStyle name="Hyperlink 140" xfId="1479" xr:uid="{00000000-0005-0000-0000-0000CA050000}"/>
    <cellStyle name="Hyperlink 141" xfId="1480" xr:uid="{00000000-0005-0000-0000-0000CB050000}"/>
    <cellStyle name="Hyperlink 142" xfId="1481" xr:uid="{00000000-0005-0000-0000-0000CC050000}"/>
    <cellStyle name="Hyperlink 143" xfId="1482" xr:uid="{00000000-0005-0000-0000-0000CD050000}"/>
    <cellStyle name="Hyperlink 144" xfId="1483" xr:uid="{00000000-0005-0000-0000-0000CE050000}"/>
    <cellStyle name="Hyperlink 145" xfId="1484" xr:uid="{00000000-0005-0000-0000-0000CF050000}"/>
    <cellStyle name="Hyperlink 146" xfId="1485" xr:uid="{00000000-0005-0000-0000-0000D0050000}"/>
    <cellStyle name="Hyperlink 147" xfId="1486" xr:uid="{00000000-0005-0000-0000-0000D1050000}"/>
    <cellStyle name="Hyperlink 148" xfId="1487" xr:uid="{00000000-0005-0000-0000-0000D2050000}"/>
    <cellStyle name="Hyperlink 149" xfId="1488" xr:uid="{00000000-0005-0000-0000-0000D3050000}"/>
    <cellStyle name="Hyperlink 15" xfId="1489" xr:uid="{00000000-0005-0000-0000-0000D4050000}"/>
    <cellStyle name="Hyperlink 15 2" xfId="1490" xr:uid="{00000000-0005-0000-0000-0000D5050000}"/>
    <cellStyle name="Hyperlink 15 3" xfId="1491" xr:uid="{00000000-0005-0000-0000-0000D6050000}"/>
    <cellStyle name="Hyperlink 15 9" xfId="1492" xr:uid="{00000000-0005-0000-0000-0000D7050000}"/>
    <cellStyle name="Hyperlink 15_AGL" xfId="1493" xr:uid="{00000000-0005-0000-0000-0000D8050000}"/>
    <cellStyle name="Hyperlink 150" xfId="1494" xr:uid="{00000000-0005-0000-0000-0000D9050000}"/>
    <cellStyle name="Hyperlink 151" xfId="1495" xr:uid="{00000000-0005-0000-0000-0000DA050000}"/>
    <cellStyle name="Hyperlink 152" xfId="1496" xr:uid="{00000000-0005-0000-0000-0000DB050000}"/>
    <cellStyle name="Hyperlink 153" xfId="1497" xr:uid="{00000000-0005-0000-0000-0000DC050000}"/>
    <cellStyle name="Hyperlink 154" xfId="1498" xr:uid="{00000000-0005-0000-0000-0000DD050000}"/>
    <cellStyle name="Hyperlink 155" xfId="1499" xr:uid="{00000000-0005-0000-0000-0000DE050000}"/>
    <cellStyle name="Hyperlink 156" xfId="1500" xr:uid="{00000000-0005-0000-0000-0000DF050000}"/>
    <cellStyle name="Hyperlink 157" xfId="1501" xr:uid="{00000000-0005-0000-0000-0000E0050000}"/>
    <cellStyle name="Hyperlink 158" xfId="1502" xr:uid="{00000000-0005-0000-0000-0000E1050000}"/>
    <cellStyle name="Hyperlink 159" xfId="1503" xr:uid="{00000000-0005-0000-0000-0000E2050000}"/>
    <cellStyle name="Hyperlink 16" xfId="1504" xr:uid="{00000000-0005-0000-0000-0000E3050000}"/>
    <cellStyle name="Hyperlink 16 2" xfId="1505" xr:uid="{00000000-0005-0000-0000-0000E4050000}"/>
    <cellStyle name="Hyperlink 16 3" xfId="1506" xr:uid="{00000000-0005-0000-0000-0000E5050000}"/>
    <cellStyle name="Hyperlink 16 9" xfId="1507" xr:uid="{00000000-0005-0000-0000-0000E6050000}"/>
    <cellStyle name="Hyperlink 16_AGL" xfId="1508" xr:uid="{00000000-0005-0000-0000-0000E7050000}"/>
    <cellStyle name="Hyperlink 160" xfId="1509" xr:uid="{00000000-0005-0000-0000-0000E8050000}"/>
    <cellStyle name="Hyperlink 161" xfId="1510" xr:uid="{00000000-0005-0000-0000-0000E9050000}"/>
    <cellStyle name="Hyperlink 162" xfId="1511" xr:uid="{00000000-0005-0000-0000-0000EA050000}"/>
    <cellStyle name="Hyperlink 163" xfId="1512" xr:uid="{00000000-0005-0000-0000-0000EB050000}"/>
    <cellStyle name="Hyperlink 164" xfId="1513" xr:uid="{00000000-0005-0000-0000-0000EC050000}"/>
    <cellStyle name="Hyperlink 165" xfId="1514" xr:uid="{00000000-0005-0000-0000-0000ED050000}"/>
    <cellStyle name="Hyperlink 166" xfId="1515" xr:uid="{00000000-0005-0000-0000-0000EE050000}"/>
    <cellStyle name="Hyperlink 167" xfId="1516" xr:uid="{00000000-0005-0000-0000-0000EF050000}"/>
    <cellStyle name="Hyperlink 168" xfId="1517" xr:uid="{00000000-0005-0000-0000-0000F0050000}"/>
    <cellStyle name="Hyperlink 169" xfId="1518" xr:uid="{00000000-0005-0000-0000-0000F1050000}"/>
    <cellStyle name="Hyperlink 17" xfId="1519" xr:uid="{00000000-0005-0000-0000-0000F2050000}"/>
    <cellStyle name="Hyperlink 17 2" xfId="1520" xr:uid="{00000000-0005-0000-0000-0000F3050000}"/>
    <cellStyle name="Hyperlink 17 3" xfId="1521" xr:uid="{00000000-0005-0000-0000-0000F4050000}"/>
    <cellStyle name="Hyperlink 17 9" xfId="1522" xr:uid="{00000000-0005-0000-0000-0000F5050000}"/>
    <cellStyle name="Hyperlink 17_AGL" xfId="1523" xr:uid="{00000000-0005-0000-0000-0000F6050000}"/>
    <cellStyle name="Hyperlink 170" xfId="1524" xr:uid="{00000000-0005-0000-0000-0000F7050000}"/>
    <cellStyle name="Hyperlink 171" xfId="1525" xr:uid="{00000000-0005-0000-0000-0000F8050000}"/>
    <cellStyle name="Hyperlink 172" xfId="1526" xr:uid="{00000000-0005-0000-0000-0000F9050000}"/>
    <cellStyle name="Hyperlink 173" xfId="1527" xr:uid="{00000000-0005-0000-0000-0000FA050000}"/>
    <cellStyle name="Hyperlink 174" xfId="1528" xr:uid="{00000000-0005-0000-0000-0000FB050000}"/>
    <cellStyle name="Hyperlink 175" xfId="1529" xr:uid="{00000000-0005-0000-0000-0000FC050000}"/>
    <cellStyle name="Hyperlink 176" xfId="1530" xr:uid="{00000000-0005-0000-0000-0000FD050000}"/>
    <cellStyle name="Hyperlink 177" xfId="1531" xr:uid="{00000000-0005-0000-0000-0000FE050000}"/>
    <cellStyle name="Hyperlink 178" xfId="1532" xr:uid="{00000000-0005-0000-0000-0000FF050000}"/>
    <cellStyle name="Hyperlink 179" xfId="1533" xr:uid="{00000000-0005-0000-0000-000000060000}"/>
    <cellStyle name="Hyperlink 18" xfId="1534" xr:uid="{00000000-0005-0000-0000-000001060000}"/>
    <cellStyle name="Hyperlink 18 2" xfId="1535" xr:uid="{00000000-0005-0000-0000-000002060000}"/>
    <cellStyle name="Hyperlink 18 3" xfId="1536" xr:uid="{00000000-0005-0000-0000-000003060000}"/>
    <cellStyle name="Hyperlink 18 9" xfId="1537" xr:uid="{00000000-0005-0000-0000-000004060000}"/>
    <cellStyle name="Hyperlink 18_AGL" xfId="1538" xr:uid="{00000000-0005-0000-0000-000005060000}"/>
    <cellStyle name="Hyperlink 180" xfId="1539" xr:uid="{00000000-0005-0000-0000-000006060000}"/>
    <cellStyle name="Hyperlink 181" xfId="1540" xr:uid="{00000000-0005-0000-0000-000007060000}"/>
    <cellStyle name="Hyperlink 182" xfId="1541" xr:uid="{00000000-0005-0000-0000-000008060000}"/>
    <cellStyle name="Hyperlink 183" xfId="1542" xr:uid="{00000000-0005-0000-0000-000009060000}"/>
    <cellStyle name="Hyperlink 184" xfId="1543" xr:uid="{00000000-0005-0000-0000-00000A060000}"/>
    <cellStyle name="Hyperlink 185" xfId="1544" xr:uid="{00000000-0005-0000-0000-00000B060000}"/>
    <cellStyle name="Hyperlink 186" xfId="1545" xr:uid="{00000000-0005-0000-0000-00000C060000}"/>
    <cellStyle name="Hyperlink 187" xfId="1546" xr:uid="{00000000-0005-0000-0000-00000D060000}"/>
    <cellStyle name="Hyperlink 188" xfId="1547" xr:uid="{00000000-0005-0000-0000-00000E060000}"/>
    <cellStyle name="Hyperlink 189" xfId="1548" xr:uid="{00000000-0005-0000-0000-00000F060000}"/>
    <cellStyle name="Hyperlink 19" xfId="1549" xr:uid="{00000000-0005-0000-0000-000010060000}"/>
    <cellStyle name="Hyperlink 19 2" xfId="1550" xr:uid="{00000000-0005-0000-0000-000011060000}"/>
    <cellStyle name="Hyperlink 19 3" xfId="1551" xr:uid="{00000000-0005-0000-0000-000012060000}"/>
    <cellStyle name="Hyperlink 19 9" xfId="1552" xr:uid="{00000000-0005-0000-0000-000013060000}"/>
    <cellStyle name="Hyperlink 19_AGL" xfId="1553" xr:uid="{00000000-0005-0000-0000-000014060000}"/>
    <cellStyle name="Hyperlink 190" xfId="1554" xr:uid="{00000000-0005-0000-0000-000015060000}"/>
    <cellStyle name="Hyperlink 191" xfId="1555" xr:uid="{00000000-0005-0000-0000-000016060000}"/>
    <cellStyle name="Hyperlink 192" xfId="1556" xr:uid="{00000000-0005-0000-0000-000017060000}"/>
    <cellStyle name="Hyperlink 193" xfId="1557" xr:uid="{00000000-0005-0000-0000-000018060000}"/>
    <cellStyle name="Hyperlink 194" xfId="1558" xr:uid="{00000000-0005-0000-0000-000019060000}"/>
    <cellStyle name="Hyperlink 195" xfId="1559" xr:uid="{00000000-0005-0000-0000-00001A060000}"/>
    <cellStyle name="Hyperlink 196" xfId="1560" xr:uid="{00000000-0005-0000-0000-00001B060000}"/>
    <cellStyle name="Hyperlink 197" xfId="1561" xr:uid="{00000000-0005-0000-0000-00001C060000}"/>
    <cellStyle name="Hyperlink 198" xfId="1562" xr:uid="{00000000-0005-0000-0000-00001D060000}"/>
    <cellStyle name="Hyperlink 199" xfId="1563" xr:uid="{00000000-0005-0000-0000-00001E060000}"/>
    <cellStyle name="Hyperlink 2" xfId="28" xr:uid="{00000000-0005-0000-0000-00001F000000}"/>
    <cellStyle name="Hyperlink 2 10" xfId="4443" xr:uid="{00000000-0005-0000-0000-00005E110000}"/>
    <cellStyle name="Hyperlink 2 11" xfId="4540" xr:uid="{00000000-0005-0000-0000-0000BF110000}"/>
    <cellStyle name="Hyperlink 2 2" xfId="1564" xr:uid="{00000000-0005-0000-0000-00001F060000}"/>
    <cellStyle name="Hyperlink 2 2 2" xfId="1565" xr:uid="{00000000-0005-0000-0000-000020060000}"/>
    <cellStyle name="Hyperlink 2 2 2 2" xfId="4477" xr:uid="{00000000-0005-0000-0000-000080110000}"/>
    <cellStyle name="Hyperlink 2 2 3" xfId="1566" xr:uid="{00000000-0005-0000-0000-000021060000}"/>
    <cellStyle name="Hyperlink 2 2 4" xfId="1567" xr:uid="{00000000-0005-0000-0000-000022060000}"/>
    <cellStyle name="Hyperlink 2 2 5" xfId="4471" xr:uid="{00000000-0005-0000-0000-00007A110000}"/>
    <cellStyle name="Hyperlink 2 2_AGL" xfId="1568" xr:uid="{00000000-0005-0000-0000-000023060000}"/>
    <cellStyle name="Hyperlink 2 20" xfId="1569" xr:uid="{00000000-0005-0000-0000-000024060000}"/>
    <cellStyle name="Hyperlink 2 21" xfId="1570" xr:uid="{00000000-0005-0000-0000-000025060000}"/>
    <cellStyle name="Hyperlink 2 22" xfId="1571" xr:uid="{00000000-0005-0000-0000-000026060000}"/>
    <cellStyle name="Hyperlink 2 23" xfId="1572" xr:uid="{00000000-0005-0000-0000-000027060000}"/>
    <cellStyle name="Hyperlink 2 24" xfId="1573" xr:uid="{00000000-0005-0000-0000-000028060000}"/>
    <cellStyle name="Hyperlink 2 25" xfId="1574" xr:uid="{00000000-0005-0000-0000-000029060000}"/>
    <cellStyle name="Hyperlink 2 26" xfId="1575" xr:uid="{00000000-0005-0000-0000-00002A060000}"/>
    <cellStyle name="Hyperlink 2 27" xfId="1576" xr:uid="{00000000-0005-0000-0000-00002B060000}"/>
    <cellStyle name="Hyperlink 2 28" xfId="1577" xr:uid="{00000000-0005-0000-0000-00002C060000}"/>
    <cellStyle name="Hyperlink 2 3" xfId="1578" xr:uid="{00000000-0005-0000-0000-00002D060000}"/>
    <cellStyle name="Hyperlink 2 3 2" xfId="4457" xr:uid="{00000000-0005-0000-0000-00006C110000}"/>
    <cellStyle name="Hyperlink 2 4" xfId="1579" xr:uid="{00000000-0005-0000-0000-00002E060000}"/>
    <cellStyle name="Hyperlink 2 5" xfId="1580" xr:uid="{00000000-0005-0000-0000-00002F060000}"/>
    <cellStyle name="Hyperlink 2 6" xfId="1581" xr:uid="{00000000-0005-0000-0000-000030060000}"/>
    <cellStyle name="Hyperlink 2 7" xfId="1582" xr:uid="{00000000-0005-0000-0000-000031060000}"/>
    <cellStyle name="Hyperlink 2 8" xfId="1583" xr:uid="{00000000-0005-0000-0000-000032060000}"/>
    <cellStyle name="Hyperlink 2 9" xfId="1584" xr:uid="{00000000-0005-0000-0000-000033060000}"/>
    <cellStyle name="Hyperlink 2_AGL" xfId="1585" xr:uid="{00000000-0005-0000-0000-000034060000}"/>
    <cellStyle name="Hyperlink 20" xfId="1586" xr:uid="{00000000-0005-0000-0000-000035060000}"/>
    <cellStyle name="Hyperlink 20 2" xfId="1587" xr:uid="{00000000-0005-0000-0000-000036060000}"/>
    <cellStyle name="Hyperlink 20 3" xfId="1588" xr:uid="{00000000-0005-0000-0000-000037060000}"/>
    <cellStyle name="Hyperlink 20 9" xfId="1589" xr:uid="{00000000-0005-0000-0000-000038060000}"/>
    <cellStyle name="Hyperlink 20_AGL" xfId="1590" xr:uid="{00000000-0005-0000-0000-000039060000}"/>
    <cellStyle name="Hyperlink 200" xfId="1591" xr:uid="{00000000-0005-0000-0000-00003A060000}"/>
    <cellStyle name="Hyperlink 201" xfId="1592" xr:uid="{00000000-0005-0000-0000-00003B060000}"/>
    <cellStyle name="Hyperlink 202" xfId="1593" xr:uid="{00000000-0005-0000-0000-00003C060000}"/>
    <cellStyle name="Hyperlink 203" xfId="1594" xr:uid="{00000000-0005-0000-0000-00003D060000}"/>
    <cellStyle name="Hyperlink 204" xfId="1595" xr:uid="{00000000-0005-0000-0000-00003E060000}"/>
    <cellStyle name="Hyperlink 205" xfId="1596" xr:uid="{00000000-0005-0000-0000-00003F060000}"/>
    <cellStyle name="Hyperlink 206" xfId="1597" xr:uid="{00000000-0005-0000-0000-000040060000}"/>
    <cellStyle name="Hyperlink 207" xfId="1598" xr:uid="{00000000-0005-0000-0000-000041060000}"/>
    <cellStyle name="Hyperlink 208" xfId="1599" xr:uid="{00000000-0005-0000-0000-000042060000}"/>
    <cellStyle name="Hyperlink 209" xfId="1600" xr:uid="{00000000-0005-0000-0000-000043060000}"/>
    <cellStyle name="Hyperlink 21" xfId="1601" xr:uid="{00000000-0005-0000-0000-000044060000}"/>
    <cellStyle name="Hyperlink 21 2" xfId="1602" xr:uid="{00000000-0005-0000-0000-000045060000}"/>
    <cellStyle name="Hyperlink 21 3" xfId="1603" xr:uid="{00000000-0005-0000-0000-000046060000}"/>
    <cellStyle name="Hyperlink 21 9" xfId="1604" xr:uid="{00000000-0005-0000-0000-000047060000}"/>
    <cellStyle name="Hyperlink 21_AGL" xfId="1605" xr:uid="{00000000-0005-0000-0000-000048060000}"/>
    <cellStyle name="Hyperlink 210" xfId="1606" xr:uid="{00000000-0005-0000-0000-000049060000}"/>
    <cellStyle name="Hyperlink 211" xfId="1607" xr:uid="{00000000-0005-0000-0000-00004A060000}"/>
    <cellStyle name="Hyperlink 212" xfId="1608" xr:uid="{00000000-0005-0000-0000-00004B060000}"/>
    <cellStyle name="Hyperlink 213" xfId="1609" xr:uid="{00000000-0005-0000-0000-00004C060000}"/>
    <cellStyle name="Hyperlink 214" xfId="1610" xr:uid="{00000000-0005-0000-0000-00004D060000}"/>
    <cellStyle name="Hyperlink 215" xfId="1611" xr:uid="{00000000-0005-0000-0000-00004E060000}"/>
    <cellStyle name="Hyperlink 216" xfId="1612" xr:uid="{00000000-0005-0000-0000-00004F060000}"/>
    <cellStyle name="Hyperlink 217" xfId="1613" xr:uid="{00000000-0005-0000-0000-000050060000}"/>
    <cellStyle name="Hyperlink 218" xfId="1614" xr:uid="{00000000-0005-0000-0000-000051060000}"/>
    <cellStyle name="Hyperlink 219" xfId="1615" xr:uid="{00000000-0005-0000-0000-000052060000}"/>
    <cellStyle name="Hyperlink 22" xfId="1616" xr:uid="{00000000-0005-0000-0000-000053060000}"/>
    <cellStyle name="Hyperlink 22 2" xfId="1617" xr:uid="{00000000-0005-0000-0000-000054060000}"/>
    <cellStyle name="Hyperlink 22 3" xfId="1618" xr:uid="{00000000-0005-0000-0000-000055060000}"/>
    <cellStyle name="Hyperlink 22 9" xfId="1619" xr:uid="{00000000-0005-0000-0000-000056060000}"/>
    <cellStyle name="Hyperlink 22_AGL" xfId="1620" xr:uid="{00000000-0005-0000-0000-000057060000}"/>
    <cellStyle name="Hyperlink 220" xfId="1621" xr:uid="{00000000-0005-0000-0000-000058060000}"/>
    <cellStyle name="Hyperlink 221" xfId="1622" xr:uid="{00000000-0005-0000-0000-000059060000}"/>
    <cellStyle name="Hyperlink 222" xfId="1623" xr:uid="{00000000-0005-0000-0000-00005A060000}"/>
    <cellStyle name="Hyperlink 223" xfId="1624" xr:uid="{00000000-0005-0000-0000-00005B060000}"/>
    <cellStyle name="Hyperlink 224" xfId="1625" xr:uid="{00000000-0005-0000-0000-00005C060000}"/>
    <cellStyle name="Hyperlink 225" xfId="1626" xr:uid="{00000000-0005-0000-0000-00005D060000}"/>
    <cellStyle name="Hyperlink 226" xfId="1627" xr:uid="{00000000-0005-0000-0000-00005E060000}"/>
    <cellStyle name="Hyperlink 227" xfId="1628" xr:uid="{00000000-0005-0000-0000-00005F060000}"/>
    <cellStyle name="Hyperlink 228" xfId="1629" xr:uid="{00000000-0005-0000-0000-000060060000}"/>
    <cellStyle name="Hyperlink 229" xfId="1630" xr:uid="{00000000-0005-0000-0000-000061060000}"/>
    <cellStyle name="Hyperlink 23" xfId="1631" xr:uid="{00000000-0005-0000-0000-000062060000}"/>
    <cellStyle name="Hyperlink 23 2" xfId="1632" xr:uid="{00000000-0005-0000-0000-000063060000}"/>
    <cellStyle name="Hyperlink 23 3" xfId="1633" xr:uid="{00000000-0005-0000-0000-000064060000}"/>
    <cellStyle name="Hyperlink 23 9" xfId="1634" xr:uid="{00000000-0005-0000-0000-000065060000}"/>
    <cellStyle name="Hyperlink 23_AGL" xfId="1635" xr:uid="{00000000-0005-0000-0000-000066060000}"/>
    <cellStyle name="Hyperlink 230" xfId="1636" xr:uid="{00000000-0005-0000-0000-000067060000}"/>
    <cellStyle name="Hyperlink 24" xfId="1637" xr:uid="{00000000-0005-0000-0000-000068060000}"/>
    <cellStyle name="Hyperlink 24 2" xfId="1638" xr:uid="{00000000-0005-0000-0000-000069060000}"/>
    <cellStyle name="Hyperlink 24 3" xfId="1639" xr:uid="{00000000-0005-0000-0000-00006A060000}"/>
    <cellStyle name="Hyperlink 24 9" xfId="1640" xr:uid="{00000000-0005-0000-0000-00006B060000}"/>
    <cellStyle name="Hyperlink 24_AGL" xfId="1641" xr:uid="{00000000-0005-0000-0000-00006C060000}"/>
    <cellStyle name="Hyperlink 25" xfId="1642" xr:uid="{00000000-0005-0000-0000-00006D060000}"/>
    <cellStyle name="Hyperlink 25 2" xfId="1643" xr:uid="{00000000-0005-0000-0000-00006E060000}"/>
    <cellStyle name="Hyperlink 25 3" xfId="1644" xr:uid="{00000000-0005-0000-0000-00006F060000}"/>
    <cellStyle name="Hyperlink 25 9" xfId="1645" xr:uid="{00000000-0005-0000-0000-000070060000}"/>
    <cellStyle name="Hyperlink 25_AGL" xfId="1646" xr:uid="{00000000-0005-0000-0000-000071060000}"/>
    <cellStyle name="Hyperlink 26" xfId="1647" xr:uid="{00000000-0005-0000-0000-000072060000}"/>
    <cellStyle name="Hyperlink 26 2" xfId="1648" xr:uid="{00000000-0005-0000-0000-000073060000}"/>
    <cellStyle name="Hyperlink 26 3" xfId="1649" xr:uid="{00000000-0005-0000-0000-000074060000}"/>
    <cellStyle name="Hyperlink 26 9" xfId="1650" xr:uid="{00000000-0005-0000-0000-000075060000}"/>
    <cellStyle name="Hyperlink 26_AGL" xfId="1651" xr:uid="{00000000-0005-0000-0000-000076060000}"/>
    <cellStyle name="Hyperlink 27" xfId="1652" xr:uid="{00000000-0005-0000-0000-000077060000}"/>
    <cellStyle name="Hyperlink 27 2" xfId="1653" xr:uid="{00000000-0005-0000-0000-000078060000}"/>
    <cellStyle name="Hyperlink 27 3" xfId="1654" xr:uid="{00000000-0005-0000-0000-000079060000}"/>
    <cellStyle name="Hyperlink 27 9" xfId="1655" xr:uid="{00000000-0005-0000-0000-00007A060000}"/>
    <cellStyle name="Hyperlink 27_AGL" xfId="1656" xr:uid="{00000000-0005-0000-0000-00007B060000}"/>
    <cellStyle name="Hyperlink 28" xfId="1657" xr:uid="{00000000-0005-0000-0000-00007C060000}"/>
    <cellStyle name="Hyperlink 28 2" xfId="1658" xr:uid="{00000000-0005-0000-0000-00007D060000}"/>
    <cellStyle name="Hyperlink 28 3" xfId="1659" xr:uid="{00000000-0005-0000-0000-00007E060000}"/>
    <cellStyle name="Hyperlink 28 9" xfId="1660" xr:uid="{00000000-0005-0000-0000-00007F060000}"/>
    <cellStyle name="Hyperlink 28_AGL" xfId="1661" xr:uid="{00000000-0005-0000-0000-000080060000}"/>
    <cellStyle name="Hyperlink 29" xfId="1662" xr:uid="{00000000-0005-0000-0000-000081060000}"/>
    <cellStyle name="Hyperlink 29 2" xfId="1663" xr:uid="{00000000-0005-0000-0000-000082060000}"/>
    <cellStyle name="Hyperlink 29 3" xfId="1664" xr:uid="{00000000-0005-0000-0000-000083060000}"/>
    <cellStyle name="Hyperlink 29 9" xfId="1665" xr:uid="{00000000-0005-0000-0000-000084060000}"/>
    <cellStyle name="Hyperlink 29_AGL" xfId="1666" xr:uid="{00000000-0005-0000-0000-000085060000}"/>
    <cellStyle name="Hyperlink 3" xfId="1667" xr:uid="{00000000-0005-0000-0000-000086060000}"/>
    <cellStyle name="Hyperlink 3 2" xfId="1668" xr:uid="{00000000-0005-0000-0000-000087060000}"/>
    <cellStyle name="Hyperlink 3 3" xfId="1669" xr:uid="{00000000-0005-0000-0000-000088060000}"/>
    <cellStyle name="Hyperlink 3 4" xfId="4463" xr:uid="{00000000-0005-0000-0000-000072110000}"/>
    <cellStyle name="Hyperlink 3 5" xfId="4541" xr:uid="{00000000-0005-0000-0000-0000C0110000}"/>
    <cellStyle name="Hyperlink 3 9" xfId="1670" xr:uid="{00000000-0005-0000-0000-000089060000}"/>
    <cellStyle name="Hyperlink 3_AGL" xfId="1671" xr:uid="{00000000-0005-0000-0000-00008A060000}"/>
    <cellStyle name="Hyperlink 30" xfId="1672" xr:uid="{00000000-0005-0000-0000-00008B060000}"/>
    <cellStyle name="Hyperlink 30 2" xfId="1673" xr:uid="{00000000-0005-0000-0000-00008C060000}"/>
    <cellStyle name="Hyperlink 30 3" xfId="1674" xr:uid="{00000000-0005-0000-0000-00008D060000}"/>
    <cellStyle name="Hyperlink 30 9" xfId="1675" xr:uid="{00000000-0005-0000-0000-00008E060000}"/>
    <cellStyle name="Hyperlink 30_AGL" xfId="1676" xr:uid="{00000000-0005-0000-0000-00008F060000}"/>
    <cellStyle name="Hyperlink 31" xfId="1677" xr:uid="{00000000-0005-0000-0000-000090060000}"/>
    <cellStyle name="Hyperlink 31 2" xfId="1678" xr:uid="{00000000-0005-0000-0000-000091060000}"/>
    <cellStyle name="Hyperlink 31 3" xfId="1679" xr:uid="{00000000-0005-0000-0000-000092060000}"/>
    <cellStyle name="Hyperlink 31 9" xfId="1680" xr:uid="{00000000-0005-0000-0000-000093060000}"/>
    <cellStyle name="Hyperlink 31_AGL" xfId="1681" xr:uid="{00000000-0005-0000-0000-000094060000}"/>
    <cellStyle name="Hyperlink 32" xfId="1682" xr:uid="{00000000-0005-0000-0000-000095060000}"/>
    <cellStyle name="Hyperlink 32 2" xfId="1683" xr:uid="{00000000-0005-0000-0000-000096060000}"/>
    <cellStyle name="Hyperlink 32 3" xfId="1684" xr:uid="{00000000-0005-0000-0000-000097060000}"/>
    <cellStyle name="Hyperlink 32 9" xfId="1685" xr:uid="{00000000-0005-0000-0000-000098060000}"/>
    <cellStyle name="Hyperlink 32_AGL" xfId="1686" xr:uid="{00000000-0005-0000-0000-000099060000}"/>
    <cellStyle name="Hyperlink 33" xfId="1687" xr:uid="{00000000-0005-0000-0000-00009A060000}"/>
    <cellStyle name="Hyperlink 33 2" xfId="1688" xr:uid="{00000000-0005-0000-0000-00009B060000}"/>
    <cellStyle name="Hyperlink 33 3" xfId="1689" xr:uid="{00000000-0005-0000-0000-00009C060000}"/>
    <cellStyle name="Hyperlink 33 9" xfId="1690" xr:uid="{00000000-0005-0000-0000-00009D060000}"/>
    <cellStyle name="Hyperlink 33_AGL" xfId="1691" xr:uid="{00000000-0005-0000-0000-00009E060000}"/>
    <cellStyle name="Hyperlink 34" xfId="1692" xr:uid="{00000000-0005-0000-0000-00009F060000}"/>
    <cellStyle name="Hyperlink 34 2" xfId="1693" xr:uid="{00000000-0005-0000-0000-0000A0060000}"/>
    <cellStyle name="Hyperlink 34 3" xfId="1694" xr:uid="{00000000-0005-0000-0000-0000A1060000}"/>
    <cellStyle name="Hyperlink 34 9" xfId="1695" xr:uid="{00000000-0005-0000-0000-0000A2060000}"/>
    <cellStyle name="Hyperlink 34_AGL" xfId="1696" xr:uid="{00000000-0005-0000-0000-0000A3060000}"/>
    <cellStyle name="Hyperlink 35" xfId="1697" xr:uid="{00000000-0005-0000-0000-0000A4060000}"/>
    <cellStyle name="Hyperlink 35 2" xfId="1698" xr:uid="{00000000-0005-0000-0000-0000A5060000}"/>
    <cellStyle name="Hyperlink 35 3" xfId="1699" xr:uid="{00000000-0005-0000-0000-0000A6060000}"/>
    <cellStyle name="Hyperlink 35 9" xfId="1700" xr:uid="{00000000-0005-0000-0000-0000A7060000}"/>
    <cellStyle name="Hyperlink 35_AGL" xfId="1701" xr:uid="{00000000-0005-0000-0000-0000A8060000}"/>
    <cellStyle name="Hyperlink 36" xfId="1702" xr:uid="{00000000-0005-0000-0000-0000A9060000}"/>
    <cellStyle name="Hyperlink 36 2" xfId="1703" xr:uid="{00000000-0005-0000-0000-0000AA060000}"/>
    <cellStyle name="Hyperlink 36 3" xfId="1704" xr:uid="{00000000-0005-0000-0000-0000AB060000}"/>
    <cellStyle name="Hyperlink 36 9" xfId="1705" xr:uid="{00000000-0005-0000-0000-0000AC060000}"/>
    <cellStyle name="Hyperlink 36_AGL" xfId="1706" xr:uid="{00000000-0005-0000-0000-0000AD060000}"/>
    <cellStyle name="Hyperlink 37" xfId="1707" xr:uid="{00000000-0005-0000-0000-0000AE060000}"/>
    <cellStyle name="Hyperlink 37 2" xfId="1708" xr:uid="{00000000-0005-0000-0000-0000AF060000}"/>
    <cellStyle name="Hyperlink 37 3" xfId="1709" xr:uid="{00000000-0005-0000-0000-0000B0060000}"/>
    <cellStyle name="Hyperlink 37 9" xfId="1710" xr:uid="{00000000-0005-0000-0000-0000B1060000}"/>
    <cellStyle name="Hyperlink 37_AGL" xfId="1711" xr:uid="{00000000-0005-0000-0000-0000B2060000}"/>
    <cellStyle name="Hyperlink 38" xfId="1712" xr:uid="{00000000-0005-0000-0000-0000B3060000}"/>
    <cellStyle name="Hyperlink 38 2" xfId="1713" xr:uid="{00000000-0005-0000-0000-0000B4060000}"/>
    <cellStyle name="Hyperlink 38 3" xfId="1714" xr:uid="{00000000-0005-0000-0000-0000B5060000}"/>
    <cellStyle name="Hyperlink 38 9" xfId="1715" xr:uid="{00000000-0005-0000-0000-0000B6060000}"/>
    <cellStyle name="Hyperlink 38_AGL" xfId="1716" xr:uid="{00000000-0005-0000-0000-0000B7060000}"/>
    <cellStyle name="Hyperlink 39" xfId="1717" xr:uid="{00000000-0005-0000-0000-0000B8060000}"/>
    <cellStyle name="Hyperlink 39 2" xfId="1718" xr:uid="{00000000-0005-0000-0000-0000B9060000}"/>
    <cellStyle name="Hyperlink 39 3" xfId="1719" xr:uid="{00000000-0005-0000-0000-0000BA060000}"/>
    <cellStyle name="Hyperlink 39 9" xfId="1720" xr:uid="{00000000-0005-0000-0000-0000BB060000}"/>
    <cellStyle name="Hyperlink 39_AGL" xfId="1721" xr:uid="{00000000-0005-0000-0000-0000BC060000}"/>
    <cellStyle name="Hyperlink 4" xfId="1722" xr:uid="{00000000-0005-0000-0000-0000BD060000}"/>
    <cellStyle name="Hyperlink 4 2" xfId="1723" xr:uid="{00000000-0005-0000-0000-0000BE060000}"/>
    <cellStyle name="Hyperlink 4 3" xfId="1724" xr:uid="{00000000-0005-0000-0000-0000BF060000}"/>
    <cellStyle name="Hyperlink 4 9" xfId="1725" xr:uid="{00000000-0005-0000-0000-0000C0060000}"/>
    <cellStyle name="Hyperlink 4_AGL" xfId="1726" xr:uid="{00000000-0005-0000-0000-0000C1060000}"/>
    <cellStyle name="Hyperlink 40" xfId="1727" xr:uid="{00000000-0005-0000-0000-0000C2060000}"/>
    <cellStyle name="Hyperlink 40 2" xfId="1728" xr:uid="{00000000-0005-0000-0000-0000C3060000}"/>
    <cellStyle name="Hyperlink 40 3" xfId="1729" xr:uid="{00000000-0005-0000-0000-0000C4060000}"/>
    <cellStyle name="Hyperlink 40 9" xfId="1730" xr:uid="{00000000-0005-0000-0000-0000C5060000}"/>
    <cellStyle name="Hyperlink 40_AGL" xfId="1731" xr:uid="{00000000-0005-0000-0000-0000C6060000}"/>
    <cellStyle name="Hyperlink 41" xfId="1732" xr:uid="{00000000-0005-0000-0000-0000C7060000}"/>
    <cellStyle name="Hyperlink 41 2" xfId="1733" xr:uid="{00000000-0005-0000-0000-0000C8060000}"/>
    <cellStyle name="Hyperlink 41 3" xfId="1734" xr:uid="{00000000-0005-0000-0000-0000C9060000}"/>
    <cellStyle name="Hyperlink 41 9" xfId="1735" xr:uid="{00000000-0005-0000-0000-0000CA060000}"/>
    <cellStyle name="Hyperlink 41_AGL" xfId="1736" xr:uid="{00000000-0005-0000-0000-0000CB060000}"/>
    <cellStyle name="Hyperlink 42" xfId="1737" xr:uid="{00000000-0005-0000-0000-0000CC060000}"/>
    <cellStyle name="Hyperlink 42 2" xfId="1738" xr:uid="{00000000-0005-0000-0000-0000CD060000}"/>
    <cellStyle name="Hyperlink 42 3" xfId="1739" xr:uid="{00000000-0005-0000-0000-0000CE060000}"/>
    <cellStyle name="Hyperlink 42 9" xfId="1740" xr:uid="{00000000-0005-0000-0000-0000CF060000}"/>
    <cellStyle name="Hyperlink 42_AGL" xfId="1741" xr:uid="{00000000-0005-0000-0000-0000D0060000}"/>
    <cellStyle name="Hyperlink 43" xfId="1742" xr:uid="{00000000-0005-0000-0000-0000D1060000}"/>
    <cellStyle name="Hyperlink 43 2" xfId="1743" xr:uid="{00000000-0005-0000-0000-0000D2060000}"/>
    <cellStyle name="Hyperlink 43 3" xfId="1744" xr:uid="{00000000-0005-0000-0000-0000D3060000}"/>
    <cellStyle name="Hyperlink 43 9" xfId="1745" xr:uid="{00000000-0005-0000-0000-0000D4060000}"/>
    <cellStyle name="Hyperlink 43_AGL" xfId="1746" xr:uid="{00000000-0005-0000-0000-0000D5060000}"/>
    <cellStyle name="Hyperlink 44" xfId="1747" xr:uid="{00000000-0005-0000-0000-0000D6060000}"/>
    <cellStyle name="Hyperlink 44 2" xfId="1748" xr:uid="{00000000-0005-0000-0000-0000D7060000}"/>
    <cellStyle name="Hyperlink 44 3" xfId="1749" xr:uid="{00000000-0005-0000-0000-0000D8060000}"/>
    <cellStyle name="Hyperlink 44 9" xfId="1750" xr:uid="{00000000-0005-0000-0000-0000D9060000}"/>
    <cellStyle name="Hyperlink 44_AGL" xfId="1751" xr:uid="{00000000-0005-0000-0000-0000DA060000}"/>
    <cellStyle name="Hyperlink 45" xfId="1752" xr:uid="{00000000-0005-0000-0000-0000DB060000}"/>
    <cellStyle name="Hyperlink 45 2" xfId="1753" xr:uid="{00000000-0005-0000-0000-0000DC060000}"/>
    <cellStyle name="Hyperlink 45 3" xfId="1754" xr:uid="{00000000-0005-0000-0000-0000DD060000}"/>
    <cellStyle name="Hyperlink 45 9" xfId="1755" xr:uid="{00000000-0005-0000-0000-0000DE060000}"/>
    <cellStyle name="Hyperlink 45_AGL" xfId="1756" xr:uid="{00000000-0005-0000-0000-0000DF060000}"/>
    <cellStyle name="Hyperlink 46" xfId="1757" xr:uid="{00000000-0005-0000-0000-0000E0060000}"/>
    <cellStyle name="Hyperlink 46 2" xfId="1758" xr:uid="{00000000-0005-0000-0000-0000E1060000}"/>
    <cellStyle name="Hyperlink 46 3" xfId="1759" xr:uid="{00000000-0005-0000-0000-0000E2060000}"/>
    <cellStyle name="Hyperlink 46 9" xfId="1760" xr:uid="{00000000-0005-0000-0000-0000E3060000}"/>
    <cellStyle name="Hyperlink 46_AGL" xfId="1761" xr:uid="{00000000-0005-0000-0000-0000E4060000}"/>
    <cellStyle name="Hyperlink 47" xfId="1762" xr:uid="{00000000-0005-0000-0000-0000E5060000}"/>
    <cellStyle name="Hyperlink 47 2" xfId="1763" xr:uid="{00000000-0005-0000-0000-0000E6060000}"/>
    <cellStyle name="Hyperlink 47 3" xfId="1764" xr:uid="{00000000-0005-0000-0000-0000E7060000}"/>
    <cellStyle name="Hyperlink 47 9" xfId="1765" xr:uid="{00000000-0005-0000-0000-0000E8060000}"/>
    <cellStyle name="Hyperlink 47_AGL" xfId="1766" xr:uid="{00000000-0005-0000-0000-0000E9060000}"/>
    <cellStyle name="Hyperlink 48" xfId="1767" xr:uid="{00000000-0005-0000-0000-0000EA060000}"/>
    <cellStyle name="Hyperlink 48 2" xfId="1768" xr:uid="{00000000-0005-0000-0000-0000EB060000}"/>
    <cellStyle name="Hyperlink 48 3" xfId="1769" xr:uid="{00000000-0005-0000-0000-0000EC060000}"/>
    <cellStyle name="Hyperlink 48 9" xfId="1770" xr:uid="{00000000-0005-0000-0000-0000ED060000}"/>
    <cellStyle name="Hyperlink 48_AGL" xfId="1771" xr:uid="{00000000-0005-0000-0000-0000EE060000}"/>
    <cellStyle name="Hyperlink 49" xfId="1772" xr:uid="{00000000-0005-0000-0000-0000EF060000}"/>
    <cellStyle name="Hyperlink 49 2" xfId="1773" xr:uid="{00000000-0005-0000-0000-0000F0060000}"/>
    <cellStyle name="Hyperlink 49 3" xfId="1774" xr:uid="{00000000-0005-0000-0000-0000F1060000}"/>
    <cellStyle name="Hyperlink 49 9" xfId="1775" xr:uid="{00000000-0005-0000-0000-0000F2060000}"/>
    <cellStyle name="Hyperlink 49_AGL" xfId="1776" xr:uid="{00000000-0005-0000-0000-0000F3060000}"/>
    <cellStyle name="Hyperlink 5" xfId="1777" xr:uid="{00000000-0005-0000-0000-0000F4060000}"/>
    <cellStyle name="Hyperlink 5 2" xfId="1778" xr:uid="{00000000-0005-0000-0000-0000F5060000}"/>
    <cellStyle name="Hyperlink 5 3" xfId="1779" xr:uid="{00000000-0005-0000-0000-0000F6060000}"/>
    <cellStyle name="Hyperlink 5 9" xfId="1780" xr:uid="{00000000-0005-0000-0000-0000F7060000}"/>
    <cellStyle name="Hyperlink 5_AGL" xfId="1781" xr:uid="{00000000-0005-0000-0000-0000F8060000}"/>
    <cellStyle name="Hyperlink 50" xfId="1782" xr:uid="{00000000-0005-0000-0000-0000F9060000}"/>
    <cellStyle name="Hyperlink 50 2" xfId="1783" xr:uid="{00000000-0005-0000-0000-0000FA060000}"/>
    <cellStyle name="Hyperlink 50 3" xfId="1784" xr:uid="{00000000-0005-0000-0000-0000FB060000}"/>
    <cellStyle name="Hyperlink 50 9" xfId="1785" xr:uid="{00000000-0005-0000-0000-0000FC060000}"/>
    <cellStyle name="Hyperlink 50_AGL" xfId="1786" xr:uid="{00000000-0005-0000-0000-0000FD060000}"/>
    <cellStyle name="Hyperlink 51" xfId="1787" xr:uid="{00000000-0005-0000-0000-0000FE060000}"/>
    <cellStyle name="Hyperlink 51 2" xfId="1788" xr:uid="{00000000-0005-0000-0000-0000FF060000}"/>
    <cellStyle name="Hyperlink 51 3" xfId="1789" xr:uid="{00000000-0005-0000-0000-000000070000}"/>
    <cellStyle name="Hyperlink 51 9" xfId="1790" xr:uid="{00000000-0005-0000-0000-000001070000}"/>
    <cellStyle name="Hyperlink 51_AGL" xfId="1791" xr:uid="{00000000-0005-0000-0000-000002070000}"/>
    <cellStyle name="Hyperlink 52" xfId="1792" xr:uid="{00000000-0005-0000-0000-000003070000}"/>
    <cellStyle name="Hyperlink 52 2" xfId="1793" xr:uid="{00000000-0005-0000-0000-000004070000}"/>
    <cellStyle name="Hyperlink 52 3" xfId="1794" xr:uid="{00000000-0005-0000-0000-000005070000}"/>
    <cellStyle name="Hyperlink 52 9" xfId="1795" xr:uid="{00000000-0005-0000-0000-000006070000}"/>
    <cellStyle name="Hyperlink 52_AGL" xfId="1796" xr:uid="{00000000-0005-0000-0000-000007070000}"/>
    <cellStyle name="Hyperlink 53" xfId="1797" xr:uid="{00000000-0005-0000-0000-000008070000}"/>
    <cellStyle name="Hyperlink 53 2" xfId="1798" xr:uid="{00000000-0005-0000-0000-000009070000}"/>
    <cellStyle name="Hyperlink 53 3" xfId="1799" xr:uid="{00000000-0005-0000-0000-00000A070000}"/>
    <cellStyle name="Hyperlink 53 9" xfId="1800" xr:uid="{00000000-0005-0000-0000-00000B070000}"/>
    <cellStyle name="Hyperlink 53_AGL" xfId="1801" xr:uid="{00000000-0005-0000-0000-00000C070000}"/>
    <cellStyle name="Hyperlink 54" xfId="1802" xr:uid="{00000000-0005-0000-0000-00000D070000}"/>
    <cellStyle name="Hyperlink 54 2" xfId="1803" xr:uid="{00000000-0005-0000-0000-00000E070000}"/>
    <cellStyle name="Hyperlink 54 3" xfId="1804" xr:uid="{00000000-0005-0000-0000-00000F070000}"/>
    <cellStyle name="Hyperlink 54 9" xfId="1805" xr:uid="{00000000-0005-0000-0000-000010070000}"/>
    <cellStyle name="Hyperlink 54_AGL" xfId="1806" xr:uid="{00000000-0005-0000-0000-000011070000}"/>
    <cellStyle name="Hyperlink 55" xfId="1807" xr:uid="{00000000-0005-0000-0000-000012070000}"/>
    <cellStyle name="Hyperlink 55 2" xfId="1808" xr:uid="{00000000-0005-0000-0000-000013070000}"/>
    <cellStyle name="Hyperlink 55 3" xfId="1809" xr:uid="{00000000-0005-0000-0000-000014070000}"/>
    <cellStyle name="Hyperlink 55 9" xfId="1810" xr:uid="{00000000-0005-0000-0000-000015070000}"/>
    <cellStyle name="Hyperlink 55_AGL" xfId="1811" xr:uid="{00000000-0005-0000-0000-000016070000}"/>
    <cellStyle name="Hyperlink 56" xfId="1812" xr:uid="{00000000-0005-0000-0000-000017070000}"/>
    <cellStyle name="Hyperlink 56 2" xfId="1813" xr:uid="{00000000-0005-0000-0000-000018070000}"/>
    <cellStyle name="Hyperlink 56 3" xfId="1814" xr:uid="{00000000-0005-0000-0000-000019070000}"/>
    <cellStyle name="Hyperlink 56 9" xfId="1815" xr:uid="{00000000-0005-0000-0000-00001A070000}"/>
    <cellStyle name="Hyperlink 56_AGL" xfId="1816" xr:uid="{00000000-0005-0000-0000-00001B070000}"/>
    <cellStyle name="Hyperlink 57" xfId="1817" xr:uid="{00000000-0005-0000-0000-00001C070000}"/>
    <cellStyle name="Hyperlink 57 2" xfId="1818" xr:uid="{00000000-0005-0000-0000-00001D070000}"/>
    <cellStyle name="Hyperlink 57 3" xfId="1819" xr:uid="{00000000-0005-0000-0000-00001E070000}"/>
    <cellStyle name="Hyperlink 57 9" xfId="1820" xr:uid="{00000000-0005-0000-0000-00001F070000}"/>
    <cellStyle name="Hyperlink 57_AGL" xfId="1821" xr:uid="{00000000-0005-0000-0000-000020070000}"/>
    <cellStyle name="Hyperlink 58" xfId="1822" xr:uid="{00000000-0005-0000-0000-000021070000}"/>
    <cellStyle name="Hyperlink 58 2" xfId="1823" xr:uid="{00000000-0005-0000-0000-000022070000}"/>
    <cellStyle name="Hyperlink 58 3" xfId="1824" xr:uid="{00000000-0005-0000-0000-000023070000}"/>
    <cellStyle name="Hyperlink 58 9" xfId="1825" xr:uid="{00000000-0005-0000-0000-000024070000}"/>
    <cellStyle name="Hyperlink 58_AGL" xfId="1826" xr:uid="{00000000-0005-0000-0000-000025070000}"/>
    <cellStyle name="Hyperlink 59" xfId="1827" xr:uid="{00000000-0005-0000-0000-000026070000}"/>
    <cellStyle name="Hyperlink 59 2" xfId="1828" xr:uid="{00000000-0005-0000-0000-000027070000}"/>
    <cellStyle name="Hyperlink 59 3" xfId="1829" xr:uid="{00000000-0005-0000-0000-000028070000}"/>
    <cellStyle name="Hyperlink 59 9" xfId="1830" xr:uid="{00000000-0005-0000-0000-000029070000}"/>
    <cellStyle name="Hyperlink 59_AGL" xfId="1831" xr:uid="{00000000-0005-0000-0000-00002A070000}"/>
    <cellStyle name="Hyperlink 6" xfId="1832" xr:uid="{00000000-0005-0000-0000-00002B070000}"/>
    <cellStyle name="Hyperlink 6 2" xfId="1833" xr:uid="{00000000-0005-0000-0000-00002C070000}"/>
    <cellStyle name="Hyperlink 6 3" xfId="1834" xr:uid="{00000000-0005-0000-0000-00002D070000}"/>
    <cellStyle name="Hyperlink 6 9" xfId="1835" xr:uid="{00000000-0005-0000-0000-00002E070000}"/>
    <cellStyle name="Hyperlink 6_AGL" xfId="1836" xr:uid="{00000000-0005-0000-0000-00002F070000}"/>
    <cellStyle name="Hyperlink 60" xfId="1837" xr:uid="{00000000-0005-0000-0000-000030070000}"/>
    <cellStyle name="Hyperlink 60 2" xfId="1838" xr:uid="{00000000-0005-0000-0000-000031070000}"/>
    <cellStyle name="Hyperlink 60 3" xfId="1839" xr:uid="{00000000-0005-0000-0000-000032070000}"/>
    <cellStyle name="Hyperlink 60 9" xfId="1840" xr:uid="{00000000-0005-0000-0000-000033070000}"/>
    <cellStyle name="Hyperlink 60_AGL" xfId="1841" xr:uid="{00000000-0005-0000-0000-000034070000}"/>
    <cellStyle name="Hyperlink 61" xfId="1842" xr:uid="{00000000-0005-0000-0000-000035070000}"/>
    <cellStyle name="Hyperlink 61 2" xfId="1843" xr:uid="{00000000-0005-0000-0000-000036070000}"/>
    <cellStyle name="Hyperlink 61 3" xfId="1844" xr:uid="{00000000-0005-0000-0000-000037070000}"/>
    <cellStyle name="Hyperlink 61 9" xfId="1845" xr:uid="{00000000-0005-0000-0000-000038070000}"/>
    <cellStyle name="Hyperlink 61_AGL" xfId="1846" xr:uid="{00000000-0005-0000-0000-000039070000}"/>
    <cellStyle name="Hyperlink 62" xfId="1847" xr:uid="{00000000-0005-0000-0000-00003A070000}"/>
    <cellStyle name="Hyperlink 62 2" xfId="1848" xr:uid="{00000000-0005-0000-0000-00003B070000}"/>
    <cellStyle name="Hyperlink 62 3" xfId="1849" xr:uid="{00000000-0005-0000-0000-00003C070000}"/>
    <cellStyle name="Hyperlink 62 9" xfId="1850" xr:uid="{00000000-0005-0000-0000-00003D070000}"/>
    <cellStyle name="Hyperlink 62_AGL" xfId="1851" xr:uid="{00000000-0005-0000-0000-00003E070000}"/>
    <cellStyle name="Hyperlink 63" xfId="1852" xr:uid="{00000000-0005-0000-0000-00003F070000}"/>
    <cellStyle name="Hyperlink 63 2" xfId="1853" xr:uid="{00000000-0005-0000-0000-000040070000}"/>
    <cellStyle name="Hyperlink 63 3" xfId="1854" xr:uid="{00000000-0005-0000-0000-000041070000}"/>
    <cellStyle name="Hyperlink 63 9" xfId="1855" xr:uid="{00000000-0005-0000-0000-000042070000}"/>
    <cellStyle name="Hyperlink 63_AGL" xfId="1856" xr:uid="{00000000-0005-0000-0000-000043070000}"/>
    <cellStyle name="Hyperlink 64" xfId="1857" xr:uid="{00000000-0005-0000-0000-000044070000}"/>
    <cellStyle name="Hyperlink 64 2" xfId="1858" xr:uid="{00000000-0005-0000-0000-000045070000}"/>
    <cellStyle name="Hyperlink 64 3" xfId="1859" xr:uid="{00000000-0005-0000-0000-000046070000}"/>
    <cellStyle name="Hyperlink 64 9" xfId="1860" xr:uid="{00000000-0005-0000-0000-000047070000}"/>
    <cellStyle name="Hyperlink 64_AGL" xfId="1861" xr:uid="{00000000-0005-0000-0000-000048070000}"/>
    <cellStyle name="Hyperlink 65" xfId="1862" xr:uid="{00000000-0005-0000-0000-000049070000}"/>
    <cellStyle name="Hyperlink 65 2" xfId="1863" xr:uid="{00000000-0005-0000-0000-00004A070000}"/>
    <cellStyle name="Hyperlink 65 3" xfId="1864" xr:uid="{00000000-0005-0000-0000-00004B070000}"/>
    <cellStyle name="Hyperlink 65 9" xfId="1865" xr:uid="{00000000-0005-0000-0000-00004C070000}"/>
    <cellStyle name="Hyperlink 65_AGL" xfId="1866" xr:uid="{00000000-0005-0000-0000-00004D070000}"/>
    <cellStyle name="Hyperlink 66" xfId="1867" xr:uid="{00000000-0005-0000-0000-00004E070000}"/>
    <cellStyle name="Hyperlink 66 2" xfId="1868" xr:uid="{00000000-0005-0000-0000-00004F070000}"/>
    <cellStyle name="Hyperlink 66 3" xfId="1869" xr:uid="{00000000-0005-0000-0000-000050070000}"/>
    <cellStyle name="Hyperlink 66 9" xfId="1870" xr:uid="{00000000-0005-0000-0000-000051070000}"/>
    <cellStyle name="Hyperlink 66_AGL" xfId="1871" xr:uid="{00000000-0005-0000-0000-000052070000}"/>
    <cellStyle name="Hyperlink 67" xfId="1872" xr:uid="{00000000-0005-0000-0000-000053070000}"/>
    <cellStyle name="Hyperlink 67 2" xfId="1873" xr:uid="{00000000-0005-0000-0000-000054070000}"/>
    <cellStyle name="Hyperlink 67 3" xfId="1874" xr:uid="{00000000-0005-0000-0000-000055070000}"/>
    <cellStyle name="Hyperlink 67 9" xfId="1875" xr:uid="{00000000-0005-0000-0000-000056070000}"/>
    <cellStyle name="Hyperlink 67_AGL" xfId="1876" xr:uid="{00000000-0005-0000-0000-000057070000}"/>
    <cellStyle name="Hyperlink 68" xfId="1877" xr:uid="{00000000-0005-0000-0000-000058070000}"/>
    <cellStyle name="Hyperlink 68 2" xfId="1878" xr:uid="{00000000-0005-0000-0000-000059070000}"/>
    <cellStyle name="Hyperlink 68 3" xfId="1879" xr:uid="{00000000-0005-0000-0000-00005A070000}"/>
    <cellStyle name="Hyperlink 68 9" xfId="1880" xr:uid="{00000000-0005-0000-0000-00005B070000}"/>
    <cellStyle name="Hyperlink 68_AGL" xfId="1881" xr:uid="{00000000-0005-0000-0000-00005C070000}"/>
    <cellStyle name="Hyperlink 69" xfId="1882" xr:uid="{00000000-0005-0000-0000-00005D070000}"/>
    <cellStyle name="Hyperlink 69 2" xfId="1883" xr:uid="{00000000-0005-0000-0000-00005E070000}"/>
    <cellStyle name="Hyperlink 69 3" xfId="1884" xr:uid="{00000000-0005-0000-0000-00005F070000}"/>
    <cellStyle name="Hyperlink 69 9" xfId="1885" xr:uid="{00000000-0005-0000-0000-000060070000}"/>
    <cellStyle name="Hyperlink 69_AGL" xfId="1886" xr:uid="{00000000-0005-0000-0000-000061070000}"/>
    <cellStyle name="Hyperlink 7" xfId="1887" xr:uid="{00000000-0005-0000-0000-000062070000}"/>
    <cellStyle name="Hyperlink 7 2" xfId="1888" xr:uid="{00000000-0005-0000-0000-000063070000}"/>
    <cellStyle name="Hyperlink 7 3" xfId="1889" xr:uid="{00000000-0005-0000-0000-000064070000}"/>
    <cellStyle name="Hyperlink 7 9" xfId="1890" xr:uid="{00000000-0005-0000-0000-000065070000}"/>
    <cellStyle name="Hyperlink 7_AGL" xfId="1891" xr:uid="{00000000-0005-0000-0000-000066070000}"/>
    <cellStyle name="Hyperlink 70" xfId="1892" xr:uid="{00000000-0005-0000-0000-000067070000}"/>
    <cellStyle name="Hyperlink 70 2" xfId="1893" xr:uid="{00000000-0005-0000-0000-000068070000}"/>
    <cellStyle name="Hyperlink 70 3" xfId="1894" xr:uid="{00000000-0005-0000-0000-000069070000}"/>
    <cellStyle name="Hyperlink 70 9" xfId="1895" xr:uid="{00000000-0005-0000-0000-00006A070000}"/>
    <cellStyle name="Hyperlink 70_AGL" xfId="1896" xr:uid="{00000000-0005-0000-0000-00006B070000}"/>
    <cellStyle name="Hyperlink 71" xfId="1897" xr:uid="{00000000-0005-0000-0000-00006C070000}"/>
    <cellStyle name="Hyperlink 71 2" xfId="1898" xr:uid="{00000000-0005-0000-0000-00006D070000}"/>
    <cellStyle name="Hyperlink 71 3" xfId="1899" xr:uid="{00000000-0005-0000-0000-00006E070000}"/>
    <cellStyle name="Hyperlink 71 9" xfId="1900" xr:uid="{00000000-0005-0000-0000-00006F070000}"/>
    <cellStyle name="Hyperlink 71_AGL" xfId="1901" xr:uid="{00000000-0005-0000-0000-000070070000}"/>
    <cellStyle name="Hyperlink 72" xfId="1902" xr:uid="{00000000-0005-0000-0000-000071070000}"/>
    <cellStyle name="Hyperlink 72 2" xfId="1903" xr:uid="{00000000-0005-0000-0000-000072070000}"/>
    <cellStyle name="Hyperlink 72 3" xfId="1904" xr:uid="{00000000-0005-0000-0000-000073070000}"/>
    <cellStyle name="Hyperlink 72 9" xfId="1905" xr:uid="{00000000-0005-0000-0000-000074070000}"/>
    <cellStyle name="Hyperlink 72_AGL" xfId="1906" xr:uid="{00000000-0005-0000-0000-000075070000}"/>
    <cellStyle name="Hyperlink 73" xfId="1907" xr:uid="{00000000-0005-0000-0000-000076070000}"/>
    <cellStyle name="Hyperlink 73 2" xfId="1908" xr:uid="{00000000-0005-0000-0000-000077070000}"/>
    <cellStyle name="Hyperlink 73 3" xfId="1909" xr:uid="{00000000-0005-0000-0000-000078070000}"/>
    <cellStyle name="Hyperlink 73 9" xfId="1910" xr:uid="{00000000-0005-0000-0000-000079070000}"/>
    <cellStyle name="Hyperlink 73_AGL" xfId="1911" xr:uid="{00000000-0005-0000-0000-00007A070000}"/>
    <cellStyle name="Hyperlink 74" xfId="1912" xr:uid="{00000000-0005-0000-0000-00007B070000}"/>
    <cellStyle name="Hyperlink 74 2" xfId="1913" xr:uid="{00000000-0005-0000-0000-00007C070000}"/>
    <cellStyle name="Hyperlink 74 3" xfId="1914" xr:uid="{00000000-0005-0000-0000-00007D070000}"/>
    <cellStyle name="Hyperlink 74 9" xfId="1915" xr:uid="{00000000-0005-0000-0000-00007E070000}"/>
    <cellStyle name="Hyperlink 74_AGL" xfId="1916" xr:uid="{00000000-0005-0000-0000-00007F070000}"/>
    <cellStyle name="Hyperlink 75" xfId="1917" xr:uid="{00000000-0005-0000-0000-000080070000}"/>
    <cellStyle name="Hyperlink 75 2" xfId="1918" xr:uid="{00000000-0005-0000-0000-000081070000}"/>
    <cellStyle name="Hyperlink 75 3" xfId="1919" xr:uid="{00000000-0005-0000-0000-000082070000}"/>
    <cellStyle name="Hyperlink 75 9" xfId="1920" xr:uid="{00000000-0005-0000-0000-000083070000}"/>
    <cellStyle name="Hyperlink 75_AGL" xfId="1921" xr:uid="{00000000-0005-0000-0000-000084070000}"/>
    <cellStyle name="Hyperlink 76" xfId="1922" xr:uid="{00000000-0005-0000-0000-000085070000}"/>
    <cellStyle name="Hyperlink 76 2" xfId="1923" xr:uid="{00000000-0005-0000-0000-000086070000}"/>
    <cellStyle name="Hyperlink 76 3" xfId="1924" xr:uid="{00000000-0005-0000-0000-000087070000}"/>
    <cellStyle name="Hyperlink 76 9" xfId="1925" xr:uid="{00000000-0005-0000-0000-000088070000}"/>
    <cellStyle name="Hyperlink 76_AGL" xfId="1926" xr:uid="{00000000-0005-0000-0000-000089070000}"/>
    <cellStyle name="Hyperlink 77" xfId="1927" xr:uid="{00000000-0005-0000-0000-00008A070000}"/>
    <cellStyle name="Hyperlink 77 2" xfId="1928" xr:uid="{00000000-0005-0000-0000-00008B070000}"/>
    <cellStyle name="Hyperlink 77 3" xfId="1929" xr:uid="{00000000-0005-0000-0000-00008C070000}"/>
    <cellStyle name="Hyperlink 77 9" xfId="1930" xr:uid="{00000000-0005-0000-0000-00008D070000}"/>
    <cellStyle name="Hyperlink 77_AGL" xfId="1931" xr:uid="{00000000-0005-0000-0000-00008E070000}"/>
    <cellStyle name="Hyperlink 78" xfId="1932" xr:uid="{00000000-0005-0000-0000-00008F070000}"/>
    <cellStyle name="Hyperlink 78 2" xfId="1933" xr:uid="{00000000-0005-0000-0000-000090070000}"/>
    <cellStyle name="Hyperlink 78 3" xfId="1934" xr:uid="{00000000-0005-0000-0000-000091070000}"/>
    <cellStyle name="Hyperlink 78 9" xfId="1935" xr:uid="{00000000-0005-0000-0000-000092070000}"/>
    <cellStyle name="Hyperlink 78_AGL" xfId="1936" xr:uid="{00000000-0005-0000-0000-000093070000}"/>
    <cellStyle name="Hyperlink 79" xfId="1937" xr:uid="{00000000-0005-0000-0000-000094070000}"/>
    <cellStyle name="Hyperlink 79 2" xfId="1938" xr:uid="{00000000-0005-0000-0000-000095070000}"/>
    <cellStyle name="Hyperlink 79 3" xfId="1939" xr:uid="{00000000-0005-0000-0000-000096070000}"/>
    <cellStyle name="Hyperlink 79 9" xfId="1940" xr:uid="{00000000-0005-0000-0000-000097070000}"/>
    <cellStyle name="Hyperlink 79_AGL" xfId="1941" xr:uid="{00000000-0005-0000-0000-000098070000}"/>
    <cellStyle name="Hyperlink 8" xfId="1942" xr:uid="{00000000-0005-0000-0000-000099070000}"/>
    <cellStyle name="Hyperlink 8 2" xfId="1943" xr:uid="{00000000-0005-0000-0000-00009A070000}"/>
    <cellStyle name="Hyperlink 8 3" xfId="1944" xr:uid="{00000000-0005-0000-0000-00009B070000}"/>
    <cellStyle name="Hyperlink 8 9" xfId="1945" xr:uid="{00000000-0005-0000-0000-00009C070000}"/>
    <cellStyle name="Hyperlink 8_AGL" xfId="1946" xr:uid="{00000000-0005-0000-0000-00009D070000}"/>
    <cellStyle name="Hyperlink 80" xfId="1947" xr:uid="{00000000-0005-0000-0000-00009E070000}"/>
    <cellStyle name="Hyperlink 80 2" xfId="1948" xr:uid="{00000000-0005-0000-0000-00009F070000}"/>
    <cellStyle name="Hyperlink 80 3" xfId="1949" xr:uid="{00000000-0005-0000-0000-0000A0070000}"/>
    <cellStyle name="Hyperlink 80 9" xfId="1950" xr:uid="{00000000-0005-0000-0000-0000A1070000}"/>
    <cellStyle name="Hyperlink 80_AGL" xfId="1951" xr:uid="{00000000-0005-0000-0000-0000A2070000}"/>
    <cellStyle name="Hyperlink 81" xfId="1952" xr:uid="{00000000-0005-0000-0000-0000A3070000}"/>
    <cellStyle name="Hyperlink 81 2" xfId="1953" xr:uid="{00000000-0005-0000-0000-0000A4070000}"/>
    <cellStyle name="Hyperlink 81 3" xfId="1954" xr:uid="{00000000-0005-0000-0000-0000A5070000}"/>
    <cellStyle name="Hyperlink 81 9" xfId="1955" xr:uid="{00000000-0005-0000-0000-0000A6070000}"/>
    <cellStyle name="Hyperlink 81_AGL" xfId="1956" xr:uid="{00000000-0005-0000-0000-0000A7070000}"/>
    <cellStyle name="Hyperlink 82" xfId="1957" xr:uid="{00000000-0005-0000-0000-0000A8070000}"/>
    <cellStyle name="Hyperlink 82 2" xfId="1958" xr:uid="{00000000-0005-0000-0000-0000A9070000}"/>
    <cellStyle name="Hyperlink 82 3" xfId="1959" xr:uid="{00000000-0005-0000-0000-0000AA070000}"/>
    <cellStyle name="Hyperlink 82 9" xfId="1960" xr:uid="{00000000-0005-0000-0000-0000AB070000}"/>
    <cellStyle name="Hyperlink 82_AGL" xfId="1961" xr:uid="{00000000-0005-0000-0000-0000AC070000}"/>
    <cellStyle name="Hyperlink 83" xfId="1962" xr:uid="{00000000-0005-0000-0000-0000AD070000}"/>
    <cellStyle name="Hyperlink 83 2" xfId="1963" xr:uid="{00000000-0005-0000-0000-0000AE070000}"/>
    <cellStyle name="Hyperlink 83 3" xfId="1964" xr:uid="{00000000-0005-0000-0000-0000AF070000}"/>
    <cellStyle name="Hyperlink 83 9" xfId="1965" xr:uid="{00000000-0005-0000-0000-0000B0070000}"/>
    <cellStyle name="Hyperlink 83_AGL" xfId="1966" xr:uid="{00000000-0005-0000-0000-0000B1070000}"/>
    <cellStyle name="Hyperlink 84" xfId="1967" xr:uid="{00000000-0005-0000-0000-0000B2070000}"/>
    <cellStyle name="Hyperlink 84 2" xfId="1968" xr:uid="{00000000-0005-0000-0000-0000B3070000}"/>
    <cellStyle name="Hyperlink 84 3" xfId="1969" xr:uid="{00000000-0005-0000-0000-0000B4070000}"/>
    <cellStyle name="Hyperlink 84 9" xfId="1970" xr:uid="{00000000-0005-0000-0000-0000B5070000}"/>
    <cellStyle name="Hyperlink 84_AGL" xfId="1971" xr:uid="{00000000-0005-0000-0000-0000B6070000}"/>
    <cellStyle name="Hyperlink 85" xfId="1972" xr:uid="{00000000-0005-0000-0000-0000B7070000}"/>
    <cellStyle name="Hyperlink 85 2" xfId="1973" xr:uid="{00000000-0005-0000-0000-0000B8070000}"/>
    <cellStyle name="Hyperlink 85 3" xfId="1974" xr:uid="{00000000-0005-0000-0000-0000B9070000}"/>
    <cellStyle name="Hyperlink 85 9" xfId="1975" xr:uid="{00000000-0005-0000-0000-0000BA070000}"/>
    <cellStyle name="Hyperlink 85_AGL" xfId="1976" xr:uid="{00000000-0005-0000-0000-0000BB070000}"/>
    <cellStyle name="Hyperlink 86" xfId="1977" xr:uid="{00000000-0005-0000-0000-0000BC070000}"/>
    <cellStyle name="Hyperlink 86 2" xfId="1978" xr:uid="{00000000-0005-0000-0000-0000BD070000}"/>
    <cellStyle name="Hyperlink 86 3" xfId="1979" xr:uid="{00000000-0005-0000-0000-0000BE070000}"/>
    <cellStyle name="Hyperlink 86 9" xfId="1980" xr:uid="{00000000-0005-0000-0000-0000BF070000}"/>
    <cellStyle name="Hyperlink 86_AGL" xfId="1981" xr:uid="{00000000-0005-0000-0000-0000C0070000}"/>
    <cellStyle name="Hyperlink 87" xfId="1982" xr:uid="{00000000-0005-0000-0000-0000C1070000}"/>
    <cellStyle name="Hyperlink 87 2" xfId="1983" xr:uid="{00000000-0005-0000-0000-0000C2070000}"/>
    <cellStyle name="Hyperlink 87 3" xfId="1984" xr:uid="{00000000-0005-0000-0000-0000C3070000}"/>
    <cellStyle name="Hyperlink 87 9" xfId="1985" xr:uid="{00000000-0005-0000-0000-0000C4070000}"/>
    <cellStyle name="Hyperlink 87_AGL" xfId="1986" xr:uid="{00000000-0005-0000-0000-0000C5070000}"/>
    <cellStyle name="Hyperlink 88" xfId="1987" xr:uid="{00000000-0005-0000-0000-0000C6070000}"/>
    <cellStyle name="Hyperlink 88 2" xfId="1988" xr:uid="{00000000-0005-0000-0000-0000C7070000}"/>
    <cellStyle name="Hyperlink 88 3" xfId="1989" xr:uid="{00000000-0005-0000-0000-0000C8070000}"/>
    <cellStyle name="Hyperlink 88 9" xfId="1990" xr:uid="{00000000-0005-0000-0000-0000C9070000}"/>
    <cellStyle name="Hyperlink 88_AGL" xfId="1991" xr:uid="{00000000-0005-0000-0000-0000CA070000}"/>
    <cellStyle name="Hyperlink 89" xfId="1992" xr:uid="{00000000-0005-0000-0000-0000CB070000}"/>
    <cellStyle name="Hyperlink 89 2" xfId="1993" xr:uid="{00000000-0005-0000-0000-0000CC070000}"/>
    <cellStyle name="Hyperlink 89 3" xfId="1994" xr:uid="{00000000-0005-0000-0000-0000CD070000}"/>
    <cellStyle name="Hyperlink 89 9" xfId="1995" xr:uid="{00000000-0005-0000-0000-0000CE070000}"/>
    <cellStyle name="Hyperlink 89_AGL" xfId="1996" xr:uid="{00000000-0005-0000-0000-0000CF070000}"/>
    <cellStyle name="Hyperlink 9" xfId="1997" xr:uid="{00000000-0005-0000-0000-0000D0070000}"/>
    <cellStyle name="Hyperlink 9 2" xfId="1998" xr:uid="{00000000-0005-0000-0000-0000D1070000}"/>
    <cellStyle name="Hyperlink 9 3" xfId="1999" xr:uid="{00000000-0005-0000-0000-0000D2070000}"/>
    <cellStyle name="Hyperlink 9 9" xfId="2000" xr:uid="{00000000-0005-0000-0000-0000D3070000}"/>
    <cellStyle name="Hyperlink 9_AGL" xfId="2001" xr:uid="{00000000-0005-0000-0000-0000D4070000}"/>
    <cellStyle name="Hyperlink 90" xfId="2002" xr:uid="{00000000-0005-0000-0000-0000D5070000}"/>
    <cellStyle name="Hyperlink 90 2" xfId="2003" xr:uid="{00000000-0005-0000-0000-0000D6070000}"/>
    <cellStyle name="Hyperlink 90 3" xfId="2004" xr:uid="{00000000-0005-0000-0000-0000D7070000}"/>
    <cellStyle name="Hyperlink 90 9" xfId="2005" xr:uid="{00000000-0005-0000-0000-0000D8070000}"/>
    <cellStyle name="Hyperlink 90_AGL" xfId="2006" xr:uid="{00000000-0005-0000-0000-0000D9070000}"/>
    <cellStyle name="Hyperlink 91" xfId="2007" xr:uid="{00000000-0005-0000-0000-0000DA070000}"/>
    <cellStyle name="Hyperlink 91 2" xfId="2008" xr:uid="{00000000-0005-0000-0000-0000DB070000}"/>
    <cellStyle name="Hyperlink 91 3" xfId="2009" xr:uid="{00000000-0005-0000-0000-0000DC070000}"/>
    <cellStyle name="Hyperlink 91 9" xfId="2010" xr:uid="{00000000-0005-0000-0000-0000DD070000}"/>
    <cellStyle name="Hyperlink 91_AGL" xfId="2011" xr:uid="{00000000-0005-0000-0000-0000DE070000}"/>
    <cellStyle name="Hyperlink 92" xfId="2012" xr:uid="{00000000-0005-0000-0000-0000DF070000}"/>
    <cellStyle name="Hyperlink 92 2" xfId="2013" xr:uid="{00000000-0005-0000-0000-0000E0070000}"/>
    <cellStyle name="Hyperlink 92 3" xfId="2014" xr:uid="{00000000-0005-0000-0000-0000E1070000}"/>
    <cellStyle name="Hyperlink 92 9" xfId="2015" xr:uid="{00000000-0005-0000-0000-0000E2070000}"/>
    <cellStyle name="Hyperlink 92_AGL" xfId="2016" xr:uid="{00000000-0005-0000-0000-0000E3070000}"/>
    <cellStyle name="Hyperlink 93" xfId="2017" xr:uid="{00000000-0005-0000-0000-0000E4070000}"/>
    <cellStyle name="Hyperlink 93 2" xfId="2018" xr:uid="{00000000-0005-0000-0000-0000E5070000}"/>
    <cellStyle name="Hyperlink 93 3" xfId="2019" xr:uid="{00000000-0005-0000-0000-0000E6070000}"/>
    <cellStyle name="Hyperlink 93 9" xfId="2020" xr:uid="{00000000-0005-0000-0000-0000E7070000}"/>
    <cellStyle name="Hyperlink 93_AGL" xfId="2021" xr:uid="{00000000-0005-0000-0000-0000E8070000}"/>
    <cellStyle name="Hyperlink 94" xfId="2022" xr:uid="{00000000-0005-0000-0000-0000E9070000}"/>
    <cellStyle name="Hyperlink 94 2" xfId="2023" xr:uid="{00000000-0005-0000-0000-0000EA070000}"/>
    <cellStyle name="Hyperlink 94 3" xfId="2024" xr:uid="{00000000-0005-0000-0000-0000EB070000}"/>
    <cellStyle name="Hyperlink 94 9" xfId="2025" xr:uid="{00000000-0005-0000-0000-0000EC070000}"/>
    <cellStyle name="Hyperlink 94_AGL" xfId="2026" xr:uid="{00000000-0005-0000-0000-0000ED070000}"/>
    <cellStyle name="Hyperlink 95" xfId="2027" xr:uid="{00000000-0005-0000-0000-0000EE070000}"/>
    <cellStyle name="Hyperlink 95 2" xfId="2028" xr:uid="{00000000-0005-0000-0000-0000EF070000}"/>
    <cellStyle name="Hyperlink 95 3" xfId="2029" xr:uid="{00000000-0005-0000-0000-0000F0070000}"/>
    <cellStyle name="Hyperlink 95 9" xfId="2030" xr:uid="{00000000-0005-0000-0000-0000F1070000}"/>
    <cellStyle name="Hyperlink 95_AGL" xfId="2031" xr:uid="{00000000-0005-0000-0000-0000F2070000}"/>
    <cellStyle name="Hyperlink 96" xfId="2032" xr:uid="{00000000-0005-0000-0000-0000F3070000}"/>
    <cellStyle name="Hyperlink 96 2" xfId="2033" xr:uid="{00000000-0005-0000-0000-0000F4070000}"/>
    <cellStyle name="Hyperlink 96 3" xfId="2034" xr:uid="{00000000-0005-0000-0000-0000F5070000}"/>
    <cellStyle name="Hyperlink 96 9" xfId="2035" xr:uid="{00000000-0005-0000-0000-0000F6070000}"/>
    <cellStyle name="Hyperlink 96_AGL" xfId="2036" xr:uid="{00000000-0005-0000-0000-0000F7070000}"/>
    <cellStyle name="Hyperlink 97" xfId="2037" xr:uid="{00000000-0005-0000-0000-0000F8070000}"/>
    <cellStyle name="Hyperlink 97 2" xfId="2038" xr:uid="{00000000-0005-0000-0000-0000F9070000}"/>
    <cellStyle name="Hyperlink 97 3" xfId="2039" xr:uid="{00000000-0005-0000-0000-0000FA070000}"/>
    <cellStyle name="Hyperlink 97 9" xfId="2040" xr:uid="{00000000-0005-0000-0000-0000FB070000}"/>
    <cellStyle name="Hyperlink 97_AGL" xfId="2041" xr:uid="{00000000-0005-0000-0000-0000FC070000}"/>
    <cellStyle name="Hyperlink 98" xfId="2042" xr:uid="{00000000-0005-0000-0000-0000FD070000}"/>
    <cellStyle name="Hyperlink 98 2" xfId="2043" xr:uid="{00000000-0005-0000-0000-0000FE070000}"/>
    <cellStyle name="Hyperlink 98 3" xfId="2044" xr:uid="{00000000-0005-0000-0000-0000FF070000}"/>
    <cellStyle name="Hyperlink 98 9" xfId="2045" xr:uid="{00000000-0005-0000-0000-000000080000}"/>
    <cellStyle name="Hyperlink 98_AGL" xfId="2046" xr:uid="{00000000-0005-0000-0000-000001080000}"/>
    <cellStyle name="Hyperlink 99" xfId="2047" xr:uid="{00000000-0005-0000-0000-000002080000}"/>
    <cellStyle name="Hyperlink 99 2" xfId="2048" xr:uid="{00000000-0005-0000-0000-000003080000}"/>
    <cellStyle name="Hyperlink 99 3" xfId="2049" xr:uid="{00000000-0005-0000-0000-000004080000}"/>
    <cellStyle name="Hyperlink 99 9" xfId="2050" xr:uid="{00000000-0005-0000-0000-000005080000}"/>
    <cellStyle name="Hyperlink 99_AGL" xfId="2051" xr:uid="{00000000-0005-0000-0000-000006080000}"/>
    <cellStyle name="Input" xfId="29" builtinId="20"/>
    <cellStyle name="Input 2" xfId="30" xr:uid="{00000000-0005-0000-0000-000021000000}"/>
    <cellStyle name="Input 2 10" xfId="2052" xr:uid="{00000000-0005-0000-0000-000007080000}"/>
    <cellStyle name="Input 2 11" xfId="4476" xr:uid="{00000000-0005-0000-0000-00007F110000}"/>
    <cellStyle name="Input 2 12" xfId="4542" xr:uid="{00000000-0005-0000-0000-0000C1110000}"/>
    <cellStyle name="Input 2 2" xfId="2053" xr:uid="{00000000-0005-0000-0000-000008080000}"/>
    <cellStyle name="Input 2 2 2" xfId="2054" xr:uid="{00000000-0005-0000-0000-000009080000}"/>
    <cellStyle name="Input 2 2 2 2" xfId="2055" xr:uid="{00000000-0005-0000-0000-00000A080000}"/>
    <cellStyle name="Input 2 2 2 2 2" xfId="4321" xr:uid="{00000000-0005-0000-0000-0000E4100000}"/>
    <cellStyle name="Input 2 2 2 2 3" xfId="4324" xr:uid="{00000000-0005-0000-0000-0000E7100000}"/>
    <cellStyle name="Input 2 2 2 3" xfId="4322" xr:uid="{00000000-0005-0000-0000-0000E5100000}"/>
    <cellStyle name="Input 2 2 2 4" xfId="4323" xr:uid="{00000000-0005-0000-0000-0000E6100000}"/>
    <cellStyle name="Input 2 2 2_Sheet10" xfId="2056" xr:uid="{00000000-0005-0000-0000-00000B080000}"/>
    <cellStyle name="Input 2 2 3" xfId="2057" xr:uid="{00000000-0005-0000-0000-00000C080000}"/>
    <cellStyle name="Input 2 2 3 2" xfId="4320" xr:uid="{00000000-0005-0000-0000-0000E3100000}"/>
    <cellStyle name="Input 2 2 3 3" xfId="4325" xr:uid="{00000000-0005-0000-0000-0000E8100000}"/>
    <cellStyle name="Input 2 2_AGL" xfId="2058" xr:uid="{00000000-0005-0000-0000-00000D080000}"/>
    <cellStyle name="Input 2 3" xfId="2059" xr:uid="{00000000-0005-0000-0000-00000E080000}"/>
    <cellStyle name="Input 2 3 2" xfId="2060" xr:uid="{00000000-0005-0000-0000-00000F080000}"/>
    <cellStyle name="Input 2 3 2 2" xfId="2061" xr:uid="{00000000-0005-0000-0000-000010080000}"/>
    <cellStyle name="Input 2 3 2 2 2" xfId="4318" xr:uid="{00000000-0005-0000-0000-0000E1100000}"/>
    <cellStyle name="Input 2 3 2 2 3" xfId="4327" xr:uid="{00000000-0005-0000-0000-0000EA100000}"/>
    <cellStyle name="Input 2 3 2 3" xfId="4319" xr:uid="{00000000-0005-0000-0000-0000E2100000}"/>
    <cellStyle name="Input 2 3 2 4" xfId="4326" xr:uid="{00000000-0005-0000-0000-0000E9100000}"/>
    <cellStyle name="Input 2 3 2_Sheet10" xfId="2062" xr:uid="{00000000-0005-0000-0000-000011080000}"/>
    <cellStyle name="Input 2 3 3" xfId="2063" xr:uid="{00000000-0005-0000-0000-000012080000}"/>
    <cellStyle name="Input 2 3 3 2" xfId="4317" xr:uid="{00000000-0005-0000-0000-0000E0100000}"/>
    <cellStyle name="Input 2 3 3 3" xfId="4328" xr:uid="{00000000-0005-0000-0000-0000EB100000}"/>
    <cellStyle name="Input 2 3_AGL" xfId="2064" xr:uid="{00000000-0005-0000-0000-000013080000}"/>
    <cellStyle name="Input 2 4" xfId="2065" xr:uid="{00000000-0005-0000-0000-000014080000}"/>
    <cellStyle name="Input 2 4 2" xfId="2066" xr:uid="{00000000-0005-0000-0000-000015080000}"/>
    <cellStyle name="Input 2 4 2 2" xfId="4315" xr:uid="{00000000-0005-0000-0000-0000DE100000}"/>
    <cellStyle name="Input 2 4 2 3" xfId="4330" xr:uid="{00000000-0005-0000-0000-0000ED100000}"/>
    <cellStyle name="Input 2 4 3" xfId="4316" xr:uid="{00000000-0005-0000-0000-0000DF100000}"/>
    <cellStyle name="Input 2 4 4" xfId="4329" xr:uid="{00000000-0005-0000-0000-0000EC100000}"/>
    <cellStyle name="Input 2 4_Sheet10" xfId="2067" xr:uid="{00000000-0005-0000-0000-000016080000}"/>
    <cellStyle name="Input 2 5" xfId="2068" xr:uid="{00000000-0005-0000-0000-000017080000}"/>
    <cellStyle name="Input 2 5 2" xfId="4314" xr:uid="{00000000-0005-0000-0000-0000DD100000}"/>
    <cellStyle name="Input 2 5 3" xfId="4331" xr:uid="{00000000-0005-0000-0000-0000EE100000}"/>
    <cellStyle name="Input 2 6" xfId="2069" xr:uid="{00000000-0005-0000-0000-000018080000}"/>
    <cellStyle name="Input 2 7" xfId="2070" xr:uid="{00000000-0005-0000-0000-000019080000}"/>
    <cellStyle name="Input 2 8" xfId="2071" xr:uid="{00000000-0005-0000-0000-00001A080000}"/>
    <cellStyle name="Input 2 9" xfId="2072" xr:uid="{00000000-0005-0000-0000-00001B080000}"/>
    <cellStyle name="Input 2_AGL" xfId="2073" xr:uid="{00000000-0005-0000-0000-00001C080000}"/>
    <cellStyle name="Input 3" xfId="2074" xr:uid="{00000000-0005-0000-0000-00001D080000}"/>
    <cellStyle name="Input 3 10" xfId="2075" xr:uid="{00000000-0005-0000-0000-00001E080000}"/>
    <cellStyle name="Input 3 11" xfId="4555" xr:uid="{00000000-0005-0000-0000-0000CE110000}"/>
    <cellStyle name="Input 3 2" xfId="2076" xr:uid="{00000000-0005-0000-0000-00001F080000}"/>
    <cellStyle name="Input 3 2 2" xfId="2077" xr:uid="{00000000-0005-0000-0000-000020080000}"/>
    <cellStyle name="Input 3 2 2 2" xfId="4312" xr:uid="{00000000-0005-0000-0000-0000DB100000}"/>
    <cellStyle name="Input 3 2 2 3" xfId="4333" xr:uid="{00000000-0005-0000-0000-0000F0100000}"/>
    <cellStyle name="Input 3 2 3" xfId="4313" xr:uid="{00000000-0005-0000-0000-0000DC100000}"/>
    <cellStyle name="Input 3 2 4" xfId="4332" xr:uid="{00000000-0005-0000-0000-0000EF100000}"/>
    <cellStyle name="Input 3 2_Sheet10" xfId="2078" xr:uid="{00000000-0005-0000-0000-000021080000}"/>
    <cellStyle name="Input 3 3" xfId="2079" xr:uid="{00000000-0005-0000-0000-000022080000}"/>
    <cellStyle name="Input 3 3 2" xfId="4311" xr:uid="{00000000-0005-0000-0000-0000DA100000}"/>
    <cellStyle name="Input 3 3 3" xfId="4334" xr:uid="{00000000-0005-0000-0000-0000F1100000}"/>
    <cellStyle name="Input 3 4" xfId="2080" xr:uid="{00000000-0005-0000-0000-000023080000}"/>
    <cellStyle name="Input 3 5" xfId="2081" xr:uid="{00000000-0005-0000-0000-000024080000}"/>
    <cellStyle name="Input 3 6" xfId="2082" xr:uid="{00000000-0005-0000-0000-000025080000}"/>
    <cellStyle name="Input 3 7" xfId="2083" xr:uid="{00000000-0005-0000-0000-000026080000}"/>
    <cellStyle name="Input 3 8" xfId="2084" xr:uid="{00000000-0005-0000-0000-000027080000}"/>
    <cellStyle name="Input 3 9" xfId="2085" xr:uid="{00000000-0005-0000-0000-000028080000}"/>
    <cellStyle name="Input 3_AGL" xfId="2086" xr:uid="{00000000-0005-0000-0000-000029080000}"/>
    <cellStyle name="Input 4" xfId="2087" xr:uid="{00000000-0005-0000-0000-00002A080000}"/>
    <cellStyle name="Input 4 2" xfId="2088" xr:uid="{00000000-0005-0000-0000-00002B080000}"/>
    <cellStyle name="Input 4 2 2" xfId="2089" xr:uid="{00000000-0005-0000-0000-00002C080000}"/>
    <cellStyle name="Input 4 2 2 2" xfId="4309" xr:uid="{00000000-0005-0000-0000-0000D8100000}"/>
    <cellStyle name="Input 4 2 2 3" xfId="4336" xr:uid="{00000000-0005-0000-0000-0000F3100000}"/>
    <cellStyle name="Input 4 2 3" xfId="4310" xr:uid="{00000000-0005-0000-0000-0000D9100000}"/>
    <cellStyle name="Input 4 2 4" xfId="4335" xr:uid="{00000000-0005-0000-0000-0000F2100000}"/>
    <cellStyle name="Input 4 2_Sheet10" xfId="2090" xr:uid="{00000000-0005-0000-0000-00002D080000}"/>
    <cellStyle name="Input 4 3" xfId="2091" xr:uid="{00000000-0005-0000-0000-00002E080000}"/>
    <cellStyle name="Input 4 3 2" xfId="4308" xr:uid="{00000000-0005-0000-0000-0000D7100000}"/>
    <cellStyle name="Input 4 3 3" xfId="4337" xr:uid="{00000000-0005-0000-0000-0000F4100000}"/>
    <cellStyle name="Input 4_AGL" xfId="2092" xr:uid="{00000000-0005-0000-0000-00002F080000}"/>
    <cellStyle name="Input 5" xfId="2093" xr:uid="{00000000-0005-0000-0000-000030080000}"/>
    <cellStyle name="Input 5 2" xfId="2094" xr:uid="{00000000-0005-0000-0000-000031080000}"/>
    <cellStyle name="Input 5 2 2" xfId="4306" xr:uid="{00000000-0005-0000-0000-0000D5100000}"/>
    <cellStyle name="Input 5 2 3" xfId="4339" xr:uid="{00000000-0005-0000-0000-0000F6100000}"/>
    <cellStyle name="Input 5 3" xfId="4307" xr:uid="{00000000-0005-0000-0000-0000D6100000}"/>
    <cellStyle name="Input 5 4" xfId="4338" xr:uid="{00000000-0005-0000-0000-0000F5100000}"/>
    <cellStyle name="Input 5_Sheet10" xfId="2095" xr:uid="{00000000-0005-0000-0000-000032080000}"/>
    <cellStyle name="Input 6" xfId="2096" xr:uid="{00000000-0005-0000-0000-000033080000}"/>
    <cellStyle name="Input 6 2" xfId="4305" xr:uid="{00000000-0005-0000-0000-0000D4100000}"/>
    <cellStyle name="Input 6 3" xfId="4340" xr:uid="{00000000-0005-0000-0000-0000F7100000}"/>
    <cellStyle name="Input 7" xfId="4562" xr:uid="{00000000-0005-0000-0000-0000D5110000}"/>
    <cellStyle name="Interm selection" xfId="2097" xr:uid="{00000000-0005-0000-0000-000034080000}"/>
    <cellStyle name="Intermediate/scenario user input" xfId="2098" xr:uid="{00000000-0005-0000-0000-000035080000}"/>
    <cellStyle name="Intermediate/scenario user input 2" xfId="2099" xr:uid="{00000000-0005-0000-0000-000036080000}"/>
    <cellStyle name="Intermediate/scenario user input 2 2" xfId="2100" xr:uid="{00000000-0005-0000-0000-000037080000}"/>
    <cellStyle name="Intermediate/scenario user input 2 2 2" xfId="4342" xr:uid="{00000000-0005-0000-0000-0000F9100000}"/>
    <cellStyle name="Intermediate/scenario user input 2 3" xfId="4341" xr:uid="{00000000-0005-0000-0000-0000F8100000}"/>
    <cellStyle name="Intermediate/scenario user input 2_Sheet10" xfId="2101" xr:uid="{00000000-0005-0000-0000-000038080000}"/>
    <cellStyle name="Intermediate/scenario user input 3" xfId="2102" xr:uid="{00000000-0005-0000-0000-000039080000}"/>
    <cellStyle name="Intermediate/scenario user input 3 2" xfId="4343" xr:uid="{00000000-0005-0000-0000-0000FA100000}"/>
    <cellStyle name="Intermediate/scenario user input 4" xfId="4556" xr:uid="{00000000-0005-0000-0000-0000CF110000}"/>
    <cellStyle name="Intermediate/scenario user input_AGL" xfId="2103" xr:uid="{00000000-0005-0000-0000-00003A080000}"/>
    <cellStyle name="IPCC" xfId="4442" xr:uid="{00000000-0005-0000-0000-00005D110000}"/>
    <cellStyle name="L_Green" xfId="2104" xr:uid="{00000000-0005-0000-0000-00003B080000}"/>
    <cellStyle name="L_Green 2" xfId="4543" xr:uid="{00000000-0005-0000-0000-0000C2110000}"/>
    <cellStyle name="Linked" xfId="31" xr:uid="{00000000-0005-0000-0000-000022000000}"/>
    <cellStyle name="Linked 2" xfId="2105" xr:uid="{00000000-0005-0000-0000-00003C080000}"/>
    <cellStyle name="Linked 2 2" xfId="2106" xr:uid="{00000000-0005-0000-0000-00003D080000}"/>
    <cellStyle name="Linked 2 2 2" xfId="2107" xr:uid="{00000000-0005-0000-0000-00003E080000}"/>
    <cellStyle name="Linked 2 2 3" xfId="2108" xr:uid="{00000000-0005-0000-0000-00003F080000}"/>
    <cellStyle name="Linked 2 2_AGL" xfId="2109" xr:uid="{00000000-0005-0000-0000-000040080000}"/>
    <cellStyle name="Linked 2 3" xfId="2110" xr:uid="{00000000-0005-0000-0000-000041080000}"/>
    <cellStyle name="Linked 2 4" xfId="2111" xr:uid="{00000000-0005-0000-0000-000042080000}"/>
    <cellStyle name="Linked 2_AGL" xfId="2112" xr:uid="{00000000-0005-0000-0000-000043080000}"/>
    <cellStyle name="Linked 3" xfId="2113" xr:uid="{00000000-0005-0000-0000-000044080000}"/>
    <cellStyle name="Linked 4" xfId="2114" xr:uid="{00000000-0005-0000-0000-000045080000}"/>
    <cellStyle name="Linked 5" xfId="4544" xr:uid="{00000000-0005-0000-0000-0000C3110000}"/>
    <cellStyle name="Linked Cell 2" xfId="2115" xr:uid="{00000000-0005-0000-0000-000046080000}"/>
    <cellStyle name="Linked Cell 2 2" xfId="2116" xr:uid="{00000000-0005-0000-0000-000047080000}"/>
    <cellStyle name="Linked Cell 2 3" xfId="2117" xr:uid="{00000000-0005-0000-0000-000048080000}"/>
    <cellStyle name="Linked Cell 2_AGL" xfId="2118" xr:uid="{00000000-0005-0000-0000-000049080000}"/>
    <cellStyle name="Linked Cell 3" xfId="2119" xr:uid="{00000000-0005-0000-0000-00004A080000}"/>
    <cellStyle name="Linked Cell 4" xfId="2120" xr:uid="{00000000-0005-0000-0000-00004B080000}"/>
    <cellStyle name="Neutral" xfId="32" builtinId="28"/>
    <cellStyle name="Neutral 2" xfId="2121" xr:uid="{00000000-0005-0000-0000-00004C080000}"/>
    <cellStyle name="Neutral 2 2" xfId="2122" xr:uid="{00000000-0005-0000-0000-00004D080000}"/>
    <cellStyle name="Neutral 2 3" xfId="2123" xr:uid="{00000000-0005-0000-0000-00004E080000}"/>
    <cellStyle name="Neutral 2 4" xfId="4484" xr:uid="{00000000-0005-0000-0000-000087110000}"/>
    <cellStyle name="Neutral 2 5" xfId="4545" xr:uid="{00000000-0005-0000-0000-0000C4110000}"/>
    <cellStyle name="Neutral 2_AGL" xfId="2124" xr:uid="{00000000-0005-0000-0000-00004F080000}"/>
    <cellStyle name="Neutral 3" xfId="2125" xr:uid="{00000000-0005-0000-0000-000050080000}"/>
    <cellStyle name="Neutral 3 2" xfId="2126" xr:uid="{00000000-0005-0000-0000-000051080000}"/>
    <cellStyle name="Neutral 3 3" xfId="2127" xr:uid="{00000000-0005-0000-0000-000052080000}"/>
    <cellStyle name="Neutral 3_AGL" xfId="2128" xr:uid="{00000000-0005-0000-0000-000053080000}"/>
    <cellStyle name="Neutral 4" xfId="2129" xr:uid="{00000000-0005-0000-0000-000054080000}"/>
    <cellStyle name="Neutral 4 2" xfId="2130" xr:uid="{00000000-0005-0000-0000-000055080000}"/>
    <cellStyle name="Neutral 4 3" xfId="2131" xr:uid="{00000000-0005-0000-0000-000056080000}"/>
    <cellStyle name="Neutral 4_AGL" xfId="2132" xr:uid="{00000000-0005-0000-0000-000057080000}"/>
    <cellStyle name="Neutral 5" xfId="2133" xr:uid="{00000000-0005-0000-0000-000058080000}"/>
    <cellStyle name="Neutral 6" xfId="2134" xr:uid="{00000000-0005-0000-0000-000059080000}"/>
    <cellStyle name="Normal" xfId="0" builtinId="0"/>
    <cellStyle name="Normal - Style1" xfId="2135" xr:uid="{00000000-0005-0000-0000-00005A080000}"/>
    <cellStyle name="Normal - Style1 2" xfId="4546" xr:uid="{00000000-0005-0000-0000-0000C5110000}"/>
    <cellStyle name="Normal 10" xfId="61" xr:uid="{00000000-0005-0000-0000-000040000000}"/>
    <cellStyle name="Normal 10 2" xfId="2136" xr:uid="{00000000-0005-0000-0000-00005B080000}"/>
    <cellStyle name="Normal 10 2 2" xfId="2137" xr:uid="{00000000-0005-0000-0000-00005C080000}"/>
    <cellStyle name="Normal 10 2 2 2" xfId="2138" xr:uid="{00000000-0005-0000-0000-00005D080000}"/>
    <cellStyle name="Normal 10 2 3" xfId="2139" xr:uid="{00000000-0005-0000-0000-00005E080000}"/>
    <cellStyle name="Normal 10 2 3 2" xfId="2140" xr:uid="{00000000-0005-0000-0000-00005F080000}"/>
    <cellStyle name="Normal 10 2 4" xfId="2141" xr:uid="{00000000-0005-0000-0000-000060080000}"/>
    <cellStyle name="Normal 10 2_AGL" xfId="2142" xr:uid="{00000000-0005-0000-0000-000061080000}"/>
    <cellStyle name="Normal 10 3" xfId="2143" xr:uid="{00000000-0005-0000-0000-000062080000}"/>
    <cellStyle name="Normal 10 3 2" xfId="2144" xr:uid="{00000000-0005-0000-0000-000063080000}"/>
    <cellStyle name="Normal 10 3 2 2" xfId="2145" xr:uid="{00000000-0005-0000-0000-000064080000}"/>
    <cellStyle name="Normal 10 3 3" xfId="2146" xr:uid="{00000000-0005-0000-0000-000065080000}"/>
    <cellStyle name="Normal 10 3 3 2" xfId="2147" xr:uid="{00000000-0005-0000-0000-000066080000}"/>
    <cellStyle name="Normal 10 3 4" xfId="2148" xr:uid="{00000000-0005-0000-0000-000067080000}"/>
    <cellStyle name="Normal 10 3_AGL" xfId="2149" xr:uid="{00000000-0005-0000-0000-000068080000}"/>
    <cellStyle name="Normal 10 4" xfId="2150" xr:uid="{00000000-0005-0000-0000-000069080000}"/>
    <cellStyle name="Normal 10 4 2" xfId="2151" xr:uid="{00000000-0005-0000-0000-00006A080000}"/>
    <cellStyle name="Normal 10 4 2 2" xfId="2152" xr:uid="{00000000-0005-0000-0000-00006B080000}"/>
    <cellStyle name="Normal 10 4 3" xfId="2153" xr:uid="{00000000-0005-0000-0000-00006C080000}"/>
    <cellStyle name="Normal 10 4 3 2" xfId="2154" xr:uid="{00000000-0005-0000-0000-00006D080000}"/>
    <cellStyle name="Normal 10 4 4" xfId="2155" xr:uid="{00000000-0005-0000-0000-00006E080000}"/>
    <cellStyle name="Normal 10 4 5" xfId="4456" xr:uid="{00000000-0005-0000-0000-00006B110000}"/>
    <cellStyle name="Normal 10 4_AGL" xfId="2156" xr:uid="{00000000-0005-0000-0000-00006F080000}"/>
    <cellStyle name="Normal 10 5" xfId="2157" xr:uid="{00000000-0005-0000-0000-000070080000}"/>
    <cellStyle name="Normal 10 5 2" xfId="2158" xr:uid="{00000000-0005-0000-0000-000071080000}"/>
    <cellStyle name="Normal 10 6" xfId="2159" xr:uid="{00000000-0005-0000-0000-000072080000}"/>
    <cellStyle name="Normal 10 6 2" xfId="2160" xr:uid="{00000000-0005-0000-0000-000073080000}"/>
    <cellStyle name="Normal 10 7" xfId="2161" xr:uid="{00000000-0005-0000-0000-000074080000}"/>
    <cellStyle name="Normal 10 8" xfId="4451" xr:uid="{00000000-0005-0000-0000-000066110000}"/>
    <cellStyle name="Normal 10_AGL" xfId="2162" xr:uid="{00000000-0005-0000-0000-000075080000}"/>
    <cellStyle name="Normal 11" xfId="2163" xr:uid="{00000000-0005-0000-0000-000076080000}"/>
    <cellStyle name="Normal 11 2" xfId="2164" xr:uid="{00000000-0005-0000-0000-000077080000}"/>
    <cellStyle name="Normal 11 2 2" xfId="2165" xr:uid="{00000000-0005-0000-0000-000078080000}"/>
    <cellStyle name="Normal 11 2 2 2" xfId="2166" xr:uid="{00000000-0005-0000-0000-000079080000}"/>
    <cellStyle name="Normal 11 2 3" xfId="2167" xr:uid="{00000000-0005-0000-0000-00007A080000}"/>
    <cellStyle name="Normal 11 2 3 2" xfId="2168" xr:uid="{00000000-0005-0000-0000-00007B080000}"/>
    <cellStyle name="Normal 11 2 4" xfId="2169" xr:uid="{00000000-0005-0000-0000-00007C080000}"/>
    <cellStyle name="Normal 11 2_AGL" xfId="2170" xr:uid="{00000000-0005-0000-0000-00007D080000}"/>
    <cellStyle name="Normal 11 3" xfId="2171" xr:uid="{00000000-0005-0000-0000-00007E080000}"/>
    <cellStyle name="Normal 11 3 2" xfId="2172" xr:uid="{00000000-0005-0000-0000-00007F080000}"/>
    <cellStyle name="Normal 11 3 2 2" xfId="2173" xr:uid="{00000000-0005-0000-0000-000080080000}"/>
    <cellStyle name="Normal 11 3 3" xfId="2174" xr:uid="{00000000-0005-0000-0000-000081080000}"/>
    <cellStyle name="Normal 11 3 3 2" xfId="2175" xr:uid="{00000000-0005-0000-0000-000082080000}"/>
    <cellStyle name="Normal 11 3 4" xfId="2176" xr:uid="{00000000-0005-0000-0000-000083080000}"/>
    <cellStyle name="Normal 11 3_AGL" xfId="2177" xr:uid="{00000000-0005-0000-0000-000084080000}"/>
    <cellStyle name="Normal 11 4" xfId="2178" xr:uid="{00000000-0005-0000-0000-000085080000}"/>
    <cellStyle name="Normal 11 4 2" xfId="2179" xr:uid="{00000000-0005-0000-0000-000086080000}"/>
    <cellStyle name="Normal 11 5" xfId="2180" xr:uid="{00000000-0005-0000-0000-000087080000}"/>
    <cellStyle name="Normal 11 5 2" xfId="2181" xr:uid="{00000000-0005-0000-0000-000088080000}"/>
    <cellStyle name="Normal 11 6" xfId="2182" xr:uid="{00000000-0005-0000-0000-000089080000}"/>
    <cellStyle name="Normal 11_AGL" xfId="2183" xr:uid="{00000000-0005-0000-0000-00008A080000}"/>
    <cellStyle name="Normal 12" xfId="2184" xr:uid="{00000000-0005-0000-0000-00008B080000}"/>
    <cellStyle name="Normal 12 10" xfId="2185" xr:uid="{00000000-0005-0000-0000-00008C080000}"/>
    <cellStyle name="Normal 12 10 2" xfId="2186" xr:uid="{00000000-0005-0000-0000-00008D080000}"/>
    <cellStyle name="Normal 12 11" xfId="2187" xr:uid="{00000000-0005-0000-0000-00008E080000}"/>
    <cellStyle name="Normal 12 11 2" xfId="2188" xr:uid="{00000000-0005-0000-0000-00008F080000}"/>
    <cellStyle name="Normal 12 12" xfId="2189" xr:uid="{00000000-0005-0000-0000-000090080000}"/>
    <cellStyle name="Normal 12 2" xfId="2190" xr:uid="{00000000-0005-0000-0000-000091080000}"/>
    <cellStyle name="Normal 12 2 2" xfId="2191" xr:uid="{00000000-0005-0000-0000-000092080000}"/>
    <cellStyle name="Normal 12 2 2 2" xfId="2192" xr:uid="{00000000-0005-0000-0000-000093080000}"/>
    <cellStyle name="Normal 12 2 3" xfId="2193" xr:uid="{00000000-0005-0000-0000-000094080000}"/>
    <cellStyle name="Normal 12 2 3 2" xfId="2194" xr:uid="{00000000-0005-0000-0000-000095080000}"/>
    <cellStyle name="Normal 12 2 4" xfId="2195" xr:uid="{00000000-0005-0000-0000-000096080000}"/>
    <cellStyle name="Normal 12 2 5" xfId="4466" xr:uid="{00000000-0005-0000-0000-000075110000}"/>
    <cellStyle name="Normal 12 2_AGL" xfId="2196" xr:uid="{00000000-0005-0000-0000-000097080000}"/>
    <cellStyle name="Normal 12 3" xfId="2197" xr:uid="{00000000-0005-0000-0000-000098080000}"/>
    <cellStyle name="Normal 12 3 2" xfId="2198" xr:uid="{00000000-0005-0000-0000-000099080000}"/>
    <cellStyle name="Normal 12 3 2 2" xfId="2199" xr:uid="{00000000-0005-0000-0000-00009A080000}"/>
    <cellStyle name="Normal 12 3 3" xfId="2200" xr:uid="{00000000-0005-0000-0000-00009B080000}"/>
    <cellStyle name="Normal 12 3 3 2" xfId="2201" xr:uid="{00000000-0005-0000-0000-00009C080000}"/>
    <cellStyle name="Normal 12 3 4" xfId="2202" xr:uid="{00000000-0005-0000-0000-00009D080000}"/>
    <cellStyle name="Normal 12 3_AGL" xfId="2203" xr:uid="{00000000-0005-0000-0000-00009E080000}"/>
    <cellStyle name="Normal 12 4" xfId="2204" xr:uid="{00000000-0005-0000-0000-00009F080000}"/>
    <cellStyle name="Normal 12 4 2" xfId="2205" xr:uid="{00000000-0005-0000-0000-0000A0080000}"/>
    <cellStyle name="Normal 12 4 2 2" xfId="2206" xr:uid="{00000000-0005-0000-0000-0000A1080000}"/>
    <cellStyle name="Normal 12 4 3" xfId="2207" xr:uid="{00000000-0005-0000-0000-0000A2080000}"/>
    <cellStyle name="Normal 12 4 3 2" xfId="2208" xr:uid="{00000000-0005-0000-0000-0000A3080000}"/>
    <cellStyle name="Normal 12 4 4" xfId="2209" xr:uid="{00000000-0005-0000-0000-0000A4080000}"/>
    <cellStyle name="Normal 12 4_AGL" xfId="2210" xr:uid="{00000000-0005-0000-0000-0000A5080000}"/>
    <cellStyle name="Normal 12 5" xfId="2211" xr:uid="{00000000-0005-0000-0000-0000A6080000}"/>
    <cellStyle name="Normal 12 5 2" xfId="2212" xr:uid="{00000000-0005-0000-0000-0000A7080000}"/>
    <cellStyle name="Normal 12 5 2 2" xfId="2213" xr:uid="{00000000-0005-0000-0000-0000A8080000}"/>
    <cellStyle name="Normal 12 5 3" xfId="2214" xr:uid="{00000000-0005-0000-0000-0000A9080000}"/>
    <cellStyle name="Normal 12 5 3 2" xfId="2215" xr:uid="{00000000-0005-0000-0000-0000AA080000}"/>
    <cellStyle name="Normal 12 5 4" xfId="2216" xr:uid="{00000000-0005-0000-0000-0000AB080000}"/>
    <cellStyle name="Normal 12 5_AGL" xfId="2217" xr:uid="{00000000-0005-0000-0000-0000AC080000}"/>
    <cellStyle name="Normal 12 6" xfId="2218" xr:uid="{00000000-0005-0000-0000-0000AD080000}"/>
    <cellStyle name="Normal 12 6 2" xfId="2219" xr:uid="{00000000-0005-0000-0000-0000AE080000}"/>
    <cellStyle name="Normal 12 6 2 2" xfId="2220" xr:uid="{00000000-0005-0000-0000-0000AF080000}"/>
    <cellStyle name="Normal 12 6 3" xfId="2221" xr:uid="{00000000-0005-0000-0000-0000B0080000}"/>
    <cellStyle name="Normal 12 6 3 2" xfId="2222" xr:uid="{00000000-0005-0000-0000-0000B1080000}"/>
    <cellStyle name="Normal 12 6 4" xfId="2223" xr:uid="{00000000-0005-0000-0000-0000B2080000}"/>
    <cellStyle name="Normal 12 6_AGL" xfId="2224" xr:uid="{00000000-0005-0000-0000-0000B3080000}"/>
    <cellStyle name="Normal 12 7" xfId="2225" xr:uid="{00000000-0005-0000-0000-0000B4080000}"/>
    <cellStyle name="Normal 12 7 2" xfId="2226" xr:uid="{00000000-0005-0000-0000-0000B5080000}"/>
    <cellStyle name="Normal 12 7 2 2" xfId="2227" xr:uid="{00000000-0005-0000-0000-0000B6080000}"/>
    <cellStyle name="Normal 12 7 3" xfId="2228" xr:uid="{00000000-0005-0000-0000-0000B7080000}"/>
    <cellStyle name="Normal 12 7 3 2" xfId="2229" xr:uid="{00000000-0005-0000-0000-0000B8080000}"/>
    <cellStyle name="Normal 12 7 4" xfId="2230" xr:uid="{00000000-0005-0000-0000-0000B9080000}"/>
    <cellStyle name="Normal 12 7_AGL" xfId="2231" xr:uid="{00000000-0005-0000-0000-0000BA080000}"/>
    <cellStyle name="Normal 12 8" xfId="2232" xr:uid="{00000000-0005-0000-0000-0000BB080000}"/>
    <cellStyle name="Normal 12 8 2" xfId="2233" xr:uid="{00000000-0005-0000-0000-0000BC080000}"/>
    <cellStyle name="Normal 12 8 2 2" xfId="2234" xr:uid="{00000000-0005-0000-0000-0000BD080000}"/>
    <cellStyle name="Normal 12 8 3" xfId="2235" xr:uid="{00000000-0005-0000-0000-0000BE080000}"/>
    <cellStyle name="Normal 12 8 3 2" xfId="2236" xr:uid="{00000000-0005-0000-0000-0000BF080000}"/>
    <cellStyle name="Normal 12 8 4" xfId="2237" xr:uid="{00000000-0005-0000-0000-0000C0080000}"/>
    <cellStyle name="Normal 12 8_AGL" xfId="2238" xr:uid="{00000000-0005-0000-0000-0000C1080000}"/>
    <cellStyle name="Normal 12 9" xfId="56" xr:uid="{00000000-0005-0000-0000-00003B000000}"/>
    <cellStyle name="Normal 12 9 2" xfId="65" xr:uid="{00000000-0005-0000-0000-000044000000}"/>
    <cellStyle name="Normal 12 9 2 2" xfId="2239" xr:uid="{00000000-0005-0000-0000-0000C2080000}"/>
    <cellStyle name="Normal 12 9 3" xfId="2240" xr:uid="{00000000-0005-0000-0000-0000C3080000}"/>
    <cellStyle name="Normal 12 9 3 2" xfId="2241" xr:uid="{00000000-0005-0000-0000-0000C4080000}"/>
    <cellStyle name="Normal 12 9 4" xfId="2242" xr:uid="{00000000-0005-0000-0000-0000C5080000}"/>
    <cellStyle name="Normal 12 9_AGL" xfId="2243" xr:uid="{00000000-0005-0000-0000-0000C6080000}"/>
    <cellStyle name="Normal 12_AGL" xfId="2244" xr:uid="{00000000-0005-0000-0000-0000C7080000}"/>
    <cellStyle name="Normal 13" xfId="33" xr:uid="{00000000-0005-0000-0000-000024000000}"/>
    <cellStyle name="Normal 13 10" xfId="2245" xr:uid="{00000000-0005-0000-0000-0000C8080000}"/>
    <cellStyle name="Normal 13 10 2" xfId="2246" xr:uid="{00000000-0005-0000-0000-0000C9080000}"/>
    <cellStyle name="Normal 13 11" xfId="2247" xr:uid="{00000000-0005-0000-0000-0000CA080000}"/>
    <cellStyle name="Normal 13 11 2" xfId="2248" xr:uid="{00000000-0005-0000-0000-0000CB080000}"/>
    <cellStyle name="Normal 13 12" xfId="2249" xr:uid="{00000000-0005-0000-0000-0000CC080000}"/>
    <cellStyle name="Normal 13 13" xfId="2250" xr:uid="{00000000-0005-0000-0000-0000CD080000}"/>
    <cellStyle name="Normal 13 14" xfId="4450" xr:uid="{00000000-0005-0000-0000-000065110000}"/>
    <cellStyle name="Normal 13 2" xfId="2251" xr:uid="{00000000-0005-0000-0000-0000CE080000}"/>
    <cellStyle name="Normal 13 2 2" xfId="2252" xr:uid="{00000000-0005-0000-0000-0000CF080000}"/>
    <cellStyle name="Normal 13 2 2 2" xfId="2253" xr:uid="{00000000-0005-0000-0000-0000D0080000}"/>
    <cellStyle name="Normal 13 2 3" xfId="2254" xr:uid="{00000000-0005-0000-0000-0000D1080000}"/>
    <cellStyle name="Normal 13 2 3 2" xfId="2255" xr:uid="{00000000-0005-0000-0000-0000D2080000}"/>
    <cellStyle name="Normal 13 2 4" xfId="2256" xr:uid="{00000000-0005-0000-0000-0000D3080000}"/>
    <cellStyle name="Normal 13 2_AGL" xfId="2257" xr:uid="{00000000-0005-0000-0000-0000D4080000}"/>
    <cellStyle name="Normal 13 3" xfId="2258" xr:uid="{00000000-0005-0000-0000-0000D5080000}"/>
    <cellStyle name="Normal 13 3 2" xfId="2259" xr:uid="{00000000-0005-0000-0000-0000D6080000}"/>
    <cellStyle name="Normal 13 3 2 2" xfId="2260" xr:uid="{00000000-0005-0000-0000-0000D7080000}"/>
    <cellStyle name="Normal 13 3 3" xfId="2261" xr:uid="{00000000-0005-0000-0000-0000D8080000}"/>
    <cellStyle name="Normal 13 3 3 2" xfId="2262" xr:uid="{00000000-0005-0000-0000-0000D9080000}"/>
    <cellStyle name="Normal 13 3 4" xfId="2263" xr:uid="{00000000-0005-0000-0000-0000DA080000}"/>
    <cellStyle name="Normal 13 3_AGL" xfId="2264" xr:uid="{00000000-0005-0000-0000-0000DB080000}"/>
    <cellStyle name="Normal 13 4" xfId="2265" xr:uid="{00000000-0005-0000-0000-0000DC080000}"/>
    <cellStyle name="Normal 13 4 2" xfId="2266" xr:uid="{00000000-0005-0000-0000-0000DD080000}"/>
    <cellStyle name="Normal 13 4 2 2" xfId="2267" xr:uid="{00000000-0005-0000-0000-0000DE080000}"/>
    <cellStyle name="Normal 13 4 3" xfId="2268" xr:uid="{00000000-0005-0000-0000-0000DF080000}"/>
    <cellStyle name="Normal 13 4 3 2" xfId="2269" xr:uid="{00000000-0005-0000-0000-0000E0080000}"/>
    <cellStyle name="Normal 13 4 4" xfId="2270" xr:uid="{00000000-0005-0000-0000-0000E1080000}"/>
    <cellStyle name="Normal 13 4_AGL" xfId="2271" xr:uid="{00000000-0005-0000-0000-0000E2080000}"/>
    <cellStyle name="Normal 13 5" xfId="2272" xr:uid="{00000000-0005-0000-0000-0000E3080000}"/>
    <cellStyle name="Normal 13 5 2" xfId="2273" xr:uid="{00000000-0005-0000-0000-0000E4080000}"/>
    <cellStyle name="Normal 13 5 2 2" xfId="2274" xr:uid="{00000000-0005-0000-0000-0000E5080000}"/>
    <cellStyle name="Normal 13 5 3" xfId="2275" xr:uid="{00000000-0005-0000-0000-0000E6080000}"/>
    <cellStyle name="Normal 13 5 3 2" xfId="2276" xr:uid="{00000000-0005-0000-0000-0000E7080000}"/>
    <cellStyle name="Normal 13 5 4" xfId="2277" xr:uid="{00000000-0005-0000-0000-0000E8080000}"/>
    <cellStyle name="Normal 13 5_AGL" xfId="2278" xr:uid="{00000000-0005-0000-0000-0000E9080000}"/>
    <cellStyle name="Normal 13 6" xfId="2279" xr:uid="{00000000-0005-0000-0000-0000EA080000}"/>
    <cellStyle name="Normal 13 6 2" xfId="2280" xr:uid="{00000000-0005-0000-0000-0000EB080000}"/>
    <cellStyle name="Normal 13 6 2 2" xfId="2281" xr:uid="{00000000-0005-0000-0000-0000EC080000}"/>
    <cellStyle name="Normal 13 6 3" xfId="2282" xr:uid="{00000000-0005-0000-0000-0000ED080000}"/>
    <cellStyle name="Normal 13 6 3 2" xfId="2283" xr:uid="{00000000-0005-0000-0000-0000EE080000}"/>
    <cellStyle name="Normal 13 6 4" xfId="2284" xr:uid="{00000000-0005-0000-0000-0000EF080000}"/>
    <cellStyle name="Normal 13 6_AGL" xfId="2285" xr:uid="{00000000-0005-0000-0000-0000F0080000}"/>
    <cellStyle name="Normal 13 7" xfId="2286" xr:uid="{00000000-0005-0000-0000-0000F1080000}"/>
    <cellStyle name="Normal 13 7 2" xfId="2287" xr:uid="{00000000-0005-0000-0000-0000F2080000}"/>
    <cellStyle name="Normal 13 7 2 2" xfId="2288" xr:uid="{00000000-0005-0000-0000-0000F3080000}"/>
    <cellStyle name="Normal 13 7 3" xfId="2289" xr:uid="{00000000-0005-0000-0000-0000F4080000}"/>
    <cellStyle name="Normal 13 7 3 2" xfId="2290" xr:uid="{00000000-0005-0000-0000-0000F5080000}"/>
    <cellStyle name="Normal 13 7 4" xfId="2291" xr:uid="{00000000-0005-0000-0000-0000F6080000}"/>
    <cellStyle name="Normal 13 7_AGL" xfId="2292" xr:uid="{00000000-0005-0000-0000-0000F7080000}"/>
    <cellStyle name="Normal 13 8" xfId="2293" xr:uid="{00000000-0005-0000-0000-0000F8080000}"/>
    <cellStyle name="Normal 13 8 2" xfId="2294" xr:uid="{00000000-0005-0000-0000-0000F9080000}"/>
    <cellStyle name="Normal 13 8 2 2" xfId="2295" xr:uid="{00000000-0005-0000-0000-0000FA080000}"/>
    <cellStyle name="Normal 13 8 3" xfId="2296" xr:uid="{00000000-0005-0000-0000-0000FB080000}"/>
    <cellStyle name="Normal 13 8 3 2" xfId="2297" xr:uid="{00000000-0005-0000-0000-0000FC080000}"/>
    <cellStyle name="Normal 13 8 4" xfId="2298" xr:uid="{00000000-0005-0000-0000-0000FD080000}"/>
    <cellStyle name="Normal 13 8_AGL" xfId="2299" xr:uid="{00000000-0005-0000-0000-0000FE080000}"/>
    <cellStyle name="Normal 13 9" xfId="2300" xr:uid="{00000000-0005-0000-0000-0000FF080000}"/>
    <cellStyle name="Normal 13 9 2" xfId="2301" xr:uid="{00000000-0005-0000-0000-000000090000}"/>
    <cellStyle name="Normal 13 9 2 2" xfId="2302" xr:uid="{00000000-0005-0000-0000-000001090000}"/>
    <cellStyle name="Normal 13 9 3" xfId="2303" xr:uid="{00000000-0005-0000-0000-000002090000}"/>
    <cellStyle name="Normal 13 9 3 2" xfId="2304" xr:uid="{00000000-0005-0000-0000-000003090000}"/>
    <cellStyle name="Normal 13 9 4" xfId="2305" xr:uid="{00000000-0005-0000-0000-000004090000}"/>
    <cellStyle name="Normal 13 9_AGL" xfId="2306" xr:uid="{00000000-0005-0000-0000-000005090000}"/>
    <cellStyle name="Normal 13_AGL" xfId="2307" xr:uid="{00000000-0005-0000-0000-000006090000}"/>
    <cellStyle name="Normal 14" xfId="2308" xr:uid="{00000000-0005-0000-0000-000007090000}"/>
    <cellStyle name="Normal 14 2" xfId="2309" xr:uid="{00000000-0005-0000-0000-000008090000}"/>
    <cellStyle name="Normal 14 2 2" xfId="2310" xr:uid="{00000000-0005-0000-0000-000009090000}"/>
    <cellStyle name="Normal 14 2 2 2" xfId="2311" xr:uid="{00000000-0005-0000-0000-00000A090000}"/>
    <cellStyle name="Normal 14 2 3" xfId="2312" xr:uid="{00000000-0005-0000-0000-00000B090000}"/>
    <cellStyle name="Normal 14 2 3 2" xfId="2313" xr:uid="{00000000-0005-0000-0000-00000C090000}"/>
    <cellStyle name="Normal 14 2 4" xfId="2314" xr:uid="{00000000-0005-0000-0000-00000D090000}"/>
    <cellStyle name="Normal 14 2_AGL" xfId="2315" xr:uid="{00000000-0005-0000-0000-00000E090000}"/>
    <cellStyle name="Normal 14 3" xfId="2316" xr:uid="{00000000-0005-0000-0000-00000F090000}"/>
    <cellStyle name="Normal 14 3 2" xfId="2317" xr:uid="{00000000-0005-0000-0000-000010090000}"/>
    <cellStyle name="Normal 14 4" xfId="2318" xr:uid="{00000000-0005-0000-0000-000011090000}"/>
    <cellStyle name="Normal 14 4 2" xfId="2319" xr:uid="{00000000-0005-0000-0000-000012090000}"/>
    <cellStyle name="Normal 14 5" xfId="2320" xr:uid="{00000000-0005-0000-0000-000013090000}"/>
    <cellStyle name="Normal 14_AGL" xfId="2321" xr:uid="{00000000-0005-0000-0000-000014090000}"/>
    <cellStyle name="Normal 15" xfId="2322" xr:uid="{00000000-0005-0000-0000-000015090000}"/>
    <cellStyle name="Normal 15 2" xfId="2323" xr:uid="{00000000-0005-0000-0000-000016090000}"/>
    <cellStyle name="Normal 15 2 2" xfId="2324" xr:uid="{00000000-0005-0000-0000-000017090000}"/>
    <cellStyle name="Normal 15 2 2 2" xfId="2325" xr:uid="{00000000-0005-0000-0000-000018090000}"/>
    <cellStyle name="Normal 15 2 3" xfId="2326" xr:uid="{00000000-0005-0000-0000-000019090000}"/>
    <cellStyle name="Normal 15 2 3 2" xfId="2327" xr:uid="{00000000-0005-0000-0000-00001A090000}"/>
    <cellStyle name="Normal 15 2 4" xfId="2328" xr:uid="{00000000-0005-0000-0000-00001B090000}"/>
    <cellStyle name="Normal 15 2_AGL" xfId="2329" xr:uid="{00000000-0005-0000-0000-00001C090000}"/>
    <cellStyle name="Normal 15 3" xfId="2330" xr:uid="{00000000-0005-0000-0000-00001D090000}"/>
    <cellStyle name="Normal 15 3 2" xfId="2331" xr:uid="{00000000-0005-0000-0000-00001E090000}"/>
    <cellStyle name="Normal 15 4" xfId="2332" xr:uid="{00000000-0005-0000-0000-00001F090000}"/>
    <cellStyle name="Normal 15 4 2" xfId="2333" xr:uid="{00000000-0005-0000-0000-000020090000}"/>
    <cellStyle name="Normal 15 5" xfId="2334" xr:uid="{00000000-0005-0000-0000-000021090000}"/>
    <cellStyle name="Normal 15_AGL" xfId="2335" xr:uid="{00000000-0005-0000-0000-000022090000}"/>
    <cellStyle name="Normal 16" xfId="2336" xr:uid="{00000000-0005-0000-0000-000023090000}"/>
    <cellStyle name="Normal 16 2" xfId="62" xr:uid="{00000000-0005-0000-0000-000041000000}"/>
    <cellStyle name="Normal 16 2 2" xfId="2337" xr:uid="{00000000-0005-0000-0000-000024090000}"/>
    <cellStyle name="Normal 16 2 3" xfId="2338" xr:uid="{00000000-0005-0000-0000-000025090000}"/>
    <cellStyle name="Normal 16 2_AGL" xfId="2339" xr:uid="{00000000-0005-0000-0000-000026090000}"/>
    <cellStyle name="Normal 16 3" xfId="2340" xr:uid="{00000000-0005-0000-0000-000027090000}"/>
    <cellStyle name="Normal 16 3 2" xfId="2341" xr:uid="{00000000-0005-0000-0000-000028090000}"/>
    <cellStyle name="Normal 16 3 2 2" xfId="2342" xr:uid="{00000000-0005-0000-0000-000029090000}"/>
    <cellStyle name="Normal 16 3 3" xfId="2343" xr:uid="{00000000-0005-0000-0000-00002A090000}"/>
    <cellStyle name="Normal 16 3 3 2" xfId="2344" xr:uid="{00000000-0005-0000-0000-00002B090000}"/>
    <cellStyle name="Normal 16 3 4" xfId="2345" xr:uid="{00000000-0005-0000-0000-00002C090000}"/>
    <cellStyle name="Normal 16 3_AGL" xfId="2346" xr:uid="{00000000-0005-0000-0000-00002D090000}"/>
    <cellStyle name="Normal 16 4" xfId="2347" xr:uid="{00000000-0005-0000-0000-00002E090000}"/>
    <cellStyle name="Normal 16 4 2" xfId="2348" xr:uid="{00000000-0005-0000-0000-00002F090000}"/>
    <cellStyle name="Normal 16 4 2 2" xfId="2349" xr:uid="{00000000-0005-0000-0000-000030090000}"/>
    <cellStyle name="Normal 16 4 3" xfId="2350" xr:uid="{00000000-0005-0000-0000-000031090000}"/>
    <cellStyle name="Normal 16 4 3 2" xfId="2351" xr:uid="{00000000-0005-0000-0000-000032090000}"/>
    <cellStyle name="Normal 16 4 4" xfId="2352" xr:uid="{00000000-0005-0000-0000-000033090000}"/>
    <cellStyle name="Normal 16 4_AGL" xfId="2353" xr:uid="{00000000-0005-0000-0000-000034090000}"/>
    <cellStyle name="Normal 16 5" xfId="2354" xr:uid="{00000000-0005-0000-0000-000035090000}"/>
    <cellStyle name="Normal 16 5 2" xfId="2355" xr:uid="{00000000-0005-0000-0000-000036090000}"/>
    <cellStyle name="Normal 16 5 2 2" xfId="2356" xr:uid="{00000000-0005-0000-0000-000037090000}"/>
    <cellStyle name="Normal 16 5 3" xfId="2357" xr:uid="{00000000-0005-0000-0000-000038090000}"/>
    <cellStyle name="Normal 16 5 3 2" xfId="2358" xr:uid="{00000000-0005-0000-0000-000039090000}"/>
    <cellStyle name="Normal 16 5 4" xfId="2359" xr:uid="{00000000-0005-0000-0000-00003A090000}"/>
    <cellStyle name="Normal 16 5_AGL" xfId="2360" xr:uid="{00000000-0005-0000-0000-00003B090000}"/>
    <cellStyle name="Normal 16 6" xfId="2361" xr:uid="{00000000-0005-0000-0000-00003C090000}"/>
    <cellStyle name="Normal 16 6 2" xfId="2362" xr:uid="{00000000-0005-0000-0000-00003D090000}"/>
    <cellStyle name="Normal 16 6 2 2" xfId="2363" xr:uid="{00000000-0005-0000-0000-00003E090000}"/>
    <cellStyle name="Normal 16 6 3" xfId="2364" xr:uid="{00000000-0005-0000-0000-00003F090000}"/>
    <cellStyle name="Normal 16 6 3 2" xfId="2365" xr:uid="{00000000-0005-0000-0000-000040090000}"/>
    <cellStyle name="Normal 16 6 4" xfId="2366" xr:uid="{00000000-0005-0000-0000-000041090000}"/>
    <cellStyle name="Normal 16 6_AGL" xfId="2367" xr:uid="{00000000-0005-0000-0000-000042090000}"/>
    <cellStyle name="Normal 16 7" xfId="2368" xr:uid="{00000000-0005-0000-0000-000043090000}"/>
    <cellStyle name="Normal 16_AGL" xfId="2369" xr:uid="{00000000-0005-0000-0000-000044090000}"/>
    <cellStyle name="Normal 17" xfId="2370" xr:uid="{00000000-0005-0000-0000-000045090000}"/>
    <cellStyle name="Normal 17 2" xfId="2371" xr:uid="{00000000-0005-0000-0000-000046090000}"/>
    <cellStyle name="Normal 17 2 2" xfId="2372" xr:uid="{00000000-0005-0000-0000-000047090000}"/>
    <cellStyle name="Normal 17 3" xfId="2373" xr:uid="{00000000-0005-0000-0000-000048090000}"/>
    <cellStyle name="Normal 17 3 2" xfId="2374" xr:uid="{00000000-0005-0000-0000-000049090000}"/>
    <cellStyle name="Normal 17 4" xfId="2375" xr:uid="{00000000-0005-0000-0000-00004A090000}"/>
    <cellStyle name="Normal 17_AGL" xfId="2376" xr:uid="{00000000-0005-0000-0000-00004B090000}"/>
    <cellStyle name="Normal 18" xfId="2377" xr:uid="{00000000-0005-0000-0000-00004C090000}"/>
    <cellStyle name="Normal 18 2" xfId="2378" xr:uid="{00000000-0005-0000-0000-00004D090000}"/>
    <cellStyle name="Normal 18 2 2" xfId="2379" xr:uid="{00000000-0005-0000-0000-00004E090000}"/>
    <cellStyle name="Normal 18 2 2 2" xfId="2380" xr:uid="{00000000-0005-0000-0000-00004F090000}"/>
    <cellStyle name="Normal 18 2 3" xfId="2381" xr:uid="{00000000-0005-0000-0000-000050090000}"/>
    <cellStyle name="Normal 18 2 3 2" xfId="2382" xr:uid="{00000000-0005-0000-0000-000051090000}"/>
    <cellStyle name="Normal 18 2 4" xfId="2383" xr:uid="{00000000-0005-0000-0000-000052090000}"/>
    <cellStyle name="Normal 18 2_AGL" xfId="2384" xr:uid="{00000000-0005-0000-0000-000053090000}"/>
    <cellStyle name="Normal 18 3" xfId="2385" xr:uid="{00000000-0005-0000-0000-000054090000}"/>
    <cellStyle name="Normal 18 3 2" xfId="2386" xr:uid="{00000000-0005-0000-0000-000055090000}"/>
    <cellStyle name="Normal 18 3 2 2" xfId="2387" xr:uid="{00000000-0005-0000-0000-000056090000}"/>
    <cellStyle name="Normal 18 3 3" xfId="2388" xr:uid="{00000000-0005-0000-0000-000057090000}"/>
    <cellStyle name="Normal 18 3 3 2" xfId="2389" xr:uid="{00000000-0005-0000-0000-000058090000}"/>
    <cellStyle name="Normal 18 3 4" xfId="2390" xr:uid="{00000000-0005-0000-0000-000059090000}"/>
    <cellStyle name="Normal 18 3_AGL" xfId="2391" xr:uid="{00000000-0005-0000-0000-00005A090000}"/>
    <cellStyle name="Normal 18 4" xfId="2392" xr:uid="{00000000-0005-0000-0000-00005B090000}"/>
    <cellStyle name="Normal 18 5" xfId="2393" xr:uid="{00000000-0005-0000-0000-00005C090000}"/>
    <cellStyle name="Normal 18_AGL" xfId="2394" xr:uid="{00000000-0005-0000-0000-00005D090000}"/>
    <cellStyle name="Normal 19" xfId="2395" xr:uid="{00000000-0005-0000-0000-00005E090000}"/>
    <cellStyle name="Normal 19 2" xfId="2396" xr:uid="{00000000-0005-0000-0000-00005F090000}"/>
    <cellStyle name="Normal 19 2 2" xfId="2397" xr:uid="{00000000-0005-0000-0000-000060090000}"/>
    <cellStyle name="Normal 19 2 2 2" xfId="2398" xr:uid="{00000000-0005-0000-0000-000061090000}"/>
    <cellStyle name="Normal 19 2 3" xfId="2399" xr:uid="{00000000-0005-0000-0000-000062090000}"/>
    <cellStyle name="Normal 19 2 3 2" xfId="2400" xr:uid="{00000000-0005-0000-0000-000063090000}"/>
    <cellStyle name="Normal 19 2 4" xfId="2401" xr:uid="{00000000-0005-0000-0000-000064090000}"/>
    <cellStyle name="Normal 19 2_AGL" xfId="2402" xr:uid="{00000000-0005-0000-0000-000065090000}"/>
    <cellStyle name="Normal 19 3" xfId="2403" xr:uid="{00000000-0005-0000-0000-000066090000}"/>
    <cellStyle name="Normal 19 3 2" xfId="2404" xr:uid="{00000000-0005-0000-0000-000067090000}"/>
    <cellStyle name="Normal 19 4" xfId="2405" xr:uid="{00000000-0005-0000-0000-000068090000}"/>
    <cellStyle name="Normal 19 4 2" xfId="2406" xr:uid="{00000000-0005-0000-0000-000069090000}"/>
    <cellStyle name="Normal 19 5" xfId="2407" xr:uid="{00000000-0005-0000-0000-00006A090000}"/>
    <cellStyle name="Normal 19_AGL" xfId="2408" xr:uid="{00000000-0005-0000-0000-00006B090000}"/>
    <cellStyle name="Normal 2" xfId="34" xr:uid="{00000000-0005-0000-0000-000025000000}"/>
    <cellStyle name="Normal 2 10" xfId="2409" xr:uid="{00000000-0005-0000-0000-00006C090000}"/>
    <cellStyle name="Normal 2 11" xfId="4427" xr:uid="{00000000-0005-0000-0000-00004E110000}"/>
    <cellStyle name="Normal 2 2" xfId="35" xr:uid="{00000000-0005-0000-0000-000026000000}"/>
    <cellStyle name="Normal 2 2 2" xfId="2410" xr:uid="{00000000-0005-0000-0000-00006D090000}"/>
    <cellStyle name="Normal 2 2 2 10" xfId="2411" xr:uid="{00000000-0005-0000-0000-00006E090000}"/>
    <cellStyle name="Normal 2 2 2 2" xfId="2412" xr:uid="{00000000-0005-0000-0000-00006F090000}"/>
    <cellStyle name="Normal 2 2 2 3" xfId="2413" xr:uid="{00000000-0005-0000-0000-000070090000}"/>
    <cellStyle name="Normal 2 2 2 3 2" xfId="2414" xr:uid="{00000000-0005-0000-0000-000071090000}"/>
    <cellStyle name="Normal 2 2 2 3 3" xfId="2415" xr:uid="{00000000-0005-0000-0000-000072090000}"/>
    <cellStyle name="Normal 2 2 2 3_AGL" xfId="2416" xr:uid="{00000000-0005-0000-0000-000073090000}"/>
    <cellStyle name="Normal 2 2 2 4" xfId="2417" xr:uid="{00000000-0005-0000-0000-000074090000}"/>
    <cellStyle name="Normal 2 2 2 5" xfId="2418" xr:uid="{00000000-0005-0000-0000-000075090000}"/>
    <cellStyle name="Normal 2 2 2 6" xfId="2419" xr:uid="{00000000-0005-0000-0000-000076090000}"/>
    <cellStyle name="Normal 2 2 2 7" xfId="2420" xr:uid="{00000000-0005-0000-0000-000077090000}"/>
    <cellStyle name="Normal 2 2 2 8" xfId="2421" xr:uid="{00000000-0005-0000-0000-000078090000}"/>
    <cellStyle name="Normal 2 2 2 9" xfId="2422" xr:uid="{00000000-0005-0000-0000-000079090000}"/>
    <cellStyle name="Normal 2 2 2_AGL" xfId="2423" xr:uid="{00000000-0005-0000-0000-00007A090000}"/>
    <cellStyle name="Normal 2 2 3" xfId="2424" xr:uid="{00000000-0005-0000-0000-00007B090000}"/>
    <cellStyle name="Normal 2 2 3 2" xfId="4464" xr:uid="{00000000-0005-0000-0000-000073110000}"/>
    <cellStyle name="Normal 2 2 4" xfId="2425" xr:uid="{00000000-0005-0000-0000-00007C090000}"/>
    <cellStyle name="Normal 2 2 4 2" xfId="2426" xr:uid="{00000000-0005-0000-0000-00007D090000}"/>
    <cellStyle name="Normal 2 2 4 3" xfId="2427" xr:uid="{00000000-0005-0000-0000-00007E090000}"/>
    <cellStyle name="Normal 2 2 4 4" xfId="4452" xr:uid="{00000000-0005-0000-0000-000067110000}"/>
    <cellStyle name="Normal 2 2 4_AGL" xfId="2428" xr:uid="{00000000-0005-0000-0000-00007F090000}"/>
    <cellStyle name="Normal 2 2 5" xfId="2429" xr:uid="{00000000-0005-0000-0000-000080090000}"/>
    <cellStyle name="Normal 2 2 6" xfId="2430" xr:uid="{00000000-0005-0000-0000-000081090000}"/>
    <cellStyle name="Normal 2 2_AGL" xfId="2431" xr:uid="{00000000-0005-0000-0000-000082090000}"/>
    <cellStyle name="Normal 2 3" xfId="36" xr:uid="{00000000-0005-0000-0000-000027000000}"/>
    <cellStyle name="Normal 2 3 2" xfId="2432" xr:uid="{00000000-0005-0000-0000-000083090000}"/>
    <cellStyle name="Normal 2 3 2 2" xfId="4474" xr:uid="{00000000-0005-0000-0000-00007D110000}"/>
    <cellStyle name="Normal 2 3 3" xfId="4459" xr:uid="{00000000-0005-0000-0000-00006E110000}"/>
    <cellStyle name="Normal 2 4" xfId="37" xr:uid="{00000000-0005-0000-0000-000028000000}"/>
    <cellStyle name="Normal 2 4 2" xfId="2433" xr:uid="{00000000-0005-0000-0000-000084090000}"/>
    <cellStyle name="Normal 2 4 3" xfId="2434" xr:uid="{00000000-0005-0000-0000-000085090000}"/>
    <cellStyle name="Normal 2 4_AGL" xfId="2435" xr:uid="{00000000-0005-0000-0000-000086090000}"/>
    <cellStyle name="Normal 2 5" xfId="2436" xr:uid="{00000000-0005-0000-0000-000087090000}"/>
    <cellStyle name="Normal 2 6" xfId="2437" xr:uid="{00000000-0005-0000-0000-000088090000}"/>
    <cellStyle name="Normal 2 6 2" xfId="2438" xr:uid="{00000000-0005-0000-0000-000089090000}"/>
    <cellStyle name="Normal 2 7" xfId="2439" xr:uid="{00000000-0005-0000-0000-00008A090000}"/>
    <cellStyle name="Normal 2 8" xfId="2440" xr:uid="{00000000-0005-0000-0000-00008B090000}"/>
    <cellStyle name="Normal 2 9" xfId="2441" xr:uid="{00000000-0005-0000-0000-00008C090000}"/>
    <cellStyle name="Normal 2_Sheet1" xfId="2442" xr:uid="{00000000-0005-0000-0000-00008D090000}"/>
    <cellStyle name="Normal 20" xfId="2443" xr:uid="{00000000-0005-0000-0000-00008E090000}"/>
    <cellStyle name="Normal 20 2" xfId="2444" xr:uid="{00000000-0005-0000-0000-00008F090000}"/>
    <cellStyle name="Normal 20 2 2" xfId="2445" xr:uid="{00000000-0005-0000-0000-000090090000}"/>
    <cellStyle name="Normal 20 3" xfId="2446" xr:uid="{00000000-0005-0000-0000-000091090000}"/>
    <cellStyle name="Normal 20 3 2" xfId="2447" xr:uid="{00000000-0005-0000-0000-000092090000}"/>
    <cellStyle name="Normal 20 4" xfId="2448" xr:uid="{00000000-0005-0000-0000-000093090000}"/>
    <cellStyle name="Normal 20_AGL" xfId="2449" xr:uid="{00000000-0005-0000-0000-000094090000}"/>
    <cellStyle name="Normal 21" xfId="2450" xr:uid="{00000000-0005-0000-0000-000095090000}"/>
    <cellStyle name="Normal 21 2" xfId="2451" xr:uid="{00000000-0005-0000-0000-000096090000}"/>
    <cellStyle name="Normal 21 2 2" xfId="2452" xr:uid="{00000000-0005-0000-0000-000097090000}"/>
    <cellStyle name="Normal 21 3" xfId="2453" xr:uid="{00000000-0005-0000-0000-000098090000}"/>
    <cellStyle name="Normal 21 3 2" xfId="2454" xr:uid="{00000000-0005-0000-0000-000099090000}"/>
    <cellStyle name="Normal 21 4" xfId="2455" xr:uid="{00000000-0005-0000-0000-00009A090000}"/>
    <cellStyle name="Normal 21_AGL" xfId="2456" xr:uid="{00000000-0005-0000-0000-00009B090000}"/>
    <cellStyle name="Normal 22" xfId="2457" xr:uid="{00000000-0005-0000-0000-00009C090000}"/>
    <cellStyle name="Normal 22 2" xfId="2458" xr:uid="{00000000-0005-0000-0000-00009D090000}"/>
    <cellStyle name="Normal 22 2 2" xfId="2459" xr:uid="{00000000-0005-0000-0000-00009E090000}"/>
    <cellStyle name="Normal 22 3" xfId="2460" xr:uid="{00000000-0005-0000-0000-00009F090000}"/>
    <cellStyle name="Normal 22 3 2" xfId="2461" xr:uid="{00000000-0005-0000-0000-0000A0090000}"/>
    <cellStyle name="Normal 22 4" xfId="2462" xr:uid="{00000000-0005-0000-0000-0000A1090000}"/>
    <cellStyle name="Normal 22_AGL" xfId="2463" xr:uid="{00000000-0005-0000-0000-0000A2090000}"/>
    <cellStyle name="Normal 23" xfId="2464" xr:uid="{00000000-0005-0000-0000-0000A3090000}"/>
    <cellStyle name="Normal 23 2" xfId="2465" xr:uid="{00000000-0005-0000-0000-0000A4090000}"/>
    <cellStyle name="Normal 23 2 2" xfId="2466" xr:uid="{00000000-0005-0000-0000-0000A5090000}"/>
    <cellStyle name="Normal 23 3" xfId="2467" xr:uid="{00000000-0005-0000-0000-0000A6090000}"/>
    <cellStyle name="Normal 23 3 2" xfId="2468" xr:uid="{00000000-0005-0000-0000-0000A7090000}"/>
    <cellStyle name="Normal 23 4" xfId="2469" xr:uid="{00000000-0005-0000-0000-0000A8090000}"/>
    <cellStyle name="Normal 23_AGL" xfId="2470" xr:uid="{00000000-0005-0000-0000-0000A9090000}"/>
    <cellStyle name="Normal 24" xfId="2471" xr:uid="{00000000-0005-0000-0000-0000AA090000}"/>
    <cellStyle name="Normal 24 2" xfId="2472" xr:uid="{00000000-0005-0000-0000-0000AB090000}"/>
    <cellStyle name="Normal 24 2 2" xfId="2473" xr:uid="{00000000-0005-0000-0000-0000AC090000}"/>
    <cellStyle name="Normal 24 3" xfId="2474" xr:uid="{00000000-0005-0000-0000-0000AD090000}"/>
    <cellStyle name="Normal 24 3 2" xfId="2475" xr:uid="{00000000-0005-0000-0000-0000AE090000}"/>
    <cellStyle name="Normal 24 4" xfId="2476" xr:uid="{00000000-0005-0000-0000-0000AF090000}"/>
    <cellStyle name="Normal 24_AGL" xfId="2477" xr:uid="{00000000-0005-0000-0000-0000B0090000}"/>
    <cellStyle name="Normal 25" xfId="2478" xr:uid="{00000000-0005-0000-0000-0000B1090000}"/>
    <cellStyle name="Normal 25 2" xfId="2479" xr:uid="{00000000-0005-0000-0000-0000B2090000}"/>
    <cellStyle name="Normal 25 2 2" xfId="2480" xr:uid="{00000000-0005-0000-0000-0000B3090000}"/>
    <cellStyle name="Normal 25 3" xfId="2481" xr:uid="{00000000-0005-0000-0000-0000B4090000}"/>
    <cellStyle name="Normal 25 3 2" xfId="2482" xr:uid="{00000000-0005-0000-0000-0000B5090000}"/>
    <cellStyle name="Normal 25 4" xfId="2483" xr:uid="{00000000-0005-0000-0000-0000B6090000}"/>
    <cellStyle name="Normal 25_AGL" xfId="2484" xr:uid="{00000000-0005-0000-0000-0000B7090000}"/>
    <cellStyle name="Normal 26" xfId="2485" xr:uid="{00000000-0005-0000-0000-0000B8090000}"/>
    <cellStyle name="Normal 26 2" xfId="2486" xr:uid="{00000000-0005-0000-0000-0000B9090000}"/>
    <cellStyle name="Normal 26 2 2" xfId="2487" xr:uid="{00000000-0005-0000-0000-0000BA090000}"/>
    <cellStyle name="Normal 26 3" xfId="2488" xr:uid="{00000000-0005-0000-0000-0000BB090000}"/>
    <cellStyle name="Normal 26 3 2" xfId="2489" xr:uid="{00000000-0005-0000-0000-0000BC090000}"/>
    <cellStyle name="Normal 26 4" xfId="2490" xr:uid="{00000000-0005-0000-0000-0000BD090000}"/>
    <cellStyle name="Normal 26_AGL" xfId="2491" xr:uid="{00000000-0005-0000-0000-0000BE090000}"/>
    <cellStyle name="Normal 27" xfId="2492" xr:uid="{00000000-0005-0000-0000-0000BF090000}"/>
    <cellStyle name="Normal 27 2" xfId="2493" xr:uid="{00000000-0005-0000-0000-0000C0090000}"/>
    <cellStyle name="Normal 27 2 2" xfId="2494" xr:uid="{00000000-0005-0000-0000-0000C1090000}"/>
    <cellStyle name="Normal 27 3" xfId="2495" xr:uid="{00000000-0005-0000-0000-0000C2090000}"/>
    <cellStyle name="Normal 27 3 2" xfId="2496" xr:uid="{00000000-0005-0000-0000-0000C3090000}"/>
    <cellStyle name="Normal 27 4" xfId="2497" xr:uid="{00000000-0005-0000-0000-0000C4090000}"/>
    <cellStyle name="Normal 27_AGL" xfId="2498" xr:uid="{00000000-0005-0000-0000-0000C5090000}"/>
    <cellStyle name="Normal 28" xfId="2499" xr:uid="{00000000-0005-0000-0000-0000C6090000}"/>
    <cellStyle name="Normal 28 2" xfId="2500" xr:uid="{00000000-0005-0000-0000-0000C7090000}"/>
    <cellStyle name="Normal 28 2 2" xfId="2501" xr:uid="{00000000-0005-0000-0000-0000C8090000}"/>
    <cellStyle name="Normal 28 3" xfId="2502" xr:uid="{00000000-0005-0000-0000-0000C9090000}"/>
    <cellStyle name="Normal 28 3 2" xfId="2503" xr:uid="{00000000-0005-0000-0000-0000CA090000}"/>
    <cellStyle name="Normal 28 4" xfId="2504" xr:uid="{00000000-0005-0000-0000-0000CB090000}"/>
    <cellStyle name="Normal 28_AGL" xfId="2505" xr:uid="{00000000-0005-0000-0000-0000CC090000}"/>
    <cellStyle name="Normal 29" xfId="2506" xr:uid="{00000000-0005-0000-0000-0000CD090000}"/>
    <cellStyle name="Normal 29 2" xfId="2507" xr:uid="{00000000-0005-0000-0000-0000CE090000}"/>
    <cellStyle name="Normal 29 2 2" xfId="2508" xr:uid="{00000000-0005-0000-0000-0000CF090000}"/>
    <cellStyle name="Normal 29 3" xfId="2509" xr:uid="{00000000-0005-0000-0000-0000D0090000}"/>
    <cellStyle name="Normal 29 3 2" xfId="2510" xr:uid="{00000000-0005-0000-0000-0000D1090000}"/>
    <cellStyle name="Normal 29 4" xfId="2511" xr:uid="{00000000-0005-0000-0000-0000D2090000}"/>
    <cellStyle name="Normal 29_AGL" xfId="2512" xr:uid="{00000000-0005-0000-0000-0000D3090000}"/>
    <cellStyle name="Normal 3" xfId="38" xr:uid="{00000000-0005-0000-0000-000029000000}"/>
    <cellStyle name="Normal 3 10" xfId="2513" xr:uid="{00000000-0005-0000-0000-0000D4090000}"/>
    <cellStyle name="Normal 3 11" xfId="4428" xr:uid="{00000000-0005-0000-0000-00004F110000}"/>
    <cellStyle name="Normal 3 12" xfId="4433" xr:uid="{00000000-0005-0000-0000-000054110000}"/>
    <cellStyle name="Normal 3 2" xfId="39" xr:uid="{00000000-0005-0000-0000-00002A000000}"/>
    <cellStyle name="Normal 3 2 10" xfId="2514" xr:uid="{00000000-0005-0000-0000-0000D5090000}"/>
    <cellStyle name="Normal 3 2 10 2" xfId="2515" xr:uid="{00000000-0005-0000-0000-0000D6090000}"/>
    <cellStyle name="Normal 3 2 10 2 2" xfId="2516" xr:uid="{00000000-0005-0000-0000-0000D7090000}"/>
    <cellStyle name="Normal 3 2 10 3" xfId="2517" xr:uid="{00000000-0005-0000-0000-0000D8090000}"/>
    <cellStyle name="Normal 3 2 10 3 2" xfId="2518" xr:uid="{00000000-0005-0000-0000-0000D9090000}"/>
    <cellStyle name="Normal 3 2 10 4" xfId="2519" xr:uid="{00000000-0005-0000-0000-0000DA090000}"/>
    <cellStyle name="Normal 3 2 10_AGL" xfId="2520" xr:uid="{00000000-0005-0000-0000-0000DB090000}"/>
    <cellStyle name="Normal 3 2 11" xfId="2521" xr:uid="{00000000-0005-0000-0000-0000DC090000}"/>
    <cellStyle name="Normal 3 2 11 2" xfId="2522" xr:uid="{00000000-0005-0000-0000-0000DD090000}"/>
    <cellStyle name="Normal 3 2 11 2 2" xfId="2523" xr:uid="{00000000-0005-0000-0000-0000DE090000}"/>
    <cellStyle name="Normal 3 2 11 3" xfId="2524" xr:uid="{00000000-0005-0000-0000-0000DF090000}"/>
    <cellStyle name="Normal 3 2 11 3 2" xfId="2525" xr:uid="{00000000-0005-0000-0000-0000E0090000}"/>
    <cellStyle name="Normal 3 2 11 4" xfId="2526" xr:uid="{00000000-0005-0000-0000-0000E1090000}"/>
    <cellStyle name="Normal 3 2 11_AGL" xfId="2527" xr:uid="{00000000-0005-0000-0000-0000E2090000}"/>
    <cellStyle name="Normal 3 2 12" xfId="2528" xr:uid="{00000000-0005-0000-0000-0000E3090000}"/>
    <cellStyle name="Normal 3 2 12 2" xfId="2529" xr:uid="{00000000-0005-0000-0000-0000E4090000}"/>
    <cellStyle name="Normal 3 2 12 2 2" xfId="2530" xr:uid="{00000000-0005-0000-0000-0000E5090000}"/>
    <cellStyle name="Normal 3 2 12 3" xfId="2531" xr:uid="{00000000-0005-0000-0000-0000E6090000}"/>
    <cellStyle name="Normal 3 2 12 3 2" xfId="2532" xr:uid="{00000000-0005-0000-0000-0000E7090000}"/>
    <cellStyle name="Normal 3 2 12 4" xfId="2533" xr:uid="{00000000-0005-0000-0000-0000E8090000}"/>
    <cellStyle name="Normal 3 2 12_AGL" xfId="2534" xr:uid="{00000000-0005-0000-0000-0000E9090000}"/>
    <cellStyle name="Normal 3 2 13" xfId="2535" xr:uid="{00000000-0005-0000-0000-0000EA090000}"/>
    <cellStyle name="Normal 3 2 13 2" xfId="2536" xr:uid="{00000000-0005-0000-0000-0000EB090000}"/>
    <cellStyle name="Normal 3 2 13 2 2" xfId="2537" xr:uid="{00000000-0005-0000-0000-0000EC090000}"/>
    <cellStyle name="Normal 3 2 13 3" xfId="2538" xr:uid="{00000000-0005-0000-0000-0000ED090000}"/>
    <cellStyle name="Normal 3 2 13 3 2" xfId="2539" xr:uid="{00000000-0005-0000-0000-0000EE090000}"/>
    <cellStyle name="Normal 3 2 13 4" xfId="2540" xr:uid="{00000000-0005-0000-0000-0000EF090000}"/>
    <cellStyle name="Normal 3 2 13_AGL" xfId="2541" xr:uid="{00000000-0005-0000-0000-0000F0090000}"/>
    <cellStyle name="Normal 3 2 14" xfId="2542" xr:uid="{00000000-0005-0000-0000-0000F1090000}"/>
    <cellStyle name="Normal 3 2 14 2" xfId="2543" xr:uid="{00000000-0005-0000-0000-0000F2090000}"/>
    <cellStyle name="Normal 3 2 14 2 2" xfId="2544" xr:uid="{00000000-0005-0000-0000-0000F3090000}"/>
    <cellStyle name="Normal 3 2 14 3" xfId="2545" xr:uid="{00000000-0005-0000-0000-0000F4090000}"/>
    <cellStyle name="Normal 3 2 14 3 2" xfId="2546" xr:uid="{00000000-0005-0000-0000-0000F5090000}"/>
    <cellStyle name="Normal 3 2 14 4" xfId="2547" xr:uid="{00000000-0005-0000-0000-0000F6090000}"/>
    <cellStyle name="Normal 3 2 14_AGL" xfId="2548" xr:uid="{00000000-0005-0000-0000-0000F7090000}"/>
    <cellStyle name="Normal 3 2 15" xfId="2549" xr:uid="{00000000-0005-0000-0000-0000F8090000}"/>
    <cellStyle name="Normal 3 2 15 2" xfId="2550" xr:uid="{00000000-0005-0000-0000-0000F9090000}"/>
    <cellStyle name="Normal 3 2 15 2 2" xfId="2551" xr:uid="{00000000-0005-0000-0000-0000FA090000}"/>
    <cellStyle name="Normal 3 2 15 3" xfId="2552" xr:uid="{00000000-0005-0000-0000-0000FB090000}"/>
    <cellStyle name="Normal 3 2 15 3 2" xfId="2553" xr:uid="{00000000-0005-0000-0000-0000FC090000}"/>
    <cellStyle name="Normal 3 2 15 4" xfId="2554" xr:uid="{00000000-0005-0000-0000-0000FD090000}"/>
    <cellStyle name="Normal 3 2 15_AGL" xfId="2555" xr:uid="{00000000-0005-0000-0000-0000FE090000}"/>
    <cellStyle name="Normal 3 2 16" xfId="2556" xr:uid="{00000000-0005-0000-0000-0000FF090000}"/>
    <cellStyle name="Normal 3 2 16 2" xfId="2557" xr:uid="{00000000-0005-0000-0000-0000000A0000}"/>
    <cellStyle name="Normal 3 2 16 2 2" xfId="2558" xr:uid="{00000000-0005-0000-0000-0000010A0000}"/>
    <cellStyle name="Normal 3 2 16 3" xfId="2559" xr:uid="{00000000-0005-0000-0000-0000020A0000}"/>
    <cellStyle name="Normal 3 2 16 3 2" xfId="2560" xr:uid="{00000000-0005-0000-0000-0000030A0000}"/>
    <cellStyle name="Normal 3 2 16 4" xfId="2561" xr:uid="{00000000-0005-0000-0000-0000040A0000}"/>
    <cellStyle name="Normal 3 2 16_AGL" xfId="2562" xr:uid="{00000000-0005-0000-0000-0000050A0000}"/>
    <cellStyle name="Normal 3 2 17" xfId="2563" xr:uid="{00000000-0005-0000-0000-0000060A0000}"/>
    <cellStyle name="Normal 3 2 17 2" xfId="2564" xr:uid="{00000000-0005-0000-0000-0000070A0000}"/>
    <cellStyle name="Normal 3 2 17 2 2" xfId="2565" xr:uid="{00000000-0005-0000-0000-0000080A0000}"/>
    <cellStyle name="Normal 3 2 17 3" xfId="2566" xr:uid="{00000000-0005-0000-0000-0000090A0000}"/>
    <cellStyle name="Normal 3 2 17 3 2" xfId="2567" xr:uid="{00000000-0005-0000-0000-00000A0A0000}"/>
    <cellStyle name="Normal 3 2 17 4" xfId="2568" xr:uid="{00000000-0005-0000-0000-00000B0A0000}"/>
    <cellStyle name="Normal 3 2 17_AGL" xfId="2569" xr:uid="{00000000-0005-0000-0000-00000C0A0000}"/>
    <cellStyle name="Normal 3 2 18" xfId="2570" xr:uid="{00000000-0005-0000-0000-00000D0A0000}"/>
    <cellStyle name="Normal 3 2 19" xfId="2571" xr:uid="{00000000-0005-0000-0000-00000E0A0000}"/>
    <cellStyle name="Normal 3 2 2" xfId="2572" xr:uid="{00000000-0005-0000-0000-00000F0A0000}"/>
    <cellStyle name="Normal 3 2 2 2" xfId="2573" xr:uid="{00000000-0005-0000-0000-0000100A0000}"/>
    <cellStyle name="Normal 3 2 2 2 2" xfId="2574" xr:uid="{00000000-0005-0000-0000-0000110A0000}"/>
    <cellStyle name="Normal 3 2 2 2 2 2" xfId="2575" xr:uid="{00000000-0005-0000-0000-0000120A0000}"/>
    <cellStyle name="Normal 3 2 2 2 3" xfId="2576" xr:uid="{00000000-0005-0000-0000-0000130A0000}"/>
    <cellStyle name="Normal 3 2 2 2 3 2" xfId="2577" xr:uid="{00000000-0005-0000-0000-0000140A0000}"/>
    <cellStyle name="Normal 3 2 2 2 4" xfId="2578" xr:uid="{00000000-0005-0000-0000-0000150A0000}"/>
    <cellStyle name="Normal 3 2 2 2_AGL" xfId="2579" xr:uid="{00000000-0005-0000-0000-0000160A0000}"/>
    <cellStyle name="Normal 3 2 2 3" xfId="2580" xr:uid="{00000000-0005-0000-0000-0000170A0000}"/>
    <cellStyle name="Normal 3 2 2 3 2" xfId="2581" xr:uid="{00000000-0005-0000-0000-0000180A0000}"/>
    <cellStyle name="Normal 3 2 2 3 2 2" xfId="2582" xr:uid="{00000000-0005-0000-0000-0000190A0000}"/>
    <cellStyle name="Normal 3 2 2 3 3" xfId="2583" xr:uid="{00000000-0005-0000-0000-00001A0A0000}"/>
    <cellStyle name="Normal 3 2 2 3 3 2" xfId="2584" xr:uid="{00000000-0005-0000-0000-00001B0A0000}"/>
    <cellStyle name="Normal 3 2 2 3 4" xfId="2585" xr:uid="{00000000-0005-0000-0000-00001C0A0000}"/>
    <cellStyle name="Normal 3 2 2 3_AGL" xfId="2586" xr:uid="{00000000-0005-0000-0000-00001D0A0000}"/>
    <cellStyle name="Normal 3 2 2 4" xfId="2587" xr:uid="{00000000-0005-0000-0000-00001E0A0000}"/>
    <cellStyle name="Normal 3 2 2 4 2" xfId="2588" xr:uid="{00000000-0005-0000-0000-00001F0A0000}"/>
    <cellStyle name="Normal 3 2 2 5" xfId="2589" xr:uid="{00000000-0005-0000-0000-0000200A0000}"/>
    <cellStyle name="Normal 3 2 2 5 2" xfId="2590" xr:uid="{00000000-0005-0000-0000-0000210A0000}"/>
    <cellStyle name="Normal 3 2 2 6" xfId="2591" xr:uid="{00000000-0005-0000-0000-0000220A0000}"/>
    <cellStyle name="Normal 3 2 2_AGL" xfId="2592" xr:uid="{00000000-0005-0000-0000-0000230A0000}"/>
    <cellStyle name="Normal 3 2 20" xfId="2593" xr:uid="{00000000-0005-0000-0000-0000240A0000}"/>
    <cellStyle name="Normal 3 2 21" xfId="2594" xr:uid="{00000000-0005-0000-0000-0000250A0000}"/>
    <cellStyle name="Normal 3 2 22" xfId="2595" xr:uid="{00000000-0005-0000-0000-0000260A0000}"/>
    <cellStyle name="Normal 3 2 23" xfId="2596" xr:uid="{00000000-0005-0000-0000-0000270A0000}"/>
    <cellStyle name="Normal 3 2 24" xfId="2597" xr:uid="{00000000-0005-0000-0000-0000280A0000}"/>
    <cellStyle name="Normal 3 2 25" xfId="2598" xr:uid="{00000000-0005-0000-0000-0000290A0000}"/>
    <cellStyle name="Normal 3 2 26" xfId="2599" xr:uid="{00000000-0005-0000-0000-00002A0A0000}"/>
    <cellStyle name="Normal 3 2 27" xfId="2600" xr:uid="{00000000-0005-0000-0000-00002B0A0000}"/>
    <cellStyle name="Normal 3 2 28" xfId="2601" xr:uid="{00000000-0005-0000-0000-00002C0A0000}"/>
    <cellStyle name="Normal 3 2 29" xfId="2602" xr:uid="{00000000-0005-0000-0000-00002D0A0000}"/>
    <cellStyle name="Normal 3 2 3" xfId="2603" xr:uid="{00000000-0005-0000-0000-00002E0A0000}"/>
    <cellStyle name="Normal 3 2 3 2" xfId="2604" xr:uid="{00000000-0005-0000-0000-00002F0A0000}"/>
    <cellStyle name="Normal 3 2 3 2 2" xfId="2605" xr:uid="{00000000-0005-0000-0000-0000300A0000}"/>
    <cellStyle name="Normal 3 2 3 2 2 2" xfId="2606" xr:uid="{00000000-0005-0000-0000-0000310A0000}"/>
    <cellStyle name="Normal 3 2 3 2 3" xfId="2607" xr:uid="{00000000-0005-0000-0000-0000320A0000}"/>
    <cellStyle name="Normal 3 2 3 2 3 2" xfId="2608" xr:uid="{00000000-0005-0000-0000-0000330A0000}"/>
    <cellStyle name="Normal 3 2 3 2 4" xfId="2609" xr:uid="{00000000-0005-0000-0000-0000340A0000}"/>
    <cellStyle name="Normal 3 2 3 2_AGL" xfId="2610" xr:uid="{00000000-0005-0000-0000-0000350A0000}"/>
    <cellStyle name="Normal 3 2 3 3" xfId="2611" xr:uid="{00000000-0005-0000-0000-0000360A0000}"/>
    <cellStyle name="Normal 3 2 3 3 2" xfId="2612" xr:uid="{00000000-0005-0000-0000-0000370A0000}"/>
    <cellStyle name="Normal 3 2 3 3 2 2" xfId="2613" xr:uid="{00000000-0005-0000-0000-0000380A0000}"/>
    <cellStyle name="Normal 3 2 3 3 3" xfId="2614" xr:uid="{00000000-0005-0000-0000-0000390A0000}"/>
    <cellStyle name="Normal 3 2 3 3 3 2" xfId="2615" xr:uid="{00000000-0005-0000-0000-00003A0A0000}"/>
    <cellStyle name="Normal 3 2 3 3 4" xfId="2616" xr:uid="{00000000-0005-0000-0000-00003B0A0000}"/>
    <cellStyle name="Normal 3 2 3 3_AGL" xfId="2617" xr:uid="{00000000-0005-0000-0000-00003C0A0000}"/>
    <cellStyle name="Normal 3 2 3 4" xfId="2618" xr:uid="{00000000-0005-0000-0000-00003D0A0000}"/>
    <cellStyle name="Normal 3 2 3 4 2" xfId="2619" xr:uid="{00000000-0005-0000-0000-00003E0A0000}"/>
    <cellStyle name="Normal 3 2 3 5" xfId="2620" xr:uid="{00000000-0005-0000-0000-00003F0A0000}"/>
    <cellStyle name="Normal 3 2 3 5 2" xfId="2621" xr:uid="{00000000-0005-0000-0000-0000400A0000}"/>
    <cellStyle name="Normal 3 2 3 6" xfId="2622" xr:uid="{00000000-0005-0000-0000-0000410A0000}"/>
    <cellStyle name="Normal 3 2 3_AGL" xfId="2623" xr:uid="{00000000-0005-0000-0000-0000420A0000}"/>
    <cellStyle name="Normal 3 2 30" xfId="2624" xr:uid="{00000000-0005-0000-0000-0000430A0000}"/>
    <cellStyle name="Normal 3 2 31" xfId="2625" xr:uid="{00000000-0005-0000-0000-0000440A0000}"/>
    <cellStyle name="Normal 3 2 32" xfId="2626" xr:uid="{00000000-0005-0000-0000-0000450A0000}"/>
    <cellStyle name="Normal 3 2 33" xfId="4465" xr:uid="{00000000-0005-0000-0000-000074110000}"/>
    <cellStyle name="Normal 3 2 4" xfId="2627" xr:uid="{00000000-0005-0000-0000-0000460A0000}"/>
    <cellStyle name="Normal 3 2 4 2" xfId="2628" xr:uid="{00000000-0005-0000-0000-0000470A0000}"/>
    <cellStyle name="Normal 3 2 4 2 2" xfId="2629" xr:uid="{00000000-0005-0000-0000-0000480A0000}"/>
    <cellStyle name="Normal 3 2 4 2 2 2" xfId="2630" xr:uid="{00000000-0005-0000-0000-0000490A0000}"/>
    <cellStyle name="Normal 3 2 4 2 3" xfId="2631" xr:uid="{00000000-0005-0000-0000-00004A0A0000}"/>
    <cellStyle name="Normal 3 2 4 2 3 2" xfId="2632" xr:uid="{00000000-0005-0000-0000-00004B0A0000}"/>
    <cellStyle name="Normal 3 2 4 2 4" xfId="2633" xr:uid="{00000000-0005-0000-0000-00004C0A0000}"/>
    <cellStyle name="Normal 3 2 4 2_AGL" xfId="2634" xr:uid="{00000000-0005-0000-0000-00004D0A0000}"/>
    <cellStyle name="Normal 3 2 4 3" xfId="2635" xr:uid="{00000000-0005-0000-0000-00004E0A0000}"/>
    <cellStyle name="Normal 3 2 4 3 2" xfId="2636" xr:uid="{00000000-0005-0000-0000-00004F0A0000}"/>
    <cellStyle name="Normal 3 2 4 3 2 2" xfId="2637" xr:uid="{00000000-0005-0000-0000-0000500A0000}"/>
    <cellStyle name="Normal 3 2 4 3 3" xfId="2638" xr:uid="{00000000-0005-0000-0000-0000510A0000}"/>
    <cellStyle name="Normal 3 2 4 3 3 2" xfId="2639" xr:uid="{00000000-0005-0000-0000-0000520A0000}"/>
    <cellStyle name="Normal 3 2 4 3 4" xfId="2640" xr:uid="{00000000-0005-0000-0000-0000530A0000}"/>
    <cellStyle name="Normal 3 2 4 3_AGL" xfId="2641" xr:uid="{00000000-0005-0000-0000-0000540A0000}"/>
    <cellStyle name="Normal 3 2 4 4" xfId="2642" xr:uid="{00000000-0005-0000-0000-0000550A0000}"/>
    <cellStyle name="Normal 3 2 4 4 2" xfId="2643" xr:uid="{00000000-0005-0000-0000-0000560A0000}"/>
    <cellStyle name="Normal 3 2 4 5" xfId="2644" xr:uid="{00000000-0005-0000-0000-0000570A0000}"/>
    <cellStyle name="Normal 3 2 4 5 2" xfId="2645" xr:uid="{00000000-0005-0000-0000-0000580A0000}"/>
    <cellStyle name="Normal 3 2 4 6" xfId="2646" xr:uid="{00000000-0005-0000-0000-0000590A0000}"/>
    <cellStyle name="Normal 3 2 4_AGL" xfId="2647" xr:uid="{00000000-0005-0000-0000-00005A0A0000}"/>
    <cellStyle name="Normal 3 2 5" xfId="2648" xr:uid="{00000000-0005-0000-0000-00005B0A0000}"/>
    <cellStyle name="Normal 3 2 5 2" xfId="2649" xr:uid="{00000000-0005-0000-0000-00005C0A0000}"/>
    <cellStyle name="Normal 3 2 5 2 2" xfId="2650" xr:uid="{00000000-0005-0000-0000-00005D0A0000}"/>
    <cellStyle name="Normal 3 2 5 2 2 2" xfId="2651" xr:uid="{00000000-0005-0000-0000-00005E0A0000}"/>
    <cellStyle name="Normal 3 2 5 2 3" xfId="2652" xr:uid="{00000000-0005-0000-0000-00005F0A0000}"/>
    <cellStyle name="Normal 3 2 5 2 3 2" xfId="2653" xr:uid="{00000000-0005-0000-0000-0000600A0000}"/>
    <cellStyle name="Normal 3 2 5 2 4" xfId="2654" xr:uid="{00000000-0005-0000-0000-0000610A0000}"/>
    <cellStyle name="Normal 3 2 5 2_AGL" xfId="2655" xr:uid="{00000000-0005-0000-0000-0000620A0000}"/>
    <cellStyle name="Normal 3 2 5 3" xfId="2656" xr:uid="{00000000-0005-0000-0000-0000630A0000}"/>
    <cellStyle name="Normal 3 2 5 3 2" xfId="2657" xr:uid="{00000000-0005-0000-0000-0000640A0000}"/>
    <cellStyle name="Normal 3 2 5 4" xfId="2658" xr:uid="{00000000-0005-0000-0000-0000650A0000}"/>
    <cellStyle name="Normal 3 2 5 4 2" xfId="2659" xr:uid="{00000000-0005-0000-0000-0000660A0000}"/>
    <cellStyle name="Normal 3 2 5 5" xfId="2660" xr:uid="{00000000-0005-0000-0000-0000670A0000}"/>
    <cellStyle name="Normal 3 2 5_AGL" xfId="2661" xr:uid="{00000000-0005-0000-0000-0000680A0000}"/>
    <cellStyle name="Normal 3 2 6" xfId="2662" xr:uid="{00000000-0005-0000-0000-0000690A0000}"/>
    <cellStyle name="Normal 3 2 6 2" xfId="2663" xr:uid="{00000000-0005-0000-0000-00006A0A0000}"/>
    <cellStyle name="Normal 3 2 6 2 2" xfId="2664" xr:uid="{00000000-0005-0000-0000-00006B0A0000}"/>
    <cellStyle name="Normal 3 2 6 2 2 2" xfId="2665" xr:uid="{00000000-0005-0000-0000-00006C0A0000}"/>
    <cellStyle name="Normal 3 2 6 2 3" xfId="2666" xr:uid="{00000000-0005-0000-0000-00006D0A0000}"/>
    <cellStyle name="Normal 3 2 6 2 3 2" xfId="2667" xr:uid="{00000000-0005-0000-0000-00006E0A0000}"/>
    <cellStyle name="Normal 3 2 6 2 4" xfId="2668" xr:uid="{00000000-0005-0000-0000-00006F0A0000}"/>
    <cellStyle name="Normal 3 2 6 2_AGL" xfId="2669" xr:uid="{00000000-0005-0000-0000-0000700A0000}"/>
    <cellStyle name="Normal 3 2 6 3" xfId="2670" xr:uid="{00000000-0005-0000-0000-0000710A0000}"/>
    <cellStyle name="Normal 3 2 6 4" xfId="2671" xr:uid="{00000000-0005-0000-0000-0000720A0000}"/>
    <cellStyle name="Normal 3 2 6_AGL" xfId="2672" xr:uid="{00000000-0005-0000-0000-0000730A0000}"/>
    <cellStyle name="Normal 3 2 7" xfId="2673" xr:uid="{00000000-0005-0000-0000-0000740A0000}"/>
    <cellStyle name="Normal 3 2 7 2" xfId="2674" xr:uid="{00000000-0005-0000-0000-0000750A0000}"/>
    <cellStyle name="Normal 3 2 7 2 2" xfId="2675" xr:uid="{00000000-0005-0000-0000-0000760A0000}"/>
    <cellStyle name="Normal 3 2 7 2 2 2" xfId="2676" xr:uid="{00000000-0005-0000-0000-0000770A0000}"/>
    <cellStyle name="Normal 3 2 7 2 3" xfId="2677" xr:uid="{00000000-0005-0000-0000-0000780A0000}"/>
    <cellStyle name="Normal 3 2 7 2 3 2" xfId="2678" xr:uid="{00000000-0005-0000-0000-0000790A0000}"/>
    <cellStyle name="Normal 3 2 7 2 4" xfId="2679" xr:uid="{00000000-0005-0000-0000-00007A0A0000}"/>
    <cellStyle name="Normal 3 2 7 2_AGL" xfId="2680" xr:uid="{00000000-0005-0000-0000-00007B0A0000}"/>
    <cellStyle name="Normal 3 2 7 3" xfId="2681" xr:uid="{00000000-0005-0000-0000-00007C0A0000}"/>
    <cellStyle name="Normal 3 2 7 3 2" xfId="2682" xr:uid="{00000000-0005-0000-0000-00007D0A0000}"/>
    <cellStyle name="Normal 3 2 7 4" xfId="2683" xr:uid="{00000000-0005-0000-0000-00007E0A0000}"/>
    <cellStyle name="Normal 3 2 7 4 2" xfId="2684" xr:uid="{00000000-0005-0000-0000-00007F0A0000}"/>
    <cellStyle name="Normal 3 2 7 5" xfId="2685" xr:uid="{00000000-0005-0000-0000-0000800A0000}"/>
    <cellStyle name="Normal 3 2 7_AGL" xfId="2686" xr:uid="{00000000-0005-0000-0000-0000810A0000}"/>
    <cellStyle name="Normal 3 2 8" xfId="2687" xr:uid="{00000000-0005-0000-0000-0000820A0000}"/>
    <cellStyle name="Normal 3 2 8 2" xfId="2688" xr:uid="{00000000-0005-0000-0000-0000830A0000}"/>
    <cellStyle name="Normal 3 2 8 2 2" xfId="2689" xr:uid="{00000000-0005-0000-0000-0000840A0000}"/>
    <cellStyle name="Normal 3 2 8 2 2 2" xfId="2690" xr:uid="{00000000-0005-0000-0000-0000850A0000}"/>
    <cellStyle name="Normal 3 2 8 2 3" xfId="2691" xr:uid="{00000000-0005-0000-0000-0000860A0000}"/>
    <cellStyle name="Normal 3 2 8 2 3 2" xfId="2692" xr:uid="{00000000-0005-0000-0000-0000870A0000}"/>
    <cellStyle name="Normal 3 2 8 2 4" xfId="2693" xr:uid="{00000000-0005-0000-0000-0000880A0000}"/>
    <cellStyle name="Normal 3 2 8 2_AGL" xfId="2694" xr:uid="{00000000-0005-0000-0000-0000890A0000}"/>
    <cellStyle name="Normal 3 2 8 3" xfId="2695" xr:uid="{00000000-0005-0000-0000-00008A0A0000}"/>
    <cellStyle name="Normal 3 2 8 3 2" xfId="2696" xr:uid="{00000000-0005-0000-0000-00008B0A0000}"/>
    <cellStyle name="Normal 3 2 8 4" xfId="2697" xr:uid="{00000000-0005-0000-0000-00008C0A0000}"/>
    <cellStyle name="Normal 3 2 8 4 2" xfId="2698" xr:uid="{00000000-0005-0000-0000-00008D0A0000}"/>
    <cellStyle name="Normal 3 2 8 5" xfId="2699" xr:uid="{00000000-0005-0000-0000-00008E0A0000}"/>
    <cellStyle name="Normal 3 2 8_AGL" xfId="2700" xr:uid="{00000000-0005-0000-0000-00008F0A0000}"/>
    <cellStyle name="Normal 3 2 9" xfId="2701" xr:uid="{00000000-0005-0000-0000-0000900A0000}"/>
    <cellStyle name="Normal 3 2 9 2" xfId="2702" xr:uid="{00000000-0005-0000-0000-0000910A0000}"/>
    <cellStyle name="Normal 3 2 9 2 2" xfId="2703" xr:uid="{00000000-0005-0000-0000-0000920A0000}"/>
    <cellStyle name="Normal 3 2 9 3" xfId="2704" xr:uid="{00000000-0005-0000-0000-0000930A0000}"/>
    <cellStyle name="Normal 3 2 9 3 2" xfId="2705" xr:uid="{00000000-0005-0000-0000-0000940A0000}"/>
    <cellStyle name="Normal 3 2 9 4" xfId="2706" xr:uid="{00000000-0005-0000-0000-0000950A0000}"/>
    <cellStyle name="Normal 3 2 9_AGL" xfId="2707" xr:uid="{00000000-0005-0000-0000-0000960A0000}"/>
    <cellStyle name="Normal 3 2_AGL" xfId="2708" xr:uid="{00000000-0005-0000-0000-0000970A0000}"/>
    <cellStyle name="Normal 3 3" xfId="2709" xr:uid="{00000000-0005-0000-0000-0000980A0000}"/>
    <cellStyle name="Normal 3 4" xfId="2710" xr:uid="{00000000-0005-0000-0000-0000990A0000}"/>
    <cellStyle name="Normal 3 4 2" xfId="2711" xr:uid="{00000000-0005-0000-0000-00009A0A0000}"/>
    <cellStyle name="Normal 3 4 3" xfId="2712" xr:uid="{00000000-0005-0000-0000-00009B0A0000}"/>
    <cellStyle name="Normal 3 4_AGL" xfId="2713" xr:uid="{00000000-0005-0000-0000-00009C0A0000}"/>
    <cellStyle name="Normal 3 5" xfId="2714" xr:uid="{00000000-0005-0000-0000-00009D0A0000}"/>
    <cellStyle name="Normal 3 6" xfId="2715" xr:uid="{00000000-0005-0000-0000-00009E0A0000}"/>
    <cellStyle name="Normal 3 7" xfId="2716" xr:uid="{00000000-0005-0000-0000-00009F0A0000}"/>
    <cellStyle name="Normal 3 8" xfId="2717" xr:uid="{00000000-0005-0000-0000-0000A00A0000}"/>
    <cellStyle name="Normal 3 9" xfId="2718" xr:uid="{00000000-0005-0000-0000-0000A10A0000}"/>
    <cellStyle name="Normal 3_AGL" xfId="2719" xr:uid="{00000000-0005-0000-0000-0000A20A0000}"/>
    <cellStyle name="Normal 30" xfId="2720" xr:uid="{00000000-0005-0000-0000-0000A30A0000}"/>
    <cellStyle name="Normal 30 2" xfId="2721" xr:uid="{00000000-0005-0000-0000-0000A40A0000}"/>
    <cellStyle name="Normal 30 2 2" xfId="2722" xr:uid="{00000000-0005-0000-0000-0000A50A0000}"/>
    <cellStyle name="Normal 30 3" xfId="2723" xr:uid="{00000000-0005-0000-0000-0000A60A0000}"/>
    <cellStyle name="Normal 30 3 2" xfId="2724" xr:uid="{00000000-0005-0000-0000-0000A70A0000}"/>
    <cellStyle name="Normal 30 4" xfId="2725" xr:uid="{00000000-0005-0000-0000-0000A80A0000}"/>
    <cellStyle name="Normal 30_AGL" xfId="2726" xr:uid="{00000000-0005-0000-0000-0000A90A0000}"/>
    <cellStyle name="Normal 31" xfId="2727" xr:uid="{00000000-0005-0000-0000-0000AA0A0000}"/>
    <cellStyle name="Normal 31 2" xfId="2728" xr:uid="{00000000-0005-0000-0000-0000AB0A0000}"/>
    <cellStyle name="Normal 31 2 2" xfId="2729" xr:uid="{00000000-0005-0000-0000-0000AC0A0000}"/>
    <cellStyle name="Normal 31 3" xfId="2730" xr:uid="{00000000-0005-0000-0000-0000AD0A0000}"/>
    <cellStyle name="Normal 31 3 2" xfId="2731" xr:uid="{00000000-0005-0000-0000-0000AE0A0000}"/>
    <cellStyle name="Normal 31 4" xfId="2732" xr:uid="{00000000-0005-0000-0000-0000AF0A0000}"/>
    <cellStyle name="Normal 31_AGL" xfId="2733" xr:uid="{00000000-0005-0000-0000-0000B00A0000}"/>
    <cellStyle name="Normal 32" xfId="2734" xr:uid="{00000000-0005-0000-0000-0000B10A0000}"/>
    <cellStyle name="Normal 32 2" xfId="2735" xr:uid="{00000000-0005-0000-0000-0000B20A0000}"/>
    <cellStyle name="Normal 32 2 2" xfId="2736" xr:uid="{00000000-0005-0000-0000-0000B30A0000}"/>
    <cellStyle name="Normal 32 3" xfId="2737" xr:uid="{00000000-0005-0000-0000-0000B40A0000}"/>
    <cellStyle name="Normal 32 3 2" xfId="2738" xr:uid="{00000000-0005-0000-0000-0000B50A0000}"/>
    <cellStyle name="Normal 32 4" xfId="2739" xr:uid="{00000000-0005-0000-0000-0000B60A0000}"/>
    <cellStyle name="Normal 32_AGL" xfId="2740" xr:uid="{00000000-0005-0000-0000-0000B70A0000}"/>
    <cellStyle name="Normal 33" xfId="2741" xr:uid="{00000000-0005-0000-0000-0000B80A0000}"/>
    <cellStyle name="Normal 33 2" xfId="2742" xr:uid="{00000000-0005-0000-0000-0000B90A0000}"/>
    <cellStyle name="Normal 33 2 2" xfId="2743" xr:uid="{00000000-0005-0000-0000-0000BA0A0000}"/>
    <cellStyle name="Normal 33 3" xfId="2744" xr:uid="{00000000-0005-0000-0000-0000BB0A0000}"/>
    <cellStyle name="Normal 33 3 2" xfId="2745" xr:uid="{00000000-0005-0000-0000-0000BC0A0000}"/>
    <cellStyle name="Normal 33 4" xfId="2746" xr:uid="{00000000-0005-0000-0000-0000BD0A0000}"/>
    <cellStyle name="Normal 33_AGL" xfId="2747" xr:uid="{00000000-0005-0000-0000-0000BE0A0000}"/>
    <cellStyle name="Normal 34" xfId="2748" xr:uid="{00000000-0005-0000-0000-0000BF0A0000}"/>
    <cellStyle name="Normal 34 2" xfId="2749" xr:uid="{00000000-0005-0000-0000-0000C00A0000}"/>
    <cellStyle name="Normal 34 2 2" xfId="2750" xr:uid="{00000000-0005-0000-0000-0000C10A0000}"/>
    <cellStyle name="Normal 34 3" xfId="2751" xr:uid="{00000000-0005-0000-0000-0000C20A0000}"/>
    <cellStyle name="Normal 34 3 2" xfId="2752" xr:uid="{00000000-0005-0000-0000-0000C30A0000}"/>
    <cellStyle name="Normal 34 4" xfId="2753" xr:uid="{00000000-0005-0000-0000-0000C40A0000}"/>
    <cellStyle name="Normal 34_AGL" xfId="2754" xr:uid="{00000000-0005-0000-0000-0000C50A0000}"/>
    <cellStyle name="Normal 35" xfId="2755" xr:uid="{00000000-0005-0000-0000-0000C60A0000}"/>
    <cellStyle name="Normal 35 2" xfId="2756" xr:uid="{00000000-0005-0000-0000-0000C70A0000}"/>
    <cellStyle name="Normal 36" xfId="2757" xr:uid="{00000000-0005-0000-0000-0000C80A0000}"/>
    <cellStyle name="Normal 36 2" xfId="2758" xr:uid="{00000000-0005-0000-0000-0000C90A0000}"/>
    <cellStyle name="Normal 36 2 2" xfId="2759" xr:uid="{00000000-0005-0000-0000-0000CA0A0000}"/>
    <cellStyle name="Normal 36 3" xfId="2760" xr:uid="{00000000-0005-0000-0000-0000CB0A0000}"/>
    <cellStyle name="Normal 36 3 2" xfId="2761" xr:uid="{00000000-0005-0000-0000-0000CC0A0000}"/>
    <cellStyle name="Normal 36 4" xfId="2762" xr:uid="{00000000-0005-0000-0000-0000CD0A0000}"/>
    <cellStyle name="Normal 37" xfId="2763" xr:uid="{00000000-0005-0000-0000-0000CE0A0000}"/>
    <cellStyle name="Normal 38" xfId="2764" xr:uid="{00000000-0005-0000-0000-0000CF0A0000}"/>
    <cellStyle name="Normal 39" xfId="2765" xr:uid="{00000000-0005-0000-0000-0000D00A0000}"/>
    <cellStyle name="Normal 4" xfId="40" xr:uid="{00000000-0005-0000-0000-00002B000000}"/>
    <cellStyle name="Normal 4 10" xfId="2766" xr:uid="{00000000-0005-0000-0000-0000D10A0000}"/>
    <cellStyle name="Normal 4 10 2" xfId="2767" xr:uid="{00000000-0005-0000-0000-0000D20A0000}"/>
    <cellStyle name="Normal 4 10 2 2" xfId="2768" xr:uid="{00000000-0005-0000-0000-0000D30A0000}"/>
    <cellStyle name="Normal 4 10 3" xfId="2769" xr:uid="{00000000-0005-0000-0000-0000D40A0000}"/>
    <cellStyle name="Normal 4 10 3 2" xfId="2770" xr:uid="{00000000-0005-0000-0000-0000D50A0000}"/>
    <cellStyle name="Normal 4 10 4" xfId="2771" xr:uid="{00000000-0005-0000-0000-0000D60A0000}"/>
    <cellStyle name="Normal 4 10_AGL" xfId="2772" xr:uid="{00000000-0005-0000-0000-0000D70A0000}"/>
    <cellStyle name="Normal 4 11" xfId="2773" xr:uid="{00000000-0005-0000-0000-0000D80A0000}"/>
    <cellStyle name="Normal 4 11 2" xfId="2774" xr:uid="{00000000-0005-0000-0000-0000D90A0000}"/>
    <cellStyle name="Normal 4 11 2 2" xfId="2775" xr:uid="{00000000-0005-0000-0000-0000DA0A0000}"/>
    <cellStyle name="Normal 4 11 3" xfId="2776" xr:uid="{00000000-0005-0000-0000-0000DB0A0000}"/>
    <cellStyle name="Normal 4 11 3 2" xfId="2777" xr:uid="{00000000-0005-0000-0000-0000DC0A0000}"/>
    <cellStyle name="Normal 4 11 4" xfId="2778" xr:uid="{00000000-0005-0000-0000-0000DD0A0000}"/>
    <cellStyle name="Normal 4 11_AGL" xfId="2779" xr:uid="{00000000-0005-0000-0000-0000DE0A0000}"/>
    <cellStyle name="Normal 4 12" xfId="2780" xr:uid="{00000000-0005-0000-0000-0000DF0A0000}"/>
    <cellStyle name="Normal 4 12 2" xfId="2781" xr:uid="{00000000-0005-0000-0000-0000E00A0000}"/>
    <cellStyle name="Normal 4 12 2 2" xfId="2782" xr:uid="{00000000-0005-0000-0000-0000E10A0000}"/>
    <cellStyle name="Normal 4 12 3" xfId="2783" xr:uid="{00000000-0005-0000-0000-0000E20A0000}"/>
    <cellStyle name="Normal 4 12 3 2" xfId="2784" xr:uid="{00000000-0005-0000-0000-0000E30A0000}"/>
    <cellStyle name="Normal 4 12 4" xfId="2785" xr:uid="{00000000-0005-0000-0000-0000E40A0000}"/>
    <cellStyle name="Normal 4 12_AGL" xfId="2786" xr:uid="{00000000-0005-0000-0000-0000E50A0000}"/>
    <cellStyle name="Normal 4 13" xfId="2787" xr:uid="{00000000-0005-0000-0000-0000E60A0000}"/>
    <cellStyle name="Normal 4 13 2" xfId="2788" xr:uid="{00000000-0005-0000-0000-0000E70A0000}"/>
    <cellStyle name="Normal 4 13 2 2" xfId="2789" xr:uid="{00000000-0005-0000-0000-0000E80A0000}"/>
    <cellStyle name="Normal 4 13 3" xfId="2790" xr:uid="{00000000-0005-0000-0000-0000E90A0000}"/>
    <cellStyle name="Normal 4 13 3 2" xfId="2791" xr:uid="{00000000-0005-0000-0000-0000EA0A0000}"/>
    <cellStyle name="Normal 4 13 4" xfId="2792" xr:uid="{00000000-0005-0000-0000-0000EB0A0000}"/>
    <cellStyle name="Normal 4 13_AGL" xfId="2793" xr:uid="{00000000-0005-0000-0000-0000EC0A0000}"/>
    <cellStyle name="Normal 4 14" xfId="2794" xr:uid="{00000000-0005-0000-0000-0000ED0A0000}"/>
    <cellStyle name="Normal 4 15" xfId="2795" xr:uid="{00000000-0005-0000-0000-0000EE0A0000}"/>
    <cellStyle name="Normal 4 16" xfId="2796" xr:uid="{00000000-0005-0000-0000-0000EF0A0000}"/>
    <cellStyle name="Normal 4 17" xfId="2797" xr:uid="{00000000-0005-0000-0000-0000F00A0000}"/>
    <cellStyle name="Normal 4 18" xfId="2798" xr:uid="{00000000-0005-0000-0000-0000F10A0000}"/>
    <cellStyle name="Normal 4 19" xfId="2799" xr:uid="{00000000-0005-0000-0000-0000F20A0000}"/>
    <cellStyle name="Normal 4 2" xfId="41" xr:uid="{00000000-0005-0000-0000-00002C000000}"/>
    <cellStyle name="Normal 4 2 10" xfId="2800" xr:uid="{00000000-0005-0000-0000-0000F30A0000}"/>
    <cellStyle name="Normal 4 2 11" xfId="2801" xr:uid="{00000000-0005-0000-0000-0000F40A0000}"/>
    <cellStyle name="Normal 4 2 12" xfId="4486" xr:uid="{00000000-0005-0000-0000-000089110000}"/>
    <cellStyle name="Normal 4 2 2" xfId="2802" xr:uid="{00000000-0005-0000-0000-0000F50A0000}"/>
    <cellStyle name="Normal 4 2 2 2" xfId="2803" xr:uid="{00000000-0005-0000-0000-0000F60A0000}"/>
    <cellStyle name="Normal 4 2 2 2 2" xfId="2804" xr:uid="{00000000-0005-0000-0000-0000F70A0000}"/>
    <cellStyle name="Normal 4 2 2 2 2 2" xfId="2805" xr:uid="{00000000-0005-0000-0000-0000F80A0000}"/>
    <cellStyle name="Normal 4 2 2 2 3" xfId="2806" xr:uid="{00000000-0005-0000-0000-0000F90A0000}"/>
    <cellStyle name="Normal 4 2 2 2 3 2" xfId="2807" xr:uid="{00000000-0005-0000-0000-0000FA0A0000}"/>
    <cellStyle name="Normal 4 2 2 2 4" xfId="2808" xr:uid="{00000000-0005-0000-0000-0000FB0A0000}"/>
    <cellStyle name="Normal 4 2 2 2_AGL" xfId="2809" xr:uid="{00000000-0005-0000-0000-0000FC0A0000}"/>
    <cellStyle name="Normal 4 2 2 3" xfId="2810" xr:uid="{00000000-0005-0000-0000-0000FD0A0000}"/>
    <cellStyle name="Normal 4 2 2 3 2" xfId="2811" xr:uid="{00000000-0005-0000-0000-0000FE0A0000}"/>
    <cellStyle name="Normal 4 2 2 3 2 2" xfId="2812" xr:uid="{00000000-0005-0000-0000-0000FF0A0000}"/>
    <cellStyle name="Normal 4 2 2 3 3" xfId="2813" xr:uid="{00000000-0005-0000-0000-0000000B0000}"/>
    <cellStyle name="Normal 4 2 2 3 3 2" xfId="2814" xr:uid="{00000000-0005-0000-0000-0000010B0000}"/>
    <cellStyle name="Normal 4 2 2 3 4" xfId="2815" xr:uid="{00000000-0005-0000-0000-0000020B0000}"/>
    <cellStyle name="Normal 4 2 2 3_AGL" xfId="2816" xr:uid="{00000000-0005-0000-0000-0000030B0000}"/>
    <cellStyle name="Normal 4 2 2 4" xfId="2817" xr:uid="{00000000-0005-0000-0000-0000040B0000}"/>
    <cellStyle name="Normal 4 2 2 4 2" xfId="2818" xr:uid="{00000000-0005-0000-0000-0000050B0000}"/>
    <cellStyle name="Normal 4 2 2 5" xfId="2819" xr:uid="{00000000-0005-0000-0000-0000060B0000}"/>
    <cellStyle name="Normal 4 2 2 5 2" xfId="2820" xr:uid="{00000000-0005-0000-0000-0000070B0000}"/>
    <cellStyle name="Normal 4 2 2 6" xfId="2821" xr:uid="{00000000-0005-0000-0000-0000080B0000}"/>
    <cellStyle name="Normal 4 2 2_AGL" xfId="2822" xr:uid="{00000000-0005-0000-0000-0000090B0000}"/>
    <cellStyle name="Normal 4 2 3" xfId="2823" xr:uid="{00000000-0005-0000-0000-00000A0B0000}"/>
    <cellStyle name="Normal 4 2 3 2" xfId="2824" xr:uid="{00000000-0005-0000-0000-00000B0B0000}"/>
    <cellStyle name="Normal 4 2 3 2 2" xfId="2825" xr:uid="{00000000-0005-0000-0000-00000C0B0000}"/>
    <cellStyle name="Normal 4 2 3 3" xfId="2826" xr:uid="{00000000-0005-0000-0000-00000D0B0000}"/>
    <cellStyle name="Normal 4 2 3 3 2" xfId="2827" xr:uid="{00000000-0005-0000-0000-00000E0B0000}"/>
    <cellStyle name="Normal 4 2 3 4" xfId="2828" xr:uid="{00000000-0005-0000-0000-00000F0B0000}"/>
    <cellStyle name="Normal 4 2 3_AGL" xfId="2829" xr:uid="{00000000-0005-0000-0000-0000100B0000}"/>
    <cellStyle name="Normal 4 2 4" xfId="2830" xr:uid="{00000000-0005-0000-0000-0000110B0000}"/>
    <cellStyle name="Normal 4 2 4 2" xfId="2831" xr:uid="{00000000-0005-0000-0000-0000120B0000}"/>
    <cellStyle name="Normal 4 2 4 2 2" xfId="2832" xr:uid="{00000000-0005-0000-0000-0000130B0000}"/>
    <cellStyle name="Normal 4 2 4 3" xfId="2833" xr:uid="{00000000-0005-0000-0000-0000140B0000}"/>
    <cellStyle name="Normal 4 2 4 3 2" xfId="2834" xr:uid="{00000000-0005-0000-0000-0000150B0000}"/>
    <cellStyle name="Normal 4 2 4 4" xfId="2835" xr:uid="{00000000-0005-0000-0000-0000160B0000}"/>
    <cellStyle name="Normal 4 2 4_AGL" xfId="2836" xr:uid="{00000000-0005-0000-0000-0000170B0000}"/>
    <cellStyle name="Normal 4 2 5" xfId="2837" xr:uid="{00000000-0005-0000-0000-0000180B0000}"/>
    <cellStyle name="Normal 4 2 5 2" xfId="2838" xr:uid="{00000000-0005-0000-0000-0000190B0000}"/>
    <cellStyle name="Normal 4 2 5 2 2" xfId="2839" xr:uid="{00000000-0005-0000-0000-00001A0B0000}"/>
    <cellStyle name="Normal 4 2 5 3" xfId="2840" xr:uid="{00000000-0005-0000-0000-00001B0B0000}"/>
    <cellStyle name="Normal 4 2 5 3 2" xfId="2841" xr:uid="{00000000-0005-0000-0000-00001C0B0000}"/>
    <cellStyle name="Normal 4 2 5 4" xfId="2842" xr:uid="{00000000-0005-0000-0000-00001D0B0000}"/>
    <cellStyle name="Normal 4 2 5_AGL" xfId="2843" xr:uid="{00000000-0005-0000-0000-00001E0B0000}"/>
    <cellStyle name="Normal 4 2 6" xfId="2844" xr:uid="{00000000-0005-0000-0000-00001F0B0000}"/>
    <cellStyle name="Normal 4 2 6 2" xfId="2845" xr:uid="{00000000-0005-0000-0000-0000200B0000}"/>
    <cellStyle name="Normal 4 2 7" xfId="2846" xr:uid="{00000000-0005-0000-0000-0000210B0000}"/>
    <cellStyle name="Normal 4 2 7 2" xfId="2847" xr:uid="{00000000-0005-0000-0000-0000220B0000}"/>
    <cellStyle name="Normal 4 2 8" xfId="2848" xr:uid="{00000000-0005-0000-0000-0000230B0000}"/>
    <cellStyle name="Normal 4 2 9" xfId="2849" xr:uid="{00000000-0005-0000-0000-0000240B0000}"/>
    <cellStyle name="Normal 4 2_AGL" xfId="2850" xr:uid="{00000000-0005-0000-0000-0000250B0000}"/>
    <cellStyle name="Normal 4 20" xfId="2851" xr:uid="{00000000-0005-0000-0000-0000260B0000}"/>
    <cellStyle name="Normal 4 21" xfId="2852" xr:uid="{00000000-0005-0000-0000-0000270B0000}"/>
    <cellStyle name="Normal 4 22" xfId="2853" xr:uid="{00000000-0005-0000-0000-0000280B0000}"/>
    <cellStyle name="Normal 4 23" xfId="2854" xr:uid="{00000000-0005-0000-0000-0000290B0000}"/>
    <cellStyle name="Normal 4 24" xfId="2855" xr:uid="{00000000-0005-0000-0000-00002A0B0000}"/>
    <cellStyle name="Normal 4 25" xfId="2856" xr:uid="{00000000-0005-0000-0000-00002B0B0000}"/>
    <cellStyle name="Normal 4 26" xfId="2857" xr:uid="{00000000-0005-0000-0000-00002C0B0000}"/>
    <cellStyle name="Normal 4 27" xfId="2858" xr:uid="{00000000-0005-0000-0000-00002D0B0000}"/>
    <cellStyle name="Normal 4 28" xfId="2859" xr:uid="{00000000-0005-0000-0000-00002E0B0000}"/>
    <cellStyle name="Normal 4 29" xfId="4447" xr:uid="{00000000-0005-0000-0000-000062110000}"/>
    <cellStyle name="Normal 4 3" xfId="2860" xr:uid="{00000000-0005-0000-0000-00002F0B0000}"/>
    <cellStyle name="Normal 4 3 2" xfId="2861" xr:uid="{00000000-0005-0000-0000-0000300B0000}"/>
    <cellStyle name="Normal 4 3 3" xfId="2862" xr:uid="{00000000-0005-0000-0000-0000310B0000}"/>
    <cellStyle name="Normal 4 4" xfId="2863" xr:uid="{00000000-0005-0000-0000-0000320B0000}"/>
    <cellStyle name="Normal 4 4 2" xfId="2864" xr:uid="{00000000-0005-0000-0000-0000330B0000}"/>
    <cellStyle name="Normal 4 4 2 2" xfId="2865" xr:uid="{00000000-0005-0000-0000-0000340B0000}"/>
    <cellStyle name="Normal 4 4 2 2 2" xfId="2866" xr:uid="{00000000-0005-0000-0000-0000350B0000}"/>
    <cellStyle name="Normal 4 4 2 3" xfId="2867" xr:uid="{00000000-0005-0000-0000-0000360B0000}"/>
    <cellStyle name="Normal 4 4 2 3 2" xfId="2868" xr:uid="{00000000-0005-0000-0000-0000370B0000}"/>
    <cellStyle name="Normal 4 4 2 4" xfId="2869" xr:uid="{00000000-0005-0000-0000-0000380B0000}"/>
    <cellStyle name="Normal 4 4 2_AGL" xfId="2870" xr:uid="{00000000-0005-0000-0000-0000390B0000}"/>
    <cellStyle name="Normal 4 4 3" xfId="2871" xr:uid="{00000000-0005-0000-0000-00003A0B0000}"/>
    <cellStyle name="Normal 4 4 3 2" xfId="2872" xr:uid="{00000000-0005-0000-0000-00003B0B0000}"/>
    <cellStyle name="Normal 4 4 3 2 2" xfId="2873" xr:uid="{00000000-0005-0000-0000-00003C0B0000}"/>
    <cellStyle name="Normal 4 4 3 3" xfId="2874" xr:uid="{00000000-0005-0000-0000-00003D0B0000}"/>
    <cellStyle name="Normal 4 4 3 3 2" xfId="2875" xr:uid="{00000000-0005-0000-0000-00003E0B0000}"/>
    <cellStyle name="Normal 4 4 3 4" xfId="2876" xr:uid="{00000000-0005-0000-0000-00003F0B0000}"/>
    <cellStyle name="Normal 4 4 3_AGL" xfId="2877" xr:uid="{00000000-0005-0000-0000-0000400B0000}"/>
    <cellStyle name="Normal 4 4 4" xfId="2878" xr:uid="{00000000-0005-0000-0000-0000410B0000}"/>
    <cellStyle name="Normal 4 4 4 2" xfId="2879" xr:uid="{00000000-0005-0000-0000-0000420B0000}"/>
    <cellStyle name="Normal 4 4 5" xfId="2880" xr:uid="{00000000-0005-0000-0000-0000430B0000}"/>
    <cellStyle name="Normal 4 4 5 2" xfId="2881" xr:uid="{00000000-0005-0000-0000-0000440B0000}"/>
    <cellStyle name="Normal 4 4 6" xfId="2882" xr:uid="{00000000-0005-0000-0000-0000450B0000}"/>
    <cellStyle name="Normal 4 4 7" xfId="4485" xr:uid="{00000000-0005-0000-0000-000088110000}"/>
    <cellStyle name="Normal 4 4_AGL" xfId="2883" xr:uid="{00000000-0005-0000-0000-0000460B0000}"/>
    <cellStyle name="Normal 4 5" xfId="2884" xr:uid="{00000000-0005-0000-0000-0000470B0000}"/>
    <cellStyle name="Normal 4 5 2" xfId="2885" xr:uid="{00000000-0005-0000-0000-0000480B0000}"/>
    <cellStyle name="Normal 4 5 2 2" xfId="2886" xr:uid="{00000000-0005-0000-0000-0000490B0000}"/>
    <cellStyle name="Normal 4 5 2 2 2" xfId="2887" xr:uid="{00000000-0005-0000-0000-00004A0B0000}"/>
    <cellStyle name="Normal 4 5 2 3" xfId="2888" xr:uid="{00000000-0005-0000-0000-00004B0B0000}"/>
    <cellStyle name="Normal 4 5 2 3 2" xfId="2889" xr:uid="{00000000-0005-0000-0000-00004C0B0000}"/>
    <cellStyle name="Normal 4 5 2 4" xfId="2890" xr:uid="{00000000-0005-0000-0000-00004D0B0000}"/>
    <cellStyle name="Normal 4 5 2_AGL" xfId="2891" xr:uid="{00000000-0005-0000-0000-00004E0B0000}"/>
    <cellStyle name="Normal 4 5 3" xfId="2892" xr:uid="{00000000-0005-0000-0000-00004F0B0000}"/>
    <cellStyle name="Normal 4 5 3 2" xfId="2893" xr:uid="{00000000-0005-0000-0000-0000500B0000}"/>
    <cellStyle name="Normal 4 5 3 2 2" xfId="2894" xr:uid="{00000000-0005-0000-0000-0000510B0000}"/>
    <cellStyle name="Normal 4 5 3 3" xfId="2895" xr:uid="{00000000-0005-0000-0000-0000520B0000}"/>
    <cellStyle name="Normal 4 5 3 3 2" xfId="2896" xr:uid="{00000000-0005-0000-0000-0000530B0000}"/>
    <cellStyle name="Normal 4 5 3 4" xfId="2897" xr:uid="{00000000-0005-0000-0000-0000540B0000}"/>
    <cellStyle name="Normal 4 5 3_AGL" xfId="2898" xr:uid="{00000000-0005-0000-0000-0000550B0000}"/>
    <cellStyle name="Normal 4 5 4" xfId="2899" xr:uid="{00000000-0005-0000-0000-0000560B0000}"/>
    <cellStyle name="Normal 4 5 4 2" xfId="2900" xr:uid="{00000000-0005-0000-0000-0000570B0000}"/>
    <cellStyle name="Normal 4 5 5" xfId="2901" xr:uid="{00000000-0005-0000-0000-0000580B0000}"/>
    <cellStyle name="Normal 4 5 5 2" xfId="2902" xr:uid="{00000000-0005-0000-0000-0000590B0000}"/>
    <cellStyle name="Normal 4 5 6" xfId="2903" xr:uid="{00000000-0005-0000-0000-00005A0B0000}"/>
    <cellStyle name="Normal 4 5_AGL" xfId="2904" xr:uid="{00000000-0005-0000-0000-00005B0B0000}"/>
    <cellStyle name="Normal 4 6" xfId="2905" xr:uid="{00000000-0005-0000-0000-00005C0B0000}"/>
    <cellStyle name="Normal 4 6 2" xfId="2906" xr:uid="{00000000-0005-0000-0000-00005D0B0000}"/>
    <cellStyle name="Normal 4 6 2 2" xfId="2907" xr:uid="{00000000-0005-0000-0000-00005E0B0000}"/>
    <cellStyle name="Normal 4 6 2 2 2" xfId="2908" xr:uid="{00000000-0005-0000-0000-00005F0B0000}"/>
    <cellStyle name="Normal 4 6 2 3" xfId="2909" xr:uid="{00000000-0005-0000-0000-0000600B0000}"/>
    <cellStyle name="Normal 4 6 2 3 2" xfId="2910" xr:uid="{00000000-0005-0000-0000-0000610B0000}"/>
    <cellStyle name="Normal 4 6 2 4" xfId="2911" xr:uid="{00000000-0005-0000-0000-0000620B0000}"/>
    <cellStyle name="Normal 4 6 2_AGL" xfId="2912" xr:uid="{00000000-0005-0000-0000-0000630B0000}"/>
    <cellStyle name="Normal 4 6 3" xfId="2913" xr:uid="{00000000-0005-0000-0000-0000640B0000}"/>
    <cellStyle name="Normal 4 6 4" xfId="2914" xr:uid="{00000000-0005-0000-0000-0000650B0000}"/>
    <cellStyle name="Normal 4 6 5" xfId="4503" xr:uid="{00000000-0005-0000-0000-00009A110000}"/>
    <cellStyle name="Normal 4 6_AGL" xfId="2915" xr:uid="{00000000-0005-0000-0000-0000660B0000}"/>
    <cellStyle name="Normal 4 7" xfId="2916" xr:uid="{00000000-0005-0000-0000-0000670B0000}"/>
    <cellStyle name="Normal 4 7 2" xfId="2917" xr:uid="{00000000-0005-0000-0000-0000680B0000}"/>
    <cellStyle name="Normal 4 7 2 2" xfId="2918" xr:uid="{00000000-0005-0000-0000-0000690B0000}"/>
    <cellStyle name="Normal 4 7 3" xfId="2919" xr:uid="{00000000-0005-0000-0000-00006A0B0000}"/>
    <cellStyle name="Normal 4 7 3 2" xfId="2920" xr:uid="{00000000-0005-0000-0000-00006B0B0000}"/>
    <cellStyle name="Normal 4 7 4" xfId="2921" xr:uid="{00000000-0005-0000-0000-00006C0B0000}"/>
    <cellStyle name="Normal 4 7_AGL" xfId="2922" xr:uid="{00000000-0005-0000-0000-00006D0B0000}"/>
    <cellStyle name="Normal 4 8" xfId="2923" xr:uid="{00000000-0005-0000-0000-00006E0B0000}"/>
    <cellStyle name="Normal 4 8 2" xfId="2924" xr:uid="{00000000-0005-0000-0000-00006F0B0000}"/>
    <cellStyle name="Normal 4 8 2 2" xfId="2925" xr:uid="{00000000-0005-0000-0000-0000700B0000}"/>
    <cellStyle name="Normal 4 8 3" xfId="2926" xr:uid="{00000000-0005-0000-0000-0000710B0000}"/>
    <cellStyle name="Normal 4 8 3 2" xfId="2927" xr:uid="{00000000-0005-0000-0000-0000720B0000}"/>
    <cellStyle name="Normal 4 8 4" xfId="2928" xr:uid="{00000000-0005-0000-0000-0000730B0000}"/>
    <cellStyle name="Normal 4 8_AGL" xfId="2929" xr:uid="{00000000-0005-0000-0000-0000740B0000}"/>
    <cellStyle name="Normal 4 9" xfId="2930" xr:uid="{00000000-0005-0000-0000-0000750B0000}"/>
    <cellStyle name="Normal 4 9 2" xfId="2931" xr:uid="{00000000-0005-0000-0000-0000760B0000}"/>
    <cellStyle name="Normal 4 9 2 2" xfId="2932" xr:uid="{00000000-0005-0000-0000-0000770B0000}"/>
    <cellStyle name="Normal 4 9 3" xfId="2933" xr:uid="{00000000-0005-0000-0000-0000780B0000}"/>
    <cellStyle name="Normal 4 9 3 2" xfId="2934" xr:uid="{00000000-0005-0000-0000-0000790B0000}"/>
    <cellStyle name="Normal 4 9 4" xfId="2935" xr:uid="{00000000-0005-0000-0000-00007A0B0000}"/>
    <cellStyle name="Normal 4 9_AGL" xfId="2936" xr:uid="{00000000-0005-0000-0000-00007B0B0000}"/>
    <cellStyle name="Normal 4_AGL" xfId="2937" xr:uid="{00000000-0005-0000-0000-00007C0B0000}"/>
    <cellStyle name="Normal 40" xfId="2938" xr:uid="{00000000-0005-0000-0000-00007D0B0000}"/>
    <cellStyle name="Normal 41" xfId="2939" xr:uid="{00000000-0005-0000-0000-00007E0B0000}"/>
    <cellStyle name="Normal 42" xfId="2940" xr:uid="{00000000-0005-0000-0000-00007F0B0000}"/>
    <cellStyle name="Normal 43" xfId="2941" xr:uid="{00000000-0005-0000-0000-0000800B0000}"/>
    <cellStyle name="Normal 44" xfId="2942" xr:uid="{00000000-0005-0000-0000-0000810B0000}"/>
    <cellStyle name="Normal 45" xfId="2943" xr:uid="{00000000-0005-0000-0000-0000820B0000}"/>
    <cellStyle name="Normal 46" xfId="2944" xr:uid="{00000000-0005-0000-0000-0000830B0000}"/>
    <cellStyle name="Normal 47" xfId="2945" xr:uid="{00000000-0005-0000-0000-0000840B0000}"/>
    <cellStyle name="Normal 48" xfId="2946" xr:uid="{00000000-0005-0000-0000-0000850B0000}"/>
    <cellStyle name="Normal 49" xfId="2947" xr:uid="{00000000-0005-0000-0000-0000860B0000}"/>
    <cellStyle name="Normal 5" xfId="42" xr:uid="{00000000-0005-0000-0000-00002D000000}"/>
    <cellStyle name="Normal 5 10" xfId="2948" xr:uid="{00000000-0005-0000-0000-0000870B0000}"/>
    <cellStyle name="Normal 5 11" xfId="2949" xr:uid="{00000000-0005-0000-0000-0000880B0000}"/>
    <cellStyle name="Normal 5 12" xfId="4446" xr:uid="{00000000-0005-0000-0000-000061110000}"/>
    <cellStyle name="Normal 5 13" xfId="4547" xr:uid="{00000000-0005-0000-0000-0000C6110000}"/>
    <cellStyle name="Normal 5 2" xfId="2950" xr:uid="{00000000-0005-0000-0000-0000890B0000}"/>
    <cellStyle name="Normal 5 2 2" xfId="2951" xr:uid="{00000000-0005-0000-0000-00008A0B0000}"/>
    <cellStyle name="Normal 5 2 3" xfId="2952" xr:uid="{00000000-0005-0000-0000-00008B0B0000}"/>
    <cellStyle name="Normal 5 2 4" xfId="4468" xr:uid="{00000000-0005-0000-0000-000077110000}"/>
    <cellStyle name="Normal 5 2_AGL" xfId="2953" xr:uid="{00000000-0005-0000-0000-00008C0B0000}"/>
    <cellStyle name="Normal 5 3" xfId="2954" xr:uid="{00000000-0005-0000-0000-00008D0B0000}"/>
    <cellStyle name="Normal 5 4" xfId="2955" xr:uid="{00000000-0005-0000-0000-00008E0B0000}"/>
    <cellStyle name="Normal 5 4 2" xfId="2956" xr:uid="{00000000-0005-0000-0000-00008F0B0000}"/>
    <cellStyle name="Normal 5 4 3" xfId="2957" xr:uid="{00000000-0005-0000-0000-0000900B0000}"/>
    <cellStyle name="Normal 5 4_AGL" xfId="2958" xr:uid="{00000000-0005-0000-0000-0000910B0000}"/>
    <cellStyle name="Normal 5 5" xfId="2959" xr:uid="{00000000-0005-0000-0000-0000920B0000}"/>
    <cellStyle name="Normal 5 6" xfId="2960" xr:uid="{00000000-0005-0000-0000-0000930B0000}"/>
    <cellStyle name="Normal 5 7" xfId="2961" xr:uid="{00000000-0005-0000-0000-0000940B0000}"/>
    <cellStyle name="Normal 5 8" xfId="2962" xr:uid="{00000000-0005-0000-0000-0000950B0000}"/>
    <cellStyle name="Normal 5 9" xfId="2963" xr:uid="{00000000-0005-0000-0000-0000960B0000}"/>
    <cellStyle name="Normal 5_AGL" xfId="2964" xr:uid="{00000000-0005-0000-0000-0000970B0000}"/>
    <cellStyle name="Normal 50" xfId="2965" xr:uid="{00000000-0005-0000-0000-0000980B0000}"/>
    <cellStyle name="Normal 51" xfId="2966" xr:uid="{00000000-0005-0000-0000-0000990B0000}"/>
    <cellStyle name="Normal 52" xfId="2967" xr:uid="{00000000-0005-0000-0000-00009A0B0000}"/>
    <cellStyle name="Normal 53" xfId="2968" xr:uid="{00000000-0005-0000-0000-00009B0B0000}"/>
    <cellStyle name="Normal 54" xfId="2969" xr:uid="{00000000-0005-0000-0000-00009C0B0000}"/>
    <cellStyle name="Normal 55" xfId="2970" xr:uid="{00000000-0005-0000-0000-00009D0B0000}"/>
    <cellStyle name="Normal 56" xfId="2971" xr:uid="{00000000-0005-0000-0000-00009E0B0000}"/>
    <cellStyle name="Normal 57" xfId="2972" xr:uid="{00000000-0005-0000-0000-00009F0B0000}"/>
    <cellStyle name="Normal 58" xfId="2973" xr:uid="{00000000-0005-0000-0000-0000A00B0000}"/>
    <cellStyle name="Normal 59" xfId="2974" xr:uid="{00000000-0005-0000-0000-0000A10B0000}"/>
    <cellStyle name="Normal 6" xfId="43" xr:uid="{00000000-0005-0000-0000-00002E000000}"/>
    <cellStyle name="Normal 6 10" xfId="2975" xr:uid="{00000000-0005-0000-0000-0000A20B0000}"/>
    <cellStyle name="Normal 6 11" xfId="2976" xr:uid="{00000000-0005-0000-0000-0000A30B0000}"/>
    <cellStyle name="Normal 6 12" xfId="4467" xr:uid="{00000000-0005-0000-0000-000076110000}"/>
    <cellStyle name="Normal 6 2" xfId="2977" xr:uid="{00000000-0005-0000-0000-0000A40B0000}"/>
    <cellStyle name="Normal 6 3" xfId="2978" xr:uid="{00000000-0005-0000-0000-0000A50B0000}"/>
    <cellStyle name="Normal 6 3 2" xfId="2979" xr:uid="{00000000-0005-0000-0000-0000A60B0000}"/>
    <cellStyle name="Normal 6 4" xfId="2980" xr:uid="{00000000-0005-0000-0000-0000A70B0000}"/>
    <cellStyle name="Normal 6 4 2" xfId="2981" xr:uid="{00000000-0005-0000-0000-0000A80B0000}"/>
    <cellStyle name="Normal 6 4 3" xfId="2982" xr:uid="{00000000-0005-0000-0000-0000A90B0000}"/>
    <cellStyle name="Normal 6 4_AGL" xfId="2983" xr:uid="{00000000-0005-0000-0000-0000AA0B0000}"/>
    <cellStyle name="Normal 6 5" xfId="2984" xr:uid="{00000000-0005-0000-0000-0000AB0B0000}"/>
    <cellStyle name="Normal 6 6" xfId="2985" xr:uid="{00000000-0005-0000-0000-0000AC0B0000}"/>
    <cellStyle name="Normal 6 7" xfId="2986" xr:uid="{00000000-0005-0000-0000-0000AD0B0000}"/>
    <cellStyle name="Normal 6 8" xfId="2987" xr:uid="{00000000-0005-0000-0000-0000AE0B0000}"/>
    <cellStyle name="Normal 6 9" xfId="2988" xr:uid="{00000000-0005-0000-0000-0000AF0B0000}"/>
    <cellStyle name="Normal 6_AGL" xfId="2989" xr:uid="{00000000-0005-0000-0000-0000B00B0000}"/>
    <cellStyle name="Normal 60" xfId="4424" xr:uid="{00000000-0005-0000-0000-00004B110000}"/>
    <cellStyle name="Normal 7" xfId="58" xr:uid="{00000000-0005-0000-0000-00003D000000}"/>
    <cellStyle name="Normal 7 10" xfId="2990" xr:uid="{00000000-0005-0000-0000-0000B10B0000}"/>
    <cellStyle name="Normal 7 11" xfId="2991" xr:uid="{00000000-0005-0000-0000-0000B20B0000}"/>
    <cellStyle name="Normal 7 12" xfId="4440" xr:uid="{00000000-0005-0000-0000-00005B110000}"/>
    <cellStyle name="Normal 7 2" xfId="2992" xr:uid="{00000000-0005-0000-0000-0000B30B0000}"/>
    <cellStyle name="Normal 7 2 2" xfId="2993" xr:uid="{00000000-0005-0000-0000-0000B40B0000}"/>
    <cellStyle name="Normal 7 2 2 2" xfId="2994" xr:uid="{00000000-0005-0000-0000-0000B50B0000}"/>
    <cellStyle name="Normal 7 2 3" xfId="2995" xr:uid="{00000000-0005-0000-0000-0000B60B0000}"/>
    <cellStyle name="Normal 7 2 3 2" xfId="2996" xr:uid="{00000000-0005-0000-0000-0000B70B0000}"/>
    <cellStyle name="Normal 7 2 4" xfId="2997" xr:uid="{00000000-0005-0000-0000-0000B80B0000}"/>
    <cellStyle name="Normal 7 2_AGL" xfId="2998" xr:uid="{00000000-0005-0000-0000-0000B90B0000}"/>
    <cellStyle name="Normal 7 3" xfId="2999" xr:uid="{00000000-0005-0000-0000-0000BA0B0000}"/>
    <cellStyle name="Normal 7 3 2" xfId="3000" xr:uid="{00000000-0005-0000-0000-0000BB0B0000}"/>
    <cellStyle name="Normal 7 3 2 2" xfId="3001" xr:uid="{00000000-0005-0000-0000-0000BC0B0000}"/>
    <cellStyle name="Normal 7 3 3" xfId="3002" xr:uid="{00000000-0005-0000-0000-0000BD0B0000}"/>
    <cellStyle name="Normal 7 3 3 2" xfId="3003" xr:uid="{00000000-0005-0000-0000-0000BE0B0000}"/>
    <cellStyle name="Normal 7 3 4" xfId="3004" xr:uid="{00000000-0005-0000-0000-0000BF0B0000}"/>
    <cellStyle name="Normal 7 3_AGL" xfId="3005" xr:uid="{00000000-0005-0000-0000-0000C00B0000}"/>
    <cellStyle name="Normal 7 4" xfId="3006" xr:uid="{00000000-0005-0000-0000-0000C10B0000}"/>
    <cellStyle name="Normal 7 4 2" xfId="3007" xr:uid="{00000000-0005-0000-0000-0000C20B0000}"/>
    <cellStyle name="Normal 7 5" xfId="3008" xr:uid="{00000000-0005-0000-0000-0000C30B0000}"/>
    <cellStyle name="Normal 7 5 2" xfId="3009" xr:uid="{00000000-0005-0000-0000-0000C40B0000}"/>
    <cellStyle name="Normal 7 6" xfId="3010" xr:uid="{00000000-0005-0000-0000-0000C50B0000}"/>
    <cellStyle name="Normal 7 7" xfId="3011" xr:uid="{00000000-0005-0000-0000-0000C60B0000}"/>
    <cellStyle name="Normal 7 8" xfId="3012" xr:uid="{00000000-0005-0000-0000-0000C70B0000}"/>
    <cellStyle name="Normal 7 9" xfId="3013" xr:uid="{00000000-0005-0000-0000-0000C80B0000}"/>
    <cellStyle name="Normal 7_AGL" xfId="3014" xr:uid="{00000000-0005-0000-0000-0000C90B0000}"/>
    <cellStyle name="Normal 8" xfId="3015" xr:uid="{00000000-0005-0000-0000-0000CA0B0000}"/>
    <cellStyle name="Normal 8 2" xfId="3016" xr:uid="{00000000-0005-0000-0000-0000CB0B0000}"/>
    <cellStyle name="Normal 8 2 2" xfId="3017" xr:uid="{00000000-0005-0000-0000-0000CC0B0000}"/>
    <cellStyle name="Normal 8 2 2 2" xfId="3018" xr:uid="{00000000-0005-0000-0000-0000CD0B0000}"/>
    <cellStyle name="Normal 8 2 3" xfId="3019" xr:uid="{00000000-0005-0000-0000-0000CE0B0000}"/>
    <cellStyle name="Normal 8 2 3 2" xfId="3020" xr:uid="{00000000-0005-0000-0000-0000CF0B0000}"/>
    <cellStyle name="Normal 8 2 4" xfId="3021" xr:uid="{00000000-0005-0000-0000-0000D00B0000}"/>
    <cellStyle name="Normal 8 2_AGL" xfId="3022" xr:uid="{00000000-0005-0000-0000-0000D10B0000}"/>
    <cellStyle name="Normal 8 3" xfId="3023" xr:uid="{00000000-0005-0000-0000-0000D20B0000}"/>
    <cellStyle name="Normal 8 3 2" xfId="3024" xr:uid="{00000000-0005-0000-0000-0000D30B0000}"/>
    <cellStyle name="Normal 8 3 2 2" xfId="3025" xr:uid="{00000000-0005-0000-0000-0000D40B0000}"/>
    <cellStyle name="Normal 8 3 3" xfId="3026" xr:uid="{00000000-0005-0000-0000-0000D50B0000}"/>
    <cellStyle name="Normal 8 3 3 2" xfId="3027" xr:uid="{00000000-0005-0000-0000-0000D60B0000}"/>
    <cellStyle name="Normal 8 3 4" xfId="3028" xr:uid="{00000000-0005-0000-0000-0000D70B0000}"/>
    <cellStyle name="Normal 8 3_AGL" xfId="3029" xr:uid="{00000000-0005-0000-0000-0000D80B0000}"/>
    <cellStyle name="Normal 8 4" xfId="3030" xr:uid="{00000000-0005-0000-0000-0000D90B0000}"/>
    <cellStyle name="Normal 8 4 2" xfId="3031" xr:uid="{00000000-0005-0000-0000-0000DA0B0000}"/>
    <cellStyle name="Normal 8 4 2 2" xfId="3032" xr:uid="{00000000-0005-0000-0000-0000DB0B0000}"/>
    <cellStyle name="Normal 8 4 3" xfId="3033" xr:uid="{00000000-0005-0000-0000-0000DC0B0000}"/>
    <cellStyle name="Normal 8 4 3 2" xfId="3034" xr:uid="{00000000-0005-0000-0000-0000DD0B0000}"/>
    <cellStyle name="Normal 8 4 4" xfId="3035" xr:uid="{00000000-0005-0000-0000-0000DE0B0000}"/>
    <cellStyle name="Normal 8 4_AGL" xfId="3036" xr:uid="{00000000-0005-0000-0000-0000DF0B0000}"/>
    <cellStyle name="Normal 8 5" xfId="3037" xr:uid="{00000000-0005-0000-0000-0000E00B0000}"/>
    <cellStyle name="Normal 8 5 2" xfId="3038" xr:uid="{00000000-0005-0000-0000-0000E10B0000}"/>
    <cellStyle name="Normal 8 5 2 2" xfId="3039" xr:uid="{00000000-0005-0000-0000-0000E20B0000}"/>
    <cellStyle name="Normal 8 5 2 2 2" xfId="3040" xr:uid="{00000000-0005-0000-0000-0000E30B0000}"/>
    <cellStyle name="Normal 8 5 2 3" xfId="3041" xr:uid="{00000000-0005-0000-0000-0000E40B0000}"/>
    <cellStyle name="Normal 8 5 2 3 2" xfId="3042" xr:uid="{00000000-0005-0000-0000-0000E50B0000}"/>
    <cellStyle name="Normal 8 5 2 4" xfId="3043" xr:uid="{00000000-0005-0000-0000-0000E60B0000}"/>
    <cellStyle name="Normal 8 5 2_AGL" xfId="3044" xr:uid="{00000000-0005-0000-0000-0000E70B0000}"/>
    <cellStyle name="Normal 8 5 3" xfId="3045" xr:uid="{00000000-0005-0000-0000-0000E80B0000}"/>
    <cellStyle name="Normal 8 5 3 2" xfId="3046" xr:uid="{00000000-0005-0000-0000-0000E90B0000}"/>
    <cellStyle name="Normal 8 5 3 2 2" xfId="3047" xr:uid="{00000000-0005-0000-0000-0000EA0B0000}"/>
    <cellStyle name="Normal 8 5 3 3" xfId="3048" xr:uid="{00000000-0005-0000-0000-0000EB0B0000}"/>
    <cellStyle name="Normal 8 5 3 3 2" xfId="3049" xr:uid="{00000000-0005-0000-0000-0000EC0B0000}"/>
    <cellStyle name="Normal 8 5 3 4" xfId="3050" xr:uid="{00000000-0005-0000-0000-0000ED0B0000}"/>
    <cellStyle name="Normal 8 5 3_AGL" xfId="3051" xr:uid="{00000000-0005-0000-0000-0000EE0B0000}"/>
    <cellStyle name="Normal 8 5 4" xfId="3052" xr:uid="{00000000-0005-0000-0000-0000EF0B0000}"/>
    <cellStyle name="Normal 8 5 4 2" xfId="3053" xr:uid="{00000000-0005-0000-0000-0000F00B0000}"/>
    <cellStyle name="Normal 8 5 5" xfId="3054" xr:uid="{00000000-0005-0000-0000-0000F10B0000}"/>
    <cellStyle name="Normal 8 5 5 2" xfId="3055" xr:uid="{00000000-0005-0000-0000-0000F20B0000}"/>
    <cellStyle name="Normal 8 5 6" xfId="3056" xr:uid="{00000000-0005-0000-0000-0000F30B0000}"/>
    <cellStyle name="Normal 8 5_AGL" xfId="3057" xr:uid="{00000000-0005-0000-0000-0000F40B0000}"/>
    <cellStyle name="Normal 8 6" xfId="3058" xr:uid="{00000000-0005-0000-0000-0000F50B0000}"/>
    <cellStyle name="Normal 8 6 2" xfId="3059" xr:uid="{00000000-0005-0000-0000-0000F60B0000}"/>
    <cellStyle name="Normal 8 7" xfId="3060" xr:uid="{00000000-0005-0000-0000-0000F70B0000}"/>
    <cellStyle name="Normal 8 7 2" xfId="3061" xr:uid="{00000000-0005-0000-0000-0000F80B0000}"/>
    <cellStyle name="Normal 8 8" xfId="3062" xr:uid="{00000000-0005-0000-0000-0000F90B0000}"/>
    <cellStyle name="Normal 8 8 2" xfId="3063" xr:uid="{00000000-0005-0000-0000-0000FA0B0000}"/>
    <cellStyle name="Normal 8 9" xfId="3064" xr:uid="{00000000-0005-0000-0000-0000FB0B0000}"/>
    <cellStyle name="Normal 8_AGL" xfId="3065" xr:uid="{00000000-0005-0000-0000-0000FC0B0000}"/>
    <cellStyle name="Normal 9" xfId="3066" xr:uid="{00000000-0005-0000-0000-0000FD0B0000}"/>
    <cellStyle name="Normal 9 10" xfId="3067" xr:uid="{00000000-0005-0000-0000-0000FE0B0000}"/>
    <cellStyle name="Normal 9 2" xfId="3068" xr:uid="{00000000-0005-0000-0000-0000FF0B0000}"/>
    <cellStyle name="Normal 9 2 2" xfId="3069" xr:uid="{00000000-0005-0000-0000-0000000C0000}"/>
    <cellStyle name="Normal 9 2 2 2" xfId="3070" xr:uid="{00000000-0005-0000-0000-0000010C0000}"/>
    <cellStyle name="Normal 9 2 3" xfId="3071" xr:uid="{00000000-0005-0000-0000-0000020C0000}"/>
    <cellStyle name="Normal 9 2 3 2" xfId="3072" xr:uid="{00000000-0005-0000-0000-0000030C0000}"/>
    <cellStyle name="Normal 9 2 4" xfId="3073" xr:uid="{00000000-0005-0000-0000-0000040C0000}"/>
    <cellStyle name="Normal 9 2 5" xfId="4487" xr:uid="{00000000-0005-0000-0000-00008A110000}"/>
    <cellStyle name="Normal 9 2_AGL" xfId="3074" xr:uid="{00000000-0005-0000-0000-0000050C0000}"/>
    <cellStyle name="Normal 9 3" xfId="3075" xr:uid="{00000000-0005-0000-0000-0000060C0000}"/>
    <cellStyle name="Normal 9 3 2" xfId="3076" xr:uid="{00000000-0005-0000-0000-0000070C0000}"/>
    <cellStyle name="Normal 9 3 2 2" xfId="3077" xr:uid="{00000000-0005-0000-0000-0000080C0000}"/>
    <cellStyle name="Normal 9 3 3" xfId="3078" xr:uid="{00000000-0005-0000-0000-0000090C0000}"/>
    <cellStyle name="Normal 9 3 3 2" xfId="3079" xr:uid="{00000000-0005-0000-0000-00000A0C0000}"/>
    <cellStyle name="Normal 9 3 4" xfId="3080" xr:uid="{00000000-0005-0000-0000-00000B0C0000}"/>
    <cellStyle name="Normal 9 3_AGL" xfId="3081" xr:uid="{00000000-0005-0000-0000-00000C0C0000}"/>
    <cellStyle name="Normal 9 4" xfId="3082" xr:uid="{00000000-0005-0000-0000-00000D0C0000}"/>
    <cellStyle name="Normal 9 4 2" xfId="3083" xr:uid="{00000000-0005-0000-0000-00000E0C0000}"/>
    <cellStyle name="Normal 9 4 2 2" xfId="3084" xr:uid="{00000000-0005-0000-0000-00000F0C0000}"/>
    <cellStyle name="Normal 9 4 3" xfId="3085" xr:uid="{00000000-0005-0000-0000-0000100C0000}"/>
    <cellStyle name="Normal 9 4 3 2" xfId="3086" xr:uid="{00000000-0005-0000-0000-0000110C0000}"/>
    <cellStyle name="Normal 9 4 4" xfId="3087" xr:uid="{00000000-0005-0000-0000-0000120C0000}"/>
    <cellStyle name="Normal 9 4_AGL" xfId="3088" xr:uid="{00000000-0005-0000-0000-0000130C0000}"/>
    <cellStyle name="Normal 9 5" xfId="3089" xr:uid="{00000000-0005-0000-0000-0000140C0000}"/>
    <cellStyle name="Normal 9 5 2" xfId="3090" xr:uid="{00000000-0005-0000-0000-0000150C0000}"/>
    <cellStyle name="Normal 9 5 2 2" xfId="3091" xr:uid="{00000000-0005-0000-0000-0000160C0000}"/>
    <cellStyle name="Normal 9 5 2 2 2" xfId="3092" xr:uid="{00000000-0005-0000-0000-0000170C0000}"/>
    <cellStyle name="Normal 9 5 2 3" xfId="3093" xr:uid="{00000000-0005-0000-0000-0000180C0000}"/>
    <cellStyle name="Normal 9 5 2 3 2" xfId="3094" xr:uid="{00000000-0005-0000-0000-0000190C0000}"/>
    <cellStyle name="Normal 9 5 2 4" xfId="3095" xr:uid="{00000000-0005-0000-0000-00001A0C0000}"/>
    <cellStyle name="Normal 9 5 2_AGL" xfId="3096" xr:uid="{00000000-0005-0000-0000-00001B0C0000}"/>
    <cellStyle name="Normal 9 5 3" xfId="3097" xr:uid="{00000000-0005-0000-0000-00001C0C0000}"/>
    <cellStyle name="Normal 9 5 3 2" xfId="3098" xr:uid="{00000000-0005-0000-0000-00001D0C0000}"/>
    <cellStyle name="Normal 9 5 4" xfId="3099" xr:uid="{00000000-0005-0000-0000-00001E0C0000}"/>
    <cellStyle name="Normal 9 5 4 2" xfId="3100" xr:uid="{00000000-0005-0000-0000-00001F0C0000}"/>
    <cellStyle name="Normal 9 5 5" xfId="3101" xr:uid="{00000000-0005-0000-0000-0000200C0000}"/>
    <cellStyle name="Normal 9 5_AGL" xfId="3102" xr:uid="{00000000-0005-0000-0000-0000210C0000}"/>
    <cellStyle name="Normal 9 6" xfId="3103" xr:uid="{00000000-0005-0000-0000-0000220C0000}"/>
    <cellStyle name="Normal 9 6 2" xfId="3104" xr:uid="{00000000-0005-0000-0000-0000230C0000}"/>
    <cellStyle name="Normal 9 6 2 2" xfId="3105" xr:uid="{00000000-0005-0000-0000-0000240C0000}"/>
    <cellStyle name="Normal 9 6 3" xfId="3106" xr:uid="{00000000-0005-0000-0000-0000250C0000}"/>
    <cellStyle name="Normal 9 6 3 2" xfId="3107" xr:uid="{00000000-0005-0000-0000-0000260C0000}"/>
    <cellStyle name="Normal 9 6 4" xfId="3108" xr:uid="{00000000-0005-0000-0000-0000270C0000}"/>
    <cellStyle name="Normal 9 6_AGL" xfId="3109" xr:uid="{00000000-0005-0000-0000-0000280C0000}"/>
    <cellStyle name="Normal 9 7" xfId="3110" xr:uid="{00000000-0005-0000-0000-0000290C0000}"/>
    <cellStyle name="Normal 9 7 2" xfId="3111" xr:uid="{00000000-0005-0000-0000-00002A0C0000}"/>
    <cellStyle name="Normal 9 7 2 2" xfId="3112" xr:uid="{00000000-0005-0000-0000-00002B0C0000}"/>
    <cellStyle name="Normal 9 7 3" xfId="3113" xr:uid="{00000000-0005-0000-0000-00002C0C0000}"/>
    <cellStyle name="Normal 9 7 3 2" xfId="3114" xr:uid="{00000000-0005-0000-0000-00002D0C0000}"/>
    <cellStyle name="Normal 9 7 4" xfId="3115" xr:uid="{00000000-0005-0000-0000-00002E0C0000}"/>
    <cellStyle name="Normal 9 7_AGL" xfId="3116" xr:uid="{00000000-0005-0000-0000-00002F0C0000}"/>
    <cellStyle name="Normal 9 8" xfId="3117" xr:uid="{00000000-0005-0000-0000-0000300C0000}"/>
    <cellStyle name="Normal 9 8 2" xfId="3118" xr:uid="{00000000-0005-0000-0000-0000310C0000}"/>
    <cellStyle name="Normal 9 9" xfId="3119" xr:uid="{00000000-0005-0000-0000-0000320C0000}"/>
    <cellStyle name="Normal 9 9 2" xfId="3120" xr:uid="{00000000-0005-0000-0000-0000330C0000}"/>
    <cellStyle name="Normal 9_AGL" xfId="3121" xr:uid="{00000000-0005-0000-0000-0000340C0000}"/>
    <cellStyle name="Normal GHG-Shade" xfId="44" xr:uid="{00000000-0005-0000-0000-00002F000000}"/>
    <cellStyle name="Normale_B2020" xfId="4488" xr:uid="{00000000-0005-0000-0000-00008B110000}"/>
    <cellStyle name="normálne_CRFReport-template" xfId="45" xr:uid="{00000000-0005-0000-0000-000030000000}"/>
    <cellStyle name="Note" xfId="46" builtinId="10"/>
    <cellStyle name="Note 10" xfId="3122" xr:uid="{00000000-0005-0000-0000-0000350C0000}"/>
    <cellStyle name="Note 10 2" xfId="3123" xr:uid="{00000000-0005-0000-0000-0000360C0000}"/>
    <cellStyle name="Note 10 2 2" xfId="3124" xr:uid="{00000000-0005-0000-0000-0000370C0000}"/>
    <cellStyle name="Note 10 2_Sheet10" xfId="3125" xr:uid="{00000000-0005-0000-0000-0000380C0000}"/>
    <cellStyle name="Note 10 3" xfId="3126" xr:uid="{00000000-0005-0000-0000-0000390C0000}"/>
    <cellStyle name="Note 10 3 2" xfId="3127" xr:uid="{00000000-0005-0000-0000-00003A0C0000}"/>
    <cellStyle name="Note 10 4" xfId="3128" xr:uid="{00000000-0005-0000-0000-00003B0C0000}"/>
    <cellStyle name="Note 10_AGL" xfId="3129" xr:uid="{00000000-0005-0000-0000-00003C0C0000}"/>
    <cellStyle name="Note 11" xfId="3130" xr:uid="{00000000-0005-0000-0000-00003D0C0000}"/>
    <cellStyle name="Note 2" xfId="3131" xr:uid="{00000000-0005-0000-0000-00003E0C0000}"/>
    <cellStyle name="Note 2 2" xfId="3132" xr:uid="{00000000-0005-0000-0000-00003F0C0000}"/>
    <cellStyle name="Note 2 2 2" xfId="3133" xr:uid="{00000000-0005-0000-0000-0000400C0000}"/>
    <cellStyle name="Note 2 2 2 2" xfId="3134" xr:uid="{00000000-0005-0000-0000-0000410C0000}"/>
    <cellStyle name="Note 2 2 2 2 2" xfId="4358" xr:uid="{00000000-0005-0000-0000-000009110000}"/>
    <cellStyle name="Note 2 2 2 3" xfId="4357" xr:uid="{00000000-0005-0000-0000-000008110000}"/>
    <cellStyle name="Note 2 2 2_Sheet10" xfId="3135" xr:uid="{00000000-0005-0000-0000-0000420C0000}"/>
    <cellStyle name="Note 2 2 3" xfId="3136" xr:uid="{00000000-0005-0000-0000-0000430C0000}"/>
    <cellStyle name="Note 2 2 3 2" xfId="4359" xr:uid="{00000000-0005-0000-0000-00000A110000}"/>
    <cellStyle name="Note 2 2_AGL" xfId="3137" xr:uid="{00000000-0005-0000-0000-0000440C0000}"/>
    <cellStyle name="Note 2 3" xfId="3138" xr:uid="{00000000-0005-0000-0000-0000450C0000}"/>
    <cellStyle name="Note 2 3 2" xfId="3139" xr:uid="{00000000-0005-0000-0000-0000460C0000}"/>
    <cellStyle name="Note 2 3 2 2" xfId="3140" xr:uid="{00000000-0005-0000-0000-0000470C0000}"/>
    <cellStyle name="Note 2 3 2 2 2" xfId="4361" xr:uid="{00000000-0005-0000-0000-00000C110000}"/>
    <cellStyle name="Note 2 3 2 3" xfId="4360" xr:uid="{00000000-0005-0000-0000-00000B110000}"/>
    <cellStyle name="Note 2 3 2_Sheet10" xfId="3141" xr:uid="{00000000-0005-0000-0000-0000480C0000}"/>
    <cellStyle name="Note 2 3 3" xfId="3142" xr:uid="{00000000-0005-0000-0000-0000490C0000}"/>
    <cellStyle name="Note 2 3 3 2" xfId="4362" xr:uid="{00000000-0005-0000-0000-00000D110000}"/>
    <cellStyle name="Note 2 3_AGL" xfId="3143" xr:uid="{00000000-0005-0000-0000-00004A0C0000}"/>
    <cellStyle name="Note 2 4" xfId="3144" xr:uid="{00000000-0005-0000-0000-00004B0C0000}"/>
    <cellStyle name="Note 2 4 2" xfId="3145" xr:uid="{00000000-0005-0000-0000-00004C0C0000}"/>
    <cellStyle name="Note 2 4 2 2" xfId="3146" xr:uid="{00000000-0005-0000-0000-00004D0C0000}"/>
    <cellStyle name="Note 2 4 2 2 2" xfId="4364" xr:uid="{00000000-0005-0000-0000-00000F110000}"/>
    <cellStyle name="Note 2 4 2 3" xfId="4363" xr:uid="{00000000-0005-0000-0000-00000E110000}"/>
    <cellStyle name="Note 2 4 2_Sheet10" xfId="3147" xr:uid="{00000000-0005-0000-0000-00004E0C0000}"/>
    <cellStyle name="Note 2 4 3" xfId="3148" xr:uid="{00000000-0005-0000-0000-00004F0C0000}"/>
    <cellStyle name="Note 2 4 3 2" xfId="4365" xr:uid="{00000000-0005-0000-0000-000010110000}"/>
    <cellStyle name="Note 2 4_AGL" xfId="3149" xr:uid="{00000000-0005-0000-0000-0000500C0000}"/>
    <cellStyle name="Note 2 5" xfId="3150" xr:uid="{00000000-0005-0000-0000-0000510C0000}"/>
    <cellStyle name="Note 2 5 2" xfId="3151" xr:uid="{00000000-0005-0000-0000-0000520C0000}"/>
    <cellStyle name="Note 2 5 2 2" xfId="4367" xr:uid="{00000000-0005-0000-0000-000012110000}"/>
    <cellStyle name="Note 2 5 3" xfId="4366" xr:uid="{00000000-0005-0000-0000-000011110000}"/>
    <cellStyle name="Note 2 5_Sheet10" xfId="3152" xr:uid="{00000000-0005-0000-0000-0000530C0000}"/>
    <cellStyle name="Note 2 6" xfId="3153" xr:uid="{00000000-0005-0000-0000-0000540C0000}"/>
    <cellStyle name="Note 2 6 2" xfId="4368" xr:uid="{00000000-0005-0000-0000-000013110000}"/>
    <cellStyle name="Note 2_AGL" xfId="3154" xr:uid="{00000000-0005-0000-0000-0000550C0000}"/>
    <cellStyle name="Note 3" xfId="3155" xr:uid="{00000000-0005-0000-0000-0000560C0000}"/>
    <cellStyle name="Note 3 2" xfId="3156" xr:uid="{00000000-0005-0000-0000-0000570C0000}"/>
    <cellStyle name="Note 3 2 2" xfId="3157" xr:uid="{00000000-0005-0000-0000-0000580C0000}"/>
    <cellStyle name="Note 3 2 2 2" xfId="3158" xr:uid="{00000000-0005-0000-0000-0000590C0000}"/>
    <cellStyle name="Note 3 2 2 2 2" xfId="4370" xr:uid="{00000000-0005-0000-0000-000015110000}"/>
    <cellStyle name="Note 3 2 2 3" xfId="4369" xr:uid="{00000000-0005-0000-0000-000014110000}"/>
    <cellStyle name="Note 3 2 2_Sheet10" xfId="3159" xr:uid="{00000000-0005-0000-0000-00005A0C0000}"/>
    <cellStyle name="Note 3 2 3" xfId="3160" xr:uid="{00000000-0005-0000-0000-00005B0C0000}"/>
    <cellStyle name="Note 3 2 3 2" xfId="4371" xr:uid="{00000000-0005-0000-0000-000016110000}"/>
    <cellStyle name="Note 3 2_AGL" xfId="3161" xr:uid="{00000000-0005-0000-0000-00005C0C0000}"/>
    <cellStyle name="Note 3 3" xfId="3162" xr:uid="{00000000-0005-0000-0000-00005D0C0000}"/>
    <cellStyle name="Note 3 3 2" xfId="3163" xr:uid="{00000000-0005-0000-0000-00005E0C0000}"/>
    <cellStyle name="Note 3 3 2 2" xfId="4373" xr:uid="{00000000-0005-0000-0000-000018110000}"/>
    <cellStyle name="Note 3 3 3" xfId="4372" xr:uid="{00000000-0005-0000-0000-000017110000}"/>
    <cellStyle name="Note 3 3_Sheet10" xfId="3164" xr:uid="{00000000-0005-0000-0000-00005F0C0000}"/>
    <cellStyle name="Note 3 4" xfId="3165" xr:uid="{00000000-0005-0000-0000-0000600C0000}"/>
    <cellStyle name="Note 3 4 2" xfId="4374" xr:uid="{00000000-0005-0000-0000-000019110000}"/>
    <cellStyle name="Note 3_AGL" xfId="3166" xr:uid="{00000000-0005-0000-0000-0000610C0000}"/>
    <cellStyle name="Note 4" xfId="3167" xr:uid="{00000000-0005-0000-0000-0000620C0000}"/>
    <cellStyle name="Note 4 2" xfId="3168" xr:uid="{00000000-0005-0000-0000-0000630C0000}"/>
    <cellStyle name="Note 4 2 2" xfId="3169" xr:uid="{00000000-0005-0000-0000-0000640C0000}"/>
    <cellStyle name="Note 4 2 2 2" xfId="3170" xr:uid="{00000000-0005-0000-0000-0000650C0000}"/>
    <cellStyle name="Note 4 2 2 2 2" xfId="4376" xr:uid="{00000000-0005-0000-0000-00001B110000}"/>
    <cellStyle name="Note 4 2 2 3" xfId="4375" xr:uid="{00000000-0005-0000-0000-00001A110000}"/>
    <cellStyle name="Note 4 2 2_Sheet10" xfId="3171" xr:uid="{00000000-0005-0000-0000-0000660C0000}"/>
    <cellStyle name="Note 4 2 3" xfId="3172" xr:uid="{00000000-0005-0000-0000-0000670C0000}"/>
    <cellStyle name="Note 4 2 3 2" xfId="4377" xr:uid="{00000000-0005-0000-0000-00001C110000}"/>
    <cellStyle name="Note 4 2_AGL" xfId="3173" xr:uid="{00000000-0005-0000-0000-0000680C0000}"/>
    <cellStyle name="Note 4 3" xfId="3174" xr:uid="{00000000-0005-0000-0000-0000690C0000}"/>
    <cellStyle name="Note 4 3 2" xfId="3175" xr:uid="{00000000-0005-0000-0000-00006A0C0000}"/>
    <cellStyle name="Note 4 3 2 2" xfId="4379" xr:uid="{00000000-0005-0000-0000-00001E110000}"/>
    <cellStyle name="Note 4 3 3" xfId="4378" xr:uid="{00000000-0005-0000-0000-00001D110000}"/>
    <cellStyle name="Note 4 3_Sheet10" xfId="3176" xr:uid="{00000000-0005-0000-0000-00006B0C0000}"/>
    <cellStyle name="Note 4 4" xfId="3177" xr:uid="{00000000-0005-0000-0000-00006C0C0000}"/>
    <cellStyle name="Note 4 4 2" xfId="4380" xr:uid="{00000000-0005-0000-0000-00001F110000}"/>
    <cellStyle name="Note 4_AGL" xfId="3178" xr:uid="{00000000-0005-0000-0000-00006D0C0000}"/>
    <cellStyle name="Note 5" xfId="3179" xr:uid="{00000000-0005-0000-0000-00006E0C0000}"/>
    <cellStyle name="Note 5 2" xfId="3180" xr:uid="{00000000-0005-0000-0000-00006F0C0000}"/>
    <cellStyle name="Note 5 2 2" xfId="3181" xr:uid="{00000000-0005-0000-0000-0000700C0000}"/>
    <cellStyle name="Note 5 2 2 2" xfId="3182" xr:uid="{00000000-0005-0000-0000-0000710C0000}"/>
    <cellStyle name="Note 5 2 2_Sheet10" xfId="3183" xr:uid="{00000000-0005-0000-0000-0000720C0000}"/>
    <cellStyle name="Note 5 2 3" xfId="3184" xr:uid="{00000000-0005-0000-0000-0000730C0000}"/>
    <cellStyle name="Note 5 2 3 2" xfId="3185" xr:uid="{00000000-0005-0000-0000-0000740C0000}"/>
    <cellStyle name="Note 5 2 4" xfId="3186" xr:uid="{00000000-0005-0000-0000-0000750C0000}"/>
    <cellStyle name="Note 5 2_AGL" xfId="3187" xr:uid="{00000000-0005-0000-0000-0000760C0000}"/>
    <cellStyle name="Note 5 3" xfId="3188" xr:uid="{00000000-0005-0000-0000-0000770C0000}"/>
    <cellStyle name="Note 5 3 2" xfId="3189" xr:uid="{00000000-0005-0000-0000-0000780C0000}"/>
    <cellStyle name="Note 5 3 2 2" xfId="3190" xr:uid="{00000000-0005-0000-0000-0000790C0000}"/>
    <cellStyle name="Note 5 3 2_Sheet10" xfId="3191" xr:uid="{00000000-0005-0000-0000-00007A0C0000}"/>
    <cellStyle name="Note 5 3 3" xfId="3192" xr:uid="{00000000-0005-0000-0000-00007B0C0000}"/>
    <cellStyle name="Note 5 3 3 2" xfId="3193" xr:uid="{00000000-0005-0000-0000-00007C0C0000}"/>
    <cellStyle name="Note 5 3 4" xfId="3194" xr:uid="{00000000-0005-0000-0000-00007D0C0000}"/>
    <cellStyle name="Note 5 3_AGL" xfId="3195" xr:uid="{00000000-0005-0000-0000-00007E0C0000}"/>
    <cellStyle name="Note 5 4" xfId="3196" xr:uid="{00000000-0005-0000-0000-00007F0C0000}"/>
    <cellStyle name="Note 5 4 2" xfId="3197" xr:uid="{00000000-0005-0000-0000-0000800C0000}"/>
    <cellStyle name="Note 5 4 2 2" xfId="3198" xr:uid="{00000000-0005-0000-0000-0000810C0000}"/>
    <cellStyle name="Note 5 4 2_Sheet10" xfId="3199" xr:uid="{00000000-0005-0000-0000-0000820C0000}"/>
    <cellStyle name="Note 5 4 3" xfId="3200" xr:uid="{00000000-0005-0000-0000-0000830C0000}"/>
    <cellStyle name="Note 5 4 3 2" xfId="3201" xr:uid="{00000000-0005-0000-0000-0000840C0000}"/>
    <cellStyle name="Note 5 4 4" xfId="3202" xr:uid="{00000000-0005-0000-0000-0000850C0000}"/>
    <cellStyle name="Note 5 4_AGL" xfId="3203" xr:uid="{00000000-0005-0000-0000-0000860C0000}"/>
    <cellStyle name="Note 5 5" xfId="3204" xr:uid="{00000000-0005-0000-0000-0000870C0000}"/>
    <cellStyle name="Note 5 5 2" xfId="3205" xr:uid="{00000000-0005-0000-0000-0000880C0000}"/>
    <cellStyle name="Note 5 5 2 2" xfId="3206" xr:uid="{00000000-0005-0000-0000-0000890C0000}"/>
    <cellStyle name="Note 5 5 2 2 2" xfId="3207" xr:uid="{00000000-0005-0000-0000-00008A0C0000}"/>
    <cellStyle name="Note 5 5 2 2_Sheet10" xfId="3208" xr:uid="{00000000-0005-0000-0000-00008B0C0000}"/>
    <cellStyle name="Note 5 5 2 3" xfId="3209" xr:uid="{00000000-0005-0000-0000-00008C0C0000}"/>
    <cellStyle name="Note 5 5 2 3 2" xfId="3210" xr:uid="{00000000-0005-0000-0000-00008D0C0000}"/>
    <cellStyle name="Note 5 5 2 4" xfId="3211" xr:uid="{00000000-0005-0000-0000-00008E0C0000}"/>
    <cellStyle name="Note 5 5 2_AGL" xfId="3212" xr:uid="{00000000-0005-0000-0000-00008F0C0000}"/>
    <cellStyle name="Note 5 5 3" xfId="3213" xr:uid="{00000000-0005-0000-0000-0000900C0000}"/>
    <cellStyle name="Note 5 5 3 2" xfId="3214" xr:uid="{00000000-0005-0000-0000-0000910C0000}"/>
    <cellStyle name="Note 5 5 3 2 2" xfId="3215" xr:uid="{00000000-0005-0000-0000-0000920C0000}"/>
    <cellStyle name="Note 5 5 3 2_Sheet10" xfId="3216" xr:uid="{00000000-0005-0000-0000-0000930C0000}"/>
    <cellStyle name="Note 5 5 3 3" xfId="3217" xr:uid="{00000000-0005-0000-0000-0000940C0000}"/>
    <cellStyle name="Note 5 5 3 3 2" xfId="3218" xr:uid="{00000000-0005-0000-0000-0000950C0000}"/>
    <cellStyle name="Note 5 5 3 4" xfId="3219" xr:uid="{00000000-0005-0000-0000-0000960C0000}"/>
    <cellStyle name="Note 5 5 3_AGL" xfId="3220" xr:uid="{00000000-0005-0000-0000-0000970C0000}"/>
    <cellStyle name="Note 5 5 4" xfId="3221" xr:uid="{00000000-0005-0000-0000-0000980C0000}"/>
    <cellStyle name="Note 5 5 4 2" xfId="3222" xr:uid="{00000000-0005-0000-0000-0000990C0000}"/>
    <cellStyle name="Note 5 5 4_Sheet10" xfId="3223" xr:uid="{00000000-0005-0000-0000-00009A0C0000}"/>
    <cellStyle name="Note 5 5 5" xfId="3224" xr:uid="{00000000-0005-0000-0000-00009B0C0000}"/>
    <cellStyle name="Note 5 5 5 2" xfId="3225" xr:uid="{00000000-0005-0000-0000-00009C0C0000}"/>
    <cellStyle name="Note 5 5 6" xfId="3226" xr:uid="{00000000-0005-0000-0000-00009D0C0000}"/>
    <cellStyle name="Note 5 5_AGL" xfId="3227" xr:uid="{00000000-0005-0000-0000-00009E0C0000}"/>
    <cellStyle name="Note 5 6" xfId="3228" xr:uid="{00000000-0005-0000-0000-00009F0C0000}"/>
    <cellStyle name="Note 5 6 2" xfId="3229" xr:uid="{00000000-0005-0000-0000-0000A00C0000}"/>
    <cellStyle name="Note 5 6_Sheet10" xfId="3230" xr:uid="{00000000-0005-0000-0000-0000A10C0000}"/>
    <cellStyle name="Note 5 7" xfId="3231" xr:uid="{00000000-0005-0000-0000-0000A20C0000}"/>
    <cellStyle name="Note 5 7 2" xfId="3232" xr:uid="{00000000-0005-0000-0000-0000A30C0000}"/>
    <cellStyle name="Note 5 8" xfId="3233" xr:uid="{00000000-0005-0000-0000-0000A40C0000}"/>
    <cellStyle name="Note 5_AGL" xfId="3234" xr:uid="{00000000-0005-0000-0000-0000A50C0000}"/>
    <cellStyle name="Note 6" xfId="3235" xr:uid="{00000000-0005-0000-0000-0000A60C0000}"/>
    <cellStyle name="Note 6 2" xfId="3236" xr:uid="{00000000-0005-0000-0000-0000A70C0000}"/>
    <cellStyle name="Note 6 2 2" xfId="3237" xr:uid="{00000000-0005-0000-0000-0000A80C0000}"/>
    <cellStyle name="Note 6 2 2 2" xfId="3238" xr:uid="{00000000-0005-0000-0000-0000A90C0000}"/>
    <cellStyle name="Note 6 2 2_Sheet10" xfId="3239" xr:uid="{00000000-0005-0000-0000-0000AA0C0000}"/>
    <cellStyle name="Note 6 2 3" xfId="3240" xr:uid="{00000000-0005-0000-0000-0000AB0C0000}"/>
    <cellStyle name="Note 6 2 3 2" xfId="3241" xr:uid="{00000000-0005-0000-0000-0000AC0C0000}"/>
    <cellStyle name="Note 6 2 4" xfId="3242" xr:uid="{00000000-0005-0000-0000-0000AD0C0000}"/>
    <cellStyle name="Note 6 2_AGL" xfId="3243" xr:uid="{00000000-0005-0000-0000-0000AE0C0000}"/>
    <cellStyle name="Note 6 3" xfId="3244" xr:uid="{00000000-0005-0000-0000-0000AF0C0000}"/>
    <cellStyle name="Note 6 3 2" xfId="3245" xr:uid="{00000000-0005-0000-0000-0000B00C0000}"/>
    <cellStyle name="Note 6 3 2 2" xfId="3246" xr:uid="{00000000-0005-0000-0000-0000B10C0000}"/>
    <cellStyle name="Note 6 3 2_Sheet10" xfId="3247" xr:uid="{00000000-0005-0000-0000-0000B20C0000}"/>
    <cellStyle name="Note 6 3 3" xfId="3248" xr:uid="{00000000-0005-0000-0000-0000B30C0000}"/>
    <cellStyle name="Note 6 3 3 2" xfId="3249" xr:uid="{00000000-0005-0000-0000-0000B40C0000}"/>
    <cellStyle name="Note 6 3 4" xfId="3250" xr:uid="{00000000-0005-0000-0000-0000B50C0000}"/>
    <cellStyle name="Note 6 3_AGL" xfId="3251" xr:uid="{00000000-0005-0000-0000-0000B60C0000}"/>
    <cellStyle name="Note 6 4" xfId="3252" xr:uid="{00000000-0005-0000-0000-0000B70C0000}"/>
    <cellStyle name="Note 6 4 2" xfId="3253" xr:uid="{00000000-0005-0000-0000-0000B80C0000}"/>
    <cellStyle name="Note 6 4 2 2" xfId="3254" xr:uid="{00000000-0005-0000-0000-0000B90C0000}"/>
    <cellStyle name="Note 6 4 2_Sheet10" xfId="3255" xr:uid="{00000000-0005-0000-0000-0000BA0C0000}"/>
    <cellStyle name="Note 6 4 3" xfId="3256" xr:uid="{00000000-0005-0000-0000-0000BB0C0000}"/>
    <cellStyle name="Note 6 4 3 2" xfId="3257" xr:uid="{00000000-0005-0000-0000-0000BC0C0000}"/>
    <cellStyle name="Note 6 4 4" xfId="3258" xr:uid="{00000000-0005-0000-0000-0000BD0C0000}"/>
    <cellStyle name="Note 6 4_AGL" xfId="3259" xr:uid="{00000000-0005-0000-0000-0000BE0C0000}"/>
    <cellStyle name="Note 6 5" xfId="3260" xr:uid="{00000000-0005-0000-0000-0000BF0C0000}"/>
    <cellStyle name="Note 6 5 2" xfId="3261" xr:uid="{00000000-0005-0000-0000-0000C00C0000}"/>
    <cellStyle name="Note 6 5_Sheet10" xfId="3262" xr:uid="{00000000-0005-0000-0000-0000C10C0000}"/>
    <cellStyle name="Note 6 6" xfId="3263" xr:uid="{00000000-0005-0000-0000-0000C20C0000}"/>
    <cellStyle name="Note 6 6 2" xfId="3264" xr:uid="{00000000-0005-0000-0000-0000C30C0000}"/>
    <cellStyle name="Note 6 7" xfId="3265" xr:uid="{00000000-0005-0000-0000-0000C40C0000}"/>
    <cellStyle name="Note 6_AGL" xfId="3266" xr:uid="{00000000-0005-0000-0000-0000C50C0000}"/>
    <cellStyle name="Note 7" xfId="3267" xr:uid="{00000000-0005-0000-0000-0000C60C0000}"/>
    <cellStyle name="Note 7 2" xfId="3268" xr:uid="{00000000-0005-0000-0000-0000C70C0000}"/>
    <cellStyle name="Note 7 2 2" xfId="3269" xr:uid="{00000000-0005-0000-0000-0000C80C0000}"/>
    <cellStyle name="Note 7 2 2 2" xfId="3270" xr:uid="{00000000-0005-0000-0000-0000C90C0000}"/>
    <cellStyle name="Note 7 2 2_Sheet10" xfId="3271" xr:uid="{00000000-0005-0000-0000-0000CA0C0000}"/>
    <cellStyle name="Note 7 2 3" xfId="3272" xr:uid="{00000000-0005-0000-0000-0000CB0C0000}"/>
    <cellStyle name="Note 7 2 3 2" xfId="3273" xr:uid="{00000000-0005-0000-0000-0000CC0C0000}"/>
    <cellStyle name="Note 7 2 4" xfId="3274" xr:uid="{00000000-0005-0000-0000-0000CD0C0000}"/>
    <cellStyle name="Note 7 2_AGL" xfId="3275" xr:uid="{00000000-0005-0000-0000-0000CE0C0000}"/>
    <cellStyle name="Note 7 3" xfId="3276" xr:uid="{00000000-0005-0000-0000-0000CF0C0000}"/>
    <cellStyle name="Note 7 3 2" xfId="3277" xr:uid="{00000000-0005-0000-0000-0000D00C0000}"/>
    <cellStyle name="Note 7 3_Sheet10" xfId="3278" xr:uid="{00000000-0005-0000-0000-0000D10C0000}"/>
    <cellStyle name="Note 7 4" xfId="3279" xr:uid="{00000000-0005-0000-0000-0000D20C0000}"/>
    <cellStyle name="Note 7 4 2" xfId="3280" xr:uid="{00000000-0005-0000-0000-0000D30C0000}"/>
    <cellStyle name="Note 7 5" xfId="3281" xr:uid="{00000000-0005-0000-0000-0000D40C0000}"/>
    <cellStyle name="Note 7_AGL" xfId="3282" xr:uid="{00000000-0005-0000-0000-0000D50C0000}"/>
    <cellStyle name="Note 8" xfId="3283" xr:uid="{00000000-0005-0000-0000-0000D60C0000}"/>
    <cellStyle name="Note 8 10" xfId="3284" xr:uid="{00000000-0005-0000-0000-0000D70C0000}"/>
    <cellStyle name="Note 8 2" xfId="3285" xr:uid="{00000000-0005-0000-0000-0000D80C0000}"/>
    <cellStyle name="Note 8 2 2" xfId="3286" xr:uid="{00000000-0005-0000-0000-0000D90C0000}"/>
    <cellStyle name="Note 8 2 2 2" xfId="3287" xr:uid="{00000000-0005-0000-0000-0000DA0C0000}"/>
    <cellStyle name="Note 8 2 2_Sheet10" xfId="3288" xr:uid="{00000000-0005-0000-0000-0000DB0C0000}"/>
    <cellStyle name="Note 8 2 3" xfId="3289" xr:uid="{00000000-0005-0000-0000-0000DC0C0000}"/>
    <cellStyle name="Note 8 2 3 2" xfId="3290" xr:uid="{00000000-0005-0000-0000-0000DD0C0000}"/>
    <cellStyle name="Note 8 2 4" xfId="3291" xr:uid="{00000000-0005-0000-0000-0000DE0C0000}"/>
    <cellStyle name="Note 8 2_AGL" xfId="3292" xr:uid="{00000000-0005-0000-0000-0000DF0C0000}"/>
    <cellStyle name="Note 8 3" xfId="3293" xr:uid="{00000000-0005-0000-0000-0000E00C0000}"/>
    <cellStyle name="Note 8 3 2" xfId="3294" xr:uid="{00000000-0005-0000-0000-0000E10C0000}"/>
    <cellStyle name="Note 8 3 2 2" xfId="3295" xr:uid="{00000000-0005-0000-0000-0000E20C0000}"/>
    <cellStyle name="Note 8 3 2_Sheet10" xfId="3296" xr:uid="{00000000-0005-0000-0000-0000E30C0000}"/>
    <cellStyle name="Note 8 3 3" xfId="3297" xr:uid="{00000000-0005-0000-0000-0000E40C0000}"/>
    <cellStyle name="Note 8 3 3 2" xfId="3298" xr:uid="{00000000-0005-0000-0000-0000E50C0000}"/>
    <cellStyle name="Note 8 3 4" xfId="3299" xr:uid="{00000000-0005-0000-0000-0000E60C0000}"/>
    <cellStyle name="Note 8 3_AGL" xfId="3300" xr:uid="{00000000-0005-0000-0000-0000E70C0000}"/>
    <cellStyle name="Note 8 4" xfId="3301" xr:uid="{00000000-0005-0000-0000-0000E80C0000}"/>
    <cellStyle name="Note 8 4 2" xfId="3302" xr:uid="{00000000-0005-0000-0000-0000E90C0000}"/>
    <cellStyle name="Note 8 4 2 2" xfId="3303" xr:uid="{00000000-0005-0000-0000-0000EA0C0000}"/>
    <cellStyle name="Note 8 4 2_Sheet10" xfId="3304" xr:uid="{00000000-0005-0000-0000-0000EB0C0000}"/>
    <cellStyle name="Note 8 4 3" xfId="3305" xr:uid="{00000000-0005-0000-0000-0000EC0C0000}"/>
    <cellStyle name="Note 8 4 3 2" xfId="3306" xr:uid="{00000000-0005-0000-0000-0000ED0C0000}"/>
    <cellStyle name="Note 8 4 4" xfId="3307" xr:uid="{00000000-0005-0000-0000-0000EE0C0000}"/>
    <cellStyle name="Note 8 4_AGL" xfId="3308" xr:uid="{00000000-0005-0000-0000-0000EF0C0000}"/>
    <cellStyle name="Note 8 5" xfId="3309" xr:uid="{00000000-0005-0000-0000-0000F00C0000}"/>
    <cellStyle name="Note 8 5 2" xfId="3310" xr:uid="{00000000-0005-0000-0000-0000F10C0000}"/>
    <cellStyle name="Note 8 5 2 2" xfId="3311" xr:uid="{00000000-0005-0000-0000-0000F20C0000}"/>
    <cellStyle name="Note 8 5 2_Sheet10" xfId="3312" xr:uid="{00000000-0005-0000-0000-0000F30C0000}"/>
    <cellStyle name="Note 8 5 3" xfId="3313" xr:uid="{00000000-0005-0000-0000-0000F40C0000}"/>
    <cellStyle name="Note 8 5 3 2" xfId="3314" xr:uid="{00000000-0005-0000-0000-0000F50C0000}"/>
    <cellStyle name="Note 8 5 4" xfId="3315" xr:uid="{00000000-0005-0000-0000-0000F60C0000}"/>
    <cellStyle name="Note 8 5_AGL" xfId="3316" xr:uid="{00000000-0005-0000-0000-0000F70C0000}"/>
    <cellStyle name="Note 8 6" xfId="3317" xr:uid="{00000000-0005-0000-0000-0000F80C0000}"/>
    <cellStyle name="Note 8 6 2" xfId="3318" xr:uid="{00000000-0005-0000-0000-0000F90C0000}"/>
    <cellStyle name="Note 8 6 2 2" xfId="3319" xr:uid="{00000000-0005-0000-0000-0000FA0C0000}"/>
    <cellStyle name="Note 8 6 2_Sheet10" xfId="3320" xr:uid="{00000000-0005-0000-0000-0000FB0C0000}"/>
    <cellStyle name="Note 8 6 3" xfId="3321" xr:uid="{00000000-0005-0000-0000-0000FC0C0000}"/>
    <cellStyle name="Note 8 6 3 2" xfId="3322" xr:uid="{00000000-0005-0000-0000-0000FD0C0000}"/>
    <cellStyle name="Note 8 6 4" xfId="3323" xr:uid="{00000000-0005-0000-0000-0000FE0C0000}"/>
    <cellStyle name="Note 8 6_AGL" xfId="3324" xr:uid="{00000000-0005-0000-0000-0000FF0C0000}"/>
    <cellStyle name="Note 8 7" xfId="3325" xr:uid="{00000000-0005-0000-0000-0000000D0000}"/>
    <cellStyle name="Note 8 7 2" xfId="3326" xr:uid="{00000000-0005-0000-0000-0000010D0000}"/>
    <cellStyle name="Note 8 7 2 2" xfId="3327" xr:uid="{00000000-0005-0000-0000-0000020D0000}"/>
    <cellStyle name="Note 8 7 2_Sheet10" xfId="3328" xr:uid="{00000000-0005-0000-0000-0000030D0000}"/>
    <cellStyle name="Note 8 7 3" xfId="3329" xr:uid="{00000000-0005-0000-0000-0000040D0000}"/>
    <cellStyle name="Note 8 7 3 2" xfId="3330" xr:uid="{00000000-0005-0000-0000-0000050D0000}"/>
    <cellStyle name="Note 8 7 4" xfId="3331" xr:uid="{00000000-0005-0000-0000-0000060D0000}"/>
    <cellStyle name="Note 8 7_AGL" xfId="3332" xr:uid="{00000000-0005-0000-0000-0000070D0000}"/>
    <cellStyle name="Note 8 8" xfId="3333" xr:uid="{00000000-0005-0000-0000-0000080D0000}"/>
    <cellStyle name="Note 8 8 2" xfId="3334" xr:uid="{00000000-0005-0000-0000-0000090D0000}"/>
    <cellStyle name="Note 8 8_Sheet10" xfId="3335" xr:uid="{00000000-0005-0000-0000-00000A0D0000}"/>
    <cellStyle name="Note 8 9" xfId="3336" xr:uid="{00000000-0005-0000-0000-00000B0D0000}"/>
    <cellStyle name="Note 8 9 2" xfId="3337" xr:uid="{00000000-0005-0000-0000-00000C0D0000}"/>
    <cellStyle name="Note 8_AGL" xfId="3338" xr:uid="{00000000-0005-0000-0000-00000D0D0000}"/>
    <cellStyle name="Note 9" xfId="3339" xr:uid="{00000000-0005-0000-0000-00000E0D0000}"/>
    <cellStyle name="Note 9 2" xfId="3340" xr:uid="{00000000-0005-0000-0000-00000F0D0000}"/>
    <cellStyle name="Note 9 2 2" xfId="3341" xr:uid="{00000000-0005-0000-0000-0000100D0000}"/>
    <cellStyle name="Note 9 2_Sheet10" xfId="3342" xr:uid="{00000000-0005-0000-0000-0000110D0000}"/>
    <cellStyle name="Note 9 3" xfId="3343" xr:uid="{00000000-0005-0000-0000-0000120D0000}"/>
    <cellStyle name="Note 9 3 2" xfId="3344" xr:uid="{00000000-0005-0000-0000-0000130D0000}"/>
    <cellStyle name="Note 9 4" xfId="3345" xr:uid="{00000000-0005-0000-0000-0000140D0000}"/>
    <cellStyle name="Note 9_AGL" xfId="3346" xr:uid="{00000000-0005-0000-0000-0000150D0000}"/>
    <cellStyle name="ofwhich" xfId="3347" xr:uid="{00000000-0005-0000-0000-0000160D0000}"/>
    <cellStyle name="ofwhich 2" xfId="3348" xr:uid="{00000000-0005-0000-0000-0000170D0000}"/>
    <cellStyle name="ofwhich 2 2" xfId="3349" xr:uid="{00000000-0005-0000-0000-0000180D0000}"/>
    <cellStyle name="ofwhich 3" xfId="3350" xr:uid="{00000000-0005-0000-0000-0000190D0000}"/>
    <cellStyle name="ofwhich 4" xfId="3351" xr:uid="{00000000-0005-0000-0000-00001A0D0000}"/>
    <cellStyle name="ofwhich_AGL" xfId="3352" xr:uid="{00000000-0005-0000-0000-00001B0D0000}"/>
    <cellStyle name="Output 2" xfId="3353" xr:uid="{00000000-0005-0000-0000-00001C0D0000}"/>
    <cellStyle name="Output 2 2" xfId="3354" xr:uid="{00000000-0005-0000-0000-00001D0D0000}"/>
    <cellStyle name="Output 2 2 2" xfId="3355" xr:uid="{00000000-0005-0000-0000-00001E0D0000}"/>
    <cellStyle name="Output 2 2 2 2" xfId="3356" xr:uid="{00000000-0005-0000-0000-00001F0D0000}"/>
    <cellStyle name="Output 2 2 2 2 2" xfId="4382" xr:uid="{00000000-0005-0000-0000-000021110000}"/>
    <cellStyle name="Output 2 2 2 3" xfId="4381" xr:uid="{00000000-0005-0000-0000-000020110000}"/>
    <cellStyle name="Output 2 2 2_Sheet10" xfId="3357" xr:uid="{00000000-0005-0000-0000-0000200D0000}"/>
    <cellStyle name="Output 2 2 3" xfId="3358" xr:uid="{00000000-0005-0000-0000-0000210D0000}"/>
    <cellStyle name="Output 2 2 3 2" xfId="4383" xr:uid="{00000000-0005-0000-0000-000022110000}"/>
    <cellStyle name="Output 2 2_AGL" xfId="3359" xr:uid="{00000000-0005-0000-0000-0000220D0000}"/>
    <cellStyle name="Output 2 3" xfId="3360" xr:uid="{00000000-0005-0000-0000-0000230D0000}"/>
    <cellStyle name="Output 2 3 2" xfId="3361" xr:uid="{00000000-0005-0000-0000-0000240D0000}"/>
    <cellStyle name="Output 2 3 2 2" xfId="4385" xr:uid="{00000000-0005-0000-0000-000024110000}"/>
    <cellStyle name="Output 2 3 3" xfId="4384" xr:uid="{00000000-0005-0000-0000-000023110000}"/>
    <cellStyle name="Output 2 3_Sheet10" xfId="3362" xr:uid="{00000000-0005-0000-0000-0000250D0000}"/>
    <cellStyle name="Output 2 4" xfId="3363" xr:uid="{00000000-0005-0000-0000-0000260D0000}"/>
    <cellStyle name="Output 2 4 2" xfId="4386" xr:uid="{00000000-0005-0000-0000-000025110000}"/>
    <cellStyle name="Output 2_AGL" xfId="3364" xr:uid="{00000000-0005-0000-0000-0000270D0000}"/>
    <cellStyle name="Output 3" xfId="3365" xr:uid="{00000000-0005-0000-0000-0000280D0000}"/>
    <cellStyle name="Output 3 2" xfId="3366" xr:uid="{00000000-0005-0000-0000-0000290D0000}"/>
    <cellStyle name="Output 3 2 2" xfId="3367" xr:uid="{00000000-0005-0000-0000-00002A0D0000}"/>
    <cellStyle name="Output 3 2 2 2" xfId="4388" xr:uid="{00000000-0005-0000-0000-000027110000}"/>
    <cellStyle name="Output 3 2 3" xfId="4387" xr:uid="{00000000-0005-0000-0000-000026110000}"/>
    <cellStyle name="Output 3 2_Sheet10" xfId="3368" xr:uid="{00000000-0005-0000-0000-00002B0D0000}"/>
    <cellStyle name="Output 3 3" xfId="3369" xr:uid="{00000000-0005-0000-0000-00002C0D0000}"/>
    <cellStyle name="Output 3 3 2" xfId="4389" xr:uid="{00000000-0005-0000-0000-000028110000}"/>
    <cellStyle name="Output 3_AGL" xfId="3370" xr:uid="{00000000-0005-0000-0000-00002D0D0000}"/>
    <cellStyle name="Output 4" xfId="3371" xr:uid="{00000000-0005-0000-0000-00002E0D0000}"/>
    <cellStyle name="Output 4 2" xfId="3372" xr:uid="{00000000-0005-0000-0000-00002F0D0000}"/>
    <cellStyle name="Output 4 2 2" xfId="4391" xr:uid="{00000000-0005-0000-0000-00002A110000}"/>
    <cellStyle name="Output 4 3" xfId="4390" xr:uid="{00000000-0005-0000-0000-000029110000}"/>
    <cellStyle name="Output 4_Sheet10" xfId="3373" xr:uid="{00000000-0005-0000-0000-0000300D0000}"/>
    <cellStyle name="Output 5" xfId="3374" xr:uid="{00000000-0005-0000-0000-0000310D0000}"/>
    <cellStyle name="Output 5 2" xfId="4392" xr:uid="{00000000-0005-0000-0000-00002B110000}"/>
    <cellStyle name="Percent" xfId="1" builtinId="5"/>
    <cellStyle name="Percent 10" xfId="64" xr:uid="{00000000-0005-0000-0000-000043000000}"/>
    <cellStyle name="Percent 10 2" xfId="3375" xr:uid="{00000000-0005-0000-0000-0000320D0000}"/>
    <cellStyle name="Percent 10 2 2" xfId="3376" xr:uid="{00000000-0005-0000-0000-0000330D0000}"/>
    <cellStyle name="Percent 10 2 2 2" xfId="3377" xr:uid="{00000000-0005-0000-0000-0000340D0000}"/>
    <cellStyle name="Percent 10 2 3" xfId="3378" xr:uid="{00000000-0005-0000-0000-0000350D0000}"/>
    <cellStyle name="Percent 10 2 3 2" xfId="3379" xr:uid="{00000000-0005-0000-0000-0000360D0000}"/>
    <cellStyle name="Percent 10 2 4" xfId="3380" xr:uid="{00000000-0005-0000-0000-0000370D0000}"/>
    <cellStyle name="Percent 10 3" xfId="3381" xr:uid="{00000000-0005-0000-0000-0000380D0000}"/>
    <cellStyle name="Percent 10 3 2" xfId="3382" xr:uid="{00000000-0005-0000-0000-0000390D0000}"/>
    <cellStyle name="Percent 10 4" xfId="3383" xr:uid="{00000000-0005-0000-0000-00003A0D0000}"/>
    <cellStyle name="Percent 10 4 2" xfId="3384" xr:uid="{00000000-0005-0000-0000-00003B0D0000}"/>
    <cellStyle name="Percent 10 5" xfId="3385" xr:uid="{00000000-0005-0000-0000-00003C0D0000}"/>
    <cellStyle name="Percent 11" xfId="3386" xr:uid="{00000000-0005-0000-0000-00003D0D0000}"/>
    <cellStyle name="Percent 11 2" xfId="3387" xr:uid="{00000000-0005-0000-0000-00003E0D0000}"/>
    <cellStyle name="Percent 11 2 2" xfId="3388" xr:uid="{00000000-0005-0000-0000-00003F0D0000}"/>
    <cellStyle name="Percent 11 2 2 2" xfId="3389" xr:uid="{00000000-0005-0000-0000-0000400D0000}"/>
    <cellStyle name="Percent 11 2 3" xfId="3390" xr:uid="{00000000-0005-0000-0000-0000410D0000}"/>
    <cellStyle name="Percent 11 2 3 2" xfId="3391" xr:uid="{00000000-0005-0000-0000-0000420D0000}"/>
    <cellStyle name="Percent 11 2 4" xfId="3392" xr:uid="{00000000-0005-0000-0000-0000430D0000}"/>
    <cellStyle name="Percent 11 3" xfId="3393" xr:uid="{00000000-0005-0000-0000-0000440D0000}"/>
    <cellStyle name="Percent 11 3 2" xfId="3394" xr:uid="{00000000-0005-0000-0000-0000450D0000}"/>
    <cellStyle name="Percent 11 4" xfId="3395" xr:uid="{00000000-0005-0000-0000-0000460D0000}"/>
    <cellStyle name="Percent 11 4 2" xfId="3396" xr:uid="{00000000-0005-0000-0000-0000470D0000}"/>
    <cellStyle name="Percent 11 5" xfId="3397" xr:uid="{00000000-0005-0000-0000-0000480D0000}"/>
    <cellStyle name="Percent 12" xfId="3398" xr:uid="{00000000-0005-0000-0000-0000490D0000}"/>
    <cellStyle name="Percent 12 2" xfId="3399" xr:uid="{00000000-0005-0000-0000-00004A0D0000}"/>
    <cellStyle name="Percent 12 2 2" xfId="3400" xr:uid="{00000000-0005-0000-0000-00004B0D0000}"/>
    <cellStyle name="Percent 12 2 2 2" xfId="3401" xr:uid="{00000000-0005-0000-0000-00004C0D0000}"/>
    <cellStyle name="Percent 12 2 3" xfId="3402" xr:uid="{00000000-0005-0000-0000-00004D0D0000}"/>
    <cellStyle name="Percent 12 2 3 2" xfId="3403" xr:uid="{00000000-0005-0000-0000-00004E0D0000}"/>
    <cellStyle name="Percent 12 2 4" xfId="3404" xr:uid="{00000000-0005-0000-0000-00004F0D0000}"/>
    <cellStyle name="Percent 12 3" xfId="3405" xr:uid="{00000000-0005-0000-0000-0000500D0000}"/>
    <cellStyle name="Percent 12 3 2" xfId="3406" xr:uid="{00000000-0005-0000-0000-0000510D0000}"/>
    <cellStyle name="Percent 12 3 2 2" xfId="3407" xr:uid="{00000000-0005-0000-0000-0000520D0000}"/>
    <cellStyle name="Percent 12 3 3" xfId="3408" xr:uid="{00000000-0005-0000-0000-0000530D0000}"/>
    <cellStyle name="Percent 12 3 3 2" xfId="3409" xr:uid="{00000000-0005-0000-0000-0000540D0000}"/>
    <cellStyle name="Percent 12 3 4" xfId="3410" xr:uid="{00000000-0005-0000-0000-0000550D0000}"/>
    <cellStyle name="Percent 12 4" xfId="3411" xr:uid="{00000000-0005-0000-0000-0000560D0000}"/>
    <cellStyle name="Percent 12 4 2" xfId="3412" xr:uid="{00000000-0005-0000-0000-0000570D0000}"/>
    <cellStyle name="Percent 12 4 2 2" xfId="3413" xr:uid="{00000000-0005-0000-0000-0000580D0000}"/>
    <cellStyle name="Percent 12 4 3" xfId="3414" xr:uid="{00000000-0005-0000-0000-0000590D0000}"/>
    <cellStyle name="Percent 12 4 3 2" xfId="3415" xr:uid="{00000000-0005-0000-0000-00005A0D0000}"/>
    <cellStyle name="Percent 12 4 4" xfId="3416" xr:uid="{00000000-0005-0000-0000-00005B0D0000}"/>
    <cellStyle name="Percent 12 5" xfId="3417" xr:uid="{00000000-0005-0000-0000-00005C0D0000}"/>
    <cellStyle name="Percent 12 5 2" xfId="3418" xr:uid="{00000000-0005-0000-0000-00005D0D0000}"/>
    <cellStyle name="Percent 12 5 2 2" xfId="3419" xr:uid="{00000000-0005-0000-0000-00005E0D0000}"/>
    <cellStyle name="Percent 12 5 3" xfId="3420" xr:uid="{00000000-0005-0000-0000-00005F0D0000}"/>
    <cellStyle name="Percent 12 5 3 2" xfId="3421" xr:uid="{00000000-0005-0000-0000-0000600D0000}"/>
    <cellStyle name="Percent 12 5 4" xfId="3422" xr:uid="{00000000-0005-0000-0000-0000610D0000}"/>
    <cellStyle name="Percent 12 6" xfId="3423" xr:uid="{00000000-0005-0000-0000-0000620D0000}"/>
    <cellStyle name="Percent 12 7" xfId="3424" xr:uid="{00000000-0005-0000-0000-0000630D0000}"/>
    <cellStyle name="Percent 13" xfId="3425" xr:uid="{00000000-0005-0000-0000-0000640D0000}"/>
    <cellStyle name="Percent 13 2" xfId="3426" xr:uid="{00000000-0005-0000-0000-0000650D0000}"/>
    <cellStyle name="Percent 13 2 2" xfId="3427" xr:uid="{00000000-0005-0000-0000-0000660D0000}"/>
    <cellStyle name="Percent 13 2 2 2" xfId="3428" xr:uid="{00000000-0005-0000-0000-0000670D0000}"/>
    <cellStyle name="Percent 13 2 3" xfId="3429" xr:uid="{00000000-0005-0000-0000-0000680D0000}"/>
    <cellStyle name="Percent 13 2 3 2" xfId="3430" xr:uid="{00000000-0005-0000-0000-0000690D0000}"/>
    <cellStyle name="Percent 13 2 4" xfId="3431" xr:uid="{00000000-0005-0000-0000-00006A0D0000}"/>
    <cellStyle name="Percent 13 3" xfId="3432" xr:uid="{00000000-0005-0000-0000-00006B0D0000}"/>
    <cellStyle name="Percent 13 3 2" xfId="3433" xr:uid="{00000000-0005-0000-0000-00006C0D0000}"/>
    <cellStyle name="Percent 13 3 2 2" xfId="3434" xr:uid="{00000000-0005-0000-0000-00006D0D0000}"/>
    <cellStyle name="Percent 13 3 3" xfId="3435" xr:uid="{00000000-0005-0000-0000-00006E0D0000}"/>
    <cellStyle name="Percent 13 3 3 2" xfId="3436" xr:uid="{00000000-0005-0000-0000-00006F0D0000}"/>
    <cellStyle name="Percent 13 3 4" xfId="3437" xr:uid="{00000000-0005-0000-0000-0000700D0000}"/>
    <cellStyle name="Percent 13 4" xfId="3438" xr:uid="{00000000-0005-0000-0000-0000710D0000}"/>
    <cellStyle name="Percent 13 4 2" xfId="3439" xr:uid="{00000000-0005-0000-0000-0000720D0000}"/>
    <cellStyle name="Percent 13 4 2 2" xfId="3440" xr:uid="{00000000-0005-0000-0000-0000730D0000}"/>
    <cellStyle name="Percent 13 4 3" xfId="3441" xr:uid="{00000000-0005-0000-0000-0000740D0000}"/>
    <cellStyle name="Percent 13 4 3 2" xfId="3442" xr:uid="{00000000-0005-0000-0000-0000750D0000}"/>
    <cellStyle name="Percent 13 4 4" xfId="3443" xr:uid="{00000000-0005-0000-0000-0000760D0000}"/>
    <cellStyle name="Percent 13 5" xfId="3444" xr:uid="{00000000-0005-0000-0000-0000770D0000}"/>
    <cellStyle name="Percent 13 5 2" xfId="3445" xr:uid="{00000000-0005-0000-0000-0000780D0000}"/>
    <cellStyle name="Percent 13 6" xfId="3446" xr:uid="{00000000-0005-0000-0000-0000790D0000}"/>
    <cellStyle name="Percent 13 6 2" xfId="3447" xr:uid="{00000000-0005-0000-0000-00007A0D0000}"/>
    <cellStyle name="Percent 13 7" xfId="3448" xr:uid="{00000000-0005-0000-0000-00007B0D0000}"/>
    <cellStyle name="Percent 14" xfId="3449" xr:uid="{00000000-0005-0000-0000-00007C0D0000}"/>
    <cellStyle name="Percent 14 2" xfId="3450" xr:uid="{00000000-0005-0000-0000-00007D0D0000}"/>
    <cellStyle name="Percent 14 2 2" xfId="3451" xr:uid="{00000000-0005-0000-0000-00007E0D0000}"/>
    <cellStyle name="Percent 14 3" xfId="3452" xr:uid="{00000000-0005-0000-0000-00007F0D0000}"/>
    <cellStyle name="Percent 14 3 2" xfId="3453" xr:uid="{00000000-0005-0000-0000-0000800D0000}"/>
    <cellStyle name="Percent 14 4" xfId="3454" xr:uid="{00000000-0005-0000-0000-0000810D0000}"/>
    <cellStyle name="Percent 15" xfId="3455" xr:uid="{00000000-0005-0000-0000-0000820D0000}"/>
    <cellStyle name="Percent 15 2" xfId="3456" xr:uid="{00000000-0005-0000-0000-0000830D0000}"/>
    <cellStyle name="Percent 15 2 2" xfId="3457" xr:uid="{00000000-0005-0000-0000-0000840D0000}"/>
    <cellStyle name="Percent 15 3" xfId="3458" xr:uid="{00000000-0005-0000-0000-0000850D0000}"/>
    <cellStyle name="Percent 15 3 2" xfId="3459" xr:uid="{00000000-0005-0000-0000-0000860D0000}"/>
    <cellStyle name="Percent 15 4" xfId="3460" xr:uid="{00000000-0005-0000-0000-0000870D0000}"/>
    <cellStyle name="Percent 16" xfId="3461" xr:uid="{00000000-0005-0000-0000-0000880D0000}"/>
    <cellStyle name="Percent 16 2" xfId="3462" xr:uid="{00000000-0005-0000-0000-0000890D0000}"/>
    <cellStyle name="Percent 16 2 2" xfId="3463" xr:uid="{00000000-0005-0000-0000-00008A0D0000}"/>
    <cellStyle name="Percent 16 3" xfId="3464" xr:uid="{00000000-0005-0000-0000-00008B0D0000}"/>
    <cellStyle name="Percent 16 3 2" xfId="3465" xr:uid="{00000000-0005-0000-0000-00008C0D0000}"/>
    <cellStyle name="Percent 16 4" xfId="3466" xr:uid="{00000000-0005-0000-0000-00008D0D0000}"/>
    <cellStyle name="Percent 17" xfId="3467" xr:uid="{00000000-0005-0000-0000-00008E0D0000}"/>
    <cellStyle name="Percent 17 2" xfId="3468" xr:uid="{00000000-0005-0000-0000-00008F0D0000}"/>
    <cellStyle name="Percent 17 2 2" xfId="3469" xr:uid="{00000000-0005-0000-0000-0000900D0000}"/>
    <cellStyle name="Percent 17 3" xfId="3470" xr:uid="{00000000-0005-0000-0000-0000910D0000}"/>
    <cellStyle name="Percent 17 3 2" xfId="3471" xr:uid="{00000000-0005-0000-0000-0000920D0000}"/>
    <cellStyle name="Percent 17 4" xfId="3472" xr:uid="{00000000-0005-0000-0000-0000930D0000}"/>
    <cellStyle name="Percent 18" xfId="3473" xr:uid="{00000000-0005-0000-0000-0000940D0000}"/>
    <cellStyle name="Percent 18 2" xfId="3474" xr:uid="{00000000-0005-0000-0000-0000950D0000}"/>
    <cellStyle name="Percent 18 2 2" xfId="3475" xr:uid="{00000000-0005-0000-0000-0000960D0000}"/>
    <cellStyle name="Percent 18 3" xfId="3476" xr:uid="{00000000-0005-0000-0000-0000970D0000}"/>
    <cellStyle name="Percent 18 3 2" xfId="3477" xr:uid="{00000000-0005-0000-0000-0000980D0000}"/>
    <cellStyle name="Percent 18 4" xfId="3478" xr:uid="{00000000-0005-0000-0000-0000990D0000}"/>
    <cellStyle name="Percent 19" xfId="3479" xr:uid="{00000000-0005-0000-0000-00009A0D0000}"/>
    <cellStyle name="Percent 19 2" xfId="3480" xr:uid="{00000000-0005-0000-0000-00009B0D0000}"/>
    <cellStyle name="Percent 19 2 2" xfId="3481" xr:uid="{00000000-0005-0000-0000-00009C0D0000}"/>
    <cellStyle name="Percent 19 3" xfId="3482" xr:uid="{00000000-0005-0000-0000-00009D0D0000}"/>
    <cellStyle name="Percent 19 3 2" xfId="3483" xr:uid="{00000000-0005-0000-0000-00009E0D0000}"/>
    <cellStyle name="Percent 19 4" xfId="3484" xr:uid="{00000000-0005-0000-0000-00009F0D0000}"/>
    <cellStyle name="Percent 2" xfId="47" xr:uid="{00000000-0005-0000-0000-000032000000}"/>
    <cellStyle name="Percent 2 2" xfId="48" xr:uid="{00000000-0005-0000-0000-000033000000}"/>
    <cellStyle name="Percent 2 2 10" xfId="3485" xr:uid="{00000000-0005-0000-0000-0000A00D0000}"/>
    <cellStyle name="Percent 2 2 10 2" xfId="3486" xr:uid="{00000000-0005-0000-0000-0000A10D0000}"/>
    <cellStyle name="Percent 2 2 10 2 2" xfId="3487" xr:uid="{00000000-0005-0000-0000-0000A20D0000}"/>
    <cellStyle name="Percent 2 2 10 3" xfId="3488" xr:uid="{00000000-0005-0000-0000-0000A30D0000}"/>
    <cellStyle name="Percent 2 2 10 3 2" xfId="3489" xr:uid="{00000000-0005-0000-0000-0000A40D0000}"/>
    <cellStyle name="Percent 2 2 10 4" xfId="3490" xr:uid="{00000000-0005-0000-0000-0000A50D0000}"/>
    <cellStyle name="Percent 2 2 11" xfId="3491" xr:uid="{00000000-0005-0000-0000-0000A60D0000}"/>
    <cellStyle name="Percent 2 2 12" xfId="3492" xr:uid="{00000000-0005-0000-0000-0000A70D0000}"/>
    <cellStyle name="Percent 2 2 13" xfId="4441" xr:uid="{00000000-0005-0000-0000-00005C110000}"/>
    <cellStyle name="Percent 2 2 2" xfId="49" xr:uid="{00000000-0005-0000-0000-000034000000}"/>
    <cellStyle name="Percent 2 2 2 10" xfId="3493" xr:uid="{00000000-0005-0000-0000-0000A80D0000}"/>
    <cellStyle name="Percent 2 2 2 11" xfId="3494" xr:uid="{00000000-0005-0000-0000-0000A90D0000}"/>
    <cellStyle name="Percent 2 2 2 12" xfId="4462" xr:uid="{00000000-0005-0000-0000-000071110000}"/>
    <cellStyle name="Percent 2 2 2 2" xfId="3495" xr:uid="{00000000-0005-0000-0000-0000AA0D0000}"/>
    <cellStyle name="Percent 2 2 2 2 2" xfId="3496" xr:uid="{00000000-0005-0000-0000-0000AB0D0000}"/>
    <cellStyle name="Percent 2 2 2 2 2 2" xfId="3497" xr:uid="{00000000-0005-0000-0000-0000AC0D0000}"/>
    <cellStyle name="Percent 2 2 2 2 2 2 2" xfId="3498" xr:uid="{00000000-0005-0000-0000-0000AD0D0000}"/>
    <cellStyle name="Percent 2 2 2 2 2 3" xfId="3499" xr:uid="{00000000-0005-0000-0000-0000AE0D0000}"/>
    <cellStyle name="Percent 2 2 2 2 2 3 2" xfId="3500" xr:uid="{00000000-0005-0000-0000-0000AF0D0000}"/>
    <cellStyle name="Percent 2 2 2 2 2 4" xfId="3501" xr:uid="{00000000-0005-0000-0000-0000B00D0000}"/>
    <cellStyle name="Percent 2 2 2 2 3" xfId="3502" xr:uid="{00000000-0005-0000-0000-0000B10D0000}"/>
    <cellStyle name="Percent 2 2 2 2 3 2" xfId="3503" xr:uid="{00000000-0005-0000-0000-0000B20D0000}"/>
    <cellStyle name="Percent 2 2 2 2 3 2 2" xfId="3504" xr:uid="{00000000-0005-0000-0000-0000B30D0000}"/>
    <cellStyle name="Percent 2 2 2 2 3 3" xfId="3505" xr:uid="{00000000-0005-0000-0000-0000B40D0000}"/>
    <cellStyle name="Percent 2 2 2 2 3 3 2" xfId="3506" xr:uid="{00000000-0005-0000-0000-0000B50D0000}"/>
    <cellStyle name="Percent 2 2 2 2 3 4" xfId="3507" xr:uid="{00000000-0005-0000-0000-0000B60D0000}"/>
    <cellStyle name="Percent 2 2 2 2 4" xfId="3508" xr:uid="{00000000-0005-0000-0000-0000B70D0000}"/>
    <cellStyle name="Percent 2 2 2 2 4 2" xfId="3509" xr:uid="{00000000-0005-0000-0000-0000B80D0000}"/>
    <cellStyle name="Percent 2 2 2 2 5" xfId="3510" xr:uid="{00000000-0005-0000-0000-0000B90D0000}"/>
    <cellStyle name="Percent 2 2 2 2 5 2" xfId="3511" xr:uid="{00000000-0005-0000-0000-0000BA0D0000}"/>
    <cellStyle name="Percent 2 2 2 2 6" xfId="3512" xr:uid="{00000000-0005-0000-0000-0000BB0D0000}"/>
    <cellStyle name="Percent 2 2 2 3" xfId="3513" xr:uid="{00000000-0005-0000-0000-0000BC0D0000}"/>
    <cellStyle name="Percent 2 2 2 3 2" xfId="3514" xr:uid="{00000000-0005-0000-0000-0000BD0D0000}"/>
    <cellStyle name="Percent 2 2 2 3 2 2" xfId="3515" xr:uid="{00000000-0005-0000-0000-0000BE0D0000}"/>
    <cellStyle name="Percent 2 2 2 3 3" xfId="3516" xr:uid="{00000000-0005-0000-0000-0000BF0D0000}"/>
    <cellStyle name="Percent 2 2 2 3 3 2" xfId="3517" xr:uid="{00000000-0005-0000-0000-0000C00D0000}"/>
    <cellStyle name="Percent 2 2 2 3 4" xfId="3518" xr:uid="{00000000-0005-0000-0000-0000C10D0000}"/>
    <cellStyle name="Percent 2 2 2 4" xfId="3519" xr:uid="{00000000-0005-0000-0000-0000C20D0000}"/>
    <cellStyle name="Percent 2 2 2 4 2" xfId="3520" xr:uid="{00000000-0005-0000-0000-0000C30D0000}"/>
    <cellStyle name="Percent 2 2 2 4 2 2" xfId="3521" xr:uid="{00000000-0005-0000-0000-0000C40D0000}"/>
    <cellStyle name="Percent 2 2 2 4 3" xfId="3522" xr:uid="{00000000-0005-0000-0000-0000C50D0000}"/>
    <cellStyle name="Percent 2 2 2 4 3 2" xfId="3523" xr:uid="{00000000-0005-0000-0000-0000C60D0000}"/>
    <cellStyle name="Percent 2 2 2 4 4" xfId="3524" xr:uid="{00000000-0005-0000-0000-0000C70D0000}"/>
    <cellStyle name="Percent 2 2 2 5" xfId="3525" xr:uid="{00000000-0005-0000-0000-0000C80D0000}"/>
    <cellStyle name="Percent 2 2 2 5 2" xfId="3526" xr:uid="{00000000-0005-0000-0000-0000C90D0000}"/>
    <cellStyle name="Percent 2 2 2 5 2 2" xfId="3527" xr:uid="{00000000-0005-0000-0000-0000CA0D0000}"/>
    <cellStyle name="Percent 2 2 2 5 3" xfId="3528" xr:uid="{00000000-0005-0000-0000-0000CB0D0000}"/>
    <cellStyle name="Percent 2 2 2 5 3 2" xfId="3529" xr:uid="{00000000-0005-0000-0000-0000CC0D0000}"/>
    <cellStyle name="Percent 2 2 2 5 4" xfId="3530" xr:uid="{00000000-0005-0000-0000-0000CD0D0000}"/>
    <cellStyle name="Percent 2 2 2 6" xfId="3531" xr:uid="{00000000-0005-0000-0000-0000CE0D0000}"/>
    <cellStyle name="Percent 2 2 2 6 2" xfId="3532" xr:uid="{00000000-0005-0000-0000-0000CF0D0000}"/>
    <cellStyle name="Percent 2 2 2 6 2 2" xfId="3533" xr:uid="{00000000-0005-0000-0000-0000D00D0000}"/>
    <cellStyle name="Percent 2 2 2 6 3" xfId="3534" xr:uid="{00000000-0005-0000-0000-0000D10D0000}"/>
    <cellStyle name="Percent 2 2 2 6 3 2" xfId="3535" xr:uid="{00000000-0005-0000-0000-0000D20D0000}"/>
    <cellStyle name="Percent 2 2 2 6 4" xfId="3536" xr:uid="{00000000-0005-0000-0000-0000D30D0000}"/>
    <cellStyle name="Percent 2 2 2 7" xfId="3537" xr:uid="{00000000-0005-0000-0000-0000D40D0000}"/>
    <cellStyle name="Percent 2 2 2 7 2" xfId="3538" xr:uid="{00000000-0005-0000-0000-0000D50D0000}"/>
    <cellStyle name="Percent 2 2 2 7 2 2" xfId="3539" xr:uid="{00000000-0005-0000-0000-0000D60D0000}"/>
    <cellStyle name="Percent 2 2 2 7 3" xfId="3540" xr:uid="{00000000-0005-0000-0000-0000D70D0000}"/>
    <cellStyle name="Percent 2 2 2 7 3 2" xfId="3541" xr:uid="{00000000-0005-0000-0000-0000D80D0000}"/>
    <cellStyle name="Percent 2 2 2 7 4" xfId="3542" xr:uid="{00000000-0005-0000-0000-0000D90D0000}"/>
    <cellStyle name="Percent 2 2 2 8" xfId="3543" xr:uid="{00000000-0005-0000-0000-0000DA0D0000}"/>
    <cellStyle name="Percent 2 2 2 8 2" xfId="3544" xr:uid="{00000000-0005-0000-0000-0000DB0D0000}"/>
    <cellStyle name="Percent 2 2 2 9" xfId="3545" xr:uid="{00000000-0005-0000-0000-0000DC0D0000}"/>
    <cellStyle name="Percent 2 2 2 9 2" xfId="3546" xr:uid="{00000000-0005-0000-0000-0000DD0D0000}"/>
    <cellStyle name="Percent 2 2 3" xfId="50" xr:uid="{00000000-0005-0000-0000-000035000000}"/>
    <cellStyle name="Percent 2 2 3 2" xfId="3547" xr:uid="{00000000-0005-0000-0000-0000DE0D0000}"/>
    <cellStyle name="Percent 2 2 3 2 2" xfId="3548" xr:uid="{00000000-0005-0000-0000-0000DF0D0000}"/>
    <cellStyle name="Percent 2 2 3 2 2 2" xfId="3549" xr:uid="{00000000-0005-0000-0000-0000E00D0000}"/>
    <cellStyle name="Percent 2 2 3 2 2 2 2" xfId="3550" xr:uid="{00000000-0005-0000-0000-0000E10D0000}"/>
    <cellStyle name="Percent 2 2 3 2 2 3" xfId="3551" xr:uid="{00000000-0005-0000-0000-0000E20D0000}"/>
    <cellStyle name="Percent 2 2 3 2 2 3 2" xfId="3552" xr:uid="{00000000-0005-0000-0000-0000E30D0000}"/>
    <cellStyle name="Percent 2 2 3 2 2 4" xfId="3553" xr:uid="{00000000-0005-0000-0000-0000E40D0000}"/>
    <cellStyle name="Percent 2 2 3 2 3" xfId="3554" xr:uid="{00000000-0005-0000-0000-0000E50D0000}"/>
    <cellStyle name="Percent 2 2 3 2 3 2" xfId="3555" xr:uid="{00000000-0005-0000-0000-0000E60D0000}"/>
    <cellStyle name="Percent 2 2 3 2 3 2 2" xfId="3556" xr:uid="{00000000-0005-0000-0000-0000E70D0000}"/>
    <cellStyle name="Percent 2 2 3 2 3 3" xfId="3557" xr:uid="{00000000-0005-0000-0000-0000E80D0000}"/>
    <cellStyle name="Percent 2 2 3 2 3 3 2" xfId="3558" xr:uid="{00000000-0005-0000-0000-0000E90D0000}"/>
    <cellStyle name="Percent 2 2 3 2 3 4" xfId="3559" xr:uid="{00000000-0005-0000-0000-0000EA0D0000}"/>
    <cellStyle name="Percent 2 2 3 2 4" xfId="3560" xr:uid="{00000000-0005-0000-0000-0000EB0D0000}"/>
    <cellStyle name="Percent 2 2 3 2 4 2" xfId="3561" xr:uid="{00000000-0005-0000-0000-0000EC0D0000}"/>
    <cellStyle name="Percent 2 2 3 2 5" xfId="3562" xr:uid="{00000000-0005-0000-0000-0000ED0D0000}"/>
    <cellStyle name="Percent 2 2 3 2 5 2" xfId="3563" xr:uid="{00000000-0005-0000-0000-0000EE0D0000}"/>
    <cellStyle name="Percent 2 2 3 2 6" xfId="3564" xr:uid="{00000000-0005-0000-0000-0000EF0D0000}"/>
    <cellStyle name="Percent 2 2 3 3" xfId="3565" xr:uid="{00000000-0005-0000-0000-0000F00D0000}"/>
    <cellStyle name="Percent 2 2 3 3 2" xfId="3566" xr:uid="{00000000-0005-0000-0000-0000F10D0000}"/>
    <cellStyle name="Percent 2 2 3 3 2 2" xfId="3567" xr:uid="{00000000-0005-0000-0000-0000F20D0000}"/>
    <cellStyle name="Percent 2 2 3 3 3" xfId="3568" xr:uid="{00000000-0005-0000-0000-0000F30D0000}"/>
    <cellStyle name="Percent 2 2 3 3 3 2" xfId="3569" xr:uid="{00000000-0005-0000-0000-0000F40D0000}"/>
    <cellStyle name="Percent 2 2 3 3 4" xfId="3570" xr:uid="{00000000-0005-0000-0000-0000F50D0000}"/>
    <cellStyle name="Percent 2 2 3 4" xfId="3571" xr:uid="{00000000-0005-0000-0000-0000F60D0000}"/>
    <cellStyle name="Percent 2 2 3 4 2" xfId="3572" xr:uid="{00000000-0005-0000-0000-0000F70D0000}"/>
    <cellStyle name="Percent 2 2 3 4 2 2" xfId="3573" xr:uid="{00000000-0005-0000-0000-0000F80D0000}"/>
    <cellStyle name="Percent 2 2 3 4 3" xfId="3574" xr:uid="{00000000-0005-0000-0000-0000F90D0000}"/>
    <cellStyle name="Percent 2 2 3 4 3 2" xfId="3575" xr:uid="{00000000-0005-0000-0000-0000FA0D0000}"/>
    <cellStyle name="Percent 2 2 3 4 4" xfId="3576" xr:uid="{00000000-0005-0000-0000-0000FB0D0000}"/>
    <cellStyle name="Percent 2 2 3 5" xfId="3577" xr:uid="{00000000-0005-0000-0000-0000FC0D0000}"/>
    <cellStyle name="Percent 2 2 3 5 2" xfId="3578" xr:uid="{00000000-0005-0000-0000-0000FD0D0000}"/>
    <cellStyle name="Percent 2 2 3 5 2 2" xfId="3579" xr:uid="{00000000-0005-0000-0000-0000FE0D0000}"/>
    <cellStyle name="Percent 2 2 3 5 3" xfId="3580" xr:uid="{00000000-0005-0000-0000-0000FF0D0000}"/>
    <cellStyle name="Percent 2 2 3 5 3 2" xfId="3581" xr:uid="{00000000-0005-0000-0000-0000000E0000}"/>
    <cellStyle name="Percent 2 2 3 5 4" xfId="3582" xr:uid="{00000000-0005-0000-0000-0000010E0000}"/>
    <cellStyle name="Percent 2 2 3 6" xfId="3583" xr:uid="{00000000-0005-0000-0000-0000020E0000}"/>
    <cellStyle name="Percent 2 2 3 6 2" xfId="3584" xr:uid="{00000000-0005-0000-0000-0000030E0000}"/>
    <cellStyle name="Percent 2 2 3 7" xfId="3585" xr:uid="{00000000-0005-0000-0000-0000040E0000}"/>
    <cellStyle name="Percent 2 2 3 7 2" xfId="3586" xr:uid="{00000000-0005-0000-0000-0000050E0000}"/>
    <cellStyle name="Percent 2 2 3 8" xfId="3587" xr:uid="{00000000-0005-0000-0000-0000060E0000}"/>
    <cellStyle name="Percent 2 2 3 9" xfId="3588" xr:uid="{00000000-0005-0000-0000-0000070E0000}"/>
    <cellStyle name="Percent 2 2 4" xfId="3589" xr:uid="{00000000-0005-0000-0000-0000080E0000}"/>
    <cellStyle name="Percent 2 2 4 2" xfId="3590" xr:uid="{00000000-0005-0000-0000-0000090E0000}"/>
    <cellStyle name="Percent 2 2 4 2 2" xfId="3591" xr:uid="{00000000-0005-0000-0000-00000A0E0000}"/>
    <cellStyle name="Percent 2 2 4 2 2 2" xfId="3592" xr:uid="{00000000-0005-0000-0000-00000B0E0000}"/>
    <cellStyle name="Percent 2 2 4 2 3" xfId="3593" xr:uid="{00000000-0005-0000-0000-00000C0E0000}"/>
    <cellStyle name="Percent 2 2 4 2 3 2" xfId="3594" xr:uid="{00000000-0005-0000-0000-00000D0E0000}"/>
    <cellStyle name="Percent 2 2 4 2 4" xfId="3595" xr:uid="{00000000-0005-0000-0000-00000E0E0000}"/>
    <cellStyle name="Percent 2 2 4 3" xfId="3596" xr:uid="{00000000-0005-0000-0000-00000F0E0000}"/>
    <cellStyle name="Percent 2 2 4 3 2" xfId="3597" xr:uid="{00000000-0005-0000-0000-0000100E0000}"/>
    <cellStyle name="Percent 2 2 4 3 2 2" xfId="3598" xr:uid="{00000000-0005-0000-0000-0000110E0000}"/>
    <cellStyle name="Percent 2 2 4 3 3" xfId="3599" xr:uid="{00000000-0005-0000-0000-0000120E0000}"/>
    <cellStyle name="Percent 2 2 4 3 3 2" xfId="3600" xr:uid="{00000000-0005-0000-0000-0000130E0000}"/>
    <cellStyle name="Percent 2 2 4 3 4" xfId="3601" xr:uid="{00000000-0005-0000-0000-0000140E0000}"/>
    <cellStyle name="Percent 2 2 4 4" xfId="3602" xr:uid="{00000000-0005-0000-0000-0000150E0000}"/>
    <cellStyle name="Percent 2 2 4 4 2" xfId="3603" xr:uid="{00000000-0005-0000-0000-0000160E0000}"/>
    <cellStyle name="Percent 2 2 4 5" xfId="3604" xr:uid="{00000000-0005-0000-0000-0000170E0000}"/>
    <cellStyle name="Percent 2 2 4 5 2" xfId="3605" xr:uid="{00000000-0005-0000-0000-0000180E0000}"/>
    <cellStyle name="Percent 2 2 4 6" xfId="3606" xr:uid="{00000000-0005-0000-0000-0000190E0000}"/>
    <cellStyle name="Percent 2 2 5" xfId="3607" xr:uid="{00000000-0005-0000-0000-00001A0E0000}"/>
    <cellStyle name="Percent 2 2 5 2" xfId="3608" xr:uid="{00000000-0005-0000-0000-00001B0E0000}"/>
    <cellStyle name="Percent 2 2 5 2 2" xfId="3609" xr:uid="{00000000-0005-0000-0000-00001C0E0000}"/>
    <cellStyle name="Percent 2 2 5 2 2 2" xfId="3610" xr:uid="{00000000-0005-0000-0000-00001D0E0000}"/>
    <cellStyle name="Percent 2 2 5 2 3" xfId="3611" xr:uid="{00000000-0005-0000-0000-00001E0E0000}"/>
    <cellStyle name="Percent 2 2 5 2 3 2" xfId="3612" xr:uid="{00000000-0005-0000-0000-00001F0E0000}"/>
    <cellStyle name="Percent 2 2 5 2 4" xfId="3613" xr:uid="{00000000-0005-0000-0000-0000200E0000}"/>
    <cellStyle name="Percent 2 2 5 3" xfId="3614" xr:uid="{00000000-0005-0000-0000-0000210E0000}"/>
    <cellStyle name="Percent 2 2 5 3 2" xfId="3615" xr:uid="{00000000-0005-0000-0000-0000220E0000}"/>
    <cellStyle name="Percent 2 2 5 3 2 2" xfId="3616" xr:uid="{00000000-0005-0000-0000-0000230E0000}"/>
    <cellStyle name="Percent 2 2 5 3 3" xfId="3617" xr:uid="{00000000-0005-0000-0000-0000240E0000}"/>
    <cellStyle name="Percent 2 2 5 3 3 2" xfId="3618" xr:uid="{00000000-0005-0000-0000-0000250E0000}"/>
    <cellStyle name="Percent 2 2 5 3 4" xfId="3619" xr:uid="{00000000-0005-0000-0000-0000260E0000}"/>
    <cellStyle name="Percent 2 2 5 4" xfId="3620" xr:uid="{00000000-0005-0000-0000-0000270E0000}"/>
    <cellStyle name="Percent 2 2 5 4 2" xfId="3621" xr:uid="{00000000-0005-0000-0000-0000280E0000}"/>
    <cellStyle name="Percent 2 2 5 5" xfId="3622" xr:uid="{00000000-0005-0000-0000-0000290E0000}"/>
    <cellStyle name="Percent 2 2 5 5 2" xfId="3623" xr:uid="{00000000-0005-0000-0000-00002A0E0000}"/>
    <cellStyle name="Percent 2 2 5 6" xfId="3624" xr:uid="{00000000-0005-0000-0000-00002B0E0000}"/>
    <cellStyle name="Percent 2 2 6" xfId="3625" xr:uid="{00000000-0005-0000-0000-00002C0E0000}"/>
    <cellStyle name="Percent 2 2 6 2" xfId="3626" xr:uid="{00000000-0005-0000-0000-00002D0E0000}"/>
    <cellStyle name="Percent 2 2 6 2 2" xfId="3627" xr:uid="{00000000-0005-0000-0000-00002E0E0000}"/>
    <cellStyle name="Percent 2 2 6 2 2 2" xfId="3628" xr:uid="{00000000-0005-0000-0000-00002F0E0000}"/>
    <cellStyle name="Percent 2 2 6 2 3" xfId="3629" xr:uid="{00000000-0005-0000-0000-0000300E0000}"/>
    <cellStyle name="Percent 2 2 6 2 3 2" xfId="3630" xr:uid="{00000000-0005-0000-0000-0000310E0000}"/>
    <cellStyle name="Percent 2 2 6 2 4" xfId="3631" xr:uid="{00000000-0005-0000-0000-0000320E0000}"/>
    <cellStyle name="Percent 2 2 6 3" xfId="3632" xr:uid="{00000000-0005-0000-0000-0000330E0000}"/>
    <cellStyle name="Percent 2 2 6 3 2" xfId="3633" xr:uid="{00000000-0005-0000-0000-0000340E0000}"/>
    <cellStyle name="Percent 2 2 6 4" xfId="3634" xr:uid="{00000000-0005-0000-0000-0000350E0000}"/>
    <cellStyle name="Percent 2 2 6 4 2" xfId="3635" xr:uid="{00000000-0005-0000-0000-0000360E0000}"/>
    <cellStyle name="Percent 2 2 6 5" xfId="3636" xr:uid="{00000000-0005-0000-0000-0000370E0000}"/>
    <cellStyle name="Percent 2 2 7" xfId="3637" xr:uid="{00000000-0005-0000-0000-0000380E0000}"/>
    <cellStyle name="Percent 2 2 7 2" xfId="3638" xr:uid="{00000000-0005-0000-0000-0000390E0000}"/>
    <cellStyle name="Percent 2 2 7 2 2" xfId="3639" xr:uid="{00000000-0005-0000-0000-00003A0E0000}"/>
    <cellStyle name="Percent 2 2 7 2 2 2" xfId="3640" xr:uid="{00000000-0005-0000-0000-00003B0E0000}"/>
    <cellStyle name="Percent 2 2 7 2 3" xfId="3641" xr:uid="{00000000-0005-0000-0000-00003C0E0000}"/>
    <cellStyle name="Percent 2 2 7 2 3 2" xfId="3642" xr:uid="{00000000-0005-0000-0000-00003D0E0000}"/>
    <cellStyle name="Percent 2 2 7 2 4" xfId="3643" xr:uid="{00000000-0005-0000-0000-00003E0E0000}"/>
    <cellStyle name="Percent 2 2 7 3" xfId="3644" xr:uid="{00000000-0005-0000-0000-00003F0E0000}"/>
    <cellStyle name="Percent 2 2 7 3 2" xfId="3645" xr:uid="{00000000-0005-0000-0000-0000400E0000}"/>
    <cellStyle name="Percent 2 2 7 4" xfId="3646" xr:uid="{00000000-0005-0000-0000-0000410E0000}"/>
    <cellStyle name="Percent 2 2 7 4 2" xfId="3647" xr:uid="{00000000-0005-0000-0000-0000420E0000}"/>
    <cellStyle name="Percent 2 2 7 5" xfId="3648" xr:uid="{00000000-0005-0000-0000-0000430E0000}"/>
    <cellStyle name="Percent 2 2 8" xfId="3649" xr:uid="{00000000-0005-0000-0000-0000440E0000}"/>
    <cellStyle name="Percent 2 2 8 2" xfId="3650" xr:uid="{00000000-0005-0000-0000-0000450E0000}"/>
    <cellStyle name="Percent 2 2 8 2 2" xfId="3651" xr:uid="{00000000-0005-0000-0000-0000460E0000}"/>
    <cellStyle name="Percent 2 2 8 2 2 2" xfId="3652" xr:uid="{00000000-0005-0000-0000-0000470E0000}"/>
    <cellStyle name="Percent 2 2 8 2 3" xfId="3653" xr:uid="{00000000-0005-0000-0000-0000480E0000}"/>
    <cellStyle name="Percent 2 2 8 2 3 2" xfId="3654" xr:uid="{00000000-0005-0000-0000-0000490E0000}"/>
    <cellStyle name="Percent 2 2 8 2 4" xfId="3655" xr:uid="{00000000-0005-0000-0000-00004A0E0000}"/>
    <cellStyle name="Percent 2 2 8 3" xfId="3656" xr:uid="{00000000-0005-0000-0000-00004B0E0000}"/>
    <cellStyle name="Percent 2 2 8 3 2" xfId="3657" xr:uid="{00000000-0005-0000-0000-00004C0E0000}"/>
    <cellStyle name="Percent 2 2 8 4" xfId="3658" xr:uid="{00000000-0005-0000-0000-00004D0E0000}"/>
    <cellStyle name="Percent 2 2 8 4 2" xfId="3659" xr:uid="{00000000-0005-0000-0000-00004E0E0000}"/>
    <cellStyle name="Percent 2 2 8 5" xfId="3660" xr:uid="{00000000-0005-0000-0000-00004F0E0000}"/>
    <cellStyle name="Percent 2 2 9" xfId="3661" xr:uid="{00000000-0005-0000-0000-0000500E0000}"/>
    <cellStyle name="Percent 2 2 9 2" xfId="3662" xr:uid="{00000000-0005-0000-0000-0000510E0000}"/>
    <cellStyle name="Percent 2 2 9 2 2" xfId="3663" xr:uid="{00000000-0005-0000-0000-0000520E0000}"/>
    <cellStyle name="Percent 2 2 9 2 2 2" xfId="3664" xr:uid="{00000000-0005-0000-0000-0000530E0000}"/>
    <cellStyle name="Percent 2 2 9 2 3" xfId="3665" xr:uid="{00000000-0005-0000-0000-0000540E0000}"/>
    <cellStyle name="Percent 2 2 9 2 3 2" xfId="3666" xr:uid="{00000000-0005-0000-0000-0000550E0000}"/>
    <cellStyle name="Percent 2 2 9 2 4" xfId="3667" xr:uid="{00000000-0005-0000-0000-0000560E0000}"/>
    <cellStyle name="Percent 2 2 9 3" xfId="3668" xr:uid="{00000000-0005-0000-0000-0000570E0000}"/>
    <cellStyle name="Percent 2 2 9 3 2" xfId="3669" xr:uid="{00000000-0005-0000-0000-0000580E0000}"/>
    <cellStyle name="Percent 2 2 9 4" xfId="3670" xr:uid="{00000000-0005-0000-0000-0000590E0000}"/>
    <cellStyle name="Percent 2 2 9 4 2" xfId="3671" xr:uid="{00000000-0005-0000-0000-00005A0E0000}"/>
    <cellStyle name="Percent 2 2 9 5" xfId="3672" xr:uid="{00000000-0005-0000-0000-00005B0E0000}"/>
    <cellStyle name="Percent 2 3" xfId="3673" xr:uid="{00000000-0005-0000-0000-00005C0E0000}"/>
    <cellStyle name="Percent 2 3 2" xfId="4469" xr:uid="{00000000-0005-0000-0000-000078110000}"/>
    <cellStyle name="Percent 2 4" xfId="3674" xr:uid="{00000000-0005-0000-0000-00005D0E0000}"/>
    <cellStyle name="Percent 2 4 2" xfId="4489" xr:uid="{00000000-0005-0000-0000-00008C110000}"/>
    <cellStyle name="Percent 2 5" xfId="3675" xr:uid="{00000000-0005-0000-0000-00005E0E0000}"/>
    <cellStyle name="Percent 2 5 2" xfId="4458" xr:uid="{00000000-0005-0000-0000-00006D110000}"/>
    <cellStyle name="Percent 2 6" xfId="3676" xr:uid="{00000000-0005-0000-0000-00005F0E0000}"/>
    <cellStyle name="Percent 2 7" xfId="4436" xr:uid="{00000000-0005-0000-0000-000057110000}"/>
    <cellStyle name="Percent 2_Sheet1" xfId="3677" xr:uid="{00000000-0005-0000-0000-0000600E0000}"/>
    <cellStyle name="Percent 20" xfId="3678" xr:uid="{00000000-0005-0000-0000-0000610E0000}"/>
    <cellStyle name="Percent 20 2" xfId="3679" xr:uid="{00000000-0005-0000-0000-0000620E0000}"/>
    <cellStyle name="Percent 20 2 2" xfId="3680" xr:uid="{00000000-0005-0000-0000-0000630E0000}"/>
    <cellStyle name="Percent 20 3" xfId="3681" xr:uid="{00000000-0005-0000-0000-0000640E0000}"/>
    <cellStyle name="Percent 20 3 2" xfId="3682" xr:uid="{00000000-0005-0000-0000-0000650E0000}"/>
    <cellStyle name="Percent 20 4" xfId="3683" xr:uid="{00000000-0005-0000-0000-0000660E0000}"/>
    <cellStyle name="Percent 21" xfId="3684" xr:uid="{00000000-0005-0000-0000-0000670E0000}"/>
    <cellStyle name="Percent 21 2" xfId="3685" xr:uid="{00000000-0005-0000-0000-0000680E0000}"/>
    <cellStyle name="Percent 21 2 2" xfId="3686" xr:uid="{00000000-0005-0000-0000-0000690E0000}"/>
    <cellStyle name="Percent 21 3" xfId="3687" xr:uid="{00000000-0005-0000-0000-00006A0E0000}"/>
    <cellStyle name="Percent 21 3 2" xfId="3688" xr:uid="{00000000-0005-0000-0000-00006B0E0000}"/>
    <cellStyle name="Percent 21 4" xfId="3689" xr:uid="{00000000-0005-0000-0000-00006C0E0000}"/>
    <cellStyle name="Percent 22" xfId="3690" xr:uid="{00000000-0005-0000-0000-00006D0E0000}"/>
    <cellStyle name="Percent 23" xfId="3691" xr:uid="{00000000-0005-0000-0000-00006E0E0000}"/>
    <cellStyle name="Percent 23 2" xfId="3692" xr:uid="{00000000-0005-0000-0000-00006F0E0000}"/>
    <cellStyle name="Percent 23 2 2" xfId="3693" xr:uid="{00000000-0005-0000-0000-0000700E0000}"/>
    <cellStyle name="Percent 23 3" xfId="3694" xr:uid="{00000000-0005-0000-0000-0000710E0000}"/>
    <cellStyle name="Percent 23 3 2" xfId="3695" xr:uid="{00000000-0005-0000-0000-0000720E0000}"/>
    <cellStyle name="Percent 23 4" xfId="3696" xr:uid="{00000000-0005-0000-0000-0000730E0000}"/>
    <cellStyle name="Percent 24" xfId="3697" xr:uid="{00000000-0005-0000-0000-0000740E0000}"/>
    <cellStyle name="Percent 25" xfId="3698" xr:uid="{00000000-0005-0000-0000-0000750E0000}"/>
    <cellStyle name="Percent 26" xfId="3699" xr:uid="{00000000-0005-0000-0000-0000760E0000}"/>
    <cellStyle name="Percent 27" xfId="3700" xr:uid="{00000000-0005-0000-0000-0000770E0000}"/>
    <cellStyle name="Percent 28" xfId="3701" xr:uid="{00000000-0005-0000-0000-0000780E0000}"/>
    <cellStyle name="Percent 29" xfId="3702" xr:uid="{00000000-0005-0000-0000-0000790E0000}"/>
    <cellStyle name="Percent 3" xfId="51" xr:uid="{00000000-0005-0000-0000-000036000000}"/>
    <cellStyle name="Percent 3 2" xfId="3703" xr:uid="{00000000-0005-0000-0000-00007A0E0000}"/>
    <cellStyle name="Percent 3 2 2" xfId="3704" xr:uid="{00000000-0005-0000-0000-00007B0E0000}"/>
    <cellStyle name="Percent 3 3" xfId="3705" xr:uid="{00000000-0005-0000-0000-00007C0E0000}"/>
    <cellStyle name="Percent 3 3 2" xfId="3706" xr:uid="{00000000-0005-0000-0000-00007D0E0000}"/>
    <cellStyle name="Percent 3 3 2 2" xfId="3707" xr:uid="{00000000-0005-0000-0000-00007E0E0000}"/>
    <cellStyle name="Percent 3 3 3" xfId="3708" xr:uid="{00000000-0005-0000-0000-00007F0E0000}"/>
    <cellStyle name="Percent 3 3 3 2" xfId="3709" xr:uid="{00000000-0005-0000-0000-0000800E0000}"/>
    <cellStyle name="Percent 3 3 4" xfId="3710" xr:uid="{00000000-0005-0000-0000-0000810E0000}"/>
    <cellStyle name="Percent 3 3 5" xfId="4490" xr:uid="{00000000-0005-0000-0000-00008D110000}"/>
    <cellStyle name="Percent 3 4" xfId="3711" xr:uid="{00000000-0005-0000-0000-0000820E0000}"/>
    <cellStyle name="Percent 3 4 2" xfId="3712" xr:uid="{00000000-0005-0000-0000-0000830E0000}"/>
    <cellStyle name="Percent 3 4 2 2" xfId="3713" xr:uid="{00000000-0005-0000-0000-0000840E0000}"/>
    <cellStyle name="Percent 3 4 3" xfId="3714" xr:uid="{00000000-0005-0000-0000-0000850E0000}"/>
    <cellStyle name="Percent 3 4 3 2" xfId="3715" xr:uid="{00000000-0005-0000-0000-0000860E0000}"/>
    <cellStyle name="Percent 3 4 4" xfId="3716" xr:uid="{00000000-0005-0000-0000-0000870E0000}"/>
    <cellStyle name="Percent 3 4 5" xfId="4455" xr:uid="{00000000-0005-0000-0000-00006A110000}"/>
    <cellStyle name="Percent 3 5" xfId="3717" xr:uid="{00000000-0005-0000-0000-0000880E0000}"/>
    <cellStyle name="Percent 3 5 2" xfId="3718" xr:uid="{00000000-0005-0000-0000-0000890E0000}"/>
    <cellStyle name="Percent 3 5 2 2" xfId="3719" xr:uid="{00000000-0005-0000-0000-00008A0E0000}"/>
    <cellStyle name="Percent 3 5 3" xfId="3720" xr:uid="{00000000-0005-0000-0000-00008B0E0000}"/>
    <cellStyle name="Percent 3 5 3 2" xfId="3721" xr:uid="{00000000-0005-0000-0000-00008C0E0000}"/>
    <cellStyle name="Percent 3 5 4" xfId="3722" xr:uid="{00000000-0005-0000-0000-00008D0E0000}"/>
    <cellStyle name="Percent 3 6" xfId="3723" xr:uid="{00000000-0005-0000-0000-00008E0E0000}"/>
    <cellStyle name="Percent 3 6 2" xfId="3724" xr:uid="{00000000-0005-0000-0000-00008F0E0000}"/>
    <cellStyle name="Percent 3 6 2 2" xfId="3725" xr:uid="{00000000-0005-0000-0000-0000900E0000}"/>
    <cellStyle name="Percent 3 6 2 2 2" xfId="3726" xr:uid="{00000000-0005-0000-0000-0000910E0000}"/>
    <cellStyle name="Percent 3 6 2 3" xfId="3727" xr:uid="{00000000-0005-0000-0000-0000920E0000}"/>
    <cellStyle name="Percent 3 6 2 3 2" xfId="3728" xr:uid="{00000000-0005-0000-0000-0000930E0000}"/>
    <cellStyle name="Percent 3 6 2 4" xfId="3729" xr:uid="{00000000-0005-0000-0000-0000940E0000}"/>
    <cellStyle name="Percent 3 6 3" xfId="3730" xr:uid="{00000000-0005-0000-0000-0000950E0000}"/>
    <cellStyle name="Percent 3 6 3 2" xfId="3731" xr:uid="{00000000-0005-0000-0000-0000960E0000}"/>
    <cellStyle name="Percent 3 6 3 2 2" xfId="3732" xr:uid="{00000000-0005-0000-0000-0000970E0000}"/>
    <cellStyle name="Percent 3 6 3 3" xfId="3733" xr:uid="{00000000-0005-0000-0000-0000980E0000}"/>
    <cellStyle name="Percent 3 6 3 3 2" xfId="3734" xr:uid="{00000000-0005-0000-0000-0000990E0000}"/>
    <cellStyle name="Percent 3 6 3 4" xfId="3735" xr:uid="{00000000-0005-0000-0000-00009A0E0000}"/>
    <cellStyle name="Percent 3 6 4" xfId="3736" xr:uid="{00000000-0005-0000-0000-00009B0E0000}"/>
    <cellStyle name="Percent 3 6 4 2" xfId="3737" xr:uid="{00000000-0005-0000-0000-00009C0E0000}"/>
    <cellStyle name="Percent 3 6 5" xfId="3738" xr:uid="{00000000-0005-0000-0000-00009D0E0000}"/>
    <cellStyle name="Percent 3 6 5 2" xfId="3739" xr:uid="{00000000-0005-0000-0000-00009E0E0000}"/>
    <cellStyle name="Percent 3 6 6" xfId="3740" xr:uid="{00000000-0005-0000-0000-00009F0E0000}"/>
    <cellStyle name="Percent 3 7" xfId="3741" xr:uid="{00000000-0005-0000-0000-0000A00E0000}"/>
    <cellStyle name="Percent 3 8" xfId="3742" xr:uid="{00000000-0005-0000-0000-0000A10E0000}"/>
    <cellStyle name="Percent 3 9" xfId="4449" xr:uid="{00000000-0005-0000-0000-000064110000}"/>
    <cellStyle name="Percent 30" xfId="3743" xr:uid="{00000000-0005-0000-0000-0000A20E0000}"/>
    <cellStyle name="Percent 31" xfId="3744" xr:uid="{00000000-0005-0000-0000-0000A30E0000}"/>
    <cellStyle name="Percent 32" xfId="3745" xr:uid="{00000000-0005-0000-0000-0000A40E0000}"/>
    <cellStyle name="Percent 33" xfId="3746" xr:uid="{00000000-0005-0000-0000-0000A50E0000}"/>
    <cellStyle name="Percent 34" xfId="3747" xr:uid="{00000000-0005-0000-0000-0000A60E0000}"/>
    <cellStyle name="Percent 4" xfId="52" xr:uid="{00000000-0005-0000-0000-000037000000}"/>
    <cellStyle name="Percent 4 2" xfId="3748" xr:uid="{00000000-0005-0000-0000-0000A70E0000}"/>
    <cellStyle name="Percent 4 2 2" xfId="4492" xr:uid="{00000000-0005-0000-0000-00008F110000}"/>
    <cellStyle name="Percent 4 3" xfId="3749" xr:uid="{00000000-0005-0000-0000-0000A80E0000}"/>
    <cellStyle name="Percent 4 3 2" xfId="4493" xr:uid="{00000000-0005-0000-0000-000090110000}"/>
    <cellStyle name="Percent 4 4" xfId="3750" xr:uid="{00000000-0005-0000-0000-0000A90E0000}"/>
    <cellStyle name="Percent 4 4 2" xfId="4491" xr:uid="{00000000-0005-0000-0000-00008E110000}"/>
    <cellStyle name="Percent 4 5" xfId="3751" xr:uid="{00000000-0005-0000-0000-0000AA0E0000}"/>
    <cellStyle name="Percent 4 6" xfId="3752" xr:uid="{00000000-0005-0000-0000-0000AB0E0000}"/>
    <cellStyle name="Percent 5" xfId="60" xr:uid="{00000000-0005-0000-0000-00003F000000}"/>
    <cellStyle name="Percent 5 2" xfId="3753" xr:uid="{00000000-0005-0000-0000-0000AC0E0000}"/>
    <cellStyle name="Percent 5 2 2" xfId="3754" xr:uid="{00000000-0005-0000-0000-0000AD0E0000}"/>
    <cellStyle name="Percent 5 2 2 2" xfId="3755" xr:uid="{00000000-0005-0000-0000-0000AE0E0000}"/>
    <cellStyle name="Percent 5 2 3" xfId="3756" xr:uid="{00000000-0005-0000-0000-0000AF0E0000}"/>
    <cellStyle name="Percent 5 2 3 2" xfId="3757" xr:uid="{00000000-0005-0000-0000-0000B00E0000}"/>
    <cellStyle name="Percent 5 2 4" xfId="3758" xr:uid="{00000000-0005-0000-0000-0000B10E0000}"/>
    <cellStyle name="Percent 5 2 5" xfId="4494" xr:uid="{00000000-0005-0000-0000-000091110000}"/>
    <cellStyle name="Percent 5 3" xfId="3759" xr:uid="{00000000-0005-0000-0000-0000B20E0000}"/>
    <cellStyle name="Percent 5 3 2" xfId="3760" xr:uid="{00000000-0005-0000-0000-0000B30E0000}"/>
    <cellStyle name="Percent 5 3 2 2" xfId="3761" xr:uid="{00000000-0005-0000-0000-0000B40E0000}"/>
    <cellStyle name="Percent 5 3 3" xfId="3762" xr:uid="{00000000-0005-0000-0000-0000B50E0000}"/>
    <cellStyle name="Percent 5 3 3 2" xfId="3763" xr:uid="{00000000-0005-0000-0000-0000B60E0000}"/>
    <cellStyle name="Percent 5 3 4" xfId="3764" xr:uid="{00000000-0005-0000-0000-0000B70E0000}"/>
    <cellStyle name="Percent 5 4" xfId="3765" xr:uid="{00000000-0005-0000-0000-0000B80E0000}"/>
    <cellStyle name="Percent 5 4 2" xfId="3766" xr:uid="{00000000-0005-0000-0000-0000B90E0000}"/>
    <cellStyle name="Percent 5 4 2 2" xfId="3767" xr:uid="{00000000-0005-0000-0000-0000BA0E0000}"/>
    <cellStyle name="Percent 5 4 3" xfId="3768" xr:uid="{00000000-0005-0000-0000-0000BB0E0000}"/>
    <cellStyle name="Percent 5 4 3 2" xfId="3769" xr:uid="{00000000-0005-0000-0000-0000BC0E0000}"/>
    <cellStyle name="Percent 5 4 4" xfId="3770" xr:uid="{00000000-0005-0000-0000-0000BD0E0000}"/>
    <cellStyle name="Percent 5 5" xfId="3771" xr:uid="{00000000-0005-0000-0000-0000BE0E0000}"/>
    <cellStyle name="Percent 5 5 2" xfId="3772" xr:uid="{00000000-0005-0000-0000-0000BF0E0000}"/>
    <cellStyle name="Percent 5 6" xfId="3773" xr:uid="{00000000-0005-0000-0000-0000C00E0000}"/>
    <cellStyle name="Percent 5 6 2" xfId="3774" xr:uid="{00000000-0005-0000-0000-0000C10E0000}"/>
    <cellStyle name="Percent 5 7" xfId="3775" xr:uid="{00000000-0005-0000-0000-0000C20E0000}"/>
    <cellStyle name="Percent 5 8" xfId="3776" xr:uid="{00000000-0005-0000-0000-0000C30E0000}"/>
    <cellStyle name="Percent 5 9" xfId="3777" xr:uid="{00000000-0005-0000-0000-0000C40E0000}"/>
    <cellStyle name="Percent 6" xfId="3778" xr:uid="{00000000-0005-0000-0000-0000C50E0000}"/>
    <cellStyle name="Percent 6 2" xfId="3779" xr:uid="{00000000-0005-0000-0000-0000C60E0000}"/>
    <cellStyle name="Percent 6 2 2" xfId="3780" xr:uid="{00000000-0005-0000-0000-0000C70E0000}"/>
    <cellStyle name="Percent 6 2 2 2" xfId="3781" xr:uid="{00000000-0005-0000-0000-0000C80E0000}"/>
    <cellStyle name="Percent 6 2 3" xfId="3782" xr:uid="{00000000-0005-0000-0000-0000C90E0000}"/>
    <cellStyle name="Percent 6 2 3 2" xfId="3783" xr:uid="{00000000-0005-0000-0000-0000CA0E0000}"/>
    <cellStyle name="Percent 6 2 4" xfId="3784" xr:uid="{00000000-0005-0000-0000-0000CB0E0000}"/>
    <cellStyle name="Percent 6 3" xfId="3785" xr:uid="{00000000-0005-0000-0000-0000CC0E0000}"/>
    <cellStyle name="Percent 6 3 2" xfId="3786" xr:uid="{00000000-0005-0000-0000-0000CD0E0000}"/>
    <cellStyle name="Percent 6 3 2 2" xfId="3787" xr:uid="{00000000-0005-0000-0000-0000CE0E0000}"/>
    <cellStyle name="Percent 6 3 3" xfId="3788" xr:uid="{00000000-0005-0000-0000-0000CF0E0000}"/>
    <cellStyle name="Percent 6 3 3 2" xfId="3789" xr:uid="{00000000-0005-0000-0000-0000D00E0000}"/>
    <cellStyle name="Percent 6 3 4" xfId="3790" xr:uid="{00000000-0005-0000-0000-0000D10E0000}"/>
    <cellStyle name="Percent 6 4" xfId="3791" xr:uid="{00000000-0005-0000-0000-0000D20E0000}"/>
    <cellStyle name="Percent 6 4 2" xfId="3792" xr:uid="{00000000-0005-0000-0000-0000D30E0000}"/>
    <cellStyle name="Percent 6 4 2 2" xfId="3793" xr:uid="{00000000-0005-0000-0000-0000D40E0000}"/>
    <cellStyle name="Percent 6 4 3" xfId="3794" xr:uid="{00000000-0005-0000-0000-0000D50E0000}"/>
    <cellStyle name="Percent 6 4 3 2" xfId="3795" xr:uid="{00000000-0005-0000-0000-0000D60E0000}"/>
    <cellStyle name="Percent 6 4 4" xfId="3796" xr:uid="{00000000-0005-0000-0000-0000D70E0000}"/>
    <cellStyle name="Percent 6 5" xfId="3797" xr:uid="{00000000-0005-0000-0000-0000D80E0000}"/>
    <cellStyle name="Percent 6 5 2" xfId="3798" xr:uid="{00000000-0005-0000-0000-0000D90E0000}"/>
    <cellStyle name="Percent 6 5 2 2" xfId="3799" xr:uid="{00000000-0005-0000-0000-0000DA0E0000}"/>
    <cellStyle name="Percent 6 5 3" xfId="3800" xr:uid="{00000000-0005-0000-0000-0000DB0E0000}"/>
    <cellStyle name="Percent 6 5 3 2" xfId="3801" xr:uid="{00000000-0005-0000-0000-0000DC0E0000}"/>
    <cellStyle name="Percent 6 5 4" xfId="3802" xr:uid="{00000000-0005-0000-0000-0000DD0E0000}"/>
    <cellStyle name="Percent 6 6" xfId="3803" xr:uid="{00000000-0005-0000-0000-0000DE0E0000}"/>
    <cellStyle name="Percent 6 6 2" xfId="3804" xr:uid="{00000000-0005-0000-0000-0000DF0E0000}"/>
    <cellStyle name="Percent 6 7" xfId="3805" xr:uid="{00000000-0005-0000-0000-0000E00E0000}"/>
    <cellStyle name="Percent 6 7 2" xfId="3806" xr:uid="{00000000-0005-0000-0000-0000E10E0000}"/>
    <cellStyle name="Percent 6 8" xfId="3807" xr:uid="{00000000-0005-0000-0000-0000E20E0000}"/>
    <cellStyle name="Percent 6 9" xfId="4495" xr:uid="{00000000-0005-0000-0000-000092110000}"/>
    <cellStyle name="Percent 7" xfId="3808" xr:uid="{00000000-0005-0000-0000-0000E30E0000}"/>
    <cellStyle name="Percent 7 2" xfId="3809" xr:uid="{00000000-0005-0000-0000-0000E40E0000}"/>
    <cellStyle name="Percent 7 2 2" xfId="3810" xr:uid="{00000000-0005-0000-0000-0000E50E0000}"/>
    <cellStyle name="Percent 7 2 2 2" xfId="3811" xr:uid="{00000000-0005-0000-0000-0000E60E0000}"/>
    <cellStyle name="Percent 7 2 3" xfId="3812" xr:uid="{00000000-0005-0000-0000-0000E70E0000}"/>
    <cellStyle name="Percent 7 2 3 2" xfId="3813" xr:uid="{00000000-0005-0000-0000-0000E80E0000}"/>
    <cellStyle name="Percent 7 2 4" xfId="3814" xr:uid="{00000000-0005-0000-0000-0000E90E0000}"/>
    <cellStyle name="Percent 7 3" xfId="3815" xr:uid="{00000000-0005-0000-0000-0000EA0E0000}"/>
    <cellStyle name="Percent 7 3 2" xfId="3816" xr:uid="{00000000-0005-0000-0000-0000EB0E0000}"/>
    <cellStyle name="Percent 7 3 2 2" xfId="3817" xr:uid="{00000000-0005-0000-0000-0000EC0E0000}"/>
    <cellStyle name="Percent 7 3 3" xfId="3818" xr:uid="{00000000-0005-0000-0000-0000ED0E0000}"/>
    <cellStyle name="Percent 7 3 3 2" xfId="3819" xr:uid="{00000000-0005-0000-0000-0000EE0E0000}"/>
    <cellStyle name="Percent 7 3 4" xfId="3820" xr:uid="{00000000-0005-0000-0000-0000EF0E0000}"/>
    <cellStyle name="Percent 7 4" xfId="3821" xr:uid="{00000000-0005-0000-0000-0000F00E0000}"/>
    <cellStyle name="Percent 7 4 2" xfId="3822" xr:uid="{00000000-0005-0000-0000-0000F10E0000}"/>
    <cellStyle name="Percent 7 4 2 2" xfId="3823" xr:uid="{00000000-0005-0000-0000-0000F20E0000}"/>
    <cellStyle name="Percent 7 4 3" xfId="3824" xr:uid="{00000000-0005-0000-0000-0000F30E0000}"/>
    <cellStyle name="Percent 7 4 3 2" xfId="3825" xr:uid="{00000000-0005-0000-0000-0000F40E0000}"/>
    <cellStyle name="Percent 7 4 4" xfId="3826" xr:uid="{00000000-0005-0000-0000-0000F50E0000}"/>
    <cellStyle name="Percent 7 5" xfId="3827" xr:uid="{00000000-0005-0000-0000-0000F60E0000}"/>
    <cellStyle name="Percent 7 5 2" xfId="3828" xr:uid="{00000000-0005-0000-0000-0000F70E0000}"/>
    <cellStyle name="Percent 7 5 2 2" xfId="3829" xr:uid="{00000000-0005-0000-0000-0000F80E0000}"/>
    <cellStyle name="Percent 7 5 3" xfId="3830" xr:uid="{00000000-0005-0000-0000-0000F90E0000}"/>
    <cellStyle name="Percent 7 5 3 2" xfId="3831" xr:uid="{00000000-0005-0000-0000-0000FA0E0000}"/>
    <cellStyle name="Percent 7 5 4" xfId="3832" xr:uid="{00000000-0005-0000-0000-0000FB0E0000}"/>
    <cellStyle name="Percent 7 6" xfId="3833" xr:uid="{00000000-0005-0000-0000-0000FC0E0000}"/>
    <cellStyle name="Percent 7 6 2" xfId="3834" xr:uid="{00000000-0005-0000-0000-0000FD0E0000}"/>
    <cellStyle name="Percent 7 7" xfId="3835" xr:uid="{00000000-0005-0000-0000-0000FE0E0000}"/>
    <cellStyle name="Percent 7 7 2" xfId="3836" xr:uid="{00000000-0005-0000-0000-0000FF0E0000}"/>
    <cellStyle name="Percent 7 8" xfId="3837" xr:uid="{00000000-0005-0000-0000-0000000F0000}"/>
    <cellStyle name="Percent 7 9" xfId="4478" xr:uid="{00000000-0005-0000-0000-000081110000}"/>
    <cellStyle name="Percent 8" xfId="3838" xr:uid="{00000000-0005-0000-0000-0000010F0000}"/>
    <cellStyle name="Percent 8 2" xfId="3839" xr:uid="{00000000-0005-0000-0000-0000020F0000}"/>
    <cellStyle name="Percent 8 3" xfId="3840" xr:uid="{00000000-0005-0000-0000-0000030F0000}"/>
    <cellStyle name="Percent 8 3 2" xfId="3841" xr:uid="{00000000-0005-0000-0000-0000040F0000}"/>
    <cellStyle name="Percent 8 4" xfId="3842" xr:uid="{00000000-0005-0000-0000-0000050F0000}"/>
    <cellStyle name="Percent 8 4 2" xfId="3843" xr:uid="{00000000-0005-0000-0000-0000060F0000}"/>
    <cellStyle name="Percent 8 5" xfId="3844" xr:uid="{00000000-0005-0000-0000-0000070F0000}"/>
    <cellStyle name="Percent 9" xfId="3845" xr:uid="{00000000-0005-0000-0000-0000080F0000}"/>
    <cellStyle name="Percent 9 10" xfId="3846" xr:uid="{00000000-0005-0000-0000-0000090F0000}"/>
    <cellStyle name="Percent 9 10 2" xfId="3847" xr:uid="{00000000-0005-0000-0000-00000A0F0000}"/>
    <cellStyle name="Percent 9 11" xfId="3848" xr:uid="{00000000-0005-0000-0000-00000B0F0000}"/>
    <cellStyle name="Percent 9 2" xfId="3849" xr:uid="{00000000-0005-0000-0000-00000C0F0000}"/>
    <cellStyle name="Percent 9 2 2" xfId="3850" xr:uid="{00000000-0005-0000-0000-00000D0F0000}"/>
    <cellStyle name="Percent 9 2 2 2" xfId="3851" xr:uid="{00000000-0005-0000-0000-00000E0F0000}"/>
    <cellStyle name="Percent 9 2 3" xfId="3852" xr:uid="{00000000-0005-0000-0000-00000F0F0000}"/>
    <cellStyle name="Percent 9 2 3 2" xfId="3853" xr:uid="{00000000-0005-0000-0000-0000100F0000}"/>
    <cellStyle name="Percent 9 2 4" xfId="3854" xr:uid="{00000000-0005-0000-0000-0000110F0000}"/>
    <cellStyle name="Percent 9 3" xfId="3855" xr:uid="{00000000-0005-0000-0000-0000120F0000}"/>
    <cellStyle name="Percent 9 3 2" xfId="3856" xr:uid="{00000000-0005-0000-0000-0000130F0000}"/>
    <cellStyle name="Percent 9 3 2 2" xfId="3857" xr:uid="{00000000-0005-0000-0000-0000140F0000}"/>
    <cellStyle name="Percent 9 3 3" xfId="3858" xr:uid="{00000000-0005-0000-0000-0000150F0000}"/>
    <cellStyle name="Percent 9 3 3 2" xfId="3859" xr:uid="{00000000-0005-0000-0000-0000160F0000}"/>
    <cellStyle name="Percent 9 3 4" xfId="3860" xr:uid="{00000000-0005-0000-0000-0000170F0000}"/>
    <cellStyle name="Percent 9 4" xfId="3861" xr:uid="{00000000-0005-0000-0000-0000180F0000}"/>
    <cellStyle name="Percent 9 4 2" xfId="3862" xr:uid="{00000000-0005-0000-0000-0000190F0000}"/>
    <cellStyle name="Percent 9 4 2 2" xfId="3863" xr:uid="{00000000-0005-0000-0000-00001A0F0000}"/>
    <cellStyle name="Percent 9 4 3" xfId="3864" xr:uid="{00000000-0005-0000-0000-00001B0F0000}"/>
    <cellStyle name="Percent 9 4 3 2" xfId="3865" xr:uid="{00000000-0005-0000-0000-00001C0F0000}"/>
    <cellStyle name="Percent 9 4 4" xfId="3866" xr:uid="{00000000-0005-0000-0000-00001D0F0000}"/>
    <cellStyle name="Percent 9 5" xfId="3867" xr:uid="{00000000-0005-0000-0000-00001E0F0000}"/>
    <cellStyle name="Percent 9 5 2" xfId="3868" xr:uid="{00000000-0005-0000-0000-00001F0F0000}"/>
    <cellStyle name="Percent 9 5 2 2" xfId="3869" xr:uid="{00000000-0005-0000-0000-0000200F0000}"/>
    <cellStyle name="Percent 9 5 3" xfId="3870" xr:uid="{00000000-0005-0000-0000-0000210F0000}"/>
    <cellStyle name="Percent 9 5 3 2" xfId="3871" xr:uid="{00000000-0005-0000-0000-0000220F0000}"/>
    <cellStyle name="Percent 9 5 4" xfId="3872" xr:uid="{00000000-0005-0000-0000-0000230F0000}"/>
    <cellStyle name="Percent 9 6" xfId="3873" xr:uid="{00000000-0005-0000-0000-0000240F0000}"/>
    <cellStyle name="Percent 9 6 2" xfId="3874" xr:uid="{00000000-0005-0000-0000-0000250F0000}"/>
    <cellStyle name="Percent 9 6 2 2" xfId="3875" xr:uid="{00000000-0005-0000-0000-0000260F0000}"/>
    <cellStyle name="Percent 9 6 3" xfId="3876" xr:uid="{00000000-0005-0000-0000-0000270F0000}"/>
    <cellStyle name="Percent 9 6 3 2" xfId="3877" xr:uid="{00000000-0005-0000-0000-0000280F0000}"/>
    <cellStyle name="Percent 9 6 4" xfId="3878" xr:uid="{00000000-0005-0000-0000-0000290F0000}"/>
    <cellStyle name="Percent 9 7" xfId="3879" xr:uid="{00000000-0005-0000-0000-00002A0F0000}"/>
    <cellStyle name="Percent 9 7 2" xfId="3880" xr:uid="{00000000-0005-0000-0000-00002B0F0000}"/>
    <cellStyle name="Percent 9 7 2 2" xfId="3881" xr:uid="{00000000-0005-0000-0000-00002C0F0000}"/>
    <cellStyle name="Percent 9 7 3" xfId="3882" xr:uid="{00000000-0005-0000-0000-00002D0F0000}"/>
    <cellStyle name="Percent 9 7 3 2" xfId="3883" xr:uid="{00000000-0005-0000-0000-00002E0F0000}"/>
    <cellStyle name="Percent 9 7 4" xfId="3884" xr:uid="{00000000-0005-0000-0000-00002F0F0000}"/>
    <cellStyle name="Percent 9 8" xfId="3885" xr:uid="{00000000-0005-0000-0000-0000300F0000}"/>
    <cellStyle name="Percent 9 8 2" xfId="3886" xr:uid="{00000000-0005-0000-0000-0000310F0000}"/>
    <cellStyle name="Percent 9 8 2 2" xfId="3887" xr:uid="{00000000-0005-0000-0000-0000320F0000}"/>
    <cellStyle name="Percent 9 8 3" xfId="3888" xr:uid="{00000000-0005-0000-0000-0000330F0000}"/>
    <cellStyle name="Percent 9 8 3 2" xfId="3889" xr:uid="{00000000-0005-0000-0000-0000340F0000}"/>
    <cellStyle name="Percent 9 8 4" xfId="3890" xr:uid="{00000000-0005-0000-0000-0000350F0000}"/>
    <cellStyle name="Percent 9 9" xfId="3891" xr:uid="{00000000-0005-0000-0000-0000360F0000}"/>
    <cellStyle name="Percent 9 9 2" xfId="3892" xr:uid="{00000000-0005-0000-0000-0000370F0000}"/>
    <cellStyle name="Result" xfId="53" xr:uid="{00000000-0005-0000-0000-000038000000}"/>
    <cellStyle name="Result 2" xfId="3893" xr:uid="{00000000-0005-0000-0000-0000380F0000}"/>
    <cellStyle name="Result 3" xfId="3894" xr:uid="{00000000-0005-0000-0000-0000390F0000}"/>
    <cellStyle name="Result 4" xfId="4548" xr:uid="{00000000-0005-0000-0000-0000C7110000}"/>
    <cellStyle name="Result_AGL" xfId="3895" xr:uid="{00000000-0005-0000-0000-00003A0F0000}"/>
    <cellStyle name="Result2" xfId="54" xr:uid="{00000000-0005-0000-0000-000039000000}"/>
    <cellStyle name="Result2 2" xfId="3896" xr:uid="{00000000-0005-0000-0000-00003B0F0000}"/>
    <cellStyle name="Result2 3" xfId="3897" xr:uid="{00000000-0005-0000-0000-00003C0F0000}"/>
    <cellStyle name="Result2 4" xfId="4549" xr:uid="{00000000-0005-0000-0000-0000C8110000}"/>
    <cellStyle name="Result2_AGL" xfId="3898" xr:uid="{00000000-0005-0000-0000-00003D0F0000}"/>
    <cellStyle name="Standard_Sce_D_Extraction" xfId="4496" xr:uid="{00000000-0005-0000-0000-000093110000}"/>
    <cellStyle name="Style 1" xfId="3899" xr:uid="{00000000-0005-0000-0000-00003E0F0000}"/>
    <cellStyle name="Style 1 2" xfId="3900" xr:uid="{00000000-0005-0000-0000-00003F0F0000}"/>
    <cellStyle name="Style 1 3" xfId="3901" xr:uid="{00000000-0005-0000-0000-0000400F0000}"/>
    <cellStyle name="Style 1_AGL" xfId="3902" xr:uid="{00000000-0005-0000-0000-0000410F0000}"/>
    <cellStyle name="Table_HeaderRow" xfId="3903" xr:uid="{00000000-0005-0000-0000-0000420F0000}"/>
    <cellStyle name="Title 2" xfId="3904" xr:uid="{00000000-0005-0000-0000-0000430F0000}"/>
    <cellStyle name="Total 2" xfId="3905" xr:uid="{00000000-0005-0000-0000-0000440F0000}"/>
    <cellStyle name="Total 2 2" xfId="3906" xr:uid="{00000000-0005-0000-0000-0000450F0000}"/>
    <cellStyle name="Total 2 2 2" xfId="3907" xr:uid="{00000000-0005-0000-0000-0000460F0000}"/>
    <cellStyle name="Total 2 2 2 2" xfId="4417" xr:uid="{00000000-0005-0000-0000-000044110000}"/>
    <cellStyle name="Total 2 2 3" xfId="4416" xr:uid="{00000000-0005-0000-0000-000043110000}"/>
    <cellStyle name="Total 2 2_Sheet10" xfId="3908" xr:uid="{00000000-0005-0000-0000-0000470F0000}"/>
    <cellStyle name="Total 2 3" xfId="3909" xr:uid="{00000000-0005-0000-0000-0000480F0000}"/>
    <cellStyle name="Total 2 3 2" xfId="4418" xr:uid="{00000000-0005-0000-0000-000045110000}"/>
    <cellStyle name="Total 2_AGL" xfId="3910" xr:uid="{00000000-0005-0000-0000-0000490F0000}"/>
    <cellStyle name="Total 3" xfId="3911" xr:uid="{00000000-0005-0000-0000-00004A0F0000}"/>
    <cellStyle name="Total 3 2" xfId="3912" xr:uid="{00000000-0005-0000-0000-00004B0F0000}"/>
    <cellStyle name="Total 3 2 2" xfId="4420" xr:uid="{00000000-0005-0000-0000-000047110000}"/>
    <cellStyle name="Total 3 3" xfId="4419" xr:uid="{00000000-0005-0000-0000-000046110000}"/>
    <cellStyle name="Total 3_Sheet10" xfId="3913" xr:uid="{00000000-0005-0000-0000-00004C0F0000}"/>
    <cellStyle name="Total 4" xfId="3914" xr:uid="{00000000-0005-0000-0000-00004D0F0000}"/>
    <cellStyle name="Total 4 2" xfId="4421" xr:uid="{00000000-0005-0000-0000-000048110000}"/>
    <cellStyle name="Update" xfId="3915" xr:uid="{00000000-0005-0000-0000-00004E0F0000}"/>
    <cellStyle name="Warning Text 2" xfId="3916" xr:uid="{00000000-0005-0000-0000-00004F0F0000}"/>
    <cellStyle name="Warning Text 2 2" xfId="3917" xr:uid="{00000000-0005-0000-0000-0000500F0000}"/>
    <cellStyle name="Warning Text 2 3" xfId="3918" xr:uid="{00000000-0005-0000-0000-0000510F0000}"/>
    <cellStyle name="Warning Text 2_AGL" xfId="3919" xr:uid="{00000000-0005-0000-0000-0000520F0000}"/>
    <cellStyle name="Warning Text 3" xfId="3920" xr:uid="{00000000-0005-0000-0000-0000530F0000}"/>
    <cellStyle name="Warning Text 4" xfId="3921" xr:uid="{00000000-0005-0000-0000-0000540F0000}"/>
    <cellStyle name="Обычный_2++" xfId="55" xr:uid="{00000000-0005-0000-0000-00003A000000}"/>
    <cellStyle name="標準 2" xfId="3922" xr:uid="{00000000-0005-0000-0000-0000550F0000}"/>
    <cellStyle name="標準_Sheet1 2" xfId="3923" xr:uid="{00000000-0005-0000-0000-0000560F0000}"/>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118.6298855621762</c:v>
                </c:pt>
                <c:pt idx="1">
                  <c:v>103.01340323587007</c:v>
                </c:pt>
                <c:pt idx="2">
                  <c:v>105.08628865644404</c:v>
                </c:pt>
                <c:pt idx="3">
                  <c:v>112.37294178157305</c:v>
                </c:pt>
                <c:pt idx="4">
                  <c:v>110.63098276354111</c:v>
                </c:pt>
                <c:pt idx="5">
                  <c:v>111.70734132371921</c:v>
                </c:pt>
                <c:pt idx="6">
                  <c:v>114.09436983728534</c:v>
                </c:pt>
                <c:pt idx="7">
                  <c:v>120.0942881294018</c:v>
                </c:pt>
                <c:pt idx="8">
                  <c:v>122.0392262137738</c:v>
                </c:pt>
                <c:pt idx="9">
                  <c:v>125.07309796709416</c:v>
                </c:pt>
                <c:pt idx="10">
                  <c:v>127.73812961776495</c:v>
                </c:pt>
                <c:pt idx="11">
                  <c:v>132.81639090471981</c:v>
                </c:pt>
                <c:pt idx="12">
                  <c:v>137.24609083041679</c:v>
                </c:pt>
                <c:pt idx="13">
                  <c:v>142.42893443084859</c:v>
                </c:pt>
                <c:pt idx="14">
                  <c:v>146.02843763856137</c:v>
                </c:pt>
                <c:pt idx="15">
                  <c:v>149.97560519541196</c:v>
                </c:pt>
                <c:pt idx="16">
                  <c:v>155.70353655801125</c:v>
                </c:pt>
                <c:pt idx="17">
                  <c:v>161.96653340434426</c:v>
                </c:pt>
                <c:pt idx="18">
                  <c:v>167.64064710917569</c:v>
                </c:pt>
                <c:pt idx="19">
                  <c:v>173.70887454210862</c:v>
                </c:pt>
                <c:pt idx="20">
                  <c:v>179.66376961958719</c:v>
                </c:pt>
                <c:pt idx="21">
                  <c:v>186.22903430354478</c:v>
                </c:pt>
                <c:pt idx="22">
                  <c:v>192.02714628976094</c:v>
                </c:pt>
                <c:pt idx="23">
                  <c:v>199.35926022445523</c:v>
                </c:pt>
                <c:pt idx="24">
                  <c:v>205.97353504510608</c:v>
                </c:pt>
                <c:pt idx="25">
                  <c:v>212.10240542066816</c:v>
                </c:pt>
                <c:pt idx="26">
                  <c:v>219.03924575152689</c:v>
                </c:pt>
                <c:pt idx="27">
                  <c:v>227.26326282595977</c:v>
                </c:pt>
                <c:pt idx="28">
                  <c:v>234.97138917578309</c:v>
                </c:pt>
                <c:pt idx="29">
                  <c:v>241.41852857552706</c:v>
                </c:pt>
                <c:pt idx="30">
                  <c:v>246.17462559831324</c:v>
                </c:pt>
                <c:pt idx="31">
                  <c:v>249.55328068948489</c:v>
                </c:pt>
                <c:pt idx="32">
                  <c:v>257.89947640984656</c:v>
                </c:pt>
                <c:pt idx="33">
                  <c:v>266.34506091226706</c:v>
                </c:pt>
                <c:pt idx="34">
                  <c:v>273.8777940903164</c:v>
                </c:pt>
                <c:pt idx="35">
                  <c:v>280.2646726314677</c:v>
                </c:pt>
                <c:pt idx="36">
                  <c:v>289.70252895062958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45402086"/>
        <c:axId val="5965595"/>
      </c:lineChart>
      <c:catAx>
        <c:axId val="4540208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965595"/>
        <c:crosses val="autoZero"/>
        <c:auto val="1"/>
        <c:lblAlgn val="ctr"/>
        <c:lblOffset val="100"/>
        <c:noMultiLvlLbl val="0"/>
      </c:catAx>
      <c:valAx>
        <c:axId val="59655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5402086"/>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23.803114612570383</c:v>
                </c:pt>
                <c:pt idx="2">
                  <c:v>17.440135720439955</c:v>
                </c:pt>
                <c:pt idx="3" formatCode="0.000">
                  <c:v>13.288634080682025</c:v>
                </c:pt>
                <c:pt idx="4" formatCode="0.000">
                  <c:v>11.532961321259215</c:v>
                </c:pt>
                <c:pt idx="5" formatCode="0.000">
                  <c:v>10.067922661841489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21.347980188376898</c:v>
                </c:pt>
                <c:pt idx="2">
                  <c:v>24.863346506211318</c:v>
                </c:pt>
                <c:pt idx="3" formatCode="0.000">
                  <c:v>27.460718354102966</c:v>
                </c:pt>
                <c:pt idx="4" formatCode="0.000">
                  <c:v>28.253475889590398</c:v>
                </c:pt>
                <c:pt idx="5" formatCode="0.000">
                  <c:v>29.706591891277423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19.50818319905272</c:v>
                </c:pt>
                <c:pt idx="2">
                  <c:v>27.410454773348725</c:v>
                </c:pt>
                <c:pt idx="3" formatCode="0.000">
                  <c:v>32.780400565215011</c:v>
                </c:pt>
                <c:pt idx="4" formatCode="0.000">
                  <c:v>35.012612789150403</c:v>
                </c:pt>
                <c:pt idx="5" formatCode="0.000">
                  <c:v>35.888683446881096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3690358"/>
        <c:axId val="13451176"/>
      </c:areaChart>
      <c:catAx>
        <c:axId val="53690358"/>
        <c:scaling>
          <c:orientation val="minMax"/>
        </c:scaling>
        <c:delete val="0"/>
        <c:axPos val="b"/>
        <c:numFmt formatCode="General" sourceLinked="1"/>
        <c:majorTickMark val="out"/>
        <c:minorTickMark val="none"/>
        <c:tickLblPos val="nextTo"/>
        <c:spPr>
          <a:ln w="9525" cap="flat" cmpd="sng"/>
          <a:effectLst/>
        </c:spPr>
        <c:crossAx val="13451176"/>
        <c:crosses val="autoZero"/>
        <c:auto val="1"/>
        <c:lblAlgn val="ctr"/>
        <c:lblOffset val="100"/>
        <c:noMultiLvlLbl val="0"/>
      </c:catAx>
      <c:valAx>
        <c:axId val="13451176"/>
        <c:scaling>
          <c:orientation val="minMax"/>
        </c:scaling>
        <c:delete val="0"/>
        <c:axPos val="l"/>
        <c:majorGridlines/>
        <c:numFmt formatCode="0.0" sourceLinked="1"/>
        <c:majorTickMark val="out"/>
        <c:minorTickMark val="none"/>
        <c:tickLblPos val="nextTo"/>
        <c:spPr>
          <a:ln w="9525" cap="flat" cmpd="sng"/>
          <a:effectLst/>
        </c:spPr>
        <c:crossAx val="5369035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7.7136418094567247</c:v>
                </c:pt>
                <c:pt idx="10">
                  <c:v>10.829882775291484</c:v>
                </c:pt>
                <c:pt idx="11">
                  <c:v>12.709954020393408</c:v>
                </c:pt>
                <c:pt idx="12">
                  <c:v>14.85231173131001</c:v>
                </c:pt>
                <c:pt idx="13">
                  <c:v>16.99671815530921</c:v>
                </c:pt>
                <c:pt idx="14">
                  <c:v>19.295488869298801</c:v>
                </c:pt>
                <c:pt idx="15">
                  <c:v>21.937334463914564</c:v>
                </c:pt>
                <c:pt idx="16">
                  <c:v>24.745052872335716</c:v>
                </c:pt>
                <c:pt idx="17">
                  <c:v>27.704213825297945</c:v>
                </c:pt>
                <c:pt idx="18">
                  <c:v>30.929711106979937</c:v>
                </c:pt>
                <c:pt idx="19">
                  <c:v>30.929711106979937</c:v>
                </c:pt>
                <c:pt idx="20">
                  <c:v>30.929711106979937</c:v>
                </c:pt>
                <c:pt idx="21">
                  <c:v>30.929711106979937</c:v>
                </c:pt>
                <c:pt idx="22">
                  <c:v>30.929711106979937</c:v>
                </c:pt>
                <c:pt idx="23">
                  <c:v>30.929711106979937</c:v>
                </c:pt>
                <c:pt idx="24">
                  <c:v>30.929711106979937</c:v>
                </c:pt>
                <c:pt idx="25">
                  <c:v>30.929711106979937</c:v>
                </c:pt>
                <c:pt idx="26">
                  <c:v>30.929711106979937</c:v>
                </c:pt>
                <c:pt idx="27">
                  <c:v>30.929711106979937</c:v>
                </c:pt>
                <c:pt idx="28">
                  <c:v>30.929711106979937</c:v>
                </c:pt>
                <c:pt idx="29">
                  <c:v>30.929711106979937</c:v>
                </c:pt>
                <c:pt idx="30">
                  <c:v>30.929711106979937</c:v>
                </c:pt>
                <c:pt idx="31">
                  <c:v>30.929711106979937</c:v>
                </c:pt>
                <c:pt idx="32">
                  <c:v>30.929711106979937</c:v>
                </c:pt>
                <c:pt idx="33">
                  <c:v>30.929711106979937</c:v>
                </c:pt>
                <c:pt idx="34">
                  <c:v>30.929711106979937</c:v>
                </c:pt>
                <c:pt idx="35">
                  <c:v>30.929711106979937</c:v>
                </c:pt>
                <c:pt idx="36">
                  <c:v>30.929711106979937</c:v>
                </c:pt>
                <c:pt idx="37">
                  <c:v>30.929711106979937</c:v>
                </c:pt>
                <c:pt idx="38">
                  <c:v>30.929711106979937</c:v>
                </c:pt>
                <c:pt idx="39">
                  <c:v>30.929711106979937</c:v>
                </c:pt>
                <c:pt idx="40">
                  <c:v>30.929711106979937</c:v>
                </c:pt>
                <c:pt idx="41">
                  <c:v>30.929711106979937</c:v>
                </c:pt>
                <c:pt idx="42">
                  <c:v>30.929711106979937</c:v>
                </c:pt>
                <c:pt idx="43">
                  <c:v>30.929711106979937</c:v>
                </c:pt>
                <c:pt idx="44">
                  <c:v>30.929711106979937</c:v>
                </c:pt>
                <c:pt idx="45">
                  <c:v>30.929711106979937</c:v>
                </c:pt>
                <c:pt idx="46">
                  <c:v>30.929711106979937</c:v>
                </c:pt>
                <c:pt idx="47">
                  <c:v>30.929711106979937</c:v>
                </c:pt>
                <c:pt idx="48">
                  <c:v>30.929711106979937</c:v>
                </c:pt>
                <c:pt idx="49">
                  <c:v>30.929711106979937</c:v>
                </c:pt>
                <c:pt idx="50">
                  <c:v>30.929711106979937</c:v>
                </c:pt>
                <c:pt idx="51">
                  <c:v>30.929711106979937</c:v>
                </c:pt>
                <c:pt idx="52">
                  <c:v>30.929711106979937</c:v>
                </c:pt>
                <c:pt idx="53">
                  <c:v>30.929711106979937</c:v>
                </c:pt>
                <c:pt idx="54">
                  <c:v>30.929711106979937</c:v>
                </c:pt>
                <c:pt idx="55">
                  <c:v>30.929711106979937</c:v>
                </c:pt>
                <c:pt idx="56">
                  <c:v>30.929711106979937</c:v>
                </c:pt>
                <c:pt idx="57">
                  <c:v>30.929711106979937</c:v>
                </c:pt>
                <c:pt idx="58">
                  <c:v>30.929711106979937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3.3003661074274362</c:v>
                </c:pt>
                <c:pt idx="20">
                  <c:v>6.6902032515554666</c:v>
                </c:pt>
                <c:pt idx="21">
                  <c:v>10.088872313400593</c:v>
                </c:pt>
                <c:pt idx="22">
                  <c:v>13.560933521123864</c:v>
                </c:pt>
                <c:pt idx="23">
                  <c:v>17.14978379493521</c:v>
                </c:pt>
                <c:pt idx="24">
                  <c:v>20.739475823595463</c:v>
                </c:pt>
                <c:pt idx="25">
                  <c:v>24.38639947966881</c:v>
                </c:pt>
                <c:pt idx="26">
                  <c:v>28.113699491123647</c:v>
                </c:pt>
                <c:pt idx="27">
                  <c:v>31.891069232492775</c:v>
                </c:pt>
                <c:pt idx="28">
                  <c:v>35.67847913590856</c:v>
                </c:pt>
                <c:pt idx="29">
                  <c:v>35.67847913590856</c:v>
                </c:pt>
                <c:pt idx="30">
                  <c:v>35.67847913590856</c:v>
                </c:pt>
                <c:pt idx="31">
                  <c:v>35.67847913590856</c:v>
                </c:pt>
                <c:pt idx="32">
                  <c:v>35.67847913590856</c:v>
                </c:pt>
                <c:pt idx="33">
                  <c:v>35.67847913590856</c:v>
                </c:pt>
                <c:pt idx="34">
                  <c:v>35.67847913590856</c:v>
                </c:pt>
                <c:pt idx="35">
                  <c:v>35.67847913590856</c:v>
                </c:pt>
                <c:pt idx="36">
                  <c:v>35.67847913590856</c:v>
                </c:pt>
                <c:pt idx="37">
                  <c:v>35.67847913590856</c:v>
                </c:pt>
                <c:pt idx="38">
                  <c:v>35.67847913590856</c:v>
                </c:pt>
                <c:pt idx="39">
                  <c:v>35.67847913590856</c:v>
                </c:pt>
                <c:pt idx="40">
                  <c:v>35.67847913590856</c:v>
                </c:pt>
                <c:pt idx="41">
                  <c:v>35.67847913590856</c:v>
                </c:pt>
                <c:pt idx="42">
                  <c:v>35.67847913590856</c:v>
                </c:pt>
                <c:pt idx="43">
                  <c:v>35.67847913590856</c:v>
                </c:pt>
                <c:pt idx="44">
                  <c:v>35.67847913590856</c:v>
                </c:pt>
                <c:pt idx="45">
                  <c:v>35.67847913590856</c:v>
                </c:pt>
                <c:pt idx="46">
                  <c:v>35.67847913590856</c:v>
                </c:pt>
                <c:pt idx="47">
                  <c:v>35.67847913590856</c:v>
                </c:pt>
                <c:pt idx="48">
                  <c:v>35.67847913590856</c:v>
                </c:pt>
                <c:pt idx="49">
                  <c:v>35.67847913590856</c:v>
                </c:pt>
                <c:pt idx="50">
                  <c:v>35.67847913590856</c:v>
                </c:pt>
                <c:pt idx="51">
                  <c:v>35.67847913590856</c:v>
                </c:pt>
                <c:pt idx="52">
                  <c:v>35.67847913590856</c:v>
                </c:pt>
                <c:pt idx="53">
                  <c:v>35.67847913590856</c:v>
                </c:pt>
                <c:pt idx="54">
                  <c:v>35.67847913590856</c:v>
                </c:pt>
                <c:pt idx="55">
                  <c:v>35.67847913590856</c:v>
                </c:pt>
                <c:pt idx="56">
                  <c:v>35.67847913590856</c:v>
                </c:pt>
                <c:pt idx="57">
                  <c:v>35.67847913590856</c:v>
                </c:pt>
                <c:pt idx="58">
                  <c:v>35.67847913590856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3.8592724504482732</c:v>
                </c:pt>
                <c:pt idx="30">
                  <c:v>7.6588201160857921</c:v>
                </c:pt>
                <c:pt idx="31">
                  <c:v>11.402139009976068</c:v>
                </c:pt>
                <c:pt idx="32">
                  <c:v>15.092401235669271</c:v>
                </c:pt>
                <c:pt idx="33">
                  <c:v>18.732495275332738</c:v>
                </c:pt>
                <c:pt idx="34">
                  <c:v>22.384874479110607</c:v>
                </c:pt>
                <c:pt idx="35">
                  <c:v>25.989976761319113</c:v>
                </c:pt>
                <c:pt idx="36">
                  <c:v>29.550184139412039</c:v>
                </c:pt>
                <c:pt idx="37">
                  <c:v>33.067687702732655</c:v>
                </c:pt>
                <c:pt idx="38">
                  <c:v>36.544508254472461</c:v>
                </c:pt>
                <c:pt idx="39">
                  <c:v>39.990538522868093</c:v>
                </c:pt>
                <c:pt idx="40">
                  <c:v>43.399232854689714</c:v>
                </c:pt>
                <c:pt idx="41">
                  <c:v>46.772215668240449</c:v>
                </c:pt>
                <c:pt idx="42">
                  <c:v>50.110998464665414</c:v>
                </c:pt>
                <c:pt idx="43">
                  <c:v>53.416990457976624</c:v>
                </c:pt>
                <c:pt idx="44">
                  <c:v>56.691507956074162</c:v>
                </c:pt>
                <c:pt idx="45">
                  <c:v>59.935782667227102</c:v>
                </c:pt>
                <c:pt idx="46">
                  <c:v>63.150969078425931</c:v>
                </c:pt>
                <c:pt idx="47">
                  <c:v>66.338151029042933</c:v>
                </c:pt>
                <c:pt idx="48">
                  <c:v>69.498347584318992</c:v>
                </c:pt>
                <c:pt idx="49">
                  <c:v>71.404708651419753</c:v>
                </c:pt>
                <c:pt idx="50">
                  <c:v>73.307150746999014</c:v>
                </c:pt>
                <c:pt idx="51">
                  <c:v>75.205727574094851</c:v>
                </c:pt>
                <c:pt idx="52">
                  <c:v>77.100491637677237</c:v>
                </c:pt>
                <c:pt idx="53">
                  <c:v>78.991494281507784</c:v>
                </c:pt>
                <c:pt idx="54">
                  <c:v>80.878785723559361</c:v>
                </c:pt>
                <c:pt idx="55">
                  <c:v>82.762415090062859</c:v>
                </c:pt>
                <c:pt idx="56">
                  <c:v>84.6424304482465</c:v>
                </c:pt>
                <c:pt idx="57">
                  <c:v>86.518878837827174</c:v>
                </c:pt>
                <c:pt idx="58">
                  <c:v>88.39180630131267</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43633793"/>
        <c:axId val="57159821"/>
      </c:areaChart>
      <c:dateAx>
        <c:axId val="43633793"/>
        <c:scaling>
          <c:orientation val="minMax"/>
        </c:scaling>
        <c:delete val="0"/>
        <c:axPos val="b"/>
        <c:numFmt formatCode="General" sourceLinked="1"/>
        <c:majorTickMark val="out"/>
        <c:minorTickMark val="none"/>
        <c:tickLblPos val="nextTo"/>
        <c:spPr>
          <a:ln w="9525" cap="flat" cmpd="sng"/>
          <a:effectLst/>
        </c:spPr>
        <c:crossAx val="57159821"/>
        <c:crosses val="autoZero"/>
        <c:auto val="0"/>
        <c:lblOffset val="100"/>
        <c:baseTimeUnit val="days"/>
      </c:dateAx>
      <c:valAx>
        <c:axId val="57159821"/>
        <c:scaling>
          <c:orientation val="minMax"/>
        </c:scaling>
        <c:delete val="0"/>
        <c:axPos val="l"/>
        <c:majorGridlines/>
        <c:numFmt formatCode="0.00" sourceLinked="1"/>
        <c:majorTickMark val="out"/>
        <c:minorTickMark val="none"/>
        <c:tickLblPos val="nextTo"/>
        <c:spPr>
          <a:ln w="9525" cap="flat" cmpd="sng"/>
          <a:effectLst/>
        </c:spPr>
        <c:crossAx val="43633793"/>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7.1917286123115618</c:v>
                </c:pt>
                <c:pt idx="10">
                  <c:v>10.205459457953769</c:v>
                </c:pt>
                <c:pt idx="11">
                  <c:v>12.104276183044473</c:v>
                </c:pt>
                <c:pt idx="12">
                  <c:v>14.293119281054754</c:v>
                </c:pt>
                <c:pt idx="13">
                  <c:v>16.526817125544348</c:v>
                </c:pt>
                <c:pt idx="14">
                  <c:v>18.955059480624989</c:v>
                </c:pt>
                <c:pt idx="15">
                  <c:v>21.769747920407127</c:v>
                </c:pt>
                <c:pt idx="16">
                  <c:v>24.803557394929335</c:v>
                </c:pt>
                <c:pt idx="17">
                  <c:v>28.046857149372503</c:v>
                </c:pt>
                <c:pt idx="18">
                  <c:v>31.621656240192273</c:v>
                </c:pt>
                <c:pt idx="19">
                  <c:v>34.724467973747593</c:v>
                </c:pt>
                <c:pt idx="20">
                  <c:v>37.86500059919149</c:v>
                </c:pt>
                <c:pt idx="21">
                  <c:v>40.960600908550944</c:v>
                </c:pt>
                <c:pt idx="22">
                  <c:v>44.075015944502361</c:v>
                </c:pt>
                <c:pt idx="23">
                  <c:v>47.24914750962936</c:v>
                </c:pt>
                <c:pt idx="24">
                  <c:v>50.367192170748794</c:v>
                </c:pt>
                <c:pt idx="25">
                  <c:v>53.483651749809965</c:v>
                </c:pt>
                <c:pt idx="26">
                  <c:v>56.619359498490226</c:v>
                </c:pt>
                <c:pt idx="27">
                  <c:v>59.743581564299944</c:v>
                </c:pt>
                <c:pt idx="28">
                  <c:v>62.81737563406007</c:v>
                </c:pt>
                <c:pt idx="29">
                  <c:v>82.229613656649164</c:v>
                </c:pt>
                <c:pt idx="30">
                  <c:v>101.50253119469508</c:v>
                </c:pt>
                <c:pt idx="31">
                  <c:v>139.49797088309612</c:v>
                </c:pt>
                <c:pt idx="32">
                  <c:v>165.20400313695853</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0.65316093726803881</c:v>
                </c:pt>
                <c:pt idx="10">
                  <c:v>0.90117700952821456</c:v>
                </c:pt>
                <c:pt idx="11">
                  <c:v>1.0390142142263863</c:v>
                </c:pt>
                <c:pt idx="12">
                  <c:v>1.1924039793403594</c:v>
                </c:pt>
                <c:pt idx="13">
                  <c:v>1.3396823836969087</c:v>
                </c:pt>
                <c:pt idx="14">
                  <c:v>1.4926229619715241</c:v>
                </c:pt>
                <c:pt idx="15">
                  <c:v>1.6648693787524804</c:v>
                </c:pt>
                <c:pt idx="16">
                  <c:v>1.8417260407143445</c:v>
                </c:pt>
                <c:pt idx="17">
                  <c:v>2.0214115416406555</c:v>
                </c:pt>
                <c:pt idx="18">
                  <c:v>2.2114756545018097</c:v>
                </c:pt>
                <c:pt idx="19">
                  <c:v>2.5041992491847194</c:v>
                </c:pt>
                <c:pt idx="20">
                  <c:v>2.8145595007803763</c:v>
                </c:pt>
                <c:pt idx="21">
                  <c:v>3.1368346340326294</c:v>
                </c:pt>
                <c:pt idx="22">
                  <c:v>3.4761127498929412</c:v>
                </c:pt>
                <c:pt idx="23">
                  <c:v>3.836221463944951</c:v>
                </c:pt>
                <c:pt idx="24">
                  <c:v>4.2082980659291858</c:v>
                </c:pt>
                <c:pt idx="25">
                  <c:v>4.5970330100368715</c:v>
                </c:pt>
                <c:pt idx="26">
                  <c:v>5.0046727425549635</c:v>
                </c:pt>
                <c:pt idx="27">
                  <c:v>5.428997900724819</c:v>
                </c:pt>
                <c:pt idx="28">
                  <c:v>5.8667317705726347</c:v>
                </c:pt>
                <c:pt idx="29">
                  <c:v>7.2611564070254566</c:v>
                </c:pt>
                <c:pt idx="30">
                  <c:v>8.4678522392308739</c:v>
                </c:pt>
                <c:pt idx="31">
                  <c:v>10.358072493856554</c:v>
                </c:pt>
                <c:pt idx="32">
                  <c:v>10.867810059098403</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0.50126849336187362</c:v>
                </c:pt>
                <c:pt idx="10">
                  <c:v>0.71035272273862615</c:v>
                </c:pt>
                <c:pt idx="11">
                  <c:v>0.84138817209163819</c:v>
                </c:pt>
                <c:pt idx="12">
                  <c:v>0.99222933902116983</c:v>
                </c:pt>
                <c:pt idx="13">
                  <c:v>1.1458104638122655</c:v>
                </c:pt>
                <c:pt idx="14">
                  <c:v>1.3124959165115861</c:v>
                </c:pt>
                <c:pt idx="15">
                  <c:v>1.5055177559806767</c:v>
                </c:pt>
                <c:pt idx="16">
                  <c:v>1.7132323210726008</c:v>
                </c:pt>
                <c:pt idx="17">
                  <c:v>1.9349339378321841</c:v>
                </c:pt>
                <c:pt idx="18">
                  <c:v>2.1789927387601393</c:v>
                </c:pt>
                <c:pt idx="19">
                  <c:v>2.3907171130874225</c:v>
                </c:pt>
                <c:pt idx="20">
                  <c:v>2.604627823086255</c:v>
                </c:pt>
                <c:pt idx="21">
                  <c:v>2.81502776766881</c:v>
                </c:pt>
                <c:pt idx="22">
                  <c:v>3.0262923003866025</c:v>
                </c:pt>
                <c:pt idx="23">
                  <c:v>3.2412132654099777</c:v>
                </c:pt>
                <c:pt idx="24">
                  <c:v>3.4518318847165848</c:v>
                </c:pt>
                <c:pt idx="25">
                  <c:v>3.6618795865855285</c:v>
                </c:pt>
                <c:pt idx="26">
                  <c:v>3.8727702181438133</c:v>
                </c:pt>
                <c:pt idx="27">
                  <c:v>4.082387890241244</c:v>
                </c:pt>
                <c:pt idx="28">
                  <c:v>4.2880643891125363</c:v>
                </c:pt>
                <c:pt idx="29">
                  <c:v>5.5976587721299413</c:v>
                </c:pt>
                <c:pt idx="30">
                  <c:v>6.8912594685527075</c:v>
                </c:pt>
                <c:pt idx="31">
                  <c:v>9.4233833695119706</c:v>
                </c:pt>
                <c:pt idx="32">
                  <c:v>11.107966763906996</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6.2467188180737221</c:v>
                </c:pt>
                <c:pt idx="10">
                  <c:v>8.848124590542696</c:v>
                </c:pt>
                <c:pt idx="11">
                  <c:v>10.475454356489587</c:v>
                </c:pt>
                <c:pt idx="12">
                  <c:v>12.347850869938128</c:v>
                </c:pt>
                <c:pt idx="13">
                  <c:v>14.252741381095079</c:v>
                </c:pt>
                <c:pt idx="14">
                  <c:v>16.318989592409707</c:v>
                </c:pt>
                <c:pt idx="15">
                  <c:v>18.710877562290896</c:v>
                </c:pt>
                <c:pt idx="16">
                  <c:v>21.283385270832824</c:v>
                </c:pt>
                <c:pt idx="17">
                  <c:v>24.027571766031677</c:v>
                </c:pt>
                <c:pt idx="18">
                  <c:v>27.047171786392191</c:v>
                </c:pt>
                <c:pt idx="19">
                  <c:v>29.701121387919876</c:v>
                </c:pt>
                <c:pt idx="20">
                  <c:v>32.387335063001984</c:v>
                </c:pt>
                <c:pt idx="21">
                  <c:v>35.035116466774028</c:v>
                </c:pt>
                <c:pt idx="22">
                  <c:v>37.698990801870785</c:v>
                </c:pt>
                <c:pt idx="23">
                  <c:v>40.413942892377648</c:v>
                </c:pt>
                <c:pt idx="24">
                  <c:v>43.080921780085227</c:v>
                </c:pt>
                <c:pt idx="25">
                  <c:v>45.746544888500296</c:v>
                </c:pt>
                <c:pt idx="26">
                  <c:v>48.428631668087647</c:v>
                </c:pt>
                <c:pt idx="27">
                  <c:v>51.100894318435081</c:v>
                </c:pt>
                <c:pt idx="28">
                  <c:v>53.730024039196635</c:v>
                </c:pt>
                <c:pt idx="29">
                  <c:v>70.072830790881483</c:v>
                </c:pt>
                <c:pt idx="30">
                  <c:v>86.18743881250218</c:v>
                </c:pt>
                <c:pt idx="31">
                  <c:v>117.65147307980342</c:v>
                </c:pt>
                <c:pt idx="32">
                  <c:v>138.45868539601972</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1.5187863437861393</c:v>
                </c:pt>
                <c:pt idx="10">
                  <c:v>2.1501391121175994</c:v>
                </c:pt>
                <c:pt idx="11">
                  <c:v>2.5442669893171557</c:v>
                </c:pt>
                <c:pt idx="12">
                  <c:v>2.9975018298660734</c:v>
                </c:pt>
                <c:pt idx="13">
                  <c:v>3.4581867393449137</c:v>
                </c:pt>
                <c:pt idx="14">
                  <c:v>3.9575722640940083</c:v>
                </c:pt>
                <c:pt idx="15">
                  <c:v>4.5354335224744728</c:v>
                </c:pt>
                <c:pt idx="16">
                  <c:v>5.1565334486172025</c:v>
                </c:pt>
                <c:pt idx="17">
                  <c:v>5.8186581091883864</c:v>
                </c:pt>
                <c:pt idx="18">
                  <c:v>6.546872765591667</c:v>
                </c:pt>
                <c:pt idx="19">
                  <c:v>7.1892715533361278</c:v>
                </c:pt>
                <c:pt idx="20">
                  <c:v>7.8394799851398131</c:v>
                </c:pt>
                <c:pt idx="21">
                  <c:v>8.4803857367096178</c:v>
                </c:pt>
                <c:pt idx="22">
                  <c:v>9.1251868446826858</c:v>
                </c:pt>
                <c:pt idx="23">
                  <c:v>9.7823515213298791</c:v>
                </c:pt>
                <c:pt idx="24">
                  <c:v>10.427904098295627</c:v>
                </c:pt>
                <c:pt idx="25">
                  <c:v>11.073128503628631</c:v>
                </c:pt>
                <c:pt idx="26">
                  <c:v>11.722338004381985</c:v>
                </c:pt>
                <c:pt idx="27">
                  <c:v>12.369169536574546</c:v>
                </c:pt>
                <c:pt idx="28">
                  <c:v>13.005560575977851</c:v>
                </c:pt>
                <c:pt idx="29">
                  <c:v>16.943336284885756</c:v>
                </c:pt>
                <c:pt idx="30">
                  <c:v>20.818335091206073</c:v>
                </c:pt>
                <c:pt idx="31">
                  <c:v>28.362756729694176</c:v>
                </c:pt>
                <c:pt idx="32">
                  <c:v>33.317608946471694</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0.78327986028250074</c:v>
                </c:pt>
                <c:pt idx="10">
                  <c:v>1.0799210239974737</c:v>
                </c:pt>
                <c:pt idx="11">
                  <c:v>1.2441621897108941</c:v>
                </c:pt>
                <c:pt idx="12">
                  <c:v>1.4267253627459495</c:v>
                </c:pt>
                <c:pt idx="13">
                  <c:v>1.6016492377143454</c:v>
                </c:pt>
                <c:pt idx="14">
                  <c:v>1.7829972818233779</c:v>
                </c:pt>
                <c:pt idx="15">
                  <c:v>1.9870157933952377</c:v>
                </c:pt>
                <c:pt idx="16">
                  <c:v>2.1960968819339595</c:v>
                </c:pt>
                <c:pt idx="17">
                  <c:v>2.4080766204663582</c:v>
                </c:pt>
                <c:pt idx="18">
                  <c:v>2.6319011632939842</c:v>
                </c:pt>
                <c:pt idx="19">
                  <c:v>2.9753108742433754</c:v>
                </c:pt>
                <c:pt idx="20">
                  <c:v>3.3387270194021577</c:v>
                </c:pt>
                <c:pt idx="21">
                  <c:v>3.7153362097416949</c:v>
                </c:pt>
                <c:pt idx="22">
                  <c:v>4.1111525588085147</c:v>
                </c:pt>
                <c:pt idx="23">
                  <c:v>4.5306679592900654</c:v>
                </c:pt>
                <c:pt idx="24">
                  <c:v>4.963384879062958</c:v>
                </c:pt>
                <c:pt idx="25">
                  <c:v>5.41482787139498</c:v>
                </c:pt>
                <c:pt idx="26">
                  <c:v>5.8876187080142408</c:v>
                </c:pt>
                <c:pt idx="27">
                  <c:v>6.3791206880794338</c:v>
                </c:pt>
                <c:pt idx="28">
                  <c:v>6.8854704245993039</c:v>
                </c:pt>
                <c:pt idx="29">
                  <c:v>8.5098982515074653</c:v>
                </c:pt>
                <c:pt idx="30">
                  <c:v>9.9089336289395291</c:v>
                </c:pt>
                <c:pt idx="31">
                  <c:v>12.079309140103804</c:v>
                </c:pt>
                <c:pt idx="32">
                  <c:v>12.622738633992434</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1.1173280459028756</c:v>
                </c:pt>
                <c:pt idx="10">
                  <c:v>1.5662291722212769</c:v>
                </c:pt>
                <c:pt idx="11">
                  <c:v>1.8352057299228939</c:v>
                </c:pt>
                <c:pt idx="12">
                  <c:v>2.1411296058620501</c:v>
                </c:pt>
                <c:pt idx="13">
                  <c:v>2.4463635266187609</c:v>
                </c:pt>
                <c:pt idx="14">
                  <c:v>2.7727940831509161</c:v>
                </c:pt>
                <c:pt idx="15">
                  <c:v>3.1473894883873554</c:v>
                </c:pt>
                <c:pt idx="16">
                  <c:v>3.5445304028335625</c:v>
                </c:pt>
                <c:pt idx="17">
                  <c:v>3.9620387467098332</c:v>
                </c:pt>
                <c:pt idx="18">
                  <c:v>4.4162148913892567</c:v>
                </c:pt>
                <c:pt idx="19">
                  <c:v>4.8953163977715919</c:v>
                </c:pt>
                <c:pt idx="20">
                  <c:v>5.3887510721344878</c:v>
                </c:pt>
                <c:pt idx="21">
                  <c:v>5.8850111666122782</c:v>
                </c:pt>
                <c:pt idx="22">
                  <c:v>6.3933801841455704</c:v>
                </c:pt>
                <c:pt idx="23">
                  <c:v>6.920154916468821</c:v>
                </c:pt>
                <c:pt idx="24">
                  <c:v>7.4487007712514313</c:v>
                </c:pt>
                <c:pt idx="25">
                  <c:v>7.9871605312482519</c:v>
                </c:pt>
                <c:pt idx="26">
                  <c:v>8.5389208752261716</c:v>
                </c:pt>
                <c:pt idx="27">
                  <c:v>9.0996472836921214</c:v>
                </c:pt>
                <c:pt idx="28">
                  <c:v>9.6635667617303849</c:v>
                </c:pt>
                <c:pt idx="29">
                  <c:v>12.342060759969995</c:v>
                </c:pt>
                <c:pt idx="30">
                  <c:v>14.870634327696049</c:v>
                </c:pt>
                <c:pt idx="31">
                  <c:v>19.496170157401476</c:v>
                </c:pt>
                <c:pt idx="32">
                  <c:v>22.060001396893494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41532792"/>
        <c:axId val="38250812"/>
      </c:lineChart>
      <c:catAx>
        <c:axId val="4153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250812"/>
        <c:crosses val="autoZero"/>
        <c:auto val="1"/>
        <c:lblAlgn val="ctr"/>
        <c:lblOffset val="100"/>
        <c:noMultiLvlLbl val="0"/>
      </c:catAx>
      <c:valAx>
        <c:axId val="382508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1532792"/>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132.81549000000001</c:v>
                </c:pt>
                <c:pt idx="1">
                  <c:v>134.00787500000001</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9.6420522618209077</c:v>
                </c:pt>
                <c:pt idx="10">
                  <c:v>13.53735346911435</c:v>
                </c:pt>
                <c:pt idx="11">
                  <c:v>15.887442525491764</c:v>
                </c:pt>
                <c:pt idx="12">
                  <c:v>18.565389664137513</c:v>
                </c:pt>
                <c:pt idx="13">
                  <c:v>21.245897694136517</c:v>
                </c:pt>
                <c:pt idx="14">
                  <c:v>24.119361086623499</c:v>
                </c:pt>
                <c:pt idx="15">
                  <c:v>27.421668079893209</c:v>
                </c:pt>
                <c:pt idx="16">
                  <c:v>30.931316090419642</c:v>
                </c:pt>
                <c:pt idx="17">
                  <c:v>34.630267281622437</c:v>
                </c:pt>
                <c:pt idx="18">
                  <c:v>38.662138883724921</c:v>
                </c:pt>
                <c:pt idx="19">
                  <c:v>42.787596518009209</c:v>
                </c:pt>
                <c:pt idx="20">
                  <c:v>47.024892948169253</c:v>
                </c:pt>
                <c:pt idx="21">
                  <c:v>51.273229275475671</c:v>
                </c:pt>
                <c:pt idx="22">
                  <c:v>55.613305785129754</c:v>
                </c:pt>
                <c:pt idx="23">
                  <c:v>60.099368627393929</c:v>
                </c:pt>
                <c:pt idx="24">
                  <c:v>64.586483663219255</c:v>
                </c:pt>
                <c:pt idx="25">
                  <c:v>69.145138233310945</c:v>
                </c:pt>
                <c:pt idx="26">
                  <c:v>73.804263247629478</c:v>
                </c:pt>
                <c:pt idx="27">
                  <c:v>78.525975424340899</c:v>
                </c:pt>
                <c:pt idx="28">
                  <c:v>83.260237803610622</c:v>
                </c:pt>
                <c:pt idx="29">
                  <c:v>88.08432836667096</c:v>
                </c:pt>
                <c:pt idx="30">
                  <c:v>92.833762948717862</c:v>
                </c:pt>
                <c:pt idx="31">
                  <c:v>97.512911566080703</c:v>
                </c:pt>
                <c:pt idx="32">
                  <c:v>102.12573934819721</c:v>
                </c:pt>
                <c:pt idx="33">
                  <c:v>106.67585689777654</c:v>
                </c:pt>
                <c:pt idx="34">
                  <c:v>111.24133090249892</c:v>
                </c:pt>
                <c:pt idx="35">
                  <c:v>115.74770875525951</c:v>
                </c:pt>
                <c:pt idx="36">
                  <c:v>120.19796797787569</c:v>
                </c:pt>
                <c:pt idx="37">
                  <c:v>124.59484743202646</c:v>
                </c:pt>
                <c:pt idx="38">
                  <c:v>128.9408731217012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20444627"/>
        <c:axId val="49783918"/>
      </c:lineChart>
      <c:catAx>
        <c:axId val="204446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783918"/>
        <c:crosses val="autoZero"/>
        <c:auto val="1"/>
        <c:lblAlgn val="ctr"/>
        <c:lblOffset val="100"/>
        <c:noMultiLvlLbl val="0"/>
      </c:catAx>
      <c:valAx>
        <c:axId val="4978391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44462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139.66439435388401</c:v>
                </c:pt>
                <c:pt idx="1">
                  <c:v>137.45465286071149</c:v>
                </c:pt>
                <c:pt idx="2">
                  <c:v>135.58181469226156</c:v>
                </c:pt>
                <c:pt idx="3">
                  <c:v>133.436204088712</c:v>
                </c:pt>
                <c:pt idx="4">
                  <c:v>131.16029709988757</c:v>
                </c:pt>
                <c:pt idx="5">
                  <c:v>128.41271933541799</c:v>
                </c:pt>
                <c:pt idx="6">
                  <c:v>127.5701706714746</c:v>
                </c:pt>
                <c:pt idx="7">
                  <c:v>126.6952018486339</c:v>
                </c:pt>
                <c:pt idx="8">
                  <c:v>125.66790009395055</c:v>
                </c:pt>
                <c:pt idx="9">
                  <c:v>125.82446386913696</c:v>
                </c:pt>
                <c:pt idx="10">
                  <c:v>126.00915323428573</c:v>
                </c:pt>
                <c:pt idx="11">
                  <c:v>125.89137541830218</c:v>
                </c:pt>
                <c:pt idx="12">
                  <c:v>125.81546453342236</c:v>
                </c:pt>
                <c:pt idx="13">
                  <c:v>125.72168080325004</c:v>
                </c:pt>
                <c:pt idx="14">
                  <c:v>125.64466840765294</c:v>
                </c:pt>
                <c:pt idx="15">
                  <c:v>125.62701535893945</c:v>
                </c:pt>
                <c:pt idx="16">
                  <c:v>125.62806322903805</c:v>
                </c:pt>
                <c:pt idx="17">
                  <c:v>125.64429383956727</c:v>
                </c:pt>
                <c:pt idx="18">
                  <c:v>125.70136804325334</c:v>
                </c:pt>
                <c:pt idx="19">
                  <c:v>125.01308959182597</c:v>
                </c:pt>
                <c:pt idx="20">
                  <c:v>124.34261585385154</c:v>
                </c:pt>
                <c:pt idx="21">
                  <c:v>123.67175737287899</c:v>
                </c:pt>
                <c:pt idx="22">
                  <c:v>123.0149180210058</c:v>
                </c:pt>
                <c:pt idx="23">
                  <c:v>122.38165247203102</c:v>
                </c:pt>
                <c:pt idx="24">
                  <c:v>121.74600585639419</c:v>
                </c:pt>
                <c:pt idx="25">
                  <c:v>121.12048210751405</c:v>
                </c:pt>
                <c:pt idx="26">
                  <c:v>120.51011280734417</c:v>
                </c:pt>
                <c:pt idx="27">
                  <c:v>119.90808338340645</c:v>
                </c:pt>
                <c:pt idx="28">
                  <c:v>119.30550109179261</c:v>
                </c:pt>
                <c:pt idx="29">
                  <c:v>116.63587094717191</c:v>
                </c:pt>
                <c:pt idx="30">
                  <c:v>113.76354364512946</c:v>
                </c:pt>
                <c:pt idx="31">
                  <c:v>107.430893767689</c:v>
                </c:pt>
                <c:pt idx="32">
                  <c:v>98.002041829350077</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8.6464867087259769</c:v>
                </c:pt>
                <c:pt idx="2">
                  <c:v>9.4819790623114137</c:v>
                </c:pt>
                <c:pt idx="3">
                  <c:v>10.319932556631571</c:v>
                </c:pt>
                <c:pt idx="4">
                  <c:v>11.168015722760602</c:v>
                </c:pt>
                <c:pt idx="5">
                  <c:v>11.992907577983001</c:v>
                </c:pt>
                <c:pt idx="6">
                  <c:v>11.914219046901959</c:v>
                </c:pt>
                <c:pt idx="7">
                  <c:v>11.832502685156392</c:v>
                </c:pt>
                <c:pt idx="8">
                  <c:v>11.736559424532528</c:v>
                </c:pt>
                <c:pt idx="9">
                  <c:v>11.500387876034136</c:v>
                </c:pt>
                <c:pt idx="10">
                  <c:v>11.272067939827416</c:v>
                </c:pt>
                <c:pt idx="11">
                  <c:v>11.020724414684583</c:v>
                </c:pt>
                <c:pt idx="12">
                  <c:v>10.778515853164649</c:v>
                </c:pt>
                <c:pt idx="13">
                  <c:v>10.539862951124253</c:v>
                </c:pt>
                <c:pt idx="14">
                  <c:v>10.308001248231252</c:v>
                </c:pt>
                <c:pt idx="15">
                  <c:v>10.086908186114391</c:v>
                </c:pt>
                <c:pt idx="16">
                  <c:v>9.8727865336843283</c:v>
                </c:pt>
                <c:pt idx="17">
                  <c:v>9.6653077161052465</c:v>
                </c:pt>
                <c:pt idx="18">
                  <c:v>9.466868289082143</c:v>
                </c:pt>
                <c:pt idx="19">
                  <c:v>9.428711917513084</c:v>
                </c:pt>
                <c:pt idx="20">
                  <c:v>9.3922183896560654</c:v>
                </c:pt>
                <c:pt idx="21">
                  <c:v>9.3556889293210066</c:v>
                </c:pt>
                <c:pt idx="22">
                  <c:v>9.3204687638944481</c:v>
                </c:pt>
                <c:pt idx="23">
                  <c:v>9.2874502373778487</c:v>
                </c:pt>
                <c:pt idx="24">
                  <c:v>9.2542093348181034</c:v>
                </c:pt>
                <c:pt idx="25">
                  <c:v>9.2219138417634721</c:v>
                </c:pt>
                <c:pt idx="26">
                  <c:v>9.1910336750388062</c:v>
                </c:pt>
                <c:pt idx="27">
                  <c:v>9.1609323981731912</c:v>
                </c:pt>
                <c:pt idx="28">
                  <c:v>9.1307794870849168</c:v>
                </c:pt>
                <c:pt idx="29">
                  <c:v>9.0120751596859385</c:v>
                </c:pt>
                <c:pt idx="30">
                  <c:v>8.8744402443525257</c:v>
                </c:pt>
                <c:pt idx="31">
                  <c:v>8.5442555033392829</c:v>
                </c:pt>
                <c:pt idx="32">
                  <c:v>7.9249057531954072</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9.8944997565297594</c:v>
                </c:pt>
                <c:pt idx="1">
                  <c:v>9.7120807580170059</c:v>
                </c:pt>
                <c:pt idx="2">
                  <c:v>9.5529153405684184</c:v>
                </c:pt>
                <c:pt idx="3">
                  <c:v>9.3739244191123756</c:v>
                </c:pt>
                <c:pt idx="4">
                  <c:v>9.1852112925639382</c:v>
                </c:pt>
                <c:pt idx="5">
                  <c:v>8.9629891158025892</c:v>
                </c:pt>
                <c:pt idx="6">
                  <c:v>8.904180653965307</c:v>
                </c:pt>
                <c:pt idx="7">
                  <c:v>8.8431093202502762</c:v>
                </c:pt>
                <c:pt idx="8">
                  <c:v>8.7714054073238561</c:v>
                </c:pt>
                <c:pt idx="9">
                  <c:v>8.7935448819082325</c:v>
                </c:pt>
                <c:pt idx="10">
                  <c:v>8.8176454118838201</c:v>
                </c:pt>
                <c:pt idx="11">
                  <c:v>8.8204978911741261</c:v>
                </c:pt>
                <c:pt idx="12">
                  <c:v>8.8262190109426086</c:v>
                </c:pt>
                <c:pt idx="13">
                  <c:v>8.8306204114840892</c:v>
                </c:pt>
                <c:pt idx="14">
                  <c:v>8.8361535143086876</c:v>
                </c:pt>
                <c:pt idx="15">
                  <c:v>8.8458554953275126</c:v>
                </c:pt>
                <c:pt idx="16">
                  <c:v>8.8568744009383096</c:v>
                </c:pt>
                <c:pt idx="17">
                  <c:v>8.8689779852133181</c:v>
                </c:pt>
                <c:pt idx="18">
                  <c:v>8.8840153899122463</c:v>
                </c:pt>
                <c:pt idx="19">
                  <c:v>8.8407393145402651</c:v>
                </c:pt>
                <c:pt idx="20">
                  <c:v>8.7989032181143187</c:v>
                </c:pt>
                <c:pt idx="21">
                  <c:v>8.7572092657389469</c:v>
                </c:pt>
                <c:pt idx="22">
                  <c:v>8.71669651287535</c:v>
                </c:pt>
                <c:pt idx="23">
                  <c:v>8.6780634051180989</c:v>
                </c:pt>
                <c:pt idx="24">
                  <c:v>8.6394438448652107</c:v>
                </c:pt>
                <c:pt idx="25">
                  <c:v>8.6017453909452914</c:v>
                </c:pt>
                <c:pt idx="26">
                  <c:v>8.5653405429092011</c:v>
                </c:pt>
                <c:pt idx="27">
                  <c:v>8.5297415350597117</c:v>
                </c:pt>
                <c:pt idx="28">
                  <c:v>8.4943041171782756</c:v>
                </c:pt>
                <c:pt idx="29">
                  <c:v>8.313824858457993</c:v>
                </c:pt>
                <c:pt idx="30">
                  <c:v>8.1185310276080642</c:v>
                </c:pt>
                <c:pt idx="31">
                  <c:v>7.6849684248689956</c:v>
                </c:pt>
                <c:pt idx="32">
                  <c:v>7.0251130149560366</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119.61728657242662</c:v>
                </c:pt>
                <c:pt idx="2">
                  <c:v>117.98748492339635</c:v>
                </c:pt>
                <c:pt idx="3">
                  <c:v>116.12030827207035</c:v>
                </c:pt>
                <c:pt idx="4">
                  <c:v>114.13974367983143</c:v>
                </c:pt>
                <c:pt idx="5">
                  <c:v>111.748716602955</c:v>
                </c:pt>
                <c:pt idx="6">
                  <c:v>111.01550471897272</c:v>
                </c:pt>
                <c:pt idx="7">
                  <c:v>110.25407981086335</c:v>
                </c:pt>
                <c:pt idx="8">
                  <c:v>109.3600900780397</c:v>
                </c:pt>
                <c:pt idx="9">
                  <c:v>109.53659298188387</c:v>
                </c:pt>
                <c:pt idx="10">
                  <c:v>109.7389779822324</c:v>
                </c:pt>
                <c:pt idx="11">
                  <c:v>109.67825076447929</c:v>
                </c:pt>
                <c:pt idx="12">
                  <c:v>109.65486401846589</c:v>
                </c:pt>
                <c:pt idx="13">
                  <c:v>109.61664973429598</c:v>
                </c:pt>
                <c:pt idx="14">
                  <c:v>109.59407942626771</c:v>
                </c:pt>
                <c:pt idx="15">
                  <c:v>109.62484098646863</c:v>
                </c:pt>
                <c:pt idx="16">
                  <c:v>109.67341580780275</c:v>
                </c:pt>
                <c:pt idx="17">
                  <c:v>109.73687139933122</c:v>
                </c:pt>
                <c:pt idx="18">
                  <c:v>109.83810162605411</c:v>
                </c:pt>
                <c:pt idx="19">
                  <c:v>109.29247520835742</c:v>
                </c:pt>
                <c:pt idx="20">
                  <c:v>108.76425567580075</c:v>
                </c:pt>
                <c:pt idx="21">
                  <c:v>108.23734013550227</c:v>
                </c:pt>
                <c:pt idx="22">
                  <c:v>107.72458997715641</c:v>
                </c:pt>
                <c:pt idx="23">
                  <c:v>107.23462587669248</c:v>
                </c:pt>
                <c:pt idx="24">
                  <c:v>106.74433268700982</c:v>
                </c:pt>
                <c:pt idx="25">
                  <c:v>106.26492923305878</c:v>
                </c:pt>
                <c:pt idx="26">
                  <c:v>105.80100073863208</c:v>
                </c:pt>
                <c:pt idx="27">
                  <c:v>105.34649942102544</c:v>
                </c:pt>
                <c:pt idx="28">
                  <c:v>104.89345815339864</c:v>
                </c:pt>
                <c:pt idx="29">
                  <c:v>102.66271241024442</c:v>
                </c:pt>
                <c:pt idx="30">
                  <c:v>100.24910865988869</c:v>
                </c:pt>
                <c:pt idx="31">
                  <c:v>94.891456404562319</c:v>
                </c:pt>
                <c:pt idx="32">
                  <c:v>86.740645399746768</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29.566390373747101</c:v>
                </c:pt>
                <c:pt idx="1">
                  <c:v>29.098596990082953</c:v>
                </c:pt>
                <c:pt idx="2">
                  <c:v>28.702124684801319</c:v>
                </c:pt>
                <c:pt idx="3">
                  <c:v>28.247907552452908</c:v>
                </c:pt>
                <c:pt idx="4">
                  <c:v>27.766107199562512</c:v>
                </c:pt>
                <c:pt idx="5">
                  <c:v>27.184456041138404</c:v>
                </c:pt>
                <c:pt idx="6">
                  <c:v>27.006091878802874</c:v>
                </c:pt>
                <c:pt idx="7">
                  <c:v>26.82086449926463</c:v>
                </c:pt>
                <c:pt idx="8">
                  <c:v>26.603388850935517</c:v>
                </c:pt>
                <c:pt idx="9">
                  <c:v>26.649123652353893</c:v>
                </c:pt>
                <c:pt idx="10">
                  <c:v>26.701252386101512</c:v>
                </c:pt>
                <c:pt idx="11">
                  <c:v>26.689382584248435</c:v>
                </c:pt>
                <c:pt idx="12">
                  <c:v>26.686659390933571</c:v>
                </c:pt>
                <c:pt idx="13">
                  <c:v>26.68037964666193</c:v>
                </c:pt>
                <c:pt idx="14">
                  <c:v>26.677978433571738</c:v>
                </c:pt>
                <c:pt idx="15">
                  <c:v>26.688667407950661</c:v>
                </c:pt>
                <c:pt idx="16">
                  <c:v>26.70379668678197</c:v>
                </c:pt>
                <c:pt idx="17">
                  <c:v>26.722661875679783</c:v>
                </c:pt>
                <c:pt idx="18">
                  <c:v>26.750871361782707</c:v>
                </c:pt>
                <c:pt idx="19">
                  <c:v>26.621846998966564</c:v>
                </c:pt>
                <c:pt idx="20">
                  <c:v>26.497190045711331</c:v>
                </c:pt>
                <c:pt idx="21">
                  <c:v>26.372964210763222</c:v>
                </c:pt>
                <c:pt idx="22">
                  <c:v>26.252320915723256</c:v>
                </c:pt>
                <c:pt idx="23">
                  <c:v>26.137378523485488</c:v>
                </c:pt>
                <c:pt idx="24">
                  <c:v>26.022477220390215</c:v>
                </c:pt>
                <c:pt idx="25">
                  <c:v>25.910369603005609</c:v>
                </c:pt>
                <c:pt idx="26">
                  <c:v>25.802185450419323</c:v>
                </c:pt>
                <c:pt idx="27">
                  <c:v>25.69644538505057</c:v>
                </c:pt>
                <c:pt idx="28">
                  <c:v>25.591195416827585</c:v>
                </c:pt>
                <c:pt idx="29">
                  <c:v>25.054960532685662</c:v>
                </c:pt>
                <c:pt idx="30">
                  <c:v>24.473793530516655</c:v>
                </c:pt>
                <c:pt idx="31">
                  <c:v>23.181117920219165</c:v>
                </c:pt>
                <c:pt idx="32">
                  <c:v>21.202103546194021</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9.6831090230750299</c:v>
                </c:pt>
                <c:pt idx="1">
                  <c:v>10.586585246419229</c:v>
                </c:pt>
                <c:pt idx="2">
                  <c:v>11.538509766671879</c:v>
                </c:pt>
                <c:pt idx="3">
                  <c:v>12.491985690523343</c:v>
                </c:pt>
                <c:pt idx="4">
                  <c:v>13.456498623549582</c:v>
                </c:pt>
                <c:pt idx="5">
                  <c:v>14.3921338097343</c:v>
                </c:pt>
                <c:pt idx="6">
                  <c:v>14.297703342289619</c:v>
                </c:pt>
                <c:pt idx="7">
                  <c:v>14.199639315277025</c:v>
                </c:pt>
                <c:pt idx="8">
                  <c:v>14.08450224479915</c:v>
                </c:pt>
                <c:pt idx="9">
                  <c:v>13.820336720794826</c:v>
                </c:pt>
                <c:pt idx="10">
                  <c:v>13.565564194254939</c:v>
                </c:pt>
                <c:pt idx="11">
                  <c:v>13.282917124636764</c:v>
                </c:pt>
                <c:pt idx="12">
                  <c:v>13.011120388405965</c:v>
                </c:pt>
                <c:pt idx="13">
                  <c:v>12.743448613865509</c:v>
                </c:pt>
                <c:pt idx="14">
                  <c:v>12.483838120243483</c:v>
                </c:pt>
                <c:pt idx="15">
                  <c:v>12.237165789744212</c:v>
                </c:pt>
                <c:pt idx="16">
                  <c:v>11.998852157042849</c:v>
                </c:pt>
                <c:pt idx="17">
                  <c:v>11.768524298059502</c:v>
                </c:pt>
                <c:pt idx="18">
                  <c:v>11.549151433809065</c:v>
                </c:pt>
                <c:pt idx="19">
                  <c:v>11.510882140955713</c:v>
                </c:pt>
                <c:pt idx="20">
                  <c:v>11.474925064418457</c:v>
                </c:pt>
                <c:pt idx="21">
                  <c:v>11.439196232741223</c:v>
                </c:pt>
                <c:pt idx="22">
                  <c:v>11.405364087672643</c:v>
                </c:pt>
                <c:pt idx="23">
                  <c:v>11.374550143734936</c:v>
                </c:pt>
                <c:pt idx="24">
                  <c:v>11.343757953421283</c:v>
                </c:pt>
                <c:pt idx="25">
                  <c:v>11.314444810490793</c:v>
                </c:pt>
                <c:pt idx="26">
                  <c:v>11.287208848368692</c:v>
                </c:pt>
                <c:pt idx="27">
                  <c:v>11.261266847406755</c:v>
                </c:pt>
                <c:pt idx="28">
                  <c:v>11.23558431618337</c:v>
                </c:pt>
                <c:pt idx="29">
                  <c:v>11.101885327497449</c:v>
                </c:pt>
                <c:pt idx="30">
                  <c:v>10.944398146985222</c:v>
                </c:pt>
                <c:pt idx="31">
                  <c:v>10.560417666025696</c:v>
                </c:pt>
                <c:pt idx="32">
                  <c:v>9.8130722050412675</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10.300552873773198</c:v>
                </c:pt>
                <c:pt idx="1">
                  <c:v>10.137579632145695</c:v>
                </c:pt>
                <c:pt idx="2">
                  <c:v>9.9994537435297381</c:v>
                </c:pt>
                <c:pt idx="3">
                  <c:v>9.8412102945058528</c:v>
                </c:pt>
                <c:pt idx="4">
                  <c:v>9.6733572036545361</c:v>
                </c:pt>
                <c:pt idx="5">
                  <c:v>9.4707173671475111</c:v>
                </c:pt>
                <c:pt idx="6">
                  <c:v>9.5388470786807869</c:v>
                </c:pt>
                <c:pt idx="7">
                  <c:v>9.5950215040281002</c:v>
                </c:pt>
                <c:pt idx="8">
                  <c:v>9.5950215040281002</c:v>
                </c:pt>
                <c:pt idx="9">
                  <c:v>9.7477819087863704</c:v>
                </c:pt>
                <c:pt idx="10">
                  <c:v>9.9180496228188275</c:v>
                </c:pt>
                <c:pt idx="11">
                  <c:v>9.9832054611891152</c:v>
                </c:pt>
                <c:pt idx="12">
                  <c:v>10.070663595045366</c:v>
                </c:pt>
                <c:pt idx="13">
                  <c:v>10.158295931578795</c:v>
                </c:pt>
                <c:pt idx="14">
                  <c:v>10.259053909182397</c:v>
                </c:pt>
                <c:pt idx="15">
                  <c:v>10.388983644992319</c:v>
                </c:pt>
                <c:pt idx="16">
                  <c:v>10.533017595044042</c:v>
                </c:pt>
                <c:pt idx="17">
                  <c:v>10.68992874928932</c:v>
                </c:pt>
                <c:pt idx="18">
                  <c:v>10.869486560056904</c:v>
                </c:pt>
                <c:pt idx="19">
                  <c:v>11.055410489142012</c:v>
                </c:pt>
                <c:pt idx="20">
                  <c:v>11.248942166845541</c:v>
                </c:pt>
                <c:pt idx="21">
                  <c:v>11.443224825115387</c:v>
                </c:pt>
                <c:pt idx="22">
                  <c:v>11.643748039178451</c:v>
                </c:pt>
                <c:pt idx="23">
                  <c:v>11.854201861949578</c:v>
                </c:pt>
                <c:pt idx="24">
                  <c:v>12.064727259383579</c:v>
                </c:pt>
                <c:pt idx="25">
                  <c:v>12.280119078963093</c:v>
                </c:pt>
                <c:pt idx="26">
                  <c:v>12.502345323728193</c:v>
                </c:pt>
                <c:pt idx="27">
                  <c:v>12.728829012383823</c:v>
                </c:pt>
                <c:pt idx="28">
                  <c:v>12.956166418977189</c:v>
                </c:pt>
                <c:pt idx="29">
                  <c:v>14.075460144484714</c:v>
                </c:pt>
                <c:pt idx="30">
                  <c:v>15.116484989074081</c:v>
                </c:pt>
                <c:pt idx="31">
                  <c:v>16.971487922313639</c:v>
                </c:pt>
                <c:pt idx="32">
                  <c:v>17.630932548345314</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3.5593512487513506</c:v>
                </c:pt>
                <c:pt idx="1">
                  <c:v>3.5030359210006532</c:v>
                </c:pt>
                <c:pt idx="2">
                  <c:v>3.4553065845121336</c:v>
                </c:pt>
                <c:pt idx="3">
                  <c:v>3.400625634393037</c:v>
                </c:pt>
                <c:pt idx="4">
                  <c:v>3.3426240770155089</c:v>
                </c:pt>
                <c:pt idx="5">
                  <c:v>3.2726019758762099</c:v>
                </c:pt>
                <c:pt idx="6">
                  <c:v>3.2961441659697601</c:v>
                </c:pt>
                <c:pt idx="7">
                  <c:v>3.3155552124891114</c:v>
                </c:pt>
                <c:pt idx="8">
                  <c:v>3.3155552124891114</c:v>
                </c:pt>
                <c:pt idx="9">
                  <c:v>3.3683414992155769</c:v>
                </c:pt>
                <c:pt idx="10">
                  <c:v>3.4271774285089007</c:v>
                </c:pt>
                <c:pt idx="11">
                  <c:v>3.4496919981158594</c:v>
                </c:pt>
                <c:pt idx="12">
                  <c:v>3.4799131155422169</c:v>
                </c:pt>
                <c:pt idx="13">
                  <c:v>3.5101944286225515</c:v>
                </c:pt>
                <c:pt idx="14">
                  <c:v>3.5450113008623103</c:v>
                </c:pt>
                <c:pt idx="15">
                  <c:v>3.5899084605655025</c:v>
                </c:pt>
                <c:pt idx="16">
                  <c:v>3.6396793249318731</c:v>
                </c:pt>
                <c:pt idx="17">
                  <c:v>3.6938999012106453</c:v>
                </c:pt>
                <c:pt idx="18">
                  <c:v>3.7559460191045617</c:v>
                </c:pt>
                <c:pt idx="19">
                  <c:v>3.8201919462185137</c:v>
                </c:pt>
                <c:pt idx="20">
                  <c:v>3.8870667273247697</c:v>
                </c:pt>
                <c:pt idx="21">
                  <c:v>3.9542010094159976</c:v>
                </c:pt>
                <c:pt idx="22">
                  <c:v>4.0234917126554599</c:v>
                </c:pt>
                <c:pt idx="23">
                  <c:v>4.096213933109488</c:v>
                </c:pt>
                <c:pt idx="24">
                  <c:v>4.1689608861549408</c:v>
                </c:pt>
                <c:pt idx="25">
                  <c:v>4.2433894291065704</c:v>
                </c:pt>
                <c:pt idx="26">
                  <c:v>4.3201796044984118</c:v>
                </c:pt>
                <c:pt idx="27">
                  <c:v>4.398440937644013</c:v>
                </c:pt>
                <c:pt idx="28">
                  <c:v>4.4769972726254359</c:v>
                </c:pt>
                <c:pt idx="29">
                  <c:v>4.8637686982397375</c:v>
                </c:pt>
                <c:pt idx="30">
                  <c:v>5.2234943485011698</c:v>
                </c:pt>
                <c:pt idx="31">
                  <c:v>5.8644897482408176</c:v>
                </c:pt>
                <c:pt idx="32">
                  <c:v>6.0923605316746405</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18.760184357078899</c:v>
                </c:pt>
                <c:pt idx="1">
                  <c:v>19.031279794352393</c:v>
                </c:pt>
                <c:pt idx="2">
                  <c:v>19.361114074755577</c:v>
                </c:pt>
                <c:pt idx="3">
                  <c:v>19.665306575633906</c:v>
                </c:pt>
                <c:pt idx="4">
                  <c:v>19.962784234968577</c:v>
                </c:pt>
                <c:pt idx="5">
                  <c:v>20.198960613823004</c:v>
                </c:pt>
                <c:pt idx="6">
                  <c:v>20.066430071939777</c:v>
                </c:pt>
                <c:pt idx="7">
                  <c:v>19.928799929985388</c:v>
                </c:pt>
                <c:pt idx="8">
                  <c:v>19.767208245074805</c:v>
                </c:pt>
                <c:pt idx="9">
                  <c:v>19.646200969169087</c:v>
                </c:pt>
                <c:pt idx="10">
                  <c:v>19.533173552383825</c:v>
                </c:pt>
                <c:pt idx="11">
                  <c:v>19.375822035240297</c:v>
                </c:pt>
                <c:pt idx="12">
                  <c:v>19.228495707763599</c:v>
                </c:pt>
                <c:pt idx="13">
                  <c:v>19.081755697315536</c:v>
                </c:pt>
                <c:pt idx="14">
                  <c:v>18.941126518752839</c:v>
                </c:pt>
                <c:pt idx="15">
                  <c:v>18.813452740981369</c:v>
                </c:pt>
                <c:pt idx="16">
                  <c:v>18.69230721143628</c:v>
                </c:pt>
                <c:pt idx="17">
                  <c:v>18.577166541515069</c:v>
                </c:pt>
                <c:pt idx="18">
                  <c:v>18.4721979505562</c:v>
                </c:pt>
                <c:pt idx="19">
                  <c:v>18.392473298036958</c:v>
                </c:pt>
                <c:pt idx="20">
                  <c:v>18.315993776984449</c:v>
                </c:pt>
                <c:pt idx="21">
                  <c:v>18.239834591262262</c:v>
                </c:pt>
                <c:pt idx="22">
                  <c:v>18.166337352587774</c:v>
                </c:pt>
                <c:pt idx="23">
                  <c:v>18.097076075485983</c:v>
                </c:pt>
                <c:pt idx="24">
                  <c:v>18.027845328992179</c:v>
                </c:pt>
                <c:pt idx="25">
                  <c:v>17.960690384476976</c:v>
                </c:pt>
                <c:pt idx="26">
                  <c:v>17.896450705612516</c:v>
                </c:pt>
                <c:pt idx="27">
                  <c:v>17.834027065346326</c:v>
                </c:pt>
                <c:pt idx="28">
                  <c:v>17.7719675836614</c:v>
                </c:pt>
                <c:pt idx="29">
                  <c:v>17.454250954100807</c:v>
                </c:pt>
                <c:pt idx="30">
                  <c:v>17.103148257114363</c:v>
                </c:pt>
                <c:pt idx="31">
                  <c:v>16.304094687804305</c:v>
                </c:pt>
                <c:pt idx="32">
                  <c:v>14.99506844752023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24539380"/>
        <c:axId val="19527835"/>
      </c:lineChart>
      <c:catAx>
        <c:axId val="245393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27835"/>
        <c:crosses val="autoZero"/>
        <c:auto val="1"/>
        <c:lblAlgn val="ctr"/>
        <c:lblOffset val="100"/>
        <c:noMultiLvlLbl val="0"/>
      </c:catAx>
      <c:valAx>
        <c:axId val="1952783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4539380"/>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7.7136418094567247</c:v>
                </c:pt>
                <c:pt idx="1">
                  <c:v>10.829882775291484</c:v>
                </c:pt>
                <c:pt idx="2">
                  <c:v>12.709954020393408</c:v>
                </c:pt>
                <c:pt idx="3">
                  <c:v>14.85231173131001</c:v>
                </c:pt>
                <c:pt idx="4">
                  <c:v>16.99671815530921</c:v>
                </c:pt>
                <c:pt idx="5">
                  <c:v>19.295488869298801</c:v>
                </c:pt>
                <c:pt idx="6">
                  <c:v>21.937334463914564</c:v>
                </c:pt>
                <c:pt idx="7">
                  <c:v>24.745052872335716</c:v>
                </c:pt>
                <c:pt idx="8">
                  <c:v>27.704213825297945</c:v>
                </c:pt>
                <c:pt idx="9">
                  <c:v>30.929711106979937</c:v>
                </c:pt>
                <c:pt idx="10">
                  <c:v>30.929711106979937</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3.3003661074274362</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17701549"/>
        <c:axId val="25096219"/>
      </c:areaChart>
      <c:dateAx>
        <c:axId val="17701549"/>
        <c:scaling>
          <c:orientation val="minMax"/>
        </c:scaling>
        <c:delete val="0"/>
        <c:axPos val="b"/>
        <c:numFmt formatCode="General" sourceLinked="1"/>
        <c:majorTickMark val="out"/>
        <c:minorTickMark val="none"/>
        <c:tickLblPos val="nextTo"/>
        <c:spPr>
          <a:ln w="9525" cap="flat" cmpd="sng"/>
          <a:effectLst/>
        </c:spPr>
        <c:crossAx val="25096219"/>
        <c:crosses val="autoZero"/>
        <c:auto val="0"/>
        <c:lblOffset val="100"/>
        <c:baseTimeUnit val="days"/>
      </c:dateAx>
      <c:valAx>
        <c:axId val="25096219"/>
        <c:scaling>
          <c:orientation val="minMax"/>
        </c:scaling>
        <c:delete val="0"/>
        <c:axPos val="l"/>
        <c:majorGridlines/>
        <c:title>
          <c:tx>
            <c:rich>
              <a:bodyPr rot="-5400000" vert="horz" wrap="square"/>
              <a:lstStyle/>
              <a:p>
                <a:pPr>
                  <a:defRPr lang="en-US" sz="1000" u="none" baseline="0">
                    <a:latin typeface="Calibri"/>
                    <a:ea typeface="Calibri"/>
                  </a:defRPr>
                </a:pPr>
                <a:r>
                  <a:rPr lang="en-US"/>
                  <a:t>Floor space million m2</a:t>
                </a:r>
              </a:p>
            </c:rich>
          </c:tx>
          <c:overlay val="0"/>
          <c:spPr>
            <a:noFill/>
            <a:effectLst/>
          </c:spPr>
        </c:title>
        <c:numFmt formatCode="0" sourceLinked="0"/>
        <c:majorTickMark val="out"/>
        <c:minorTickMark val="none"/>
        <c:tickLblPos val="nextTo"/>
        <c:spPr>
          <a:ln w="9525" cap="flat" cmpd="sng"/>
          <a:effectLst/>
        </c:spPr>
        <c:crossAx val="17701549"/>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19.542936183256387</c:v>
                </c:pt>
                <c:pt idx="4">
                  <c:v>26.454976166350473</c:v>
                </c:pt>
                <c:pt idx="5">
                  <c:v>36.54482063851551</c:v>
                </c:pt>
                <c:pt idx="6">
                  <c:v>45.821065374362625</c:v>
                </c:pt>
                <c:pt idx="7">
                  <c:v>55.239915065161966</c:v>
                </c:pt>
                <c:pt idx="8">
                  <c:v>59.339821774190497</c:v>
                </c:pt>
                <c:pt idx="10">
                  <c:v>18.931145021834741</c:v>
                </c:pt>
                <c:pt idx="11">
                  <c:v>19.16679090850425</c:v>
                </c:pt>
                <c:pt idx="12">
                  <c:v>18.454471209495399</c:v>
                </c:pt>
                <c:pt idx="13">
                  <c:v>19.542936183256387</c:v>
                </c:pt>
                <c:pt idx="14">
                  <c:v>26.454976166350473</c:v>
                </c:pt>
                <c:pt idx="15">
                  <c:v>36.54482063851551</c:v>
                </c:pt>
                <c:pt idx="16">
                  <c:v>45.821065374362625</c:v>
                </c:pt>
                <c:pt idx="17">
                  <c:v>55.239915065161966</c:v>
                </c:pt>
                <c:pt idx="18">
                  <c:v>59.339821774190497</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6.3830769012013908</c:v>
                </c:pt>
                <c:pt idx="4">
                  <c:v>8.644087524698465</c:v>
                </c:pt>
                <c:pt idx="5">
                  <c:v>11.940915243595684</c:v>
                </c:pt>
                <c:pt idx="6">
                  <c:v>14.965989820409773</c:v>
                </c:pt>
                <c:pt idx="7">
                  <c:v>18.049483684189664</c:v>
                </c:pt>
                <c:pt idx="8">
                  <c:v>19.389116432792139</c:v>
                </c:pt>
                <c:pt idx="10">
                  <c:v>5.4191590500230697</c:v>
                </c:pt>
                <c:pt idx="11">
                  <c:v>6.263725567965813</c:v>
                </c:pt>
                <c:pt idx="12">
                  <c:v>6.0299454950865155</c:v>
                </c:pt>
                <c:pt idx="13">
                  <c:v>6.3830769012013908</c:v>
                </c:pt>
                <c:pt idx="14">
                  <c:v>8.2118831484635404</c:v>
                </c:pt>
                <c:pt idx="15">
                  <c:v>10.776676007345104</c:v>
                </c:pt>
                <c:pt idx="16">
                  <c:v>12.831465522273826</c:v>
                </c:pt>
                <c:pt idx="17">
                  <c:v>14.701417270045505</c:v>
                </c:pt>
                <c:pt idx="18">
                  <c:v>15.002928690662554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2.5896190184331611</c:v>
                </c:pt>
                <c:pt idx="4">
                  <c:v>3.5057369905890265</c:v>
                </c:pt>
                <c:pt idx="5">
                  <c:v>4.8428140218793132</c:v>
                </c:pt>
                <c:pt idx="6">
                  <c:v>6.0722311134217994</c:v>
                </c:pt>
                <c:pt idx="7">
                  <c:v>7.3211034670491966</c:v>
                </c:pt>
                <c:pt idx="8">
                  <c:v>7.8647883313663236</c:v>
                </c:pt>
                <c:pt idx="10">
                  <c:v>2.508551055458172</c:v>
                </c:pt>
                <c:pt idx="11">
                  <c:v>2.539776305544069</c:v>
                </c:pt>
                <c:pt idx="12">
                  <c:v>2.4453873855547426</c:v>
                </c:pt>
                <c:pt idx="13">
                  <c:v>2.5896190184331611</c:v>
                </c:pt>
                <c:pt idx="14">
                  <c:v>3.3302515718036663</c:v>
                </c:pt>
                <c:pt idx="15">
                  <c:v>4.370379066949436</c:v>
                </c:pt>
                <c:pt idx="16">
                  <c:v>5.2057350499091708</c:v>
                </c:pt>
                <c:pt idx="17">
                  <c:v>5.9620207796637983</c:v>
                </c:pt>
                <c:pt idx="18">
                  <c:v>6.0842958856624207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17.054059642645338</c:v>
                </c:pt>
                <c:pt idx="4">
                  <c:v>23.087198272550204</c:v>
                </c:pt>
                <c:pt idx="5">
                  <c:v>31.892582877824047</c:v>
                </c:pt>
                <c:pt idx="6">
                  <c:v>39.98896781151938</c:v>
                </c:pt>
                <c:pt idx="7">
                  <c:v>48.213476302231257</c:v>
                </c:pt>
                <c:pt idx="8">
                  <c:v>51.793938925060544</c:v>
                </c:pt>
                <c:pt idx="10">
                  <c:v>16.520182703280053</c:v>
                </c:pt>
                <c:pt idx="11">
                  <c:v>16.725818078032439</c:v>
                </c:pt>
                <c:pt idx="12">
                  <c:v>16.104215340469594</c:v>
                </c:pt>
                <c:pt idx="13">
                  <c:v>17.054059642645338</c:v>
                </c:pt>
                <c:pt idx="14">
                  <c:v>21.931530671610638</c:v>
                </c:pt>
                <c:pt idx="15">
                  <c:v>28.781339933864132</c:v>
                </c:pt>
                <c:pt idx="16">
                  <c:v>34.28261662932784</c:v>
                </c:pt>
                <c:pt idx="17">
                  <c:v>39.263172398462061</c:v>
                </c:pt>
                <c:pt idx="18">
                  <c:v>40.068420944934729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4.8921480442124343</c:v>
                </c:pt>
                <c:pt idx="4">
                  <c:v>6.6228214420552804</c:v>
                </c:pt>
                <c:pt idx="5">
                  <c:v>9.1487446520052362</c:v>
                </c:pt>
                <c:pt idx="6">
                  <c:v>11.471283364108903</c:v>
                </c:pt>
                <c:pt idx="7">
                  <c:v>13.830575753753878</c:v>
                </c:pt>
                <c:pt idx="8">
                  <c:v>14.857671564645099</c:v>
                </c:pt>
                <c:pt idx="10">
                  <c:v>4.7389994637867545</c:v>
                </c:pt>
                <c:pt idx="11">
                  <c:v>4.7979882745154434</c:v>
                </c:pt>
                <c:pt idx="12">
                  <c:v>4.6196745661922405</c:v>
                </c:pt>
                <c:pt idx="13">
                  <c:v>4.8921480442124343</c:v>
                </c:pt>
                <c:pt idx="14">
                  <c:v>6.291305245198636</c:v>
                </c:pt>
                <c:pt idx="15">
                  <c:v>8.2562497620904338</c:v>
                </c:pt>
                <c:pt idx="16">
                  <c:v>9.8343526062417155</c:v>
                </c:pt>
                <c:pt idx="17">
                  <c:v>11.263080819677322</c:v>
                </c:pt>
                <c:pt idx="18">
                  <c:v>11.494075385445131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3.3490180067053346</c:v>
                </c:pt>
                <c:pt idx="4">
                  <c:v>4.5337851725229177</c:v>
                </c:pt>
                <c:pt idx="5">
                  <c:v>6.2629565379898784</c:v>
                </c:pt>
                <c:pt idx="6">
                  <c:v>7.852896968616724</c:v>
                </c:pt>
                <c:pt idx="7">
                  <c:v>9.4679978659314283</c:v>
                </c:pt>
                <c:pt idx="8">
                  <c:v>10.171116891398302</c:v>
                </c:pt>
                <c:pt idx="10">
                  <c:v>3.2441770761137643</c:v>
                </c:pt>
                <c:pt idx="11">
                  <c:v>3.284559048927981</c:v>
                </c:pt>
                <c:pt idx="12">
                  <c:v>3.1624908255995221</c:v>
                </c:pt>
                <c:pt idx="13">
                  <c:v>3.3490180067053346</c:v>
                </c:pt>
                <c:pt idx="14">
                  <c:v>4.3068391147271319</c:v>
                </c:pt>
                <c:pt idx="15">
                  <c:v>5.6519812710510076</c:v>
                </c:pt>
                <c:pt idx="16">
                  <c:v>6.7323032060643966</c:v>
                </c:pt>
                <c:pt idx="17">
                  <c:v>7.7103677434089688</c:v>
                </c:pt>
                <c:pt idx="18">
                  <c:v>7.8684997036881894</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134.25389306301608</c:v>
                </c:pt>
                <c:pt idx="4">
                  <c:v>181.74829412797916</c:v>
                </c:pt>
                <c:pt idx="5">
                  <c:v>251.06652028329665</c:v>
                </c:pt>
                <c:pt idx="6">
                  <c:v>314.8033207790138</c:v>
                </c:pt>
                <c:pt idx="7">
                  <c:v>379.54874248768482</c:v>
                </c:pt>
                <c:pt idx="8">
                  <c:v>407.73505449514579</c:v>
                </c:pt>
                <c:pt idx="10">
                  <c:v>130.05107807184956</c:v>
                </c:pt>
                <c:pt idx="11">
                  <c:v>131.66989201940638</c:v>
                </c:pt>
                <c:pt idx="12">
                  <c:v>131.88068567509137</c:v>
                </c:pt>
                <c:pt idx="13">
                  <c:v>134.25389306301608</c:v>
                </c:pt>
                <c:pt idx="14">
                  <c:v>172.65058497461385</c:v>
                </c:pt>
                <c:pt idx="15">
                  <c:v>226.57402487493258</c:v>
                </c:pt>
                <c:pt idx="16">
                  <c:v>269.88147357975504</c:v>
                </c:pt>
                <c:pt idx="17">
                  <c:v>309.08967477260688</c:v>
                </c:pt>
                <c:pt idx="18">
                  <c:v>315.42879604417533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41.112795798497203</c:v>
                </c:pt>
                <c:pt idx="4">
                  <c:v>55.657086232140209</c:v>
                </c:pt>
                <c:pt idx="5">
                  <c:v>76.884523381392526</c:v>
                </c:pt>
                <c:pt idx="6">
                  <c:v>96.402751150027981</c:v>
                </c:pt>
                <c:pt idx="7">
                  <c:v>116.22985069154186</c:v>
                </c:pt>
                <c:pt idx="8">
                  <c:v>124.86139249220716</c:v>
                </c:pt>
                <c:pt idx="10">
                  <c:v>39.825760684889083</c:v>
                </c:pt>
                <c:pt idx="11">
                  <c:v>40.321492806641579</c:v>
                </c:pt>
                <c:pt idx="12">
                  <c:v>38.822974157550945</c:v>
                </c:pt>
                <c:pt idx="13">
                  <c:v>41.112795798497203</c:v>
                </c:pt>
                <c:pt idx="14">
                  <c:v>52.871079434699595</c:v>
                </c:pt>
                <c:pt idx="15">
                  <c:v>69.384145259418375</c:v>
                </c:pt>
                <c:pt idx="16">
                  <c:v>82.646258219669974</c:v>
                </c:pt>
                <c:pt idx="17">
                  <c:v>94.653051709907842</c:v>
                </c:pt>
                <c:pt idx="18">
                  <c:v>96.594291493975604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2.3217785313754526</c:v>
                </c:pt>
                <c:pt idx="4">
                  <c:v>3.1431437688170782</c:v>
                </c:pt>
                <c:pt idx="5">
                  <c:v>4.3419288889245582</c:v>
                </c:pt>
                <c:pt idx="6">
                  <c:v>5.4441891785390748</c:v>
                </c:pt>
                <c:pt idx="7">
                  <c:v>6.5638925010899021</c:v>
                </c:pt>
                <c:pt idx="8">
                  <c:v>7.0513448393759557</c:v>
                </c:pt>
                <c:pt idx="10">
                  <c:v>2.2490953086010257</c:v>
                </c:pt>
                <c:pt idx="11">
                  <c:v>2.2770909769870764</c:v>
                </c:pt>
                <c:pt idx="12">
                  <c:v>2.1924645641939198</c:v>
                </c:pt>
                <c:pt idx="13">
                  <c:v>2.3217785313754526</c:v>
                </c:pt>
                <c:pt idx="14">
                  <c:v>2.9858085488464594</c:v>
                </c:pt>
                <c:pt idx="15">
                  <c:v>3.9183571866703848</c:v>
                </c:pt>
                <c:pt idx="16">
                  <c:v>4.6673135286984273</c:v>
                </c:pt>
                <c:pt idx="17">
                  <c:v>5.3453777375380458</c:v>
                </c:pt>
                <c:pt idx="18">
                  <c:v>5.4550061091280213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0.66515328595874301</c:v>
                </c:pt>
                <c:pt idx="4">
                  <c:v>0.9004615977867988</c:v>
                </c:pt>
                <c:pt idx="5">
                  <c:v>1.2438948111715227</c:v>
                </c:pt>
                <c:pt idx="6">
                  <c:v>1.5596751682172871</c:v>
                </c:pt>
                <c:pt idx="7">
                  <c:v>1.88045268176092</c:v>
                </c:pt>
                <c:pt idx="8">
                  <c:v>2.0201001632832698</c:v>
                </c:pt>
                <c:pt idx="10">
                  <c:v>0.64433067785501452</c:v>
                </c:pt>
                <c:pt idx="11">
                  <c:v>0.65235099959024967</c:v>
                </c:pt>
                <c:pt idx="12">
                  <c:v>0.62810685408386391</c:v>
                </c:pt>
                <c:pt idx="13">
                  <c:v>0.66515328595874301</c:v>
                </c:pt>
                <c:pt idx="14">
                  <c:v>0.85538751464481122</c:v>
                </c:pt>
                <c:pt idx="15">
                  <c:v>1.1225481341365706</c:v>
                </c:pt>
                <c:pt idx="16">
                  <c:v>1.337112428365129</c:v>
                </c:pt>
                <c:pt idx="17">
                  <c:v>1.5313672336817667</c:v>
                </c:pt>
                <c:pt idx="18">
                  <c:v>1.5627740498840768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22.71096626938056</c:v>
                </c:pt>
                <c:pt idx="4">
                  <c:v>30.745323530547768</c:v>
                </c:pt>
                <c:pt idx="5">
                  <c:v>42.471492955875135</c:v>
                </c:pt>
                <c:pt idx="6">
                  <c:v>53.253484398738031</c:v>
                </c:pt>
                <c:pt idx="7">
                  <c:v>64.206098546264144</c:v>
                </c:pt>
                <c:pt idx="8">
                  <c:v>68.974216376256706</c:v>
                </c:pt>
                <c:pt idx="10">
                  <c:v>22</c:v>
                </c:pt>
                <c:pt idx="11">
                  <c:v>22.273845533418598</c:v>
                </c:pt>
                <c:pt idx="12">
                  <c:v>16.341846000266067</c:v>
                </c:pt>
                <c:pt idx="13">
                  <c:v>22.71096626938056</c:v>
                </c:pt>
                <c:pt idx="14">
                  <c:v>44.702584478820967</c:v>
                </c:pt>
                <c:pt idx="15">
                  <c:v>80.070905287686216</c:v>
                </c:pt>
                <c:pt idx="16">
                  <c:v>122.21584005033931</c:v>
                </c:pt>
                <c:pt idx="17">
                  <c:v>172.3286123806846</c:v>
                </c:pt>
                <c:pt idx="18">
                  <c:v>210.62179842503593</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27.212064684069087</c:v>
                </c:pt>
                <c:pt idx="4">
                  <c:v>36.851109973714507</c:v>
                </c:pt>
                <c:pt idx="5">
                  <c:v>50.906007091118447</c:v>
                </c:pt>
                <c:pt idx="6">
                  <c:v>63.802377655431137</c:v>
                </c:pt>
                <c:pt idx="7">
                  <c:v>76.947798864177003</c:v>
                </c:pt>
                <c:pt idx="8">
                  <c:v>82.658864792429654</c:v>
                </c:pt>
                <c:pt idx="10">
                  <c:v>27.142505514316699</c:v>
                </c:pt>
                <c:pt idx="11">
                  <c:v>26.703251105538467</c:v>
                </c:pt>
                <c:pt idx="12">
                  <c:v>25.706609742210937</c:v>
                </c:pt>
                <c:pt idx="13">
                  <c:v>27.212064684069087</c:v>
                </c:pt>
                <c:pt idx="14">
                  <c:v>37.283314349949428</c:v>
                </c:pt>
                <c:pt idx="15">
                  <c:v>52.07024632736902</c:v>
                </c:pt>
                <c:pt idx="16">
                  <c:v>65.936901953567073</c:v>
                </c:pt>
                <c:pt idx="17">
                  <c:v>80.295865278321145</c:v>
                </c:pt>
                <c:pt idx="18">
                  <c:v>87.045052534559233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89.797718408758314</c:v>
                </c:pt>
                <c:pt idx="4">
                  <c:v>92.412731914886479</c:v>
                </c:pt>
                <c:pt idx="5">
                  <c:v>110.64246451148132</c:v>
                </c:pt>
                <c:pt idx="6">
                  <c:v>141.72650672101051</c:v>
                </c:pt>
                <c:pt idx="7">
                  <c:v>173.87745919247294</c:v>
                </c:pt>
                <c:pt idx="8">
                  <c:v>186.24392762406274</c:v>
                </c:pt>
                <c:pt idx="10">
                  <c:v>88.672727178245694</c:v>
                </c:pt>
                <c:pt idx="11">
                  <c:v>87.357882681535756</c:v>
                </c:pt>
                <c:pt idx="12">
                  <c:v>84.559607459462228</c:v>
                </c:pt>
                <c:pt idx="13">
                  <c:v>89.797718408758314</c:v>
                </c:pt>
                <c:pt idx="14">
                  <c:v>92.412731914886479</c:v>
                </c:pt>
                <c:pt idx="15">
                  <c:v>110.64246451148132</c:v>
                </c:pt>
                <c:pt idx="16">
                  <c:v>141.72650672101051</c:v>
                </c:pt>
                <c:pt idx="17">
                  <c:v>173.87745919247294</c:v>
                </c:pt>
                <c:pt idx="18">
                  <c:v>186.24392762406274</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15960123"/>
        <c:axId val="9423379"/>
      </c:barChart>
      <c:catAx>
        <c:axId val="15960123"/>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9423379"/>
        <c:crosses val="autoZero"/>
        <c:auto val="1"/>
        <c:lblAlgn val="ctr"/>
        <c:lblOffset val="100"/>
        <c:noMultiLvlLbl val="0"/>
      </c:catAx>
      <c:valAx>
        <c:axId val="9423379"/>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Freight Demand (Billion tonkm)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5960123"/>
        <c:crosses val="autoZero"/>
        <c:crossBetween val="between"/>
      </c:valAx>
    </c:plotArea>
    <c:legend>
      <c:legendPos val="r"/>
      <c:layout>
        <c:manualLayout>
          <c:xMode val="edge"/>
          <c:yMode val="edge"/>
          <c:x val="0.70150000000000001"/>
          <c:y val="0.35225000000000001"/>
          <c:w val="0.27925"/>
          <c:h val="0.603500000000000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279.19852760444064</c:v>
                </c:pt>
                <c:pt idx="2">
                  <c:v>385.68396545448371</c:v>
                </c:pt>
                <c:pt idx="3">
                  <c:v>626.35540770248235</c:v>
                </c:pt>
                <c:pt idx="5">
                  <c:v>198.99120798726022</c:v>
                </c:pt>
                <c:pt idx="6">
                  <c:v>274.32601593061764</c:v>
                </c:pt>
                <c:pt idx="7">
                  <c:v>348.07977882267159</c:v>
                </c:pt>
                <c:pt idx="8">
                  <c:v>484.66187458022154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30.745323530547768</c:v>
                </c:pt>
                <c:pt idx="2">
                  <c:v>42.471492955875135</c:v>
                </c:pt>
                <c:pt idx="3">
                  <c:v>68.974216376256706</c:v>
                </c:pt>
                <c:pt idx="5">
                  <c:v>17.206637381742077</c:v>
                </c:pt>
                <c:pt idx="6">
                  <c:v>35.617835204370841</c:v>
                </c:pt>
                <c:pt idx="7">
                  <c:v>80.075679587687318</c:v>
                </c:pt>
                <c:pt idx="8">
                  <c:v>210.66774949851762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6637363"/>
        <c:axId val="39974220"/>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309.94385113498839</c:v>
                </c:pt>
                <c:pt idx="2">
                  <c:v>428.15545841035885</c:v>
                </c:pt>
                <c:pt idx="3">
                  <c:v>695.32962407873902</c:v>
                </c:pt>
                <c:pt idx="5">
                  <c:v>216.19784536900229</c:v>
                </c:pt>
                <c:pt idx="6">
                  <c:v>309.94385113498851</c:v>
                </c:pt>
                <c:pt idx="7">
                  <c:v>428.1554584103589</c:v>
                </c:pt>
                <c:pt idx="8">
                  <c:v>695.32962407873913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24223668"/>
        <c:axId val="16686427"/>
      </c:lineChart>
      <c:catAx>
        <c:axId val="2422366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16686427"/>
        <c:crosses val="autoZero"/>
        <c:auto val="1"/>
        <c:lblAlgn val="ctr"/>
        <c:lblOffset val="100"/>
        <c:noMultiLvlLbl val="0"/>
      </c:catAx>
      <c:valAx>
        <c:axId val="16686427"/>
        <c:scaling>
          <c:orientation val="minMax"/>
        </c:scaling>
        <c:delete val="0"/>
        <c:axPos val="l"/>
        <c:majorGridlines>
          <c:spPr>
            <a:ln w="9525" cap="flat" cmpd="sng">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kern="1200" baseline="0">
                    <a:solidFill>
                      <a:schemeClr val="tx1">
                        <a:lumMod val="65000"/>
                        <a:lumOff val="35000"/>
                      </a:schemeClr>
                    </a:solidFill>
                    <a:latin typeface="+mn-lt"/>
                    <a:ea typeface="+mn-ea"/>
                    <a:cs typeface="+mn-cs"/>
                  </a:defRPr>
                </a:pPr>
                <a:r>
                  <a:rPr lang="en-US"/>
                  <a:t>b.tkm</a:t>
                </a:r>
              </a:p>
            </c:rich>
          </c:tx>
          <c:overlay val="0"/>
          <c:spPr>
            <a:noFill/>
            <a:ln w="9525">
              <a:noFill/>
            </a:ln>
            <a:effectLst/>
          </c:spPr>
        </c:title>
        <c:numFmt formatCode="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24223668"/>
        <c:crosses val="autoZero"/>
        <c:crossBetween val="between"/>
      </c:valAx>
      <c:catAx>
        <c:axId val="56637363"/>
        <c:scaling>
          <c:orientation val="minMax"/>
        </c:scaling>
        <c:delete val="1"/>
        <c:axPos val="b"/>
        <c:numFmt formatCode="General" sourceLinked="1"/>
        <c:majorTickMark val="out"/>
        <c:minorTickMark val="none"/>
        <c:tickLblPos val="nextTo"/>
        <c:crossAx val="39974220"/>
        <c:crosses val="autoZero"/>
        <c:auto val="1"/>
        <c:lblAlgn val="ctr"/>
        <c:lblOffset val="100"/>
        <c:noMultiLvlLbl val="0"/>
      </c:catAx>
      <c:valAx>
        <c:axId val="39974220"/>
        <c:scaling>
          <c:orientation val="minMax"/>
        </c:scaling>
        <c:delete val="0"/>
        <c:axPos val="r"/>
        <c:numFmt formatCode="0%" sourceLinked="1"/>
        <c:majorTickMark val="out"/>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6637363"/>
        <c:crosses val="max"/>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49.122602511704166</c:v>
                </c:pt>
                <c:pt idx="5">
                  <c:v>51.053478515716584</c:v>
                </c:pt>
                <c:pt idx="6">
                  <c:v>52.984354519729003</c:v>
                </c:pt>
                <c:pt idx="7">
                  <c:v>54.915230523741421</c:v>
                </c:pt>
                <c:pt idx="8">
                  <c:v>54.915230523741421</c:v>
                </c:pt>
                <c:pt idx="9">
                  <c:v>54.915230523741421</c:v>
                </c:pt>
                <c:pt idx="10">
                  <c:v>56.84610652775384</c:v>
                </c:pt>
                <c:pt idx="11">
                  <c:v>58.776982531766258</c:v>
                </c:pt>
                <c:pt idx="12">
                  <c:v>60.707858535778676</c:v>
                </c:pt>
                <c:pt idx="13">
                  <c:v>62.638734539791095</c:v>
                </c:pt>
                <c:pt idx="14">
                  <c:v>64.569610543803506</c:v>
                </c:pt>
                <c:pt idx="15">
                  <c:v>66.500486547815925</c:v>
                </c:pt>
                <c:pt idx="16">
                  <c:v>69.036794130826422</c:v>
                </c:pt>
                <c:pt idx="17">
                  <c:v>71.57310171383692</c:v>
                </c:pt>
                <c:pt idx="18">
                  <c:v>71.57310171383692</c:v>
                </c:pt>
                <c:pt idx="19">
                  <c:v>71.57310171383692</c:v>
                </c:pt>
                <c:pt idx="20">
                  <c:v>74.109409296847417</c:v>
                </c:pt>
                <c:pt idx="21">
                  <c:v>76.645716879857915</c:v>
                </c:pt>
                <c:pt idx="22">
                  <c:v>79.182024462868412</c:v>
                </c:pt>
                <c:pt idx="23">
                  <c:v>81.71833204587891</c:v>
                </c:pt>
                <c:pt idx="24">
                  <c:v>84.254639628889407</c:v>
                </c:pt>
                <c:pt idx="25">
                  <c:v>86.790947211899905</c:v>
                </c:pt>
                <c:pt idx="26">
                  <c:v>89.327254794910402</c:v>
                </c:pt>
                <c:pt idx="27">
                  <c:v>91.863562377920857</c:v>
                </c:pt>
                <c:pt idx="28">
                  <c:v>103.52399711350546</c:v>
                </c:pt>
                <c:pt idx="29">
                  <c:v>115.18443184909002</c:v>
                </c:pt>
                <c:pt idx="30">
                  <c:v>138.87434908340714</c:v>
                </c:pt>
                <c:pt idx="31">
                  <c:v>149.18753233213039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4.3033826580898404</c:v>
                </c:pt>
                <c:pt idx="5">
                  <c:v>4.4725369350565183</c:v>
                </c:pt>
                <c:pt idx="6">
                  <c:v>4.6416912120231961</c:v>
                </c:pt>
                <c:pt idx="7">
                  <c:v>4.810845488989874</c:v>
                </c:pt>
                <c:pt idx="8">
                  <c:v>4.810845488989874</c:v>
                </c:pt>
                <c:pt idx="9">
                  <c:v>4.810845488989874</c:v>
                </c:pt>
                <c:pt idx="10">
                  <c:v>4.9799997659565518</c:v>
                </c:pt>
                <c:pt idx="11">
                  <c:v>5.1491540429232296</c:v>
                </c:pt>
                <c:pt idx="12">
                  <c:v>5.3183083198899075</c:v>
                </c:pt>
                <c:pt idx="13">
                  <c:v>5.4874625968565853</c:v>
                </c:pt>
                <c:pt idx="14">
                  <c:v>5.6566168738232632</c:v>
                </c:pt>
                <c:pt idx="15">
                  <c:v>5.8257711507899437</c:v>
                </c:pt>
                <c:pt idx="16">
                  <c:v>5.9694991316000765</c:v>
                </c:pt>
                <c:pt idx="17">
                  <c:v>6.1132271124102093</c:v>
                </c:pt>
                <c:pt idx="18">
                  <c:v>6.1132271124102093</c:v>
                </c:pt>
                <c:pt idx="19">
                  <c:v>6.1132271124102093</c:v>
                </c:pt>
                <c:pt idx="20">
                  <c:v>6.2569550932203422</c:v>
                </c:pt>
                <c:pt idx="21">
                  <c:v>6.400683074030475</c:v>
                </c:pt>
                <c:pt idx="22">
                  <c:v>6.5444110548406078</c:v>
                </c:pt>
                <c:pt idx="23">
                  <c:v>6.6881390356507406</c:v>
                </c:pt>
                <c:pt idx="24">
                  <c:v>6.8318670164608735</c:v>
                </c:pt>
                <c:pt idx="25">
                  <c:v>6.9755949972710063</c:v>
                </c:pt>
                <c:pt idx="26">
                  <c:v>7.1193229780811391</c:v>
                </c:pt>
                <c:pt idx="27">
                  <c:v>7.2630509588912719</c:v>
                </c:pt>
                <c:pt idx="28">
                  <c:v>7.9572932687010747</c:v>
                </c:pt>
                <c:pt idx="29">
                  <c:v>8.6515355785108756</c:v>
                </c:pt>
                <c:pt idx="30">
                  <c:v>9.909347427534076</c:v>
                </c:pt>
                <c:pt idx="31">
                  <c:v>10.112980147293296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1.0354334339996645</c:v>
                </c:pt>
                <c:pt idx="5">
                  <c:v>1.0683460966069067</c:v>
                </c:pt>
                <c:pt idx="6">
                  <c:v>1.101258759214149</c:v>
                </c:pt>
                <c:pt idx="7">
                  <c:v>1.1341714218213912</c:v>
                </c:pt>
                <c:pt idx="8">
                  <c:v>1.1341714218213912</c:v>
                </c:pt>
                <c:pt idx="9">
                  <c:v>1.1341714218213912</c:v>
                </c:pt>
                <c:pt idx="10">
                  <c:v>1.1670840844286334</c:v>
                </c:pt>
                <c:pt idx="11">
                  <c:v>1.1999967470358757</c:v>
                </c:pt>
                <c:pt idx="12">
                  <c:v>1.2329094096431179</c:v>
                </c:pt>
                <c:pt idx="13">
                  <c:v>1.2658220722503601</c:v>
                </c:pt>
                <c:pt idx="14">
                  <c:v>1.2987347348576024</c:v>
                </c:pt>
                <c:pt idx="15">
                  <c:v>1.331647397464844</c:v>
                </c:pt>
                <c:pt idx="16">
                  <c:v>1.3732383416346363</c:v>
                </c:pt>
                <c:pt idx="17">
                  <c:v>1.4148292858044287</c:v>
                </c:pt>
                <c:pt idx="18">
                  <c:v>1.4148292858044287</c:v>
                </c:pt>
                <c:pt idx="19">
                  <c:v>1.4148292858044287</c:v>
                </c:pt>
                <c:pt idx="20">
                  <c:v>1.456420229974221</c:v>
                </c:pt>
                <c:pt idx="21">
                  <c:v>1.4980111741440134</c:v>
                </c:pt>
                <c:pt idx="22">
                  <c:v>1.5396021183138058</c:v>
                </c:pt>
                <c:pt idx="23">
                  <c:v>1.5811930624835981</c:v>
                </c:pt>
                <c:pt idx="24">
                  <c:v>1.6227840066533905</c:v>
                </c:pt>
                <c:pt idx="25">
                  <c:v>1.6643749508231829</c:v>
                </c:pt>
                <c:pt idx="26">
                  <c:v>1.7059658949929752</c:v>
                </c:pt>
                <c:pt idx="27">
                  <c:v>1.7475568391627665</c:v>
                </c:pt>
                <c:pt idx="28">
                  <c:v>1.9145979219544367</c:v>
                </c:pt>
                <c:pt idx="29">
                  <c:v>2.0816390047461075</c:v>
                </c:pt>
                <c:pt idx="30">
                  <c:v>2.3842801002831817</c:v>
                </c:pt>
                <c:pt idx="31">
                  <c:v>2.4332760049115123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3.4059784545034963</c:v>
                </c:pt>
                <c:pt idx="5">
                  <c:v>3.5142421207515442</c:v>
                </c:pt>
                <c:pt idx="6">
                  <c:v>3.622505786999592</c:v>
                </c:pt>
                <c:pt idx="7">
                  <c:v>3.7307694532476399</c:v>
                </c:pt>
                <c:pt idx="8">
                  <c:v>3.7307694532476399</c:v>
                </c:pt>
                <c:pt idx="9">
                  <c:v>3.7307694532476399</c:v>
                </c:pt>
                <c:pt idx="10">
                  <c:v>3.8390331194956877</c:v>
                </c:pt>
                <c:pt idx="11">
                  <c:v>3.9472967857437355</c:v>
                </c:pt>
                <c:pt idx="12">
                  <c:v>4.0555604519917834</c:v>
                </c:pt>
                <c:pt idx="13">
                  <c:v>4.1638241182398312</c:v>
                </c:pt>
                <c:pt idx="14">
                  <c:v>4.2720877844878791</c:v>
                </c:pt>
                <c:pt idx="15">
                  <c:v>4.380351450735926</c:v>
                </c:pt>
                <c:pt idx="16">
                  <c:v>4.5171616551327221</c:v>
                </c:pt>
                <c:pt idx="17">
                  <c:v>4.6539718595295181</c:v>
                </c:pt>
                <c:pt idx="18">
                  <c:v>4.6539718595295181</c:v>
                </c:pt>
                <c:pt idx="19">
                  <c:v>4.6539718595295181</c:v>
                </c:pt>
                <c:pt idx="20">
                  <c:v>4.7907820639263141</c:v>
                </c:pt>
                <c:pt idx="21">
                  <c:v>4.9275922683231101</c:v>
                </c:pt>
                <c:pt idx="22">
                  <c:v>5.0644024727199062</c:v>
                </c:pt>
                <c:pt idx="23">
                  <c:v>5.2012126771167022</c:v>
                </c:pt>
                <c:pt idx="24">
                  <c:v>5.3380228815134982</c:v>
                </c:pt>
                <c:pt idx="25">
                  <c:v>5.4748330859102943</c:v>
                </c:pt>
                <c:pt idx="26">
                  <c:v>5.6116432903070903</c:v>
                </c:pt>
                <c:pt idx="27">
                  <c:v>5.7484534947038837</c:v>
                </c:pt>
                <c:pt idx="28">
                  <c:v>6.2979222585312913</c:v>
                </c:pt>
                <c:pt idx="29">
                  <c:v>6.8473910223587025</c:v>
                </c:pt>
                <c:pt idx="30">
                  <c:v>7.8429055740425184</c:v>
                </c:pt>
                <c:pt idx="31">
                  <c:v>8.0040738249829779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0.61774549749780006</c:v>
                </c:pt>
                <c:pt idx="5">
                  <c:v>0.63738137989127375</c:v>
                </c:pt>
                <c:pt idx="6">
                  <c:v>0.65701726228474744</c:v>
                </c:pt>
                <c:pt idx="7">
                  <c:v>0.67665314467822113</c:v>
                </c:pt>
                <c:pt idx="8">
                  <c:v>0.67665314467822113</c:v>
                </c:pt>
                <c:pt idx="9">
                  <c:v>0.67665314467822113</c:v>
                </c:pt>
                <c:pt idx="10">
                  <c:v>0.69628902707169482</c:v>
                </c:pt>
                <c:pt idx="11">
                  <c:v>0.71592490946516851</c:v>
                </c:pt>
                <c:pt idx="12">
                  <c:v>0.7355607918586422</c:v>
                </c:pt>
                <c:pt idx="13">
                  <c:v>0.7551966742521159</c:v>
                </c:pt>
                <c:pt idx="14">
                  <c:v>0.77483255664558959</c:v>
                </c:pt>
                <c:pt idx="15">
                  <c:v>0.7944684390390635</c:v>
                </c:pt>
                <c:pt idx="16">
                  <c:v>0.81928183375274033</c:v>
                </c:pt>
                <c:pt idx="17">
                  <c:v>0.84409522846641716</c:v>
                </c:pt>
                <c:pt idx="18">
                  <c:v>0.84409522846641716</c:v>
                </c:pt>
                <c:pt idx="19">
                  <c:v>0.84409522846641716</c:v>
                </c:pt>
                <c:pt idx="20">
                  <c:v>0.86890862318009399</c:v>
                </c:pt>
                <c:pt idx="21">
                  <c:v>0.89372201789377081</c:v>
                </c:pt>
                <c:pt idx="22">
                  <c:v>0.91853541260744764</c:v>
                </c:pt>
                <c:pt idx="23">
                  <c:v>0.94334880732112447</c:v>
                </c:pt>
                <c:pt idx="24">
                  <c:v>0.9681622020348013</c:v>
                </c:pt>
                <c:pt idx="25">
                  <c:v>0.99297559674847813</c:v>
                </c:pt>
                <c:pt idx="26">
                  <c:v>1.017788991462155</c:v>
                </c:pt>
                <c:pt idx="27">
                  <c:v>1.0426023861758322</c:v>
                </c:pt>
                <c:pt idx="28">
                  <c:v>1.1422600497236608</c:v>
                </c:pt>
                <c:pt idx="29">
                  <c:v>1.2419177132714898</c:v>
                </c:pt>
                <c:pt idx="30">
                  <c:v>1.4224751184961413</c:v>
                </c:pt>
                <c:pt idx="31">
                  <c:v>1.4517063548906119</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0.30761807264291008</c:v>
                </c:pt>
                <c:pt idx="5">
                  <c:v>0.31739613224996494</c:v>
                </c:pt>
                <c:pt idx="6">
                  <c:v>0.32717419185701979</c:v>
                </c:pt>
                <c:pt idx="7">
                  <c:v>0.33695225146407465</c:v>
                </c:pt>
                <c:pt idx="8">
                  <c:v>0.33695225146407465</c:v>
                </c:pt>
                <c:pt idx="9">
                  <c:v>0.33695225146407465</c:v>
                </c:pt>
                <c:pt idx="10">
                  <c:v>0.3467303110711295</c:v>
                </c:pt>
                <c:pt idx="11">
                  <c:v>0.35650837067818436</c:v>
                </c:pt>
                <c:pt idx="12">
                  <c:v>0.36628643028523922</c:v>
                </c:pt>
                <c:pt idx="13">
                  <c:v>0.37606448989229407</c:v>
                </c:pt>
                <c:pt idx="14">
                  <c:v>0.38584254949934893</c:v>
                </c:pt>
                <c:pt idx="15">
                  <c:v>0.39562060910640362</c:v>
                </c:pt>
                <c:pt idx="16">
                  <c:v>0.4079769090526873</c:v>
                </c:pt>
                <c:pt idx="17">
                  <c:v>0.42033320899897098</c:v>
                </c:pt>
                <c:pt idx="18">
                  <c:v>0.42033320899897098</c:v>
                </c:pt>
                <c:pt idx="19">
                  <c:v>0.42033320899897098</c:v>
                </c:pt>
                <c:pt idx="20">
                  <c:v>0.43268950894525465</c:v>
                </c:pt>
                <c:pt idx="21">
                  <c:v>0.44504580889153833</c:v>
                </c:pt>
                <c:pt idx="22">
                  <c:v>0.45740210883782201</c:v>
                </c:pt>
                <c:pt idx="23">
                  <c:v>0.46975840878410569</c:v>
                </c:pt>
                <c:pt idx="24">
                  <c:v>0.48211470873038936</c:v>
                </c:pt>
                <c:pt idx="25">
                  <c:v>0.49447100867667304</c:v>
                </c:pt>
                <c:pt idx="26">
                  <c:v>0.50682730862295666</c:v>
                </c:pt>
                <c:pt idx="27">
                  <c:v>0.51918360856924028</c:v>
                </c:pt>
                <c:pt idx="28">
                  <c:v>0.56881002998202923</c:v>
                </c:pt>
                <c:pt idx="29">
                  <c:v>0.61843645139481807</c:v>
                </c:pt>
                <c:pt idx="30">
                  <c:v>0.70834843168700923</c:v>
                </c:pt>
                <c:pt idx="31">
                  <c:v>0.7229046795869275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7.1543851555436984</c:v>
                </c:pt>
                <c:pt idx="5">
                  <c:v>7.3939540687914951</c:v>
                </c:pt>
                <c:pt idx="6">
                  <c:v>7.6335229820392918</c:v>
                </c:pt>
                <c:pt idx="7">
                  <c:v>7.8730918952870885</c:v>
                </c:pt>
                <c:pt idx="8">
                  <c:v>7.8730918952870885</c:v>
                </c:pt>
                <c:pt idx="9">
                  <c:v>7.8730918952870885</c:v>
                </c:pt>
                <c:pt idx="10">
                  <c:v>8.1126608085348852</c:v>
                </c:pt>
                <c:pt idx="11">
                  <c:v>8.3522297217826829</c:v>
                </c:pt>
                <c:pt idx="12">
                  <c:v>8.5917986350304805</c:v>
                </c:pt>
                <c:pt idx="13">
                  <c:v>8.8313675482782781</c:v>
                </c:pt>
                <c:pt idx="14">
                  <c:v>9.0709364615260757</c:v>
                </c:pt>
                <c:pt idx="15">
                  <c:v>9.3105053747738697</c:v>
                </c:pt>
                <c:pt idx="16">
                  <c:v>9.5402054613721372</c:v>
                </c:pt>
                <c:pt idx="17">
                  <c:v>9.7699055479704047</c:v>
                </c:pt>
                <c:pt idx="18">
                  <c:v>9.7699055479704047</c:v>
                </c:pt>
                <c:pt idx="19">
                  <c:v>9.7699055479704047</c:v>
                </c:pt>
                <c:pt idx="20">
                  <c:v>9.9996056345686721</c:v>
                </c:pt>
                <c:pt idx="21">
                  <c:v>10.22930572116694</c:v>
                </c:pt>
                <c:pt idx="22">
                  <c:v>10.459005807765207</c:v>
                </c:pt>
                <c:pt idx="23">
                  <c:v>10.688705894363475</c:v>
                </c:pt>
                <c:pt idx="24">
                  <c:v>10.918405980961742</c:v>
                </c:pt>
                <c:pt idx="25">
                  <c:v>11.148106067560009</c:v>
                </c:pt>
                <c:pt idx="26">
                  <c:v>11.377806154158277</c:v>
                </c:pt>
                <c:pt idx="27">
                  <c:v>11.607506240756543</c:v>
                </c:pt>
                <c:pt idx="28">
                  <c:v>12.717015452425995</c:v>
                </c:pt>
                <c:pt idx="29">
                  <c:v>13.82652466409545</c:v>
                </c:pt>
                <c:pt idx="30">
                  <c:v>15.836707295316179</c:v>
                </c:pt>
                <c:pt idx="31">
                  <c:v>16.162144646479717</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2.2980985522439892</c:v>
                </c:pt>
                <c:pt idx="5">
                  <c:v>2.3711467461737814</c:v>
                </c:pt>
                <c:pt idx="6">
                  <c:v>2.4441949401035736</c:v>
                </c:pt>
                <c:pt idx="7">
                  <c:v>2.5172431340333659</c:v>
                </c:pt>
                <c:pt idx="8">
                  <c:v>2.5172431340333659</c:v>
                </c:pt>
                <c:pt idx="9">
                  <c:v>2.5172431340333659</c:v>
                </c:pt>
                <c:pt idx="10">
                  <c:v>2.5902913279631581</c:v>
                </c:pt>
                <c:pt idx="11">
                  <c:v>2.6633395218929503</c:v>
                </c:pt>
                <c:pt idx="12">
                  <c:v>2.7363877158227425</c:v>
                </c:pt>
                <c:pt idx="13">
                  <c:v>2.8094359097525348</c:v>
                </c:pt>
                <c:pt idx="14">
                  <c:v>2.882484103682327</c:v>
                </c:pt>
                <c:pt idx="15">
                  <c:v>2.9555322976121179</c:v>
                </c:pt>
                <c:pt idx="16">
                  <c:v>3.0478415523112385</c:v>
                </c:pt>
                <c:pt idx="17">
                  <c:v>3.1401508070103592</c:v>
                </c:pt>
                <c:pt idx="18">
                  <c:v>3.1401508070103592</c:v>
                </c:pt>
                <c:pt idx="19">
                  <c:v>3.1401508070103592</c:v>
                </c:pt>
                <c:pt idx="20">
                  <c:v>3.2324600617094799</c:v>
                </c:pt>
                <c:pt idx="21">
                  <c:v>3.3247693164086005</c:v>
                </c:pt>
                <c:pt idx="22">
                  <c:v>3.4170785711077212</c:v>
                </c:pt>
                <c:pt idx="23">
                  <c:v>3.5093878258068418</c:v>
                </c:pt>
                <c:pt idx="24">
                  <c:v>3.6016970805059625</c:v>
                </c:pt>
                <c:pt idx="25">
                  <c:v>3.6940063352050831</c:v>
                </c:pt>
                <c:pt idx="26">
                  <c:v>3.7863155899042038</c:v>
                </c:pt>
                <c:pt idx="27">
                  <c:v>3.878624844603324</c:v>
                </c:pt>
                <c:pt idx="28">
                  <c:v>4.2493651142563618</c:v>
                </c:pt>
                <c:pt idx="29">
                  <c:v>4.6201053839093991</c:v>
                </c:pt>
                <c:pt idx="30">
                  <c:v>5.2918038636626719</c:v>
                </c:pt>
                <c:pt idx="31">
                  <c:v>5.4005480994531956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0.12616321536434347</c:v>
                </c:pt>
                <c:pt idx="5">
                  <c:v>0.1301734850778602</c:v>
                </c:pt>
                <c:pt idx="6">
                  <c:v>0.13418375479137692</c:v>
                </c:pt>
                <c:pt idx="7">
                  <c:v>0.13819402450489365</c:v>
                </c:pt>
                <c:pt idx="8">
                  <c:v>0.13819402450489365</c:v>
                </c:pt>
                <c:pt idx="9">
                  <c:v>0.13819402450489365</c:v>
                </c:pt>
                <c:pt idx="10">
                  <c:v>0.14220429421841038</c:v>
                </c:pt>
                <c:pt idx="11">
                  <c:v>0.14621456393192711</c:v>
                </c:pt>
                <c:pt idx="12">
                  <c:v>0.15022483364544384</c:v>
                </c:pt>
                <c:pt idx="13">
                  <c:v>0.15423510335896057</c:v>
                </c:pt>
                <c:pt idx="14">
                  <c:v>0.1582453730724773</c:v>
                </c:pt>
                <c:pt idx="15">
                  <c:v>0.16225564278599394</c:v>
                </c:pt>
                <c:pt idx="16">
                  <c:v>0.16732332466123614</c:v>
                </c:pt>
                <c:pt idx="17">
                  <c:v>0.17239100653647835</c:v>
                </c:pt>
                <c:pt idx="18">
                  <c:v>0.17239100653647835</c:v>
                </c:pt>
                <c:pt idx="19">
                  <c:v>0.17239100653647835</c:v>
                </c:pt>
                <c:pt idx="20">
                  <c:v>0.17745868841172055</c:v>
                </c:pt>
                <c:pt idx="21">
                  <c:v>0.18252637028696275</c:v>
                </c:pt>
                <c:pt idx="22">
                  <c:v>0.18759405216220496</c:v>
                </c:pt>
                <c:pt idx="23">
                  <c:v>0.19266173403744716</c:v>
                </c:pt>
                <c:pt idx="24">
                  <c:v>0.19772941591268936</c:v>
                </c:pt>
                <c:pt idx="25">
                  <c:v>0.20279709778793156</c:v>
                </c:pt>
                <c:pt idx="26">
                  <c:v>0.20786477966317377</c:v>
                </c:pt>
                <c:pt idx="27">
                  <c:v>0.21293246153841591</c:v>
                </c:pt>
                <c:pt idx="28">
                  <c:v>0.23328571594467212</c:v>
                </c:pt>
                <c:pt idx="29">
                  <c:v>0.25363897035092825</c:v>
                </c:pt>
                <c:pt idx="30">
                  <c:v>0.29051451682314805</c:v>
                </c:pt>
                <c:pt idx="31">
                  <c:v>0.29648446203123069</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3.036256761942752E-2</c:v>
                </c:pt>
                <c:pt idx="5">
                  <c:v>3.1327683204007063E-2</c:v>
                </c:pt>
                <c:pt idx="6">
                  <c:v>3.229279878858661E-2</c:v>
                </c:pt>
                <c:pt idx="7">
                  <c:v>3.3257914373166157E-2</c:v>
                </c:pt>
                <c:pt idx="8">
                  <c:v>3.3257914373166157E-2</c:v>
                </c:pt>
                <c:pt idx="9">
                  <c:v>3.3257914373166157E-2</c:v>
                </c:pt>
                <c:pt idx="10">
                  <c:v>3.4223029957745704E-2</c:v>
                </c:pt>
                <c:pt idx="11">
                  <c:v>3.5188145542325251E-2</c:v>
                </c:pt>
                <c:pt idx="12">
                  <c:v>3.6153261126904798E-2</c:v>
                </c:pt>
                <c:pt idx="13">
                  <c:v>3.7118376711484345E-2</c:v>
                </c:pt>
                <c:pt idx="14">
                  <c:v>3.8083492296063892E-2</c:v>
                </c:pt>
                <c:pt idx="15">
                  <c:v>3.9048607880643432E-2</c:v>
                </c:pt>
                <c:pt idx="16">
                  <c:v>4.0268201350629418E-2</c:v>
                </c:pt>
                <c:pt idx="17">
                  <c:v>4.1487794820615403E-2</c:v>
                </c:pt>
                <c:pt idx="18">
                  <c:v>4.1487794820615403E-2</c:v>
                </c:pt>
                <c:pt idx="19">
                  <c:v>4.1487794820615403E-2</c:v>
                </c:pt>
                <c:pt idx="20">
                  <c:v>4.2707388290601389E-2</c:v>
                </c:pt>
                <c:pt idx="21">
                  <c:v>4.3926981760587375E-2</c:v>
                </c:pt>
                <c:pt idx="22">
                  <c:v>4.514657523057336E-2</c:v>
                </c:pt>
                <c:pt idx="23">
                  <c:v>4.6366168700559346E-2</c:v>
                </c:pt>
                <c:pt idx="24">
                  <c:v>4.7585762170545332E-2</c:v>
                </c:pt>
                <c:pt idx="25">
                  <c:v>4.8805355640531317E-2</c:v>
                </c:pt>
                <c:pt idx="26">
                  <c:v>5.0024949110517303E-2</c:v>
                </c:pt>
                <c:pt idx="27">
                  <c:v>5.1244542580503254E-2</c:v>
                </c:pt>
                <c:pt idx="28">
                  <c:v>5.6142777469339294E-2</c:v>
                </c:pt>
                <c:pt idx="29">
                  <c:v>6.1041012358175363E-2</c:v>
                </c:pt>
                <c:pt idx="30">
                  <c:v>6.991551884592416E-2</c:v>
                </c:pt>
                <c:pt idx="31">
                  <c:v>7.1352251926491458E-2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17.305706019659819</c:v>
                </c:pt>
                <c:pt idx="5">
                  <c:v>19.340387040183266</c:v>
                </c:pt>
                <c:pt idx="6">
                  <c:v>21.375068060706713</c:v>
                </c:pt>
                <c:pt idx="7">
                  <c:v>23.40974908123016</c:v>
                </c:pt>
                <c:pt idx="8">
                  <c:v>23.40974908123016</c:v>
                </c:pt>
                <c:pt idx="9">
                  <c:v>23.40974908123016</c:v>
                </c:pt>
                <c:pt idx="10">
                  <c:v>25.444430101753607</c:v>
                </c:pt>
                <c:pt idx="11">
                  <c:v>27.479111122277054</c:v>
                </c:pt>
                <c:pt idx="12">
                  <c:v>29.513792142800501</c:v>
                </c:pt>
                <c:pt idx="13">
                  <c:v>31.548473163323948</c:v>
                </c:pt>
                <c:pt idx="14">
                  <c:v>33.583154183847398</c:v>
                </c:pt>
                <c:pt idx="15">
                  <c:v>35.617835204370841</c:v>
                </c:pt>
                <c:pt idx="16">
                  <c:v>40.063619642702491</c:v>
                </c:pt>
                <c:pt idx="17">
                  <c:v>44.509404081034141</c:v>
                </c:pt>
                <c:pt idx="18">
                  <c:v>44.509404081034141</c:v>
                </c:pt>
                <c:pt idx="19">
                  <c:v>44.509404081034141</c:v>
                </c:pt>
                <c:pt idx="20">
                  <c:v>48.955188519365791</c:v>
                </c:pt>
                <c:pt idx="21">
                  <c:v>53.400972957697441</c:v>
                </c:pt>
                <c:pt idx="22">
                  <c:v>57.846757396029091</c:v>
                </c:pt>
                <c:pt idx="23">
                  <c:v>62.29254183436074</c:v>
                </c:pt>
                <c:pt idx="24">
                  <c:v>66.73832627269239</c:v>
                </c:pt>
                <c:pt idx="25">
                  <c:v>71.184110711024033</c:v>
                </c:pt>
                <c:pt idx="26">
                  <c:v>75.629895149355676</c:v>
                </c:pt>
                <c:pt idx="27">
                  <c:v>80.075679587687318</c:v>
                </c:pt>
                <c:pt idx="28">
                  <c:v>101.15097293219293</c:v>
                </c:pt>
                <c:pt idx="29">
                  <c:v>122.22626627669857</c:v>
                </c:pt>
                <c:pt idx="30">
                  <c:v>172.35935946550941</c:v>
                </c:pt>
                <c:pt idx="31">
                  <c:v>210.66774949851762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27.227298233292721</c:v>
                </c:pt>
                <c:pt idx="5">
                  <c:v>28.29752933108988</c:v>
                </c:pt>
                <c:pt idx="6">
                  <c:v>29.367760428887038</c:v>
                </c:pt>
                <c:pt idx="7">
                  <c:v>30.437991526684197</c:v>
                </c:pt>
                <c:pt idx="8">
                  <c:v>30.437991526684197</c:v>
                </c:pt>
                <c:pt idx="9">
                  <c:v>30.437991526684197</c:v>
                </c:pt>
                <c:pt idx="10">
                  <c:v>31.508222624481355</c:v>
                </c:pt>
                <c:pt idx="11">
                  <c:v>32.57845372227851</c:v>
                </c:pt>
                <c:pt idx="12">
                  <c:v>33.648684820075665</c:v>
                </c:pt>
                <c:pt idx="13">
                  <c:v>34.71891591787282</c:v>
                </c:pt>
                <c:pt idx="14">
                  <c:v>35.789147015669975</c:v>
                </c:pt>
                <c:pt idx="15">
                  <c:v>36.859378113467145</c:v>
                </c:pt>
                <c:pt idx="16">
                  <c:v>38.381633214656489</c:v>
                </c:pt>
                <c:pt idx="17">
                  <c:v>39.903888315845833</c:v>
                </c:pt>
                <c:pt idx="18">
                  <c:v>39.903888315845833</c:v>
                </c:pt>
                <c:pt idx="19">
                  <c:v>39.903888315845833</c:v>
                </c:pt>
                <c:pt idx="20">
                  <c:v>41.426143417035178</c:v>
                </c:pt>
                <c:pt idx="21">
                  <c:v>42.948398518224522</c:v>
                </c:pt>
                <c:pt idx="22">
                  <c:v>44.470653619413866</c:v>
                </c:pt>
                <c:pt idx="23">
                  <c:v>45.992908720603211</c:v>
                </c:pt>
                <c:pt idx="24">
                  <c:v>47.515163821792555</c:v>
                </c:pt>
                <c:pt idx="25">
                  <c:v>49.0374189229819</c:v>
                </c:pt>
                <c:pt idx="26">
                  <c:v>50.559674024171244</c:v>
                </c:pt>
                <c:pt idx="27">
                  <c:v>52.081929125360617</c:v>
                </c:pt>
                <c:pt idx="28">
                  <c:v>59.030685674691966</c:v>
                </c:pt>
                <c:pt idx="29">
                  <c:v>65.979442224023316</c:v>
                </c:pt>
                <c:pt idx="30">
                  <c:v>80.32342129408741</c:v>
                </c:pt>
                <c:pt idx="31">
                  <c:v>87.078385128486644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89.797718408758314</c:v>
                </c:pt>
                <c:pt idx="5">
                  <c:v>90.08827546499478</c:v>
                </c:pt>
                <c:pt idx="6">
                  <c:v>90.378832521231246</c:v>
                </c:pt>
                <c:pt idx="7">
                  <c:v>90.669389577467712</c:v>
                </c:pt>
                <c:pt idx="8">
                  <c:v>90.669389577467712</c:v>
                </c:pt>
                <c:pt idx="9">
                  <c:v>90.669389577467712</c:v>
                </c:pt>
                <c:pt idx="10">
                  <c:v>90.959946633704178</c:v>
                </c:pt>
                <c:pt idx="11">
                  <c:v>91.250503689940643</c:v>
                </c:pt>
                <c:pt idx="12">
                  <c:v>91.541060746177109</c:v>
                </c:pt>
                <c:pt idx="13">
                  <c:v>91.831617802413575</c:v>
                </c:pt>
                <c:pt idx="14">
                  <c:v>92.122174858650041</c:v>
                </c:pt>
                <c:pt idx="15">
                  <c:v>92.412731914886479</c:v>
                </c:pt>
                <c:pt idx="16">
                  <c:v>94.235705174545956</c:v>
                </c:pt>
                <c:pt idx="17">
                  <c:v>96.058678434205433</c:v>
                </c:pt>
                <c:pt idx="18">
                  <c:v>96.058678434205433</c:v>
                </c:pt>
                <c:pt idx="19">
                  <c:v>96.058678434205433</c:v>
                </c:pt>
                <c:pt idx="20">
                  <c:v>97.88165169386491</c:v>
                </c:pt>
                <c:pt idx="21">
                  <c:v>99.704624953524387</c:v>
                </c:pt>
                <c:pt idx="22">
                  <c:v>101.52759821318386</c:v>
                </c:pt>
                <c:pt idx="23">
                  <c:v>103.35057147284334</c:v>
                </c:pt>
                <c:pt idx="24">
                  <c:v>105.17354473250282</c:v>
                </c:pt>
                <c:pt idx="25">
                  <c:v>106.9965179921623</c:v>
                </c:pt>
                <c:pt idx="26">
                  <c:v>108.81949125182177</c:v>
                </c:pt>
                <c:pt idx="27">
                  <c:v>110.64246451148132</c:v>
                </c:pt>
                <c:pt idx="28">
                  <c:v>126.18448561624592</c:v>
                </c:pt>
                <c:pt idx="29">
                  <c:v>141.72650672101051</c:v>
                </c:pt>
                <c:pt idx="30">
                  <c:v>173.87745919247294</c:v>
                </c:pt>
                <c:pt idx="31">
                  <c:v>186.24392762406274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19754830"/>
        <c:axId val="43575742"/>
      </c:lineChart>
      <c:catAx>
        <c:axId val="1975483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575742"/>
        <c:crosses val="autoZero"/>
        <c:auto val="1"/>
        <c:lblAlgn val="ctr"/>
        <c:lblOffset val="100"/>
        <c:noMultiLvlLbl val="0"/>
      </c:catAx>
      <c:valAx>
        <c:axId val="4357574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754830"/>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49.122602511704166</c:v>
                </c:pt>
                <c:pt idx="7">
                  <c:v>51.053478515716584</c:v>
                </c:pt>
                <c:pt idx="8">
                  <c:v>52.984354519729003</c:v>
                </c:pt>
                <c:pt idx="9">
                  <c:v>54.915230523741421</c:v>
                </c:pt>
                <c:pt idx="10">
                  <c:v>56.84610652775384</c:v>
                </c:pt>
                <c:pt idx="11">
                  <c:v>58.776982531766258</c:v>
                </c:pt>
                <c:pt idx="12">
                  <c:v>60.707858535778676</c:v>
                </c:pt>
                <c:pt idx="13">
                  <c:v>62.638734539791095</c:v>
                </c:pt>
                <c:pt idx="14">
                  <c:v>60.707858535778676</c:v>
                </c:pt>
                <c:pt idx="15">
                  <c:v>62.638734539791095</c:v>
                </c:pt>
                <c:pt idx="16">
                  <c:v>64.569610543803506</c:v>
                </c:pt>
                <c:pt idx="17">
                  <c:v>66.500486547815925</c:v>
                </c:pt>
                <c:pt idx="18">
                  <c:v>69.036794130826422</c:v>
                </c:pt>
                <c:pt idx="19">
                  <c:v>71.57310171383692</c:v>
                </c:pt>
                <c:pt idx="20">
                  <c:v>74.109409296847417</c:v>
                </c:pt>
                <c:pt idx="21">
                  <c:v>76.645716879857915</c:v>
                </c:pt>
                <c:pt idx="22">
                  <c:v>79.182024462868412</c:v>
                </c:pt>
                <c:pt idx="23">
                  <c:v>81.71833204587891</c:v>
                </c:pt>
                <c:pt idx="24">
                  <c:v>84.254639628889407</c:v>
                </c:pt>
                <c:pt idx="25">
                  <c:v>86.790947211899905</c:v>
                </c:pt>
                <c:pt idx="26">
                  <c:v>89.327254794910402</c:v>
                </c:pt>
                <c:pt idx="27">
                  <c:v>91.863562377920857</c:v>
                </c:pt>
                <c:pt idx="28">
                  <c:v>94.195649325037778</c:v>
                </c:pt>
                <c:pt idx="29">
                  <c:v>96.527736272154698</c:v>
                </c:pt>
                <c:pt idx="30">
                  <c:v>98.859823219271618</c:v>
                </c:pt>
                <c:pt idx="31">
                  <c:v>101.19191016638854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4.3033826580898404</c:v>
                </c:pt>
                <c:pt idx="7">
                  <c:v>4.4725369350565183</c:v>
                </c:pt>
                <c:pt idx="8">
                  <c:v>4.6416912120231961</c:v>
                </c:pt>
                <c:pt idx="9">
                  <c:v>4.810845488989874</c:v>
                </c:pt>
                <c:pt idx="10">
                  <c:v>4.9799997659565518</c:v>
                </c:pt>
                <c:pt idx="11">
                  <c:v>5.1491540429232296</c:v>
                </c:pt>
                <c:pt idx="12">
                  <c:v>5.3183083198899075</c:v>
                </c:pt>
                <c:pt idx="13">
                  <c:v>5.4874625968565853</c:v>
                </c:pt>
                <c:pt idx="14">
                  <c:v>5.3183083198899075</c:v>
                </c:pt>
                <c:pt idx="15">
                  <c:v>5.4874625968565853</c:v>
                </c:pt>
                <c:pt idx="16">
                  <c:v>5.6566168738232632</c:v>
                </c:pt>
                <c:pt idx="17">
                  <c:v>5.8257711507899437</c:v>
                </c:pt>
                <c:pt idx="18">
                  <c:v>5.9694991316000765</c:v>
                </c:pt>
                <c:pt idx="19">
                  <c:v>6.1132271124102093</c:v>
                </c:pt>
                <c:pt idx="20">
                  <c:v>6.2569550932203422</c:v>
                </c:pt>
                <c:pt idx="21">
                  <c:v>6.400683074030475</c:v>
                </c:pt>
                <c:pt idx="22">
                  <c:v>6.5444110548406078</c:v>
                </c:pt>
                <c:pt idx="23">
                  <c:v>6.6881390356507406</c:v>
                </c:pt>
                <c:pt idx="24">
                  <c:v>6.8318670164608735</c:v>
                </c:pt>
                <c:pt idx="25">
                  <c:v>6.9755949972710063</c:v>
                </c:pt>
                <c:pt idx="26">
                  <c:v>7.1193229780811391</c:v>
                </c:pt>
                <c:pt idx="27">
                  <c:v>7.2630509588912719</c:v>
                </c:pt>
                <c:pt idx="28">
                  <c:v>7.4018994208532325</c:v>
                </c:pt>
                <c:pt idx="29">
                  <c:v>7.540747882815193</c:v>
                </c:pt>
                <c:pt idx="30">
                  <c:v>7.6795963447771536</c:v>
                </c:pt>
                <c:pt idx="31">
                  <c:v>7.8184448067391141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1.0354334339996645</c:v>
                </c:pt>
                <c:pt idx="7">
                  <c:v>1.0683460966069067</c:v>
                </c:pt>
                <c:pt idx="8">
                  <c:v>1.101258759214149</c:v>
                </c:pt>
                <c:pt idx="9">
                  <c:v>1.1341714218213912</c:v>
                </c:pt>
                <c:pt idx="10">
                  <c:v>1.1670840844286334</c:v>
                </c:pt>
                <c:pt idx="11">
                  <c:v>1.1999967470358757</c:v>
                </c:pt>
                <c:pt idx="12">
                  <c:v>1.2329094096431179</c:v>
                </c:pt>
                <c:pt idx="13">
                  <c:v>1.2658220722503601</c:v>
                </c:pt>
                <c:pt idx="14">
                  <c:v>1.2329094096431179</c:v>
                </c:pt>
                <c:pt idx="15">
                  <c:v>1.2658220722503601</c:v>
                </c:pt>
                <c:pt idx="16">
                  <c:v>1.2987347348576024</c:v>
                </c:pt>
                <c:pt idx="17">
                  <c:v>1.331647397464844</c:v>
                </c:pt>
                <c:pt idx="18">
                  <c:v>1.3732383416346363</c:v>
                </c:pt>
                <c:pt idx="19">
                  <c:v>1.4148292858044287</c:v>
                </c:pt>
                <c:pt idx="20">
                  <c:v>1.456420229974221</c:v>
                </c:pt>
                <c:pt idx="21">
                  <c:v>1.4980111741440134</c:v>
                </c:pt>
                <c:pt idx="22">
                  <c:v>1.5396021183138058</c:v>
                </c:pt>
                <c:pt idx="23">
                  <c:v>1.5811930624835981</c:v>
                </c:pt>
                <c:pt idx="24">
                  <c:v>1.6227840066533905</c:v>
                </c:pt>
                <c:pt idx="25">
                  <c:v>1.6643749508231829</c:v>
                </c:pt>
                <c:pt idx="26">
                  <c:v>1.7059658949929752</c:v>
                </c:pt>
                <c:pt idx="27">
                  <c:v>1.7475568391627665</c:v>
                </c:pt>
                <c:pt idx="28">
                  <c:v>1.7809650557211005</c:v>
                </c:pt>
                <c:pt idx="29">
                  <c:v>1.8143732722794346</c:v>
                </c:pt>
                <c:pt idx="30">
                  <c:v>1.8477814888377686</c:v>
                </c:pt>
                <c:pt idx="31">
                  <c:v>1.8811897053961026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3.4059784545034963</c:v>
                </c:pt>
                <c:pt idx="7">
                  <c:v>3.5142421207515442</c:v>
                </c:pt>
                <c:pt idx="8">
                  <c:v>3.622505786999592</c:v>
                </c:pt>
                <c:pt idx="9">
                  <c:v>3.7307694532476399</c:v>
                </c:pt>
                <c:pt idx="10">
                  <c:v>3.8390331194956877</c:v>
                </c:pt>
                <c:pt idx="11">
                  <c:v>3.9472967857437355</c:v>
                </c:pt>
                <c:pt idx="12">
                  <c:v>4.0555604519917834</c:v>
                </c:pt>
                <c:pt idx="13">
                  <c:v>4.1638241182398312</c:v>
                </c:pt>
                <c:pt idx="14">
                  <c:v>4.0555604519917834</c:v>
                </c:pt>
                <c:pt idx="15">
                  <c:v>4.1638241182398312</c:v>
                </c:pt>
                <c:pt idx="16">
                  <c:v>4.2720877844878791</c:v>
                </c:pt>
                <c:pt idx="17">
                  <c:v>4.380351450735926</c:v>
                </c:pt>
                <c:pt idx="18">
                  <c:v>4.5171616551327221</c:v>
                </c:pt>
                <c:pt idx="19">
                  <c:v>4.6539718595295181</c:v>
                </c:pt>
                <c:pt idx="20">
                  <c:v>4.7907820639263141</c:v>
                </c:pt>
                <c:pt idx="21">
                  <c:v>4.9275922683231101</c:v>
                </c:pt>
                <c:pt idx="22">
                  <c:v>5.0644024727199062</c:v>
                </c:pt>
                <c:pt idx="23">
                  <c:v>5.2012126771167022</c:v>
                </c:pt>
                <c:pt idx="24">
                  <c:v>5.3380228815134982</c:v>
                </c:pt>
                <c:pt idx="25">
                  <c:v>5.4748330859102943</c:v>
                </c:pt>
                <c:pt idx="26">
                  <c:v>5.6116432903070903</c:v>
                </c:pt>
                <c:pt idx="27">
                  <c:v>5.7484534947038837</c:v>
                </c:pt>
                <c:pt idx="28">
                  <c:v>5.8583472474693652</c:v>
                </c:pt>
                <c:pt idx="29">
                  <c:v>5.9682410002348467</c:v>
                </c:pt>
                <c:pt idx="30">
                  <c:v>6.0781347530003282</c:v>
                </c:pt>
                <c:pt idx="31">
                  <c:v>6.1880285057658098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0.61774549749780006</c:v>
                </c:pt>
                <c:pt idx="7">
                  <c:v>0.63738137989127375</c:v>
                </c:pt>
                <c:pt idx="8">
                  <c:v>0.65701726228474744</c:v>
                </c:pt>
                <c:pt idx="9">
                  <c:v>0.67665314467822113</c:v>
                </c:pt>
                <c:pt idx="10">
                  <c:v>0.69628902707169482</c:v>
                </c:pt>
                <c:pt idx="11">
                  <c:v>0.71592490946516851</c:v>
                </c:pt>
                <c:pt idx="12">
                  <c:v>0.7355607918586422</c:v>
                </c:pt>
                <c:pt idx="13">
                  <c:v>0.7551966742521159</c:v>
                </c:pt>
                <c:pt idx="14">
                  <c:v>0.7355607918586422</c:v>
                </c:pt>
                <c:pt idx="15">
                  <c:v>0.7551966742521159</c:v>
                </c:pt>
                <c:pt idx="16">
                  <c:v>0.77483255664558959</c:v>
                </c:pt>
                <c:pt idx="17">
                  <c:v>0.7944684390390635</c:v>
                </c:pt>
                <c:pt idx="18">
                  <c:v>0.81928183375274033</c:v>
                </c:pt>
                <c:pt idx="19">
                  <c:v>0.84409522846641716</c:v>
                </c:pt>
                <c:pt idx="20">
                  <c:v>0.86890862318009399</c:v>
                </c:pt>
                <c:pt idx="21">
                  <c:v>0.89372201789377081</c:v>
                </c:pt>
                <c:pt idx="22">
                  <c:v>0.91853541260744764</c:v>
                </c:pt>
                <c:pt idx="23">
                  <c:v>0.94334880732112447</c:v>
                </c:pt>
                <c:pt idx="24">
                  <c:v>0.9681622020348013</c:v>
                </c:pt>
                <c:pt idx="25">
                  <c:v>0.99297559674847813</c:v>
                </c:pt>
                <c:pt idx="26">
                  <c:v>1.017788991462155</c:v>
                </c:pt>
                <c:pt idx="27">
                  <c:v>1.0426023861758322</c:v>
                </c:pt>
                <c:pt idx="28">
                  <c:v>1.0625339188853979</c:v>
                </c:pt>
                <c:pt idx="29">
                  <c:v>1.0824654515949637</c:v>
                </c:pt>
                <c:pt idx="30">
                  <c:v>1.1023969843045294</c:v>
                </c:pt>
                <c:pt idx="31">
                  <c:v>1.1223285170140951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0.30761807264291008</c:v>
                </c:pt>
                <c:pt idx="7">
                  <c:v>0.31739613224996494</c:v>
                </c:pt>
                <c:pt idx="8">
                  <c:v>0.32717419185701979</c:v>
                </c:pt>
                <c:pt idx="9">
                  <c:v>0.33695225146407465</c:v>
                </c:pt>
                <c:pt idx="10">
                  <c:v>0.3467303110711295</c:v>
                </c:pt>
                <c:pt idx="11">
                  <c:v>0.35650837067818436</c:v>
                </c:pt>
                <c:pt idx="12">
                  <c:v>0.36628643028523922</c:v>
                </c:pt>
                <c:pt idx="13">
                  <c:v>0.37606448989229407</c:v>
                </c:pt>
                <c:pt idx="14">
                  <c:v>0.36628643028523922</c:v>
                </c:pt>
                <c:pt idx="15">
                  <c:v>0.37606448989229407</c:v>
                </c:pt>
                <c:pt idx="16">
                  <c:v>0.38584254949934893</c:v>
                </c:pt>
                <c:pt idx="17">
                  <c:v>0.39562060910640362</c:v>
                </c:pt>
                <c:pt idx="18">
                  <c:v>0.4079769090526873</c:v>
                </c:pt>
                <c:pt idx="19">
                  <c:v>0.42033320899897098</c:v>
                </c:pt>
                <c:pt idx="20">
                  <c:v>0.43268950894525465</c:v>
                </c:pt>
                <c:pt idx="21">
                  <c:v>0.44504580889153833</c:v>
                </c:pt>
                <c:pt idx="22">
                  <c:v>0.45740210883782201</c:v>
                </c:pt>
                <c:pt idx="23">
                  <c:v>0.46975840878410569</c:v>
                </c:pt>
                <c:pt idx="24">
                  <c:v>0.48211470873038936</c:v>
                </c:pt>
                <c:pt idx="25">
                  <c:v>0.49447100867667304</c:v>
                </c:pt>
                <c:pt idx="26">
                  <c:v>0.50682730862295666</c:v>
                </c:pt>
                <c:pt idx="27">
                  <c:v>0.51918360856924028</c:v>
                </c:pt>
                <c:pt idx="28">
                  <c:v>0.52910889285179807</c:v>
                </c:pt>
                <c:pt idx="29">
                  <c:v>0.53903417713435586</c:v>
                </c:pt>
                <c:pt idx="30">
                  <c:v>0.54895946141691365</c:v>
                </c:pt>
                <c:pt idx="31">
                  <c:v>0.55888474569947144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7.1543851555436984</c:v>
                </c:pt>
                <c:pt idx="7">
                  <c:v>7.3939540687914951</c:v>
                </c:pt>
                <c:pt idx="8">
                  <c:v>7.6335229820392918</c:v>
                </c:pt>
                <c:pt idx="9">
                  <c:v>7.8730918952870885</c:v>
                </c:pt>
                <c:pt idx="10">
                  <c:v>8.1126608085348852</c:v>
                </c:pt>
                <c:pt idx="11">
                  <c:v>8.3522297217826829</c:v>
                </c:pt>
                <c:pt idx="12">
                  <c:v>8.5917986350304805</c:v>
                </c:pt>
                <c:pt idx="13">
                  <c:v>8.8313675482782781</c:v>
                </c:pt>
                <c:pt idx="14">
                  <c:v>8.5917986350304805</c:v>
                </c:pt>
                <c:pt idx="15">
                  <c:v>8.8313675482782781</c:v>
                </c:pt>
                <c:pt idx="16">
                  <c:v>9.0709364615260757</c:v>
                </c:pt>
                <c:pt idx="17">
                  <c:v>9.3105053747738697</c:v>
                </c:pt>
                <c:pt idx="18">
                  <c:v>9.5402054613721372</c:v>
                </c:pt>
                <c:pt idx="19">
                  <c:v>9.7699055479704047</c:v>
                </c:pt>
                <c:pt idx="20">
                  <c:v>9.9996056345686721</c:v>
                </c:pt>
                <c:pt idx="21">
                  <c:v>10.22930572116694</c:v>
                </c:pt>
                <c:pt idx="22">
                  <c:v>10.459005807765207</c:v>
                </c:pt>
                <c:pt idx="23">
                  <c:v>10.688705894363475</c:v>
                </c:pt>
                <c:pt idx="24">
                  <c:v>10.918405980961742</c:v>
                </c:pt>
                <c:pt idx="25">
                  <c:v>11.148106067560009</c:v>
                </c:pt>
                <c:pt idx="26">
                  <c:v>11.377806154158277</c:v>
                </c:pt>
                <c:pt idx="27">
                  <c:v>11.607506240756543</c:v>
                </c:pt>
                <c:pt idx="28">
                  <c:v>11.829408083090433</c:v>
                </c:pt>
                <c:pt idx="29">
                  <c:v>12.051309925424324</c:v>
                </c:pt>
                <c:pt idx="30">
                  <c:v>12.273211767758214</c:v>
                </c:pt>
                <c:pt idx="31">
                  <c:v>12.495113610092105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2.2980985522439892</c:v>
                </c:pt>
                <c:pt idx="7">
                  <c:v>2.3711467461737814</c:v>
                </c:pt>
                <c:pt idx="8">
                  <c:v>2.4441949401035736</c:v>
                </c:pt>
                <c:pt idx="9">
                  <c:v>2.5172431340333659</c:v>
                </c:pt>
                <c:pt idx="10">
                  <c:v>2.5902913279631581</c:v>
                </c:pt>
                <c:pt idx="11">
                  <c:v>2.6633395218929503</c:v>
                </c:pt>
                <c:pt idx="12">
                  <c:v>2.7363877158227425</c:v>
                </c:pt>
                <c:pt idx="13">
                  <c:v>2.8094359097525348</c:v>
                </c:pt>
                <c:pt idx="14">
                  <c:v>2.7363877158227425</c:v>
                </c:pt>
                <c:pt idx="15">
                  <c:v>2.8094359097525348</c:v>
                </c:pt>
                <c:pt idx="16">
                  <c:v>2.882484103682327</c:v>
                </c:pt>
                <c:pt idx="17">
                  <c:v>2.9555322976121179</c:v>
                </c:pt>
                <c:pt idx="18">
                  <c:v>3.0478415523112385</c:v>
                </c:pt>
                <c:pt idx="19">
                  <c:v>3.1401508070103592</c:v>
                </c:pt>
                <c:pt idx="20">
                  <c:v>3.2324600617094799</c:v>
                </c:pt>
                <c:pt idx="21">
                  <c:v>3.3247693164086005</c:v>
                </c:pt>
                <c:pt idx="22">
                  <c:v>3.4170785711077212</c:v>
                </c:pt>
                <c:pt idx="23">
                  <c:v>3.5093878258068418</c:v>
                </c:pt>
                <c:pt idx="24">
                  <c:v>3.6016970805059625</c:v>
                </c:pt>
                <c:pt idx="25">
                  <c:v>3.6940063352050831</c:v>
                </c:pt>
                <c:pt idx="26">
                  <c:v>3.7863155899042038</c:v>
                </c:pt>
                <c:pt idx="27">
                  <c:v>3.878624844603324</c:v>
                </c:pt>
                <c:pt idx="28">
                  <c:v>3.9527728985339317</c:v>
                </c:pt>
                <c:pt idx="29">
                  <c:v>4.0269209524645388</c:v>
                </c:pt>
                <c:pt idx="30">
                  <c:v>4.1010690063951465</c:v>
                </c:pt>
                <c:pt idx="31">
                  <c:v>4.1752170603257541</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0.12616321536434347</c:v>
                </c:pt>
                <c:pt idx="7">
                  <c:v>0.1301734850778602</c:v>
                </c:pt>
                <c:pt idx="8">
                  <c:v>0.13418375479137692</c:v>
                </c:pt>
                <c:pt idx="9">
                  <c:v>0.13819402450489365</c:v>
                </c:pt>
                <c:pt idx="10">
                  <c:v>0.14220429421841038</c:v>
                </c:pt>
                <c:pt idx="11">
                  <c:v>0.14621456393192711</c:v>
                </c:pt>
                <c:pt idx="12">
                  <c:v>0.15022483364544384</c:v>
                </c:pt>
                <c:pt idx="13">
                  <c:v>0.15423510335896057</c:v>
                </c:pt>
                <c:pt idx="14">
                  <c:v>0.15022483364544384</c:v>
                </c:pt>
                <c:pt idx="15">
                  <c:v>0.15423510335896057</c:v>
                </c:pt>
                <c:pt idx="16">
                  <c:v>0.1582453730724773</c:v>
                </c:pt>
                <c:pt idx="17">
                  <c:v>0.16225564278599394</c:v>
                </c:pt>
                <c:pt idx="18">
                  <c:v>0.16732332466123614</c:v>
                </c:pt>
                <c:pt idx="19">
                  <c:v>0.17239100653647835</c:v>
                </c:pt>
                <c:pt idx="20">
                  <c:v>0.17745868841172055</c:v>
                </c:pt>
                <c:pt idx="21">
                  <c:v>0.18252637028696275</c:v>
                </c:pt>
                <c:pt idx="22">
                  <c:v>0.18759405216220496</c:v>
                </c:pt>
                <c:pt idx="23">
                  <c:v>0.19266173403744716</c:v>
                </c:pt>
                <c:pt idx="24">
                  <c:v>0.19772941591268936</c:v>
                </c:pt>
                <c:pt idx="25">
                  <c:v>0.20279709778793156</c:v>
                </c:pt>
                <c:pt idx="26">
                  <c:v>0.20786477966317377</c:v>
                </c:pt>
                <c:pt idx="27">
                  <c:v>0.21293246153841591</c:v>
                </c:pt>
                <c:pt idx="28">
                  <c:v>0.21700311241966713</c:v>
                </c:pt>
                <c:pt idx="29">
                  <c:v>0.22107376330091838</c:v>
                </c:pt>
                <c:pt idx="30">
                  <c:v>0.22514441418216963</c:v>
                </c:pt>
                <c:pt idx="31">
                  <c:v>0.22921506506342088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3.036256761942752E-2</c:v>
                </c:pt>
                <c:pt idx="7">
                  <c:v>3.1327683204007063E-2</c:v>
                </c:pt>
                <c:pt idx="8">
                  <c:v>3.229279878858661E-2</c:v>
                </c:pt>
                <c:pt idx="9">
                  <c:v>3.3257914373166157E-2</c:v>
                </c:pt>
                <c:pt idx="10">
                  <c:v>3.4223029957745704E-2</c:v>
                </c:pt>
                <c:pt idx="11">
                  <c:v>3.5188145542325251E-2</c:v>
                </c:pt>
                <c:pt idx="12">
                  <c:v>3.6153261126904798E-2</c:v>
                </c:pt>
                <c:pt idx="13">
                  <c:v>3.7118376711484345E-2</c:v>
                </c:pt>
                <c:pt idx="14">
                  <c:v>3.6153261126904798E-2</c:v>
                </c:pt>
                <c:pt idx="15">
                  <c:v>3.7118376711484345E-2</c:v>
                </c:pt>
                <c:pt idx="16">
                  <c:v>3.8083492296063892E-2</c:v>
                </c:pt>
                <c:pt idx="17">
                  <c:v>3.9048607880643432E-2</c:v>
                </c:pt>
                <c:pt idx="18">
                  <c:v>4.0268201350629418E-2</c:v>
                </c:pt>
                <c:pt idx="19">
                  <c:v>4.1487794820615403E-2</c:v>
                </c:pt>
                <c:pt idx="20">
                  <c:v>4.2707388290601389E-2</c:v>
                </c:pt>
                <c:pt idx="21">
                  <c:v>4.3926981760587375E-2</c:v>
                </c:pt>
                <c:pt idx="22">
                  <c:v>4.514657523057336E-2</c:v>
                </c:pt>
                <c:pt idx="23">
                  <c:v>4.6366168700559346E-2</c:v>
                </c:pt>
                <c:pt idx="24">
                  <c:v>4.7585762170545332E-2</c:v>
                </c:pt>
                <c:pt idx="25">
                  <c:v>4.8805355640531317E-2</c:v>
                </c:pt>
                <c:pt idx="26">
                  <c:v>5.0024949110517303E-2</c:v>
                </c:pt>
                <c:pt idx="27">
                  <c:v>5.1244542580503254E-2</c:v>
                </c:pt>
                <c:pt idx="28">
                  <c:v>5.2224189558270462E-2</c:v>
                </c:pt>
                <c:pt idx="29">
                  <c:v>5.320383653603767E-2</c:v>
                </c:pt>
                <c:pt idx="30">
                  <c:v>5.4183483513804878E-2</c:v>
                </c:pt>
                <c:pt idx="31">
                  <c:v>5.5163130491572086E-2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17.305706019659819</c:v>
                </c:pt>
                <c:pt idx="7">
                  <c:v>19.340387040183266</c:v>
                </c:pt>
                <c:pt idx="8">
                  <c:v>21.375068060706713</c:v>
                </c:pt>
                <c:pt idx="9">
                  <c:v>23.40974908123016</c:v>
                </c:pt>
                <c:pt idx="10">
                  <c:v>25.444430101753607</c:v>
                </c:pt>
                <c:pt idx="11">
                  <c:v>27.479111122277054</c:v>
                </c:pt>
                <c:pt idx="12">
                  <c:v>29.513792142800501</c:v>
                </c:pt>
                <c:pt idx="13">
                  <c:v>31.548473163323948</c:v>
                </c:pt>
                <c:pt idx="14">
                  <c:v>29.513792142800501</c:v>
                </c:pt>
                <c:pt idx="15">
                  <c:v>31.548473163323948</c:v>
                </c:pt>
                <c:pt idx="16">
                  <c:v>33.583154183847398</c:v>
                </c:pt>
                <c:pt idx="17">
                  <c:v>35.617835204370841</c:v>
                </c:pt>
                <c:pt idx="18">
                  <c:v>40.063619642702491</c:v>
                </c:pt>
                <c:pt idx="19">
                  <c:v>44.509404081034141</c:v>
                </c:pt>
                <c:pt idx="20">
                  <c:v>48.955188519365791</c:v>
                </c:pt>
                <c:pt idx="21">
                  <c:v>53.400972957697441</c:v>
                </c:pt>
                <c:pt idx="22">
                  <c:v>57.846757396029091</c:v>
                </c:pt>
                <c:pt idx="23">
                  <c:v>62.29254183436074</c:v>
                </c:pt>
                <c:pt idx="24">
                  <c:v>66.73832627269239</c:v>
                </c:pt>
                <c:pt idx="25">
                  <c:v>71.184110711024033</c:v>
                </c:pt>
                <c:pt idx="26">
                  <c:v>75.629895149355676</c:v>
                </c:pt>
                <c:pt idx="27">
                  <c:v>80.075679587687318</c:v>
                </c:pt>
                <c:pt idx="28">
                  <c:v>84.29073825658844</c:v>
                </c:pt>
                <c:pt idx="29">
                  <c:v>88.505796925489562</c:v>
                </c:pt>
                <c:pt idx="30">
                  <c:v>92.720855594390684</c:v>
                </c:pt>
                <c:pt idx="31">
                  <c:v>96.935914263291806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27.227298233292721</c:v>
                </c:pt>
                <c:pt idx="7">
                  <c:v>28.29752933108988</c:v>
                </c:pt>
                <c:pt idx="8">
                  <c:v>29.367760428887038</c:v>
                </c:pt>
                <c:pt idx="9">
                  <c:v>30.437991526684197</c:v>
                </c:pt>
                <c:pt idx="10">
                  <c:v>31.508222624481355</c:v>
                </c:pt>
                <c:pt idx="11">
                  <c:v>32.57845372227851</c:v>
                </c:pt>
                <c:pt idx="12">
                  <c:v>33.648684820075665</c:v>
                </c:pt>
                <c:pt idx="13">
                  <c:v>34.71891591787282</c:v>
                </c:pt>
                <c:pt idx="14">
                  <c:v>33.648684820075665</c:v>
                </c:pt>
                <c:pt idx="15">
                  <c:v>34.71891591787282</c:v>
                </c:pt>
                <c:pt idx="16">
                  <c:v>35.789147015669975</c:v>
                </c:pt>
                <c:pt idx="17">
                  <c:v>36.859378113467145</c:v>
                </c:pt>
                <c:pt idx="18">
                  <c:v>38.381633214656489</c:v>
                </c:pt>
                <c:pt idx="19">
                  <c:v>39.903888315845833</c:v>
                </c:pt>
                <c:pt idx="20">
                  <c:v>41.426143417035178</c:v>
                </c:pt>
                <c:pt idx="21">
                  <c:v>42.948398518224522</c:v>
                </c:pt>
                <c:pt idx="22">
                  <c:v>44.470653619413866</c:v>
                </c:pt>
                <c:pt idx="23">
                  <c:v>45.992908720603211</c:v>
                </c:pt>
                <c:pt idx="24">
                  <c:v>47.515163821792555</c:v>
                </c:pt>
                <c:pt idx="25">
                  <c:v>49.0374189229819</c:v>
                </c:pt>
                <c:pt idx="26">
                  <c:v>50.559674024171244</c:v>
                </c:pt>
                <c:pt idx="27">
                  <c:v>52.081929125360617</c:v>
                </c:pt>
                <c:pt idx="28">
                  <c:v>53.471680435226887</c:v>
                </c:pt>
                <c:pt idx="29">
                  <c:v>54.861431745093157</c:v>
                </c:pt>
                <c:pt idx="30">
                  <c:v>56.251183054959426</c:v>
                </c:pt>
                <c:pt idx="31">
                  <c:v>57.640934364825696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89.797718408758314</c:v>
                </c:pt>
                <c:pt idx="7">
                  <c:v>90.08827546499478</c:v>
                </c:pt>
                <c:pt idx="8">
                  <c:v>90.378832521231246</c:v>
                </c:pt>
                <c:pt idx="9">
                  <c:v>90.669389577467712</c:v>
                </c:pt>
                <c:pt idx="10">
                  <c:v>90.959946633704178</c:v>
                </c:pt>
                <c:pt idx="11">
                  <c:v>91.250503689940643</c:v>
                </c:pt>
                <c:pt idx="12">
                  <c:v>91.541060746177109</c:v>
                </c:pt>
                <c:pt idx="13">
                  <c:v>91.831617802413575</c:v>
                </c:pt>
                <c:pt idx="14">
                  <c:v>91.541060746177109</c:v>
                </c:pt>
                <c:pt idx="15">
                  <c:v>91.831617802413575</c:v>
                </c:pt>
                <c:pt idx="16">
                  <c:v>92.122174858650041</c:v>
                </c:pt>
                <c:pt idx="17">
                  <c:v>92.412731914886479</c:v>
                </c:pt>
                <c:pt idx="18">
                  <c:v>94.235705174545956</c:v>
                </c:pt>
                <c:pt idx="19">
                  <c:v>96.058678434205433</c:v>
                </c:pt>
                <c:pt idx="20">
                  <c:v>97.88165169386491</c:v>
                </c:pt>
                <c:pt idx="21">
                  <c:v>99.704624953524387</c:v>
                </c:pt>
                <c:pt idx="22">
                  <c:v>101.52759821318386</c:v>
                </c:pt>
                <c:pt idx="23">
                  <c:v>103.35057147284334</c:v>
                </c:pt>
                <c:pt idx="24">
                  <c:v>105.17354473250282</c:v>
                </c:pt>
                <c:pt idx="25">
                  <c:v>106.9965179921623</c:v>
                </c:pt>
                <c:pt idx="26">
                  <c:v>108.81949125182177</c:v>
                </c:pt>
                <c:pt idx="27">
                  <c:v>110.64246451148132</c:v>
                </c:pt>
                <c:pt idx="28">
                  <c:v>113.75086873243424</c:v>
                </c:pt>
                <c:pt idx="29">
                  <c:v>116.85927295338716</c:v>
                </c:pt>
                <c:pt idx="30">
                  <c:v>119.96767717434008</c:v>
                </c:pt>
                <c:pt idx="31">
                  <c:v>123.076081395293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51611165"/>
        <c:axId val="61847304"/>
      </c:lineChart>
      <c:catAx>
        <c:axId val="5161116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1847304"/>
        <c:crosses val="autoZero"/>
        <c:auto val="1"/>
        <c:lblAlgn val="ctr"/>
        <c:lblOffset val="100"/>
        <c:noMultiLvlLbl val="0"/>
      </c:catAx>
      <c:valAx>
        <c:axId val="61847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1611165"/>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29.070852674872505</c:v>
                </c:pt>
                <c:pt idx="4">
                  <c:v>23.803114612570383</c:v>
                </c:pt>
                <c:pt idx="5">
                  <c:v>17.440135720439955</c:v>
                </c:pt>
                <c:pt idx="6">
                  <c:v>13.288634080682025</c:v>
                </c:pt>
                <c:pt idx="7">
                  <c:v>10.067922661841489</c:v>
                </c:pt>
                <c:pt idx="8">
                  <c:v>6.9423125899324098</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17.426024276026553</c:v>
                </c:pt>
                <c:pt idx="4">
                  <c:v>21.347980188376898</c:v>
                </c:pt>
                <c:pt idx="5">
                  <c:v>24.863346506211318</c:v>
                </c:pt>
                <c:pt idx="6">
                  <c:v>27.460718354102966</c:v>
                </c:pt>
                <c:pt idx="7">
                  <c:v>29.706591891277423</c:v>
                </c:pt>
                <c:pt idx="8">
                  <c:v>32.331119653628363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12.895378049100939</c:v>
                </c:pt>
                <c:pt idx="4">
                  <c:v>19.50818319905272</c:v>
                </c:pt>
                <c:pt idx="5">
                  <c:v>27.410454773348725</c:v>
                </c:pt>
                <c:pt idx="6">
                  <c:v>32.780400565215011</c:v>
                </c:pt>
                <c:pt idx="7">
                  <c:v>35.888683446881096</c:v>
                </c:pt>
                <c:pt idx="8">
                  <c:v>37.228722756439225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3566420"/>
        <c:axId val="32097787"/>
      </c:areaChart>
      <c:dateAx>
        <c:axId val="3566420"/>
        <c:scaling>
          <c:orientation val="minMax"/>
        </c:scaling>
        <c:delete val="0"/>
        <c:axPos val="b"/>
        <c:numFmt formatCode="General"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2097787"/>
        <c:crosses val="autoZero"/>
        <c:auto val="0"/>
        <c:lblOffset val="100"/>
        <c:baseTimeUnit val="days"/>
      </c:dateAx>
      <c:valAx>
        <c:axId val="32097787"/>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Population (million)</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566420"/>
        <c:crosses val="autoZero"/>
        <c:crossBetween val="midCat"/>
      </c:valAx>
    </c:plotArea>
    <c:legend>
      <c:legendPos val="b"/>
      <c:layout>
        <c:manualLayout>
          <c:xMode val="edge"/>
          <c:yMode val="edge"/>
          <c:x val="0.23350000000000001"/>
          <c:y val="0.91725000000000001"/>
          <c:w val="0.53049999999999997"/>
          <c:h val="5.0999999999999997E-2"/>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0.14535426337436252</c:v>
                </c:pt>
                <c:pt idx="4">
                  <c:v>0.11901557306285192</c:v>
                </c:pt>
                <c:pt idx="5">
                  <c:v>8.720067860219978E-2</c:v>
                </c:pt>
                <c:pt idx="6">
                  <c:v>6.6443170403410121E-2</c:v>
                </c:pt>
                <c:pt idx="7">
                  <c:v>5.033961330920745E-2</c:v>
                </c:pt>
                <c:pt idx="8">
                  <c:v>3.4711562949662052E-2</c:v>
                </c:pt>
                <c:pt idx="10">
                  <c:v>0.12877680945571371</c:v>
                </c:pt>
                <c:pt idx="11">
                  <c:v>0.12973355042768442</c:v>
                </c:pt>
                <c:pt idx="12">
                  <c:v>0.13499132813487882</c:v>
                </c:pt>
                <c:pt idx="13">
                  <c:v>0.14535426337436252</c:v>
                </c:pt>
                <c:pt idx="14">
                  <c:v>0.11306479440970932</c:v>
                </c:pt>
                <c:pt idx="15">
                  <c:v>8.2840644672089778E-2</c:v>
                </c:pt>
                <c:pt idx="16">
                  <c:v>5.9964961289077634E-2</c:v>
                </c:pt>
                <c:pt idx="17">
                  <c:v>4.5431501011559725E-2</c:v>
                </c:pt>
                <c:pt idx="18">
                  <c:v>2.97608262839665E-2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2.770737859888222</c:v>
                </c:pt>
                <c:pt idx="4">
                  <c:v>3.3943288499519269</c:v>
                </c:pt>
                <c:pt idx="5">
                  <c:v>3.9532720944875996</c:v>
                </c:pt>
                <c:pt idx="6">
                  <c:v>4.3662542183023714</c:v>
                </c:pt>
                <c:pt idx="7">
                  <c:v>4.7233481107131103</c:v>
                </c:pt>
                <c:pt idx="8">
                  <c:v>5.14064802492691</c:v>
                </c:pt>
                <c:pt idx="10">
                  <c:v>2.7702164245855587</c:v>
                </c:pt>
                <c:pt idx="11">
                  <c:v>2.92184375996167</c:v>
                </c:pt>
                <c:pt idx="12">
                  <c:v>3.0704902512012651</c:v>
                </c:pt>
                <c:pt idx="13">
                  <c:v>2.770737859888222</c:v>
                </c:pt>
                <c:pt idx="14">
                  <c:v>3.0633817870816133</c:v>
                </c:pt>
                <c:pt idx="15">
                  <c:v>3.3894366620113052</c:v>
                </c:pt>
                <c:pt idx="16">
                  <c:v>3.7435172104169951</c:v>
                </c:pt>
                <c:pt idx="17">
                  <c:v>4.0496805864226522</c:v>
                </c:pt>
                <c:pt idx="18">
                  <c:v>4.1870899453531223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4.2068453520886786</c:v>
                </c:pt>
                <c:pt idx="4">
                  <c:v>6.803430646321412</c:v>
                </c:pt>
                <c:pt idx="5">
                  <c:v>10.58386142719141</c:v>
                </c:pt>
                <c:pt idx="6">
                  <c:v>15.358236701081809</c:v>
                </c:pt>
                <c:pt idx="7">
                  <c:v>16.814525929017769</c:v>
                </c:pt>
                <c:pt idx="8">
                  <c:v>17.296178195161993</c:v>
                </c:pt>
                <c:pt idx="10">
                  <c:v>4.1038214947082041</c:v>
                </c:pt>
                <c:pt idx="11">
                  <c:v>4.3184589686023154</c:v>
                </c:pt>
                <c:pt idx="12">
                  <c:v>3.6132870620523043</c:v>
                </c:pt>
                <c:pt idx="13">
                  <c:v>4.2068453520886786</c:v>
                </c:pt>
                <c:pt idx="14">
                  <c:v>6.1400961583050728</c:v>
                </c:pt>
                <c:pt idx="15">
                  <c:v>9.0743381911382315</c:v>
                </c:pt>
                <c:pt idx="16">
                  <c:v>13.167768191590014</c:v>
                </c:pt>
                <c:pt idx="17">
                  <c:v>14.416354168391605</c:v>
                </c:pt>
                <c:pt idx="18">
                  <c:v>14.087845241073158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0.80142174844719183</c:v>
                </c:pt>
                <c:pt idx="3">
                  <c:v>0.82267228191880326</c:v>
                </c:pt>
                <c:pt idx="4">
                  <c:v>0.91988649183817139</c:v>
                </c:pt>
                <c:pt idx="5">
                  <c:v>1.1200735385760758</c:v>
                </c:pt>
                <c:pt idx="6">
                  <c:v>1.3696546621929162</c:v>
                </c:pt>
                <c:pt idx="7">
                  <c:v>1.3696546621929162</c:v>
                </c:pt>
                <c:pt idx="8">
                  <c:v>1.2442611252161038</c:v>
                </c:pt>
                <c:pt idx="9">
                  <c:v>0</c:v>
                </c:pt>
                <c:pt idx="10">
                  <c:v>0.82</c:v>
                </c:pt>
                <c:pt idx="11">
                  <c:v>0.82801570101021782</c:v>
                </c:pt>
                <c:pt idx="12">
                  <c:v>0.80142174844719183</c:v>
                </c:pt>
                <c:pt idx="13">
                  <c:v>0.82267228191880326</c:v>
                </c:pt>
                <c:pt idx="14">
                  <c:v>0.92239764222844522</c:v>
                </c:pt>
                <c:pt idx="15">
                  <c:v>1.0805383593065496</c:v>
                </c:pt>
                <c:pt idx="16">
                  <c:v>1.1907518542071278</c:v>
                </c:pt>
                <c:pt idx="17">
                  <c:v>1.1907518542071278</c:v>
                </c:pt>
                <c:pt idx="18">
                  <c:v>1.2033304337387152</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34841218"/>
        <c:axId val="45135511"/>
      </c:barChart>
      <c:catAx>
        <c:axId val="3484121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5135511"/>
        <c:crosses val="autoZero"/>
        <c:auto val="1"/>
        <c:lblAlgn val="ctr"/>
        <c:lblOffset val="100"/>
        <c:noMultiLvlLbl val="0"/>
      </c:catAx>
      <c:valAx>
        <c:axId val="45135511"/>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Million Priv. Vehicles</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4841218"/>
        <c:crosses val="autoZero"/>
        <c:crossBetween val="between"/>
      </c:valAx>
    </c:plotArea>
    <c:legend>
      <c:legendPos val="b"/>
      <c:layout>
        <c:manualLayout>
          <c:xMode val="edge"/>
          <c:yMode val="edge"/>
          <c:x val="0.10025000000000001"/>
          <c:y val="0.92249999999999999"/>
          <c:w val="0.79700000000000004"/>
          <c:h val="5.2999999999999999E-2"/>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114.7559537292338</c:v>
                </c:pt>
                <c:pt idx="4">
                  <c:v>163.39581442493377</c:v>
                </c:pt>
                <c:pt idx="5">
                  <c:v>230.32789607820939</c:v>
                </c:pt>
                <c:pt idx="6">
                  <c:v>310.91945380807283</c:v>
                </c:pt>
                <c:pt idx="7">
                  <c:v>337.46530142504378</c:v>
                </c:pt>
                <c:pt idx="8">
                  <c:v>348.40056077558927</c:v>
                </c:pt>
                <c:pt idx="9" formatCode="General">
                  <c:v>0</c:v>
                </c:pt>
                <c:pt idx="10">
                  <c:v>113.03311091083582</c:v>
                </c:pt>
                <c:pt idx="11">
                  <c:v>118.46307900397879</c:v>
                </c:pt>
                <c:pt idx="12">
                  <c:v>109.6316893111631</c:v>
                </c:pt>
                <c:pt idx="13">
                  <c:v>114.7559537292338</c:v>
                </c:pt>
                <c:pt idx="14">
                  <c:v>141.46027082974115</c:v>
                </c:pt>
                <c:pt idx="15">
                  <c:v>179.92406378692436</c:v>
                </c:pt>
                <c:pt idx="16">
                  <c:v>240.83032241807615</c:v>
                </c:pt>
                <c:pt idx="17">
                  <c:v>261.3655686747959</c:v>
                </c:pt>
                <c:pt idx="18">
                  <c:v>245.77306554725499</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24.385640167462185</c:v>
                </c:pt>
                <c:pt idx="4">
                  <c:v>34.721610565298434</c:v>
                </c:pt>
                <c:pt idx="5">
                  <c:v>48.944677916619504</c:v>
                </c:pt>
                <c:pt idx="6">
                  <c:v>66.070383934215485</c:v>
                </c:pt>
                <c:pt idx="7">
                  <c:v>71.711376552821818</c:v>
                </c:pt>
                <c:pt idx="8">
                  <c:v>74.035119164812727</c:v>
                </c:pt>
                <c:pt idx="10">
                  <c:v>24.019536068552615</c:v>
                </c:pt>
                <c:pt idx="11">
                  <c:v>25.173404288345498</c:v>
                </c:pt>
                <c:pt idx="12">
                  <c:v>23.296733978622161</c:v>
                </c:pt>
                <c:pt idx="13">
                  <c:v>24.385640167462185</c:v>
                </c:pt>
                <c:pt idx="14">
                  <c:v>30.060307551320001</c:v>
                </c:pt>
                <c:pt idx="15">
                  <c:v>38.233863554721431</c:v>
                </c:pt>
                <c:pt idx="16">
                  <c:v>51.176443513841193</c:v>
                </c:pt>
                <c:pt idx="17">
                  <c:v>55.540183343394133</c:v>
                </c:pt>
                <c:pt idx="18">
                  <c:v>52.226776428791695</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4.3033482648462673</c:v>
                </c:pt>
                <c:pt idx="4">
                  <c:v>6.1273430409350169</c:v>
                </c:pt>
                <c:pt idx="5">
                  <c:v>8.6372961029328525</c:v>
                </c:pt>
                <c:pt idx="6">
                  <c:v>11.659479517802732</c:v>
                </c:pt>
                <c:pt idx="7">
                  <c:v>12.654948803439142</c:v>
                </c:pt>
                <c:pt idx="8">
                  <c:v>13.065021029084598</c:v>
                </c:pt>
                <c:pt idx="10">
                  <c:v>4.2387416591563438</c:v>
                </c:pt>
                <c:pt idx="11">
                  <c:v>4.4423654626492048</c:v>
                </c:pt>
                <c:pt idx="12">
                  <c:v>4.1111883491686161</c:v>
                </c:pt>
                <c:pt idx="13">
                  <c:v>4.3033482648462673</c:v>
                </c:pt>
                <c:pt idx="14">
                  <c:v>5.3047601561152939</c:v>
                </c:pt>
                <c:pt idx="15">
                  <c:v>6.7471523920096637</c:v>
                </c:pt>
                <c:pt idx="16">
                  <c:v>9.0311370906778574</c:v>
                </c:pt>
                <c:pt idx="17">
                  <c:v>9.8012088253048457</c:v>
                </c:pt>
                <c:pt idx="18">
                  <c:v>9.2164899580220627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16.905017810635162</c:v>
                </c:pt>
                <c:pt idx="4">
                  <c:v>16.847587046632427</c:v>
                </c:pt>
                <c:pt idx="5">
                  <c:v>16.033984750002077</c:v>
                </c:pt>
                <c:pt idx="6">
                  <c:v>14.261962434541667</c:v>
                </c:pt>
                <c:pt idx="7">
                  <c:v>13.935738167366992</c:v>
                </c:pt>
                <c:pt idx="8">
                  <c:v>13.708967388186485</c:v>
                </c:pt>
                <c:pt idx="9" formatCode="General">
                  <c:v>0</c:v>
                </c:pt>
                <c:pt idx="10">
                  <c:v>16.019623147367891</c:v>
                </c:pt>
                <c:pt idx="11">
                  <c:v>16.390365445896254</c:v>
                </c:pt>
                <c:pt idx="12">
                  <c:v>16.665664027538941</c:v>
                </c:pt>
                <c:pt idx="13">
                  <c:v>16.905017810635162</c:v>
                </c:pt>
                <c:pt idx="14">
                  <c:v>17.658756970365346</c:v>
                </c:pt>
                <c:pt idx="15">
                  <c:v>17.877511892024621</c:v>
                </c:pt>
                <c:pt idx="16">
                  <c:v>16.700464950264248</c:v>
                </c:pt>
                <c:pt idx="17">
                  <c:v>16.538491060012753</c:v>
                </c:pt>
                <c:pt idx="18">
                  <c:v>17.388300672068574</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106.21853913881091</c:v>
                </c:pt>
                <c:pt idx="4">
                  <c:v>105.85768699879371</c:v>
                </c:pt>
                <c:pt idx="5">
                  <c:v>100.74561623045122</c:v>
                </c:pt>
                <c:pt idx="6">
                  <c:v>89.611548004201552</c:v>
                </c:pt>
                <c:pt idx="7">
                  <c:v>87.561797718276154</c:v>
                </c:pt>
                <c:pt idx="8">
                  <c:v>86.136939066617728</c:v>
                </c:pt>
                <c:pt idx="9" formatCode="General">
                  <c:v>0</c:v>
                </c:pt>
                <c:pt idx="10">
                  <c:v>100.65537861765586</c:v>
                </c:pt>
                <c:pt idx="11">
                  <c:v>102.9848470505062</c:v>
                </c:pt>
                <c:pt idx="12">
                  <c:v>104.71461826380103</c:v>
                </c:pt>
                <c:pt idx="13">
                  <c:v>106.21853913881091</c:v>
                </c:pt>
                <c:pt idx="14">
                  <c:v>107.38956116876329</c:v>
                </c:pt>
                <c:pt idx="15">
                  <c:v>105.92215966072806</c:v>
                </c:pt>
                <c:pt idx="16">
                  <c:v>98.948294681847329</c:v>
                </c:pt>
                <c:pt idx="17">
                  <c:v>97.988618393127211</c:v>
                </c:pt>
                <c:pt idx="18">
                  <c:v>103.02364060164574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2.8304469375370944</c:v>
                </c:pt>
                <c:pt idx="4">
                  <c:v>3.0852140383906068</c:v>
                </c:pt>
                <c:pt idx="5">
                  <c:v>3.3303352863530344</c:v>
                </c:pt>
                <c:pt idx="6">
                  <c:v>3.5150676903920846</c:v>
                </c:pt>
                <c:pt idx="7">
                  <c:v>3.6187834772057106</c:v>
                </c:pt>
                <c:pt idx="8">
                  <c:v>3.6604590703655235</c:v>
                </c:pt>
                <c:pt idx="10">
                  <c:v>1.8199995725306073</c:v>
                </c:pt>
                <c:pt idx="11">
                  <c:v>2.7827386966557452</c:v>
                </c:pt>
                <c:pt idx="12">
                  <c:v>2.7728192749407472</c:v>
                </c:pt>
                <c:pt idx="13">
                  <c:v>2.8304469375370944</c:v>
                </c:pt>
                <c:pt idx="14">
                  <c:v>2.7121183872363934</c:v>
                </c:pt>
                <c:pt idx="15">
                  <c:v>2.9275970656777832</c:v>
                </c:pt>
                <c:pt idx="16">
                  <c:v>3.0899897371353671</c:v>
                </c:pt>
                <c:pt idx="17">
                  <c:v>3.1811631497296702</c:v>
                </c:pt>
                <c:pt idx="18">
                  <c:v>3.2177989037166692</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9.1535777190606566</c:v>
                </c:pt>
                <c:pt idx="4">
                  <c:v>9.1224806230591735</c:v>
                </c:pt>
                <c:pt idx="5">
                  <c:v>8.6819385344299089</c:v>
                </c:pt>
                <c:pt idx="6">
                  <c:v>7.7224397532885929</c:v>
                </c:pt>
                <c:pt idx="7">
                  <c:v>7.5457987572910374</c:v>
                </c:pt>
                <c:pt idx="8">
                  <c:v>7.4230089457159902</c:v>
                </c:pt>
                <c:pt idx="9" formatCode="General">
                  <c:v>0</c:v>
                </c:pt>
                <c:pt idx="10">
                  <c:v>8.6741621423932465</c:v>
                </c:pt>
                <c:pt idx="11">
                  <c:v>8.8749083635056305</c:v>
                </c:pt>
                <c:pt idx="12">
                  <c:v>9.0239745751619225</c:v>
                </c:pt>
                <c:pt idx="13">
                  <c:v>9.1535777190606566</c:v>
                </c:pt>
                <c:pt idx="14">
                  <c:v>13.126619031179249</c:v>
                </c:pt>
                <c:pt idx="15">
                  <c:v>16.086962970131705</c:v>
                </c:pt>
                <c:pt idx="16">
                  <c:v>15.027804923946704</c:v>
                </c:pt>
                <c:pt idx="17">
                  <c:v>14.882053770747001</c:v>
                </c:pt>
                <c:pt idx="18">
                  <c:v>15.646749431047624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0.6528281316673451</c:v>
                </c:pt>
                <c:pt idx="4">
                  <c:v>0.91068205290937376</c:v>
                </c:pt>
                <c:pt idx="5">
                  <c:v>1.2038134916712031</c:v>
                </c:pt>
                <c:pt idx="6">
                  <c:v>1.4057825304383706</c:v>
                </c:pt>
                <c:pt idx="7">
                  <c:v>1.5316476978095188</c:v>
                </c:pt>
                <c:pt idx="8">
                  <c:v>1.6059537886070023</c:v>
                </c:pt>
                <c:pt idx="9" formatCode="General">
                  <c:v>0</c:v>
                </c:pt>
                <c:pt idx="10">
                  <c:v>0.64854136839212595</c:v>
                </c:pt>
                <c:pt idx="11">
                  <c:v>0.6995709084876961</c:v>
                </c:pt>
                <c:pt idx="12">
                  <c:v>0.64248252977129328</c:v>
                </c:pt>
                <c:pt idx="13">
                  <c:v>0.6528281316673451</c:v>
                </c:pt>
                <c:pt idx="14">
                  <c:v>1.610210986386059</c:v>
                </c:pt>
                <c:pt idx="15">
                  <c:v>2.8089920653060978</c:v>
                </c:pt>
                <c:pt idx="16">
                  <c:v>4.729195272103615</c:v>
                </c:pt>
                <c:pt idx="17">
                  <c:v>6.0843487560592608</c:v>
                </c:pt>
                <c:pt idx="18">
                  <c:v>6.9301888327392636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572660"/>
        <c:axId val="41153948"/>
      </c:barChart>
      <c:catAx>
        <c:axId val="4572660"/>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1153948"/>
        <c:crosses val="autoZero"/>
        <c:auto val="1"/>
        <c:lblAlgn val="ctr"/>
        <c:lblOffset val="100"/>
        <c:noMultiLvlLbl val="0"/>
      </c:catAx>
      <c:valAx>
        <c:axId val="41153948"/>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572660"/>
        <c:crosses val="autoZero"/>
        <c:crossBetween val="between"/>
      </c:valAx>
    </c:plotArea>
    <c:legend>
      <c:legendPos val="r"/>
      <c:layout>
        <c:manualLayout>
          <c:xMode val="edge"/>
          <c:yMode val="edge"/>
          <c:x val="0.89375000000000004"/>
          <c:y val="0.28775000000000001"/>
          <c:w val="9.1999999999999998E-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81.968538378024164</c:v>
                </c:pt>
                <c:pt idx="4">
                  <c:v>116.71129601780984</c:v>
                </c:pt>
                <c:pt idx="5">
                  <c:v>164.5199257701496</c:v>
                </c:pt>
                <c:pt idx="6">
                  <c:v>222.0853241486235</c:v>
                </c:pt>
                <c:pt idx="7">
                  <c:v>241.04664387503129</c:v>
                </c:pt>
                <c:pt idx="8">
                  <c:v>248.85754341113523</c:v>
                </c:pt>
                <c:pt idx="10">
                  <c:v>80.737936364882756</c:v>
                </c:pt>
                <c:pt idx="11">
                  <c:v>84.616485002842012</c:v>
                </c:pt>
                <c:pt idx="12">
                  <c:v>78.308349507973659</c:v>
                </c:pt>
                <c:pt idx="13">
                  <c:v>81.968538378024164</c:v>
                </c:pt>
                <c:pt idx="14">
                  <c:v>101.04305059267226</c:v>
                </c:pt>
                <c:pt idx="15">
                  <c:v>128.51718841923173</c:v>
                </c:pt>
                <c:pt idx="16">
                  <c:v>172.02165887005438</c:v>
                </c:pt>
                <c:pt idx="17">
                  <c:v>186.68969191056848</c:v>
                </c:pt>
                <c:pt idx="18">
                  <c:v>175.55218967661071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17.41831440533014</c:v>
                </c:pt>
                <c:pt idx="4">
                  <c:v>24.801150403784597</c:v>
                </c:pt>
                <c:pt idx="5">
                  <c:v>34.960484226156794</c:v>
                </c:pt>
                <c:pt idx="6">
                  <c:v>47.193131381582504</c:v>
                </c:pt>
                <c:pt idx="7">
                  <c:v>51.222411823444155</c:v>
                </c:pt>
                <c:pt idx="8">
                  <c:v>52.882227974866247</c:v>
                </c:pt>
                <c:pt idx="10">
                  <c:v>17.156811477537588</c:v>
                </c:pt>
                <c:pt idx="11">
                  <c:v>17.98100306310393</c:v>
                </c:pt>
                <c:pt idx="12">
                  <c:v>16.640524270444406</c:v>
                </c:pt>
                <c:pt idx="13">
                  <c:v>17.41831440533014</c:v>
                </c:pt>
                <c:pt idx="14">
                  <c:v>21.471648250942859</c:v>
                </c:pt>
                <c:pt idx="15">
                  <c:v>27.309902539086746</c:v>
                </c:pt>
                <c:pt idx="16">
                  <c:v>36.554602509886564</c:v>
                </c:pt>
                <c:pt idx="17">
                  <c:v>39.671559530995808</c:v>
                </c:pt>
                <c:pt idx="18">
                  <c:v>37.304840306279786</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3.0738201891759065</c:v>
                </c:pt>
                <c:pt idx="4">
                  <c:v>4.3766736006678695</c:v>
                </c:pt>
                <c:pt idx="5">
                  <c:v>6.169497216380611</c:v>
                </c:pt>
                <c:pt idx="6">
                  <c:v>8.3281996555733819</c:v>
                </c:pt>
                <c:pt idx="7">
                  <c:v>9.0392491453136738</c:v>
                </c:pt>
                <c:pt idx="8">
                  <c:v>9.332157877917572</c:v>
                </c:pt>
                <c:pt idx="10">
                  <c:v>3.0276726136831034</c:v>
                </c:pt>
                <c:pt idx="11">
                  <c:v>3.1731181876065753</c:v>
                </c:pt>
                <c:pt idx="12">
                  <c:v>2.9365631065490123</c:v>
                </c:pt>
                <c:pt idx="13">
                  <c:v>3.0738201891759065</c:v>
                </c:pt>
                <c:pt idx="14">
                  <c:v>3.7891143972252102</c:v>
                </c:pt>
                <c:pt idx="15">
                  <c:v>4.8193945657211898</c:v>
                </c:pt>
                <c:pt idx="16">
                  <c:v>6.45081220762704</c:v>
                </c:pt>
                <c:pt idx="17">
                  <c:v>7.000863446646318</c:v>
                </c:pt>
                <c:pt idx="18">
                  <c:v>6.5832071128729028</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0.67620071242540647</c:v>
                </c:pt>
                <c:pt idx="4">
                  <c:v>0.67390348186529703</c:v>
                </c:pt>
                <c:pt idx="5">
                  <c:v>0.64135939000008302</c:v>
                </c:pt>
                <c:pt idx="6">
                  <c:v>0.57047849738166667</c:v>
                </c:pt>
                <c:pt idx="7">
                  <c:v>0.55742952669467971</c:v>
                </c:pt>
                <c:pt idx="8">
                  <c:v>0.54835869552745942</c:v>
                </c:pt>
                <c:pt idx="10">
                  <c:v>0.6407849258947157</c:v>
                </c:pt>
                <c:pt idx="11">
                  <c:v>0.65561461783585018</c:v>
                </c:pt>
                <c:pt idx="12">
                  <c:v>0.6666265611015576</c:v>
                </c:pt>
                <c:pt idx="13">
                  <c:v>0.67620071242540647</c:v>
                </c:pt>
                <c:pt idx="14">
                  <c:v>0.70635027881461387</c:v>
                </c:pt>
                <c:pt idx="15">
                  <c:v>0.71510047568098489</c:v>
                </c:pt>
                <c:pt idx="16">
                  <c:v>0.66801859801056995</c:v>
                </c:pt>
                <c:pt idx="17">
                  <c:v>0.66153964240051011</c:v>
                </c:pt>
                <c:pt idx="18">
                  <c:v>0.69553202688274296</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7.5870385099150655</c:v>
                </c:pt>
                <c:pt idx="4">
                  <c:v>7.5612633570566938</c:v>
                </c:pt>
                <c:pt idx="5">
                  <c:v>7.1961154450322296</c:v>
                </c:pt>
                <c:pt idx="6">
                  <c:v>6.4008248574429683</c:v>
                </c:pt>
                <c:pt idx="7">
                  <c:v>6.2544141227340111</c:v>
                </c:pt>
                <c:pt idx="8">
                  <c:v>6.1526385047584089</c:v>
                </c:pt>
                <c:pt idx="10">
                  <c:v>7.1896699012611327</c:v>
                </c:pt>
                <c:pt idx="11">
                  <c:v>7.3560605036075861</c:v>
                </c:pt>
                <c:pt idx="12">
                  <c:v>7.4796155902715018</c:v>
                </c:pt>
                <c:pt idx="13">
                  <c:v>7.5870385099150655</c:v>
                </c:pt>
                <c:pt idx="14">
                  <c:v>7.6706829406259498</c:v>
                </c:pt>
                <c:pt idx="15">
                  <c:v>7.565868547194861</c:v>
                </c:pt>
                <c:pt idx="16">
                  <c:v>7.0677353344176668</c:v>
                </c:pt>
                <c:pt idx="17">
                  <c:v>6.9991870280805148</c:v>
                </c:pt>
                <c:pt idx="18">
                  <c:v>7.3588314715461243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0.11321787750148378</c:v>
                </c:pt>
                <c:pt idx="4">
                  <c:v>0.12340856153562427</c:v>
                </c:pt>
                <c:pt idx="5">
                  <c:v>0.13321341145412138</c:v>
                </c:pt>
                <c:pt idx="6">
                  <c:v>0.14060270761568339</c:v>
                </c:pt>
                <c:pt idx="7">
                  <c:v>0.14475133908822843</c:v>
                </c:pt>
                <c:pt idx="8">
                  <c:v>0.14641836281462095</c:v>
                </c:pt>
                <c:pt idx="10">
                  <c:v>7.2799982901224289E-2</c:v>
                </c:pt>
                <c:pt idx="11">
                  <c:v>0.1113095478662298</c:v>
                </c:pt>
                <c:pt idx="12">
                  <c:v>0.11091277099762989</c:v>
                </c:pt>
                <c:pt idx="13">
                  <c:v>0.11321787750148378</c:v>
                </c:pt>
                <c:pt idx="14">
                  <c:v>0.10848473548945574</c:v>
                </c:pt>
                <c:pt idx="15">
                  <c:v>0.11710388262711133</c:v>
                </c:pt>
                <c:pt idx="16">
                  <c:v>0.12359958948541468</c:v>
                </c:pt>
                <c:pt idx="17">
                  <c:v>0.12724652598918682</c:v>
                </c:pt>
                <c:pt idx="18">
                  <c:v>0.12871195614866676</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62619271"/>
        <c:axId val="26702528"/>
      </c:barChart>
      <c:catAx>
        <c:axId val="6261927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6702528"/>
        <c:crosses val="autoZero"/>
        <c:auto val="1"/>
        <c:lblAlgn val="ctr"/>
        <c:lblOffset val="100"/>
        <c:noMultiLvlLbl val="0"/>
      </c:catAx>
      <c:valAx>
        <c:axId val="26702528"/>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Vehkm (road Vehicles)</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2619271"/>
        <c:crosses val="autoZero"/>
        <c:crossBetween val="between"/>
      </c:valAx>
    </c:plotArea>
    <c:legend>
      <c:legendPos val="r"/>
      <c:layout>
        <c:manualLayout>
          <c:xMode val="edge"/>
          <c:yMode val="edge"/>
          <c:x val="0.78374999999999995"/>
          <c:y val="0.32400000000000001"/>
          <c:w val="0.19875000000000001"/>
          <c:h val="0.32650000000000001"/>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114.7559537292338</c:v>
                </c:pt>
                <c:pt idx="4">
                  <c:v>163.39581442493377</c:v>
                </c:pt>
                <c:pt idx="5">
                  <c:v>230.32789607820939</c:v>
                </c:pt>
                <c:pt idx="6">
                  <c:v>310.91945380807283</c:v>
                </c:pt>
                <c:pt idx="7">
                  <c:v>337.46530142504378</c:v>
                </c:pt>
                <c:pt idx="8">
                  <c:v>348.40056077558927</c:v>
                </c:pt>
                <c:pt idx="9" formatCode="General">
                  <c:v>0</c:v>
                </c:pt>
                <c:pt idx="10">
                  <c:v>113.03311091083582</c:v>
                </c:pt>
                <c:pt idx="11">
                  <c:v>118.46307900397879</c:v>
                </c:pt>
                <c:pt idx="12">
                  <c:v>109.6316893111631</c:v>
                </c:pt>
                <c:pt idx="13">
                  <c:v>114.7559537292338</c:v>
                </c:pt>
                <c:pt idx="14">
                  <c:v>141.46027082974115</c:v>
                </c:pt>
                <c:pt idx="15">
                  <c:v>179.92406378692436</c:v>
                </c:pt>
                <c:pt idx="16">
                  <c:v>240.83032241807615</c:v>
                </c:pt>
                <c:pt idx="17">
                  <c:v>261.3655686747959</c:v>
                </c:pt>
                <c:pt idx="18">
                  <c:v>245.77306554725499</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24.385640167462185</c:v>
                </c:pt>
                <c:pt idx="4">
                  <c:v>34.721610565298434</c:v>
                </c:pt>
                <c:pt idx="5">
                  <c:v>48.944677916619504</c:v>
                </c:pt>
                <c:pt idx="6">
                  <c:v>66.070383934215485</c:v>
                </c:pt>
                <c:pt idx="7">
                  <c:v>71.711376552821818</c:v>
                </c:pt>
                <c:pt idx="8">
                  <c:v>74.035119164812727</c:v>
                </c:pt>
                <c:pt idx="10">
                  <c:v>24.019536068552615</c:v>
                </c:pt>
                <c:pt idx="11">
                  <c:v>25.173404288345498</c:v>
                </c:pt>
                <c:pt idx="12">
                  <c:v>23.296733978622161</c:v>
                </c:pt>
                <c:pt idx="13">
                  <c:v>24.385640167462185</c:v>
                </c:pt>
                <c:pt idx="14">
                  <c:v>30.060307551320001</c:v>
                </c:pt>
                <c:pt idx="15">
                  <c:v>38.233863554721431</c:v>
                </c:pt>
                <c:pt idx="16">
                  <c:v>51.176443513841193</c:v>
                </c:pt>
                <c:pt idx="17">
                  <c:v>55.540183343394133</c:v>
                </c:pt>
                <c:pt idx="18">
                  <c:v>52.226776428791695</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4.3033482648462673</c:v>
                </c:pt>
                <c:pt idx="4">
                  <c:v>6.1273430409350169</c:v>
                </c:pt>
                <c:pt idx="5">
                  <c:v>8.6372961029328525</c:v>
                </c:pt>
                <c:pt idx="6">
                  <c:v>11.659479517802732</c:v>
                </c:pt>
                <c:pt idx="7">
                  <c:v>12.654948803439142</c:v>
                </c:pt>
                <c:pt idx="8">
                  <c:v>13.065021029084598</c:v>
                </c:pt>
                <c:pt idx="10">
                  <c:v>4.2387416591563438</c:v>
                </c:pt>
                <c:pt idx="11">
                  <c:v>4.4423654626492048</c:v>
                </c:pt>
                <c:pt idx="12">
                  <c:v>4.1111883491686161</c:v>
                </c:pt>
                <c:pt idx="13">
                  <c:v>4.3033482648462673</c:v>
                </c:pt>
                <c:pt idx="14">
                  <c:v>5.3047601561152939</c:v>
                </c:pt>
                <c:pt idx="15">
                  <c:v>6.7471523920096637</c:v>
                </c:pt>
                <c:pt idx="16">
                  <c:v>9.0311370906778574</c:v>
                </c:pt>
                <c:pt idx="17">
                  <c:v>9.8012088253048457</c:v>
                </c:pt>
                <c:pt idx="18">
                  <c:v>9.2164899580220627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16.905017810635162</c:v>
                </c:pt>
                <c:pt idx="4">
                  <c:v>16.847587046632427</c:v>
                </c:pt>
                <c:pt idx="5">
                  <c:v>16.033984750002077</c:v>
                </c:pt>
                <c:pt idx="6">
                  <c:v>14.261962434541667</c:v>
                </c:pt>
                <c:pt idx="7">
                  <c:v>13.935738167366992</c:v>
                </c:pt>
                <c:pt idx="8">
                  <c:v>13.708967388186485</c:v>
                </c:pt>
                <c:pt idx="9" formatCode="General">
                  <c:v>0</c:v>
                </c:pt>
                <c:pt idx="10">
                  <c:v>16.019623147367891</c:v>
                </c:pt>
                <c:pt idx="11">
                  <c:v>16.390365445896254</c:v>
                </c:pt>
                <c:pt idx="12">
                  <c:v>16.665664027538941</c:v>
                </c:pt>
                <c:pt idx="13">
                  <c:v>16.905017810635162</c:v>
                </c:pt>
                <c:pt idx="14">
                  <c:v>17.658756970365346</c:v>
                </c:pt>
                <c:pt idx="15">
                  <c:v>17.877511892024621</c:v>
                </c:pt>
                <c:pt idx="16">
                  <c:v>16.700464950264248</c:v>
                </c:pt>
                <c:pt idx="17">
                  <c:v>16.538491060012753</c:v>
                </c:pt>
                <c:pt idx="18">
                  <c:v>17.388300672068574</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106.21853913881091</c:v>
                </c:pt>
                <c:pt idx="4">
                  <c:v>105.85768699879371</c:v>
                </c:pt>
                <c:pt idx="5">
                  <c:v>100.74561623045122</c:v>
                </c:pt>
                <c:pt idx="6">
                  <c:v>89.611548004201552</c:v>
                </c:pt>
                <c:pt idx="7">
                  <c:v>87.561797718276154</c:v>
                </c:pt>
                <c:pt idx="8">
                  <c:v>86.136939066617728</c:v>
                </c:pt>
                <c:pt idx="9" formatCode="General">
                  <c:v>0</c:v>
                </c:pt>
                <c:pt idx="10">
                  <c:v>100.65537861765586</c:v>
                </c:pt>
                <c:pt idx="11">
                  <c:v>102.9848470505062</c:v>
                </c:pt>
                <c:pt idx="12">
                  <c:v>104.71461826380103</c:v>
                </c:pt>
                <c:pt idx="13">
                  <c:v>106.21853913881091</c:v>
                </c:pt>
                <c:pt idx="14">
                  <c:v>107.38956116876329</c:v>
                </c:pt>
                <c:pt idx="15">
                  <c:v>105.92215966072806</c:v>
                </c:pt>
                <c:pt idx="16">
                  <c:v>98.948294681847329</c:v>
                </c:pt>
                <c:pt idx="17">
                  <c:v>97.988618393127211</c:v>
                </c:pt>
                <c:pt idx="18">
                  <c:v>103.02364060164574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2.8304469375370944</c:v>
                </c:pt>
                <c:pt idx="4">
                  <c:v>3.0852140383906068</c:v>
                </c:pt>
                <c:pt idx="5">
                  <c:v>3.3303352863530344</c:v>
                </c:pt>
                <c:pt idx="6">
                  <c:v>3.5150676903920846</c:v>
                </c:pt>
                <c:pt idx="7">
                  <c:v>3.6187834772057106</c:v>
                </c:pt>
                <c:pt idx="8">
                  <c:v>3.6604590703655235</c:v>
                </c:pt>
                <c:pt idx="10">
                  <c:v>1.8199995725306073</c:v>
                </c:pt>
                <c:pt idx="11">
                  <c:v>2.7827386966557452</c:v>
                </c:pt>
                <c:pt idx="12">
                  <c:v>2.7728192749407472</c:v>
                </c:pt>
                <c:pt idx="13">
                  <c:v>2.8304469375370944</c:v>
                </c:pt>
                <c:pt idx="14">
                  <c:v>2.7121183872363934</c:v>
                </c:pt>
                <c:pt idx="15">
                  <c:v>2.9275970656777832</c:v>
                </c:pt>
                <c:pt idx="16">
                  <c:v>3.0899897371353671</c:v>
                </c:pt>
                <c:pt idx="17">
                  <c:v>3.1811631497296702</c:v>
                </c:pt>
                <c:pt idx="18">
                  <c:v>3.2177989037166692</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9.1535777190606566</c:v>
                </c:pt>
                <c:pt idx="4">
                  <c:v>9.1224806230591735</c:v>
                </c:pt>
                <c:pt idx="5">
                  <c:v>8.6819385344299089</c:v>
                </c:pt>
                <c:pt idx="6">
                  <c:v>7.7224397532885929</c:v>
                </c:pt>
                <c:pt idx="7">
                  <c:v>7.5457987572910374</c:v>
                </c:pt>
                <c:pt idx="8">
                  <c:v>7.4230089457159902</c:v>
                </c:pt>
                <c:pt idx="9" formatCode="General">
                  <c:v>0</c:v>
                </c:pt>
                <c:pt idx="10">
                  <c:v>8.6741621423932465</c:v>
                </c:pt>
                <c:pt idx="11">
                  <c:v>8.8749083635056305</c:v>
                </c:pt>
                <c:pt idx="12">
                  <c:v>9.0239745751619225</c:v>
                </c:pt>
                <c:pt idx="13">
                  <c:v>9.1535777190606566</c:v>
                </c:pt>
                <c:pt idx="14">
                  <c:v>13.126619031179249</c:v>
                </c:pt>
                <c:pt idx="15">
                  <c:v>16.086962970131705</c:v>
                </c:pt>
                <c:pt idx="16">
                  <c:v>15.027804923946704</c:v>
                </c:pt>
                <c:pt idx="17">
                  <c:v>14.882053770747001</c:v>
                </c:pt>
                <c:pt idx="18">
                  <c:v>15.646749431047624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0.6528281316673451</c:v>
                </c:pt>
                <c:pt idx="4">
                  <c:v>0.91068205290937376</c:v>
                </c:pt>
                <c:pt idx="5">
                  <c:v>1.2038134916712031</c:v>
                </c:pt>
                <c:pt idx="6">
                  <c:v>1.4057825304383706</c:v>
                </c:pt>
                <c:pt idx="7">
                  <c:v>1.5316476978095188</c:v>
                </c:pt>
                <c:pt idx="8">
                  <c:v>1.6059537886070023</c:v>
                </c:pt>
                <c:pt idx="9" formatCode="General">
                  <c:v>0</c:v>
                </c:pt>
                <c:pt idx="10">
                  <c:v>0.64854136839212595</c:v>
                </c:pt>
                <c:pt idx="11">
                  <c:v>0.6995709084876961</c:v>
                </c:pt>
                <c:pt idx="12">
                  <c:v>0.64248252977129328</c:v>
                </c:pt>
                <c:pt idx="13">
                  <c:v>0.6528281316673451</c:v>
                </c:pt>
                <c:pt idx="14">
                  <c:v>1.610210986386059</c:v>
                </c:pt>
                <c:pt idx="15">
                  <c:v>2.8089920653060978</c:v>
                </c:pt>
                <c:pt idx="16">
                  <c:v>4.729195272103615</c:v>
                </c:pt>
                <c:pt idx="17">
                  <c:v>6.0843487560592608</c:v>
                </c:pt>
                <c:pt idx="18">
                  <c:v>6.9301888327392636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57111383"/>
        <c:axId val="44240399"/>
      </c:barChart>
      <c:catAx>
        <c:axId val="57111383"/>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4240399"/>
        <c:crosses val="autoZero"/>
        <c:auto val="1"/>
        <c:lblAlgn val="ctr"/>
        <c:lblOffset val="100"/>
        <c:noMultiLvlLbl val="0"/>
      </c:catAx>
      <c:valAx>
        <c:axId val="44240399"/>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7111383"/>
        <c:crosses val="autoZero"/>
        <c:crossBetween val="between"/>
      </c:valAx>
    </c:plotArea>
    <c:legend>
      <c:legendPos val="r"/>
      <c:layout>
        <c:manualLayout>
          <c:xMode val="edge"/>
          <c:yMode val="edge"/>
          <c:x val="0.90674999999999994"/>
          <c:y val="0.27400000000000002"/>
          <c:w val="8.1000000000000003E-2"/>
          <c:h val="0.42799999999999999"/>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62014411"/>
        <c:axId val="21258790"/>
      </c:barChart>
      <c:catAx>
        <c:axId val="62014411"/>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21258790"/>
        <c:crosses val="autoZero"/>
        <c:auto val="1"/>
        <c:lblAlgn val="ctr"/>
        <c:lblOffset val="100"/>
        <c:noMultiLvlLbl val="0"/>
      </c:catAx>
      <c:valAx>
        <c:axId val="21258790"/>
        <c:scaling>
          <c:orientation val="minMax"/>
        </c:scaling>
        <c:delete val="0"/>
        <c:axPos val="l"/>
        <c:majorGridlines/>
        <c:numFmt formatCode="0%" sourceLinked="1"/>
        <c:majorTickMark val="out"/>
        <c:minorTickMark val="none"/>
        <c:tickLblPos val="nextTo"/>
        <c:spPr>
          <a:ln w="9525" cap="flat" cmpd="sng"/>
          <a:effectLst/>
        </c:spPr>
        <c:crossAx val="6201441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0.4247174638136591</c:v>
                </c:pt>
                <c:pt idx="4">
                  <c:v>0.45403442990291437</c:v>
                </c:pt>
                <c:pt idx="5">
                  <c:v>0.50269614462127876</c:v>
                </c:pt>
                <c:pt idx="6">
                  <c:v>0.60996476849525938</c:v>
                </c:pt>
                <c:pt idx="7">
                  <c:v>0.60996476849525938</c:v>
                </c:pt>
                <c:pt idx="8">
                  <c:v>0.60485275728590937</c:v>
                </c:pt>
                <c:pt idx="10" formatCode="0%">
                  <c:v>0.40039186287579059</c:v>
                </c:pt>
                <c:pt idx="11" formatCode="0%">
                  <c:v>0.40039186287579059</c:v>
                </c:pt>
                <c:pt idx="12" formatCode="0%">
                  <c:v>0.3966824420527032</c:v>
                </c:pt>
                <c:pt idx="13" formatCode="0%">
                  <c:v>0.4247174638136591</c:v>
                </c:pt>
                <c:pt idx="14">
                  <c:v>0.43133270840776861</c:v>
                </c:pt>
                <c:pt idx="15">
                  <c:v>0.47756133739021478</c:v>
                </c:pt>
                <c:pt idx="16">
                  <c:v>0.57946653007049642</c:v>
                </c:pt>
                <c:pt idx="17">
                  <c:v>0.57946653007049642</c:v>
                </c:pt>
                <c:pt idx="18">
                  <c:v>0.57461011942161389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4676348"/>
        <c:axId val="66542813"/>
      </c:barChart>
      <c:catAx>
        <c:axId val="44676348"/>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66542813"/>
        <c:crosses val="autoZero"/>
        <c:auto val="1"/>
        <c:lblAlgn val="ctr"/>
        <c:lblOffset val="100"/>
        <c:noMultiLvlLbl val="0"/>
      </c:catAx>
      <c:valAx>
        <c:axId val="66542813"/>
        <c:scaling>
          <c:orientation val="minMax"/>
        </c:scaling>
        <c:delete val="0"/>
        <c:axPos val="l"/>
        <c:majorGridlines/>
        <c:title>
          <c:tx>
            <c:rich>
              <a:bodyPr rot="-5400000" vert="horz" wrap="square"/>
              <a:lstStyle/>
              <a:p>
                <a:pPr>
                  <a:defRPr lang="en-ZA" sz="1000" u="none" baseline="0">
                    <a:latin typeface="Calibri"/>
                    <a:ea typeface="Calibri"/>
                  </a:defRPr>
                </a:pPr>
                <a:r>
                  <a:rPr lang="en-ZA"/>
                  <a:t>veh/pp</a:t>
                </a:r>
              </a:p>
            </c:rich>
          </c:tx>
          <c:overlay val="0"/>
          <c:spPr>
            <a:noFill/>
            <a:effectLst/>
          </c:spPr>
        </c:title>
        <c:numFmt formatCode="0.00" sourceLinked="1"/>
        <c:majorTickMark val="out"/>
        <c:minorTickMark val="none"/>
        <c:tickLblPos val="nextTo"/>
        <c:spPr>
          <a:ln w="9525" cap="flat" cmpd="sng"/>
          <a:effectLst/>
        </c:spPr>
        <c:crossAx val="446763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8534003"/>
        <c:axId val="57043982"/>
      </c:barChart>
      <c:catAx>
        <c:axId val="58534003"/>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57043982"/>
        <c:crosses val="autoZero"/>
        <c:auto val="1"/>
        <c:lblAlgn val="ctr"/>
        <c:lblOffset val="100"/>
        <c:noMultiLvlLbl val="0"/>
      </c:catAx>
      <c:valAx>
        <c:axId val="57043982"/>
        <c:scaling>
          <c:orientation val="minMax"/>
        </c:scaling>
        <c:delete val="0"/>
        <c:axPos val="l"/>
        <c:majorGridlines/>
        <c:title>
          <c:tx>
            <c:rich>
              <a:bodyPr rot="-5400000" vert="horz" wrap="square"/>
              <a:lstStyle/>
              <a:p>
                <a:pPr>
                  <a:defRPr lang="en-ZA" sz="1000" u="none" baseline="0">
                    <a:latin typeface="Calibri"/>
                    <a:ea typeface="Calibri"/>
                  </a:defRPr>
                </a:pPr>
                <a:r>
                  <a:rPr lang="en-ZA"/>
                  <a:t>pers/veh.</a:t>
                </a:r>
              </a:p>
            </c:rich>
          </c:tx>
          <c:overlay val="0"/>
          <c:spPr>
            <a:noFill/>
            <a:effectLst/>
          </c:spPr>
        </c:title>
        <c:numFmt formatCode="0.00" sourceLinked="1"/>
        <c:majorTickMark val="out"/>
        <c:minorTickMark val="none"/>
        <c:tickLblPos val="nextTo"/>
        <c:spPr>
          <a:ln w="9525" cap="flat" cmpd="sng"/>
          <a:effectLst/>
        </c:spPr>
        <c:crossAx val="58534003"/>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40490857"/>
        <c:axId val="28873399"/>
      </c:barChart>
      <c:catAx>
        <c:axId val="40490857"/>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28873399"/>
        <c:crosses val="autoZero"/>
        <c:auto val="1"/>
        <c:lblAlgn val="ctr"/>
        <c:lblOffset val="100"/>
        <c:noMultiLvlLbl val="0"/>
      </c:catAx>
      <c:valAx>
        <c:axId val="28873399"/>
        <c:scaling>
          <c:orientation val="minMax"/>
        </c:scaling>
        <c:delete val="0"/>
        <c:axPos val="l"/>
        <c:majorGridlines/>
        <c:title>
          <c:tx>
            <c:rich>
              <a:bodyPr rot="-5400000" vert="horz" wrap="square"/>
              <a:lstStyle/>
              <a:p>
                <a:pPr>
                  <a:defRPr lang="en-ZA" sz="1000" u="none" baseline="0">
                    <a:latin typeface="Calibri"/>
                    <a:ea typeface="Calibri"/>
                  </a:defRPr>
                </a:pPr>
                <a:r>
                  <a:rPr lang="en-ZA"/>
                  <a:t>'000 km/year</a:t>
                </a:r>
              </a:p>
            </c:rich>
          </c:tx>
          <c:overlay val="0"/>
          <c:spPr>
            <a:noFill/>
            <a:effectLst/>
          </c:spPr>
        </c:title>
        <c:numFmt formatCode="0" sourceLinked="0"/>
        <c:majorTickMark val="out"/>
        <c:minorTickMark val="none"/>
        <c:tickLblPos val="nextTo"/>
        <c:spPr>
          <a:ln w="9525" cap="flat" cmpd="sng"/>
          <a:effectLst/>
        </c:spPr>
        <c:crossAx val="40490857"/>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22.864075230945598</c:v>
                </c:pt>
                <c:pt idx="2">
                  <c:v>21.9551966725226</c:v>
                </c:pt>
                <c:pt idx="3">
                  <c:v>20.441926094865501</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16.970364490783801</c:v>
                </c:pt>
                <c:pt idx="1">
                  <c:v>18.982870373304099</c:v>
                </c:pt>
                <c:pt idx="2">
                  <c:v>21.9680762423334</c:v>
                </c:pt>
                <c:pt idx="3">
                  <c:v>25.241391122052001</c:v>
                </c:pt>
                <c:pt idx="4">
                  <c:v>28.641998792381099</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12.622024542915501</c:v>
                </c:pt>
                <c:pt idx="1">
                  <c:v>15.315885695750399</c:v>
                </c:pt>
                <c:pt idx="2">
                  <c:v>18.883034605144001</c:v>
                </c:pt>
                <c:pt idx="3">
                  <c:v>22.904553213082401</c:v>
                </c:pt>
                <c:pt idx="4">
                  <c:v>26.986581433017001</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66399043"/>
        <c:axId val="60720483"/>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1.3803314383988377</c:v>
                </c:pt>
                <c:pt idx="4">
                  <c:v>1.761451909481951</c:v>
                </c:pt>
                <c:pt idx="5">
                  <c:v>2.5165952612991904</c:v>
                </c:pt>
                <c:pt idx="6">
                  <c:v>3.5865077534062668</c:v>
                </c:pt>
                <c:pt idx="7">
                  <c:v>4.1812137122895852</c:v>
                </c:pt>
                <c:pt idx="8">
                  <c:v>4.5622592282338905</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9613436"/>
        <c:axId val="19412065"/>
      </c:lineChart>
      <c:catAx>
        <c:axId val="66399043"/>
        <c:scaling>
          <c:orientation val="minMax"/>
        </c:scaling>
        <c:delete val="0"/>
        <c:axPos val="b"/>
        <c:numFmt formatCode="General" sourceLinked="1"/>
        <c:majorTickMark val="out"/>
        <c:minorTickMark val="none"/>
        <c:tickLblPos val="nextTo"/>
        <c:spPr>
          <a:ln w="9525" cap="flat" cmpd="sng"/>
          <a:effectLst/>
        </c:spPr>
        <c:crossAx val="60720483"/>
        <c:crosses val="autoZero"/>
        <c:auto val="1"/>
        <c:lblAlgn val="ctr"/>
        <c:lblOffset val="100"/>
        <c:noMultiLvlLbl val="0"/>
      </c:catAx>
      <c:valAx>
        <c:axId val="60720483"/>
        <c:scaling>
          <c:orientation val="minMax"/>
        </c:scaling>
        <c:delete val="0"/>
        <c:axPos val="l"/>
        <c:majorGridlines/>
        <c:title>
          <c:tx>
            <c:rich>
              <a:bodyPr rot="-5400000" vert="horz" wrap="square"/>
              <a:lstStyle/>
              <a:p>
                <a:pPr>
                  <a:defRPr lang="en-ZA" sz="1000" u="none" baseline="0">
                    <a:latin typeface="Calibri"/>
                    <a:ea typeface="Calibri"/>
                  </a:defRPr>
                </a:pPr>
                <a:r>
                  <a:rPr lang="en-ZA"/>
                  <a:t>Million</a:t>
                </a:r>
              </a:p>
            </c:rich>
          </c:tx>
          <c:overlay val="0"/>
          <c:spPr>
            <a:noFill/>
            <a:effectLst/>
          </c:spPr>
        </c:title>
        <c:numFmt formatCode="0" sourceLinked="0"/>
        <c:majorTickMark val="out"/>
        <c:minorTickMark val="none"/>
        <c:tickLblPos val="nextTo"/>
        <c:spPr>
          <a:ln w="9525" cap="flat" cmpd="sng"/>
          <a:effectLst/>
        </c:spPr>
        <c:crossAx val="66399043"/>
        <c:crosses val="autoZero"/>
        <c:crossBetween val="between"/>
      </c:valAx>
      <c:catAx>
        <c:axId val="9613436"/>
        <c:scaling>
          <c:orientation val="minMax"/>
        </c:scaling>
        <c:delete val="1"/>
        <c:axPos val="b"/>
        <c:majorTickMark val="out"/>
        <c:minorTickMark val="none"/>
        <c:tickLblPos val="nextTo"/>
        <c:crossAx val="19412065"/>
        <c:crosses val="autoZero"/>
        <c:auto val="1"/>
        <c:lblAlgn val="ctr"/>
        <c:lblOffset val="100"/>
        <c:noMultiLvlLbl val="0"/>
      </c:catAx>
      <c:valAx>
        <c:axId val="19412065"/>
        <c:scaling>
          <c:orientation val="minMax"/>
        </c:scaling>
        <c:delete val="0"/>
        <c:axPos val="r"/>
        <c:numFmt formatCode="0" sourceLinked="0"/>
        <c:majorTickMark val="out"/>
        <c:minorTickMark val="none"/>
        <c:tickLblPos val="nextTo"/>
        <c:spPr>
          <a:ln w="9525" cap="flat" cmpd="sng"/>
          <a:effectLst/>
        </c:spPr>
        <c:crossAx val="9613436"/>
        <c:crosses val="max"/>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7.3749999999999996E-2"/>
          <c:y val="2.325E-2"/>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0.14535426337436252</c:v>
                </c:pt>
                <c:pt idx="4">
                  <c:v>0.11901557306285192</c:v>
                </c:pt>
                <c:pt idx="5">
                  <c:v>8.720067860219978E-2</c:v>
                </c:pt>
                <c:pt idx="6">
                  <c:v>6.6443170403410121E-2</c:v>
                </c:pt>
                <c:pt idx="7">
                  <c:v>5.033961330920745E-2</c:v>
                </c:pt>
                <c:pt idx="8">
                  <c:v>3.4711562949662052E-2</c:v>
                </c:pt>
                <c:pt idx="10">
                  <c:v>0.12877680945571371</c:v>
                </c:pt>
                <c:pt idx="11">
                  <c:v>0.12973355042768442</c:v>
                </c:pt>
                <c:pt idx="12">
                  <c:v>0.13499132813487882</c:v>
                </c:pt>
                <c:pt idx="13">
                  <c:v>0.14535426337436252</c:v>
                </c:pt>
                <c:pt idx="14">
                  <c:v>0.11306479440970932</c:v>
                </c:pt>
                <c:pt idx="15">
                  <c:v>8.2840644672089778E-2</c:v>
                </c:pt>
                <c:pt idx="16">
                  <c:v>5.9964961289077634E-2</c:v>
                </c:pt>
                <c:pt idx="17">
                  <c:v>4.5431501011559725E-2</c:v>
                </c:pt>
                <c:pt idx="18">
                  <c:v>2.97608262839665E-2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2.770737859888222</c:v>
                </c:pt>
                <c:pt idx="4">
                  <c:v>3.3943288499519269</c:v>
                </c:pt>
                <c:pt idx="5">
                  <c:v>3.9532720944875996</c:v>
                </c:pt>
                <c:pt idx="6">
                  <c:v>4.3662542183023714</c:v>
                </c:pt>
                <c:pt idx="7">
                  <c:v>4.7233481107131103</c:v>
                </c:pt>
                <c:pt idx="8">
                  <c:v>5.14064802492691</c:v>
                </c:pt>
                <c:pt idx="10">
                  <c:v>2.7702164245855587</c:v>
                </c:pt>
                <c:pt idx="11">
                  <c:v>2.92184375996167</c:v>
                </c:pt>
                <c:pt idx="12">
                  <c:v>3.0704902512012651</c:v>
                </c:pt>
                <c:pt idx="13">
                  <c:v>2.770737859888222</c:v>
                </c:pt>
                <c:pt idx="14">
                  <c:v>3.0633817870816133</c:v>
                </c:pt>
                <c:pt idx="15">
                  <c:v>3.3894366620113052</c:v>
                </c:pt>
                <c:pt idx="16">
                  <c:v>3.7435172104169951</c:v>
                </c:pt>
                <c:pt idx="17">
                  <c:v>4.0496805864226522</c:v>
                </c:pt>
                <c:pt idx="18">
                  <c:v>4.1870899453531223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4.2068453520886786</c:v>
                </c:pt>
                <c:pt idx="4">
                  <c:v>6.803430646321412</c:v>
                </c:pt>
                <c:pt idx="5">
                  <c:v>10.58386142719141</c:v>
                </c:pt>
                <c:pt idx="6">
                  <c:v>15.358236701081809</c:v>
                </c:pt>
                <c:pt idx="7">
                  <c:v>16.814525929017769</c:v>
                </c:pt>
                <c:pt idx="8">
                  <c:v>17.296178195161993</c:v>
                </c:pt>
                <c:pt idx="10">
                  <c:v>4.1038214947082041</c:v>
                </c:pt>
                <c:pt idx="11">
                  <c:v>4.3184589686023154</c:v>
                </c:pt>
                <c:pt idx="12">
                  <c:v>3.6132870620523043</c:v>
                </c:pt>
                <c:pt idx="13">
                  <c:v>4.2068453520886786</c:v>
                </c:pt>
                <c:pt idx="14">
                  <c:v>6.1400961583050728</c:v>
                </c:pt>
                <c:pt idx="15">
                  <c:v>9.0743381911382315</c:v>
                </c:pt>
                <c:pt idx="16">
                  <c:v>13.167768191590014</c:v>
                </c:pt>
                <c:pt idx="17">
                  <c:v>14.416354168391605</c:v>
                </c:pt>
                <c:pt idx="18">
                  <c:v>14.087845241073158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0.80142174844719183</c:v>
                </c:pt>
                <c:pt idx="3">
                  <c:v>0.82267228191880326</c:v>
                </c:pt>
                <c:pt idx="4">
                  <c:v>0.91988649183817139</c:v>
                </c:pt>
                <c:pt idx="5">
                  <c:v>1.1200735385760758</c:v>
                </c:pt>
                <c:pt idx="6">
                  <c:v>1.3696546621929162</c:v>
                </c:pt>
                <c:pt idx="7">
                  <c:v>1.3696546621929162</c:v>
                </c:pt>
                <c:pt idx="8">
                  <c:v>1.2442611252161038</c:v>
                </c:pt>
                <c:pt idx="9">
                  <c:v>0</c:v>
                </c:pt>
                <c:pt idx="10">
                  <c:v>0.82</c:v>
                </c:pt>
                <c:pt idx="11">
                  <c:v>0.82801570101021782</c:v>
                </c:pt>
                <c:pt idx="12">
                  <c:v>0.80142174844719183</c:v>
                </c:pt>
                <c:pt idx="13">
                  <c:v>0.82267228191880326</c:v>
                </c:pt>
                <c:pt idx="14">
                  <c:v>0.92239764222844522</c:v>
                </c:pt>
                <c:pt idx="15">
                  <c:v>1.0805383593065496</c:v>
                </c:pt>
                <c:pt idx="16">
                  <c:v>1.1907518542071278</c:v>
                </c:pt>
                <c:pt idx="17">
                  <c:v>1.1907518542071278</c:v>
                </c:pt>
                <c:pt idx="18">
                  <c:v>1.2033304337387152</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56399568"/>
        <c:axId val="37834064"/>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7.9456097572700664</c:v>
                      </c:pt>
                      <c:pt idx="4">
                        <c:v>11.236661561174364</c:v>
                      </c:pt>
                      <c:pt idx="5">
                        <c:v>15.744407738857285</c:v>
                      </c:pt>
                      <c:pt idx="6">
                        <c:v>21.160588751980505</c:v>
                      </c:pt>
                      <c:pt idx="7">
                        <c:v>22.957868315233</c:v>
                      </c:pt>
                      <c:pt idx="8">
                        <c:v>23.715798908254666</c:v>
                      </c:pt>
                      <c:pt idx="10">
                        <c:v>7.8228147287494769</c:v>
                      </c:pt>
                      <c:pt idx="11">
                        <c:v>8.1980519800018872</c:v>
                      </c:pt>
                      <c:pt idx="12">
                        <c:v>7.6201903898356402</c:v>
                      </c:pt>
                      <c:pt idx="13">
                        <c:v>7.9456097572700664</c:v>
                      </c:pt>
                      <c:pt idx="14">
                        <c:v>10.23894038202484</c:v>
                      </c:pt>
                      <c:pt idx="15">
                        <c:v>13.627153857128176</c:v>
                      </c:pt>
                      <c:pt idx="16">
                        <c:v>18.162002217503215</c:v>
                      </c:pt>
                      <c:pt idx="17">
                        <c:v>19.702218110032945</c:v>
                      </c:pt>
                      <c:pt idx="18">
                        <c:v>19.508026446448959</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133.78191747846697</c:v>
                </c:pt>
                <c:pt idx="4">
                  <c:v>173.78266366002978</c:v>
                </c:pt>
                <c:pt idx="5">
                  <c:v>225.84304396490029</c:v>
                </c:pt>
                <c:pt idx="6">
                  <c:v>279.66817833923045</c:v>
                </c:pt>
                <c:pt idx="7">
                  <c:v>303.42186058845937</c:v>
                </c:pt>
                <c:pt idx="8">
                  <c:v>310.00171051723532</c:v>
                </c:pt>
                <c:pt idx="10">
                  <c:v>138.40313364615901</c:v>
                </c:pt>
                <c:pt idx="11">
                  <c:v>140.46218054044525</c:v>
                </c:pt>
                <c:pt idx="12">
                  <c:v>131.00262524999772</c:v>
                </c:pt>
                <c:pt idx="13">
                  <c:v>133.78191747846697</c:v>
                </c:pt>
                <c:pt idx="14">
                  <c:v>158.35222258474397</c:v>
                </c:pt>
                <c:pt idx="15">
                  <c:v>195.47244702487797</c:v>
                </c:pt>
                <c:pt idx="16">
                  <c:v>247.00208387077288</c:v>
                </c:pt>
                <c:pt idx="17">
                  <c:v>260.39367395008793</c:v>
                </c:pt>
                <c:pt idx="18">
                  <c:v>254.99969832809231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4962263"/>
        <c:axId val="44660373"/>
        <c:extLst/>
      </c:lineChart>
      <c:catAx>
        <c:axId val="56399568"/>
        <c:scaling>
          <c:orientation val="minMax"/>
        </c:scaling>
        <c:delete val="0"/>
        <c:axPos val="b"/>
        <c:numFmt formatCode="General" sourceLinked="1"/>
        <c:majorTickMark val="out"/>
        <c:minorTickMark val="none"/>
        <c:tickLblPos val="nextTo"/>
        <c:spPr>
          <a:ln w="9525" cap="flat" cmpd="sng"/>
          <a:effectLst/>
        </c:spPr>
        <c:crossAx val="37834064"/>
        <c:crosses val="autoZero"/>
        <c:auto val="1"/>
        <c:lblAlgn val="ctr"/>
        <c:lblOffset val="100"/>
        <c:noMultiLvlLbl val="0"/>
      </c:catAx>
      <c:valAx>
        <c:axId val="37834064"/>
        <c:scaling>
          <c:orientation val="minMax"/>
        </c:scaling>
        <c:delete val="0"/>
        <c:axPos val="l"/>
        <c:majorGridlines/>
        <c:title>
          <c:tx>
            <c:rich>
              <a:bodyPr rot="-5400000" vert="horz" wrap="square"/>
              <a:lstStyle/>
              <a:p>
                <a:pPr>
                  <a:defRPr lang="en-ZA" sz="1000" u="none" baseline="0">
                    <a:latin typeface="Calibri"/>
                    <a:ea typeface="Calibri"/>
                  </a:defRPr>
                </a:pPr>
                <a:r>
                  <a:rPr lang="en-ZA"/>
                  <a:t>Million priv.veh.</a:t>
                </a:r>
              </a:p>
            </c:rich>
          </c:tx>
          <c:overlay val="0"/>
          <c:spPr>
            <a:noFill/>
            <a:effectLst/>
          </c:spPr>
        </c:title>
        <c:numFmt formatCode="0" sourceLinked="0"/>
        <c:majorTickMark val="out"/>
        <c:minorTickMark val="none"/>
        <c:tickLblPos val="nextTo"/>
        <c:spPr>
          <a:ln w="9525" cap="flat" cmpd="sng"/>
          <a:effectLst/>
        </c:spPr>
        <c:crossAx val="56399568"/>
        <c:crosses val="autoZero"/>
        <c:crossBetween val="between"/>
      </c:valAx>
      <c:catAx>
        <c:axId val="4962263"/>
        <c:scaling>
          <c:orientation val="minMax"/>
        </c:scaling>
        <c:delete val="1"/>
        <c:axPos val="b"/>
        <c:numFmt formatCode="General" sourceLinked="1"/>
        <c:majorTickMark val="out"/>
        <c:minorTickMark val="none"/>
        <c:tickLblPos val="nextTo"/>
        <c:crossAx val="44660373"/>
        <c:crosses val="autoZero"/>
        <c:auto val="1"/>
        <c:lblAlgn val="ctr"/>
        <c:lblOffset val="100"/>
        <c:noMultiLvlLbl val="0"/>
      </c:catAx>
      <c:valAx>
        <c:axId val="44660373"/>
        <c:scaling>
          <c:orientation val="minMax"/>
        </c:scaling>
        <c:delete val="0"/>
        <c:axPos val="r"/>
        <c:title>
          <c:tx>
            <c:rich>
              <a:bodyPr rot="-5400000" vert="horz" wrap="square"/>
              <a:lstStyle/>
              <a:p>
                <a:pPr>
                  <a:defRPr lang="en-US" sz="1000" u="none" baseline="0">
                    <a:latin typeface="Calibri"/>
                    <a:ea typeface="Calibri"/>
                  </a:defRPr>
                </a:pPr>
                <a:r>
                  <a:rPr lang="en-US"/>
                  <a:t>Priv.veh/'000 person</a:t>
                </a:r>
              </a:p>
            </c:rich>
          </c:tx>
          <c:overlay val="0"/>
          <c:spPr>
            <a:noFill/>
            <a:effectLst/>
          </c:spPr>
        </c:title>
        <c:numFmt formatCode="0" sourceLinked="0"/>
        <c:majorTickMark val="out"/>
        <c:minorTickMark val="none"/>
        <c:tickLblPos val="nextTo"/>
        <c:spPr>
          <a:ln w="9525" cap="flat" cmpd="sng"/>
          <a:effectLst/>
        </c:spPr>
        <c:crossAx val="4962263"/>
        <c:crosses val="max"/>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010308"/>
        <c:axId val="36092780"/>
      </c:barChart>
      <c:catAx>
        <c:axId val="4010308"/>
        <c:scaling>
          <c:orientation val="minMax"/>
        </c:scaling>
        <c:delete val="0"/>
        <c:axPos val="b"/>
        <c:numFmt formatCode="General" sourceLinked="1"/>
        <c:majorTickMark val="out"/>
        <c:minorTickMark val="none"/>
        <c:tickLblPos val="nextTo"/>
        <c:spPr>
          <a:ln w="9525" cap="flat" cmpd="sng"/>
          <a:effectLst/>
        </c:spPr>
        <c:crossAx val="36092780"/>
        <c:crosses val="autoZero"/>
        <c:auto val="1"/>
        <c:lblAlgn val="ctr"/>
        <c:lblOffset val="100"/>
        <c:noMultiLvlLbl val="0"/>
      </c:catAx>
      <c:valAx>
        <c:axId val="36092780"/>
        <c:scaling>
          <c:orientation val="minMax"/>
        </c:scaling>
        <c:delete val="0"/>
        <c:axPos val="l"/>
        <c:majorGridlines/>
        <c:numFmt formatCode="0%" sourceLinked="1"/>
        <c:majorTickMark val="out"/>
        <c:minorTickMark val="none"/>
        <c:tickLblPos val="nextTo"/>
        <c:spPr>
          <a:ln w="9525" cap="flat" cmpd="sng"/>
          <a:effectLst/>
        </c:spPr>
        <c:crossAx val="40103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27390158"/>
        <c:axId val="45184832"/>
      </c:barChart>
      <c:catAx>
        <c:axId val="27390158"/>
        <c:scaling>
          <c:orientation val="minMax"/>
        </c:scaling>
        <c:delete val="0"/>
        <c:axPos val="b"/>
        <c:numFmt formatCode="General" sourceLinked="1"/>
        <c:majorTickMark val="out"/>
        <c:minorTickMark val="none"/>
        <c:tickLblPos val="nextTo"/>
        <c:spPr>
          <a:ln w="9525" cap="flat" cmpd="sng"/>
          <a:effectLst/>
        </c:spPr>
        <c:crossAx val="45184832"/>
        <c:crosses val="autoZero"/>
        <c:auto val="1"/>
        <c:lblAlgn val="ctr"/>
        <c:lblOffset val="100"/>
        <c:noMultiLvlLbl val="0"/>
      </c:catAx>
      <c:valAx>
        <c:axId val="45184832"/>
        <c:scaling>
          <c:orientation val="minMax"/>
        </c:scaling>
        <c:delete val="0"/>
        <c:axPos val="l"/>
        <c:majorGridlines/>
        <c:numFmt formatCode="0%" sourceLinked="1"/>
        <c:majorTickMark val="out"/>
        <c:minorTickMark val="none"/>
        <c:tickLblPos val="nextTo"/>
        <c:spPr>
          <a:ln w="9525" cap="flat" cmpd="sng"/>
          <a:effectLst/>
        </c:spPr>
        <c:crossAx val="2739015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0.71696954428312165</c:v>
                </c:pt>
                <c:pt idx="4">
                  <c:v>0.76645979040589274</c:v>
                </c:pt>
                <c:pt idx="5">
                  <c:v>0.84860608858817843</c:v>
                </c:pt>
                <c:pt idx="6">
                  <c:v>1.0296872611969607</c:v>
                </c:pt>
                <c:pt idx="7">
                  <c:v>1.0296872611969607</c:v>
                </c:pt>
                <c:pt idx="8">
                  <c:v>1.0210576270062039</c:v>
                </c:pt>
                <c:pt idx="10">
                  <c:v>0.67590526860622457</c:v>
                </c:pt>
                <c:pt idx="11">
                  <c:v>0.67590526860622457</c:v>
                </c:pt>
                <c:pt idx="12">
                  <c:v>0.66964336043507822</c:v>
                </c:pt>
                <c:pt idx="13">
                  <c:v>0.71696954428312165</c:v>
                </c:pt>
                <c:pt idx="14">
                  <c:v>0.69172996084131799</c:v>
                </c:pt>
                <c:pt idx="15">
                  <c:v>0.72757364520328938</c:v>
                </c:pt>
                <c:pt idx="16">
                  <c:v>0.88282811556874419</c:v>
                </c:pt>
                <c:pt idx="17">
                  <c:v>0.88282811556874419</c:v>
                </c:pt>
                <c:pt idx="18">
                  <c:v>0.83165781880672152</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0.26803045571687834</c:v>
                </c:pt>
                <c:pt idx="4">
                  <c:v>0.21854020959410725</c:v>
                </c:pt>
                <c:pt idx="5">
                  <c:v>0.13639391141182156</c:v>
                </c:pt>
                <c:pt idx="6">
                  <c:v>-4.4687261196960648E-2</c:v>
                </c:pt>
                <c:pt idx="7">
                  <c:v>-4.4687261196960648E-2</c:v>
                </c:pt>
                <c:pt idx="8">
                  <c:v>-3.6057627006203852E-2</c:v>
                </c:pt>
                <c:pt idx="10" formatCode="0%">
                  <c:v>0.30909473139377541</c:v>
                </c:pt>
                <c:pt idx="11" formatCode="0%">
                  <c:v>0.30909473139377541</c:v>
                </c:pt>
                <c:pt idx="12" formatCode="0%">
                  <c:v>0.31535663956492177</c:v>
                </c:pt>
                <c:pt idx="13" formatCode="0%">
                  <c:v>0.26803045571687834</c:v>
                </c:pt>
                <c:pt idx="14">
                  <c:v>0.28827003915868199</c:v>
                </c:pt>
                <c:pt idx="15">
                  <c:v>0.25242635479671061</c:v>
                </c:pt>
                <c:pt idx="16">
                  <c:v>9.2171884431255791E-2</c:v>
                </c:pt>
                <c:pt idx="17">
                  <c:v>8.7171884431255786E-2</c:v>
                </c:pt>
                <c:pt idx="18">
                  <c:v>0.13834218119327846</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56301566"/>
        <c:axId val="36952050"/>
      </c:barChart>
      <c:catAx>
        <c:axId val="56301566"/>
        <c:scaling>
          <c:orientation val="minMax"/>
        </c:scaling>
        <c:delete val="0"/>
        <c:axPos val="b"/>
        <c:numFmt formatCode="General" sourceLinked="1"/>
        <c:majorTickMark val="out"/>
        <c:minorTickMark val="none"/>
        <c:tickLblPos val="nextTo"/>
        <c:spPr>
          <a:ln w="9525" cap="flat" cmpd="sng"/>
          <a:effectLst/>
        </c:spPr>
        <c:crossAx val="36952050"/>
        <c:crosses val="autoZero"/>
        <c:auto val="1"/>
        <c:lblAlgn val="ctr"/>
        <c:lblOffset val="100"/>
        <c:noMultiLvlLbl val="0"/>
      </c:catAx>
      <c:valAx>
        <c:axId val="36952050"/>
        <c:scaling>
          <c:orientation val="minMax"/>
        </c:scaling>
        <c:delete val="0"/>
        <c:axPos val="l"/>
        <c:majorGridlines/>
        <c:numFmt formatCode="0%" sourceLinked="1"/>
        <c:majorTickMark val="out"/>
        <c:minorTickMark val="none"/>
        <c:tickLblPos val="nextTo"/>
        <c:spPr>
          <a:ln w="9525" cap="flat" cmpd="sng"/>
          <a:effectLst/>
        </c:spPr>
        <c:crossAx val="5630156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81.968538378024164</c:v>
                </c:pt>
                <c:pt idx="5">
                  <c:v>84.087928624096179</c:v>
                </c:pt>
                <c:pt idx="6">
                  <c:v>86.207318870168194</c:v>
                </c:pt>
                <c:pt idx="7">
                  <c:v>86.207318870168194</c:v>
                </c:pt>
                <c:pt idx="8">
                  <c:v>86.207318870168194</c:v>
                </c:pt>
                <c:pt idx="9">
                  <c:v>88.32670911624021</c:v>
                </c:pt>
                <c:pt idx="10">
                  <c:v>90.446099362312225</c:v>
                </c:pt>
                <c:pt idx="11">
                  <c:v>92.56548960838424</c:v>
                </c:pt>
                <c:pt idx="12">
                  <c:v>94.684879854456256</c:v>
                </c:pt>
                <c:pt idx="13">
                  <c:v>96.804270100528271</c:v>
                </c:pt>
                <c:pt idx="14">
                  <c:v>98.923660346600286</c:v>
                </c:pt>
                <c:pt idx="15">
                  <c:v>101.04305059267226</c:v>
                </c:pt>
                <c:pt idx="16">
                  <c:v>103.79046437532821</c:v>
                </c:pt>
                <c:pt idx="17">
                  <c:v>106.53787815798415</c:v>
                </c:pt>
                <c:pt idx="18">
                  <c:v>106.53787815798415</c:v>
                </c:pt>
                <c:pt idx="19">
                  <c:v>106.53787815798415</c:v>
                </c:pt>
                <c:pt idx="20">
                  <c:v>109.28529194064009</c:v>
                </c:pt>
                <c:pt idx="21">
                  <c:v>112.03270572329603</c:v>
                </c:pt>
                <c:pt idx="22">
                  <c:v>114.78011950595197</c:v>
                </c:pt>
                <c:pt idx="23">
                  <c:v>117.52753328860791</c:v>
                </c:pt>
                <c:pt idx="24">
                  <c:v>120.27494707126385</c:v>
                </c:pt>
                <c:pt idx="25">
                  <c:v>123.02236085391979</c:v>
                </c:pt>
                <c:pt idx="26">
                  <c:v>123.02236085391979</c:v>
                </c:pt>
                <c:pt idx="27">
                  <c:v>125.76977463657573</c:v>
                </c:pt>
                <c:pt idx="28">
                  <c:v>128.51718841923173</c:v>
                </c:pt>
                <c:pt idx="29">
                  <c:v>128.51718841923173</c:v>
                </c:pt>
                <c:pt idx="30">
                  <c:v>150.26942364464304</c:v>
                </c:pt>
                <c:pt idx="31">
                  <c:v>172.02165887005438</c:v>
                </c:pt>
                <c:pt idx="32">
                  <c:v>186.68969191056848</c:v>
                </c:pt>
                <c:pt idx="33">
                  <c:v>175.55218967661071</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17.41831440533014</c:v>
                </c:pt>
                <c:pt idx="5">
                  <c:v>17.868684832620442</c:v>
                </c:pt>
                <c:pt idx="6">
                  <c:v>18.319055259910744</c:v>
                </c:pt>
                <c:pt idx="7">
                  <c:v>18.319055259910744</c:v>
                </c:pt>
                <c:pt idx="8">
                  <c:v>18.319055259910744</c:v>
                </c:pt>
                <c:pt idx="9">
                  <c:v>18.769425687201046</c:v>
                </c:pt>
                <c:pt idx="10">
                  <c:v>19.219796114491349</c:v>
                </c:pt>
                <c:pt idx="11">
                  <c:v>19.670166541781651</c:v>
                </c:pt>
                <c:pt idx="12">
                  <c:v>20.120536969071953</c:v>
                </c:pt>
                <c:pt idx="13">
                  <c:v>20.570907396362255</c:v>
                </c:pt>
                <c:pt idx="14">
                  <c:v>21.021277823652557</c:v>
                </c:pt>
                <c:pt idx="15">
                  <c:v>21.471648250942859</c:v>
                </c:pt>
                <c:pt idx="16">
                  <c:v>22.055473679757249</c:v>
                </c:pt>
                <c:pt idx="17">
                  <c:v>22.639299108571638</c:v>
                </c:pt>
                <c:pt idx="18">
                  <c:v>22.639299108571638</c:v>
                </c:pt>
                <c:pt idx="19">
                  <c:v>22.639299108571638</c:v>
                </c:pt>
                <c:pt idx="20">
                  <c:v>23.223124537386028</c:v>
                </c:pt>
                <c:pt idx="21">
                  <c:v>23.806949966200417</c:v>
                </c:pt>
                <c:pt idx="22">
                  <c:v>24.390775395014806</c:v>
                </c:pt>
                <c:pt idx="23">
                  <c:v>24.974600823829196</c:v>
                </c:pt>
                <c:pt idx="24">
                  <c:v>25.558426252643585</c:v>
                </c:pt>
                <c:pt idx="25">
                  <c:v>26.142251681457974</c:v>
                </c:pt>
                <c:pt idx="26">
                  <c:v>26.142251681457974</c:v>
                </c:pt>
                <c:pt idx="27">
                  <c:v>26.726077110272364</c:v>
                </c:pt>
                <c:pt idx="28">
                  <c:v>27.309902539086746</c:v>
                </c:pt>
                <c:pt idx="29">
                  <c:v>27.309902539086746</c:v>
                </c:pt>
                <c:pt idx="30">
                  <c:v>31.932252524486657</c:v>
                </c:pt>
                <c:pt idx="31">
                  <c:v>36.554602509886564</c:v>
                </c:pt>
                <c:pt idx="32">
                  <c:v>39.671559530995808</c:v>
                </c:pt>
                <c:pt idx="33">
                  <c:v>37.304840306279786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3.0738201891759065</c:v>
                </c:pt>
                <c:pt idx="5">
                  <c:v>3.1532973234036068</c:v>
                </c:pt>
                <c:pt idx="6">
                  <c:v>3.2327744576313071</c:v>
                </c:pt>
                <c:pt idx="7">
                  <c:v>3.2327744576313071</c:v>
                </c:pt>
                <c:pt idx="8">
                  <c:v>3.2327744576313071</c:v>
                </c:pt>
                <c:pt idx="9">
                  <c:v>3.3122515918590074</c:v>
                </c:pt>
                <c:pt idx="10">
                  <c:v>3.3917287260867077</c:v>
                </c:pt>
                <c:pt idx="11">
                  <c:v>3.471205860314408</c:v>
                </c:pt>
                <c:pt idx="12">
                  <c:v>3.5506829945421083</c:v>
                </c:pt>
                <c:pt idx="13">
                  <c:v>3.6301601287698086</c:v>
                </c:pt>
                <c:pt idx="14">
                  <c:v>3.709637262997509</c:v>
                </c:pt>
                <c:pt idx="15">
                  <c:v>3.7891143972252102</c:v>
                </c:pt>
                <c:pt idx="16">
                  <c:v>3.892142414074808</c:v>
                </c:pt>
                <c:pt idx="17">
                  <c:v>3.9951704309244058</c:v>
                </c:pt>
                <c:pt idx="18">
                  <c:v>3.9951704309244058</c:v>
                </c:pt>
                <c:pt idx="19">
                  <c:v>3.9951704309244058</c:v>
                </c:pt>
                <c:pt idx="20">
                  <c:v>4.0981984477740037</c:v>
                </c:pt>
                <c:pt idx="21">
                  <c:v>4.2012264646236019</c:v>
                </c:pt>
                <c:pt idx="22">
                  <c:v>4.3042544814732002</c:v>
                </c:pt>
                <c:pt idx="23">
                  <c:v>4.4072824983227985</c:v>
                </c:pt>
                <c:pt idx="24">
                  <c:v>4.5103105151723968</c:v>
                </c:pt>
                <c:pt idx="25">
                  <c:v>4.6133385320219951</c:v>
                </c:pt>
                <c:pt idx="26">
                  <c:v>4.6133385320219951</c:v>
                </c:pt>
                <c:pt idx="27">
                  <c:v>4.7163665488715933</c:v>
                </c:pt>
                <c:pt idx="28">
                  <c:v>4.8193945657211898</c:v>
                </c:pt>
                <c:pt idx="29">
                  <c:v>4.8193945657211898</c:v>
                </c:pt>
                <c:pt idx="30">
                  <c:v>5.6351033866741149</c:v>
                </c:pt>
                <c:pt idx="31">
                  <c:v>6.45081220762704</c:v>
                </c:pt>
                <c:pt idx="32">
                  <c:v>7.000863446646318</c:v>
                </c:pt>
                <c:pt idx="33">
                  <c:v>6.5832071128729028</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0.67620071242540647</c:v>
                </c:pt>
                <c:pt idx="5">
                  <c:v>0.67955066424642951</c:v>
                </c:pt>
                <c:pt idx="6">
                  <c:v>0.68290061606745256</c:v>
                </c:pt>
                <c:pt idx="7">
                  <c:v>0.68290061606745256</c:v>
                </c:pt>
                <c:pt idx="8">
                  <c:v>0.68290061606745256</c:v>
                </c:pt>
                <c:pt idx="9">
                  <c:v>0.6862505678884756</c:v>
                </c:pt>
                <c:pt idx="10">
                  <c:v>0.68960051970949865</c:v>
                </c:pt>
                <c:pt idx="11">
                  <c:v>0.69295047153052169</c:v>
                </c:pt>
                <c:pt idx="12">
                  <c:v>0.69630042335154474</c:v>
                </c:pt>
                <c:pt idx="13">
                  <c:v>0.69965037517256778</c:v>
                </c:pt>
                <c:pt idx="14">
                  <c:v>0.70300032699359083</c:v>
                </c:pt>
                <c:pt idx="15">
                  <c:v>0.70635027881461387</c:v>
                </c:pt>
                <c:pt idx="16">
                  <c:v>0.70722529850125093</c:v>
                </c:pt>
                <c:pt idx="17">
                  <c:v>0.70810031818788799</c:v>
                </c:pt>
                <c:pt idx="18">
                  <c:v>0.70810031818788799</c:v>
                </c:pt>
                <c:pt idx="19">
                  <c:v>0.70810031818788799</c:v>
                </c:pt>
                <c:pt idx="20">
                  <c:v>0.70897533787452505</c:v>
                </c:pt>
                <c:pt idx="21">
                  <c:v>0.7098503575611621</c:v>
                </c:pt>
                <c:pt idx="22">
                  <c:v>0.71072537724779916</c:v>
                </c:pt>
                <c:pt idx="23">
                  <c:v>0.71160039693443622</c:v>
                </c:pt>
                <c:pt idx="24">
                  <c:v>0.71247541662107328</c:v>
                </c:pt>
                <c:pt idx="25">
                  <c:v>0.71335043630771033</c:v>
                </c:pt>
                <c:pt idx="26">
                  <c:v>0.71335043630771033</c:v>
                </c:pt>
                <c:pt idx="27">
                  <c:v>0.71422545599434739</c:v>
                </c:pt>
                <c:pt idx="28">
                  <c:v>0.71510047568098489</c:v>
                </c:pt>
                <c:pt idx="29">
                  <c:v>0.71510047568098489</c:v>
                </c:pt>
                <c:pt idx="30">
                  <c:v>0.69155953684577742</c:v>
                </c:pt>
                <c:pt idx="31">
                  <c:v>0.66801859801056995</c:v>
                </c:pt>
                <c:pt idx="32">
                  <c:v>0.66153964240051011</c:v>
                </c:pt>
                <c:pt idx="33">
                  <c:v>0.69553202688274296</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7.5870385099150655</c:v>
                </c:pt>
                <c:pt idx="5">
                  <c:v>7.596332335549608</c:v>
                </c:pt>
                <c:pt idx="6">
                  <c:v>7.6056261611841505</c:v>
                </c:pt>
                <c:pt idx="7">
                  <c:v>7.6056261611841505</c:v>
                </c:pt>
                <c:pt idx="8">
                  <c:v>7.6056261611841505</c:v>
                </c:pt>
                <c:pt idx="9">
                  <c:v>7.614919986818693</c:v>
                </c:pt>
                <c:pt idx="10">
                  <c:v>7.6242138124532355</c:v>
                </c:pt>
                <c:pt idx="11">
                  <c:v>7.633507638087778</c:v>
                </c:pt>
                <c:pt idx="12">
                  <c:v>7.6428014637223205</c:v>
                </c:pt>
                <c:pt idx="13">
                  <c:v>7.652095289356863</c:v>
                </c:pt>
                <c:pt idx="14">
                  <c:v>7.6613891149914055</c:v>
                </c:pt>
                <c:pt idx="15">
                  <c:v>7.6706829406259498</c:v>
                </c:pt>
                <c:pt idx="16">
                  <c:v>7.6602015012828408</c:v>
                </c:pt>
                <c:pt idx="17">
                  <c:v>7.6497200619397319</c:v>
                </c:pt>
                <c:pt idx="18">
                  <c:v>7.6497200619397319</c:v>
                </c:pt>
                <c:pt idx="19">
                  <c:v>7.6497200619397319</c:v>
                </c:pt>
                <c:pt idx="20">
                  <c:v>7.6392386225966229</c:v>
                </c:pt>
                <c:pt idx="21">
                  <c:v>7.6287571832535139</c:v>
                </c:pt>
                <c:pt idx="22">
                  <c:v>7.618275743910405</c:v>
                </c:pt>
                <c:pt idx="23">
                  <c:v>7.607794304567296</c:v>
                </c:pt>
                <c:pt idx="24">
                  <c:v>7.597312865224187</c:v>
                </c:pt>
                <c:pt idx="25">
                  <c:v>7.5868314258810781</c:v>
                </c:pt>
                <c:pt idx="26">
                  <c:v>7.5868314258810781</c:v>
                </c:pt>
                <c:pt idx="27">
                  <c:v>7.5763499865379691</c:v>
                </c:pt>
                <c:pt idx="28">
                  <c:v>7.565868547194861</c:v>
                </c:pt>
                <c:pt idx="29">
                  <c:v>7.565868547194861</c:v>
                </c:pt>
                <c:pt idx="30">
                  <c:v>7.3168019408062639</c:v>
                </c:pt>
                <c:pt idx="31">
                  <c:v>7.0677353344176668</c:v>
                </c:pt>
                <c:pt idx="32">
                  <c:v>6.9991870280805148</c:v>
                </c:pt>
                <c:pt idx="33">
                  <c:v>7.3588314715461243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0.11321787750148378</c:v>
                </c:pt>
                <c:pt idx="5">
                  <c:v>0.11269197283348066</c:v>
                </c:pt>
                <c:pt idx="6">
                  <c:v>0.11216606816547754</c:v>
                </c:pt>
                <c:pt idx="7">
                  <c:v>0.11216606816547754</c:v>
                </c:pt>
                <c:pt idx="8">
                  <c:v>0.11216606816547754</c:v>
                </c:pt>
                <c:pt idx="9">
                  <c:v>0.11164016349747442</c:v>
                </c:pt>
                <c:pt idx="10">
                  <c:v>0.1111142588294713</c:v>
                </c:pt>
                <c:pt idx="11">
                  <c:v>0.11058835416146819</c:v>
                </c:pt>
                <c:pt idx="12">
                  <c:v>0.11006244949346507</c:v>
                </c:pt>
                <c:pt idx="13">
                  <c:v>0.10953654482546195</c:v>
                </c:pt>
                <c:pt idx="14">
                  <c:v>0.10901064015745883</c:v>
                </c:pt>
                <c:pt idx="15">
                  <c:v>0.10848473548945574</c:v>
                </c:pt>
                <c:pt idx="16">
                  <c:v>0.10934665020322129</c:v>
                </c:pt>
                <c:pt idx="17">
                  <c:v>0.11020856491698686</c:v>
                </c:pt>
                <c:pt idx="18">
                  <c:v>0.11020856491698686</c:v>
                </c:pt>
                <c:pt idx="19">
                  <c:v>0.11020856491698686</c:v>
                </c:pt>
                <c:pt idx="20">
                  <c:v>0.11107047963075242</c:v>
                </c:pt>
                <c:pt idx="21">
                  <c:v>0.11193239434451799</c:v>
                </c:pt>
                <c:pt idx="22">
                  <c:v>0.11279430905828355</c:v>
                </c:pt>
                <c:pt idx="23">
                  <c:v>0.11365622377204912</c:v>
                </c:pt>
                <c:pt idx="24">
                  <c:v>0.11451813848581469</c:v>
                </c:pt>
                <c:pt idx="25">
                  <c:v>0.11538005319958025</c:v>
                </c:pt>
                <c:pt idx="26">
                  <c:v>0.11538005319958025</c:v>
                </c:pt>
                <c:pt idx="27">
                  <c:v>0.11624196791334582</c:v>
                </c:pt>
                <c:pt idx="28">
                  <c:v>0.11710388262711133</c:v>
                </c:pt>
                <c:pt idx="29">
                  <c:v>0.11710388262711133</c:v>
                </c:pt>
                <c:pt idx="30">
                  <c:v>0.12035173605626301</c:v>
                </c:pt>
                <c:pt idx="31">
                  <c:v>0.12359958948541468</c:v>
                </c:pt>
                <c:pt idx="32">
                  <c:v>0.12724652598918682</c:v>
                </c:pt>
                <c:pt idx="33">
                  <c:v>0.12871195614866676</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9.1535777190606566</c:v>
                </c:pt>
                <c:pt idx="5">
                  <c:v>9.5950267537405001</c:v>
                </c:pt>
                <c:pt idx="6">
                  <c:v>10.036475788420343</c:v>
                </c:pt>
                <c:pt idx="7">
                  <c:v>10.036475788420343</c:v>
                </c:pt>
                <c:pt idx="8">
                  <c:v>10.036475788420343</c:v>
                </c:pt>
                <c:pt idx="9">
                  <c:v>10.477924823100187</c:v>
                </c:pt>
                <c:pt idx="10">
                  <c:v>10.91937385778003</c:v>
                </c:pt>
                <c:pt idx="11">
                  <c:v>11.360822892459874</c:v>
                </c:pt>
                <c:pt idx="12">
                  <c:v>11.802271927139717</c:v>
                </c:pt>
                <c:pt idx="13">
                  <c:v>12.243720961819561</c:v>
                </c:pt>
                <c:pt idx="14">
                  <c:v>12.685169996499404</c:v>
                </c:pt>
                <c:pt idx="15">
                  <c:v>13.126619031179249</c:v>
                </c:pt>
                <c:pt idx="16">
                  <c:v>13.422653425074495</c:v>
                </c:pt>
                <c:pt idx="17">
                  <c:v>13.718687818969741</c:v>
                </c:pt>
                <c:pt idx="18">
                  <c:v>13.718687818969741</c:v>
                </c:pt>
                <c:pt idx="19">
                  <c:v>13.718687818969741</c:v>
                </c:pt>
                <c:pt idx="20">
                  <c:v>14.014722212864987</c:v>
                </c:pt>
                <c:pt idx="21">
                  <c:v>14.310756606760233</c:v>
                </c:pt>
                <c:pt idx="22">
                  <c:v>14.606791000655479</c:v>
                </c:pt>
                <c:pt idx="23">
                  <c:v>14.902825394550725</c:v>
                </c:pt>
                <c:pt idx="24">
                  <c:v>15.19885978844597</c:v>
                </c:pt>
                <c:pt idx="25">
                  <c:v>15.494894182341216</c:v>
                </c:pt>
                <c:pt idx="26">
                  <c:v>15.494894182341216</c:v>
                </c:pt>
                <c:pt idx="27">
                  <c:v>15.790928576236462</c:v>
                </c:pt>
                <c:pt idx="28">
                  <c:v>16.086962970131705</c:v>
                </c:pt>
                <c:pt idx="29">
                  <c:v>16.086962970131705</c:v>
                </c:pt>
                <c:pt idx="30">
                  <c:v>15.557383947039204</c:v>
                </c:pt>
                <c:pt idx="31">
                  <c:v>15.027804923946704</c:v>
                </c:pt>
                <c:pt idx="32">
                  <c:v>14.882053770747001</c:v>
                </c:pt>
                <c:pt idx="33">
                  <c:v>15.646749431047624</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0.6528281316673451</c:v>
                </c:pt>
                <c:pt idx="5">
                  <c:v>0.75920400441386882</c:v>
                </c:pt>
                <c:pt idx="6">
                  <c:v>0.86557987716039264</c:v>
                </c:pt>
                <c:pt idx="7">
                  <c:v>0.86557987716039264</c:v>
                </c:pt>
                <c:pt idx="8">
                  <c:v>0.86557987716039264</c:v>
                </c:pt>
                <c:pt idx="9">
                  <c:v>0.97195574990691647</c:v>
                </c:pt>
                <c:pt idx="10">
                  <c:v>1.0783316226534403</c:v>
                </c:pt>
                <c:pt idx="11">
                  <c:v>1.1847074953999641</c:v>
                </c:pt>
                <c:pt idx="12">
                  <c:v>1.2910833681464879</c:v>
                </c:pt>
                <c:pt idx="13">
                  <c:v>1.3974592408930118</c:v>
                </c:pt>
                <c:pt idx="14">
                  <c:v>1.5038351136395356</c:v>
                </c:pt>
                <c:pt idx="15">
                  <c:v>1.610210986386059</c:v>
                </c:pt>
                <c:pt idx="16">
                  <c:v>1.7300890942780629</c:v>
                </c:pt>
                <c:pt idx="17">
                  <c:v>1.8499672021700668</c:v>
                </c:pt>
                <c:pt idx="18">
                  <c:v>1.8499672021700668</c:v>
                </c:pt>
                <c:pt idx="19">
                  <c:v>1.8499672021700668</c:v>
                </c:pt>
                <c:pt idx="20">
                  <c:v>1.9698453100620708</c:v>
                </c:pt>
                <c:pt idx="21">
                  <c:v>2.0897234179540747</c:v>
                </c:pt>
                <c:pt idx="22">
                  <c:v>2.2096015258460784</c:v>
                </c:pt>
                <c:pt idx="23">
                  <c:v>2.3294796337380821</c:v>
                </c:pt>
                <c:pt idx="24">
                  <c:v>2.4493577416300858</c:v>
                </c:pt>
                <c:pt idx="25">
                  <c:v>2.5692358495220895</c:v>
                </c:pt>
                <c:pt idx="26">
                  <c:v>2.5692358495220895</c:v>
                </c:pt>
                <c:pt idx="27">
                  <c:v>2.6891139574140932</c:v>
                </c:pt>
                <c:pt idx="28">
                  <c:v>2.8089920653060978</c:v>
                </c:pt>
                <c:pt idx="29">
                  <c:v>2.8089920653060978</c:v>
                </c:pt>
                <c:pt idx="30">
                  <c:v>3.7690936687048566</c:v>
                </c:pt>
                <c:pt idx="31">
                  <c:v>4.729195272103615</c:v>
                </c:pt>
                <c:pt idx="32">
                  <c:v>6.0843487560592608</c:v>
                </c:pt>
                <c:pt idx="33">
                  <c:v>6.9301888327392636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4663765"/>
        <c:axId val="43538431"/>
      </c:lineChart>
      <c:catAx>
        <c:axId val="3466376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538431"/>
        <c:crosses val="autoZero"/>
        <c:auto val="1"/>
        <c:lblAlgn val="ctr"/>
        <c:lblOffset val="100"/>
        <c:noMultiLvlLbl val="0"/>
      </c:catAx>
      <c:valAx>
        <c:axId val="43538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4663765"/>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ZA" sz="1400" b="0" i="0" u="none" baseline="0">
                <a:solidFill>
                  <a:schemeClr val="tx1">
                    <a:lumMod val="65000"/>
                    <a:lumOff val="35000"/>
                  </a:schemeClr>
                </a:solidFill>
                <a:latin typeface="+mn-lt"/>
                <a:ea typeface="+mn-ea"/>
                <a:cs typeface="+mn-cs"/>
              </a:defRPr>
            </a:pPr>
            <a:r>
              <a:rPr lang="en-ZA"/>
              <a:t>Modal Share</a:t>
            </a:r>
          </a:p>
        </c:rich>
      </c:tx>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0.51376143467802138</c:v>
                </c:pt>
                <c:pt idx="4">
                  <c:v>0.55375139662368544</c:v>
                </c:pt>
                <c:pt idx="5">
                  <c:v>0.60698488530425265</c:v>
                </c:pt>
                <c:pt idx="6">
                  <c:v>0.60698488530425265</c:v>
                </c:pt>
                <c:pt idx="7">
                  <c:v>0.60698488530425265</c:v>
                </c:pt>
                <c:pt idx="8">
                  <c:v>0.67754905442446267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0.48623856532197862</c:v>
                </c:pt>
                <c:pt idx="4">
                  <c:v>0.44624860337631456</c:v>
                </c:pt>
                <c:pt idx="5">
                  <c:v>0.39301511469574735</c:v>
                </c:pt>
                <c:pt idx="6">
                  <c:v>0.39301511469574735</c:v>
                </c:pt>
                <c:pt idx="7">
                  <c:v>0.39301511469574735</c:v>
                </c:pt>
                <c:pt idx="8">
                  <c:v>0.32245094557553733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712992"/>
        <c:axId val="11308069"/>
      </c:lineChart>
      <c:catAx>
        <c:axId val="871299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11308069"/>
        <c:crosses val="autoZero"/>
        <c:auto val="1"/>
        <c:lblAlgn val="ctr"/>
        <c:lblOffset val="100"/>
        <c:noMultiLvlLbl val="0"/>
      </c:catAx>
      <c:valAx>
        <c:axId val="11308069"/>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8712992"/>
        <c:crosses val="autoZero"/>
        <c:crossBetween val="between"/>
      </c:valAx>
      <c:spPr>
        <a:noFill/>
        <a:ln w="9525">
          <a:noFill/>
        </a:ln>
        <a:effectLst/>
      </c:spPr>
    </c:plotArea>
    <c:legend>
      <c:legendPos val="r"/>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81.968538378024164</c:v>
                </c:pt>
                <c:pt idx="4">
                  <c:v>116.71129601780984</c:v>
                </c:pt>
                <c:pt idx="5">
                  <c:v>164.5199257701496</c:v>
                </c:pt>
                <c:pt idx="6">
                  <c:v>222.0853241486235</c:v>
                </c:pt>
                <c:pt idx="7">
                  <c:v>241.04664387503129</c:v>
                </c:pt>
                <c:pt idx="8">
                  <c:v>248.85754341113523</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81.968538378024164</c:v>
                </c:pt>
                <c:pt idx="4">
                  <c:v>101.04305059267226</c:v>
                </c:pt>
                <c:pt idx="5">
                  <c:v>128.51718841923173</c:v>
                </c:pt>
                <c:pt idx="6">
                  <c:v>172.02165887005438</c:v>
                </c:pt>
                <c:pt idx="7">
                  <c:v>186.68969191056848</c:v>
                </c:pt>
                <c:pt idx="8">
                  <c:v>175.55218967661071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64132996"/>
        <c:axId val="40326053"/>
      </c:lineChart>
      <c:catAx>
        <c:axId val="6413299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0326053"/>
        <c:crosses val="autoZero"/>
        <c:auto val="1"/>
        <c:lblAlgn val="ctr"/>
        <c:lblOffset val="100"/>
        <c:noMultiLvlLbl val="0"/>
      </c:catAx>
      <c:valAx>
        <c:axId val="40326053"/>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64132996"/>
        <c:crosses val="autoZero"/>
        <c:crossBetween val="between"/>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38996163"/>
        <c:axId val="15421154"/>
      </c:lineChart>
      <c:catAx>
        <c:axId val="389961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421154"/>
        <c:crosses val="autoZero"/>
        <c:auto val="1"/>
        <c:lblAlgn val="ctr"/>
        <c:lblOffset val="100"/>
        <c:noMultiLvlLbl val="0"/>
      </c:catAx>
      <c:valAx>
        <c:axId val="1542115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8996163"/>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macro="">
      <xdr:nvGraphicFramePr>
        <xdr:cNvPr id="6" name="Chart 5">
          <a:extLst>
            <a:ext uri="{FF2B5EF4-FFF2-40B4-BE49-F238E27FC236}">
              <a16:creationId xmlns:a16="http://schemas.microsoft.com/office/drawing/2014/main" id="{AE1D7E4C-0B54-4696-9664-21987065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macro="">
      <xdr:nvGraphicFramePr>
        <xdr:cNvPr id="4" name="Chart 3">
          <a:extLst>
            <a:ext uri="{FF2B5EF4-FFF2-40B4-BE49-F238E27FC236}">
              <a16:creationId xmlns:a16="http://schemas.microsoft.com/office/drawing/2014/main" id="{EA14D3E9-821D-4596-86BA-A5F1B2428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stretch>
          <a:fillRect/>
        </a:stretch>
      </xdr:blipFill>
      <xdr:spPr bwMode="auto">
        <a:xfrm>
          <a:off x="24222075" y="36814125"/>
          <a:ext cx="822960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9062025" y="1647825"/>
          <a:ext cx="16487775" cy="819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stretch>
          <a:fillRect/>
        </a:stretch>
      </xdr:blipFill>
      <xdr:spPr bwMode="auto">
        <a:xfrm>
          <a:off x="43624500" y="32308800"/>
          <a:ext cx="7115175"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602950" y="1200150"/>
          <a:ext cx="6610350" cy="3257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1962336.5887251601</v>
          </cell>
          <cell r="E6">
            <v>1968312.4431159601</v>
          </cell>
          <cell r="F6">
            <v>2001571.5117243901</v>
          </cell>
          <cell r="G6">
            <v>2050962.5321337599</v>
          </cell>
          <cell r="H6">
            <v>2127778.3573893001</v>
          </cell>
          <cell r="I6">
            <v>2220230.6857687398</v>
          </cell>
          <cell r="J6">
            <v>2317959.1641389602</v>
          </cell>
          <cell r="K6">
            <v>2389112.85308987</v>
          </cell>
          <cell r="L6">
            <v>2439719.0414962298</v>
          </cell>
          <cell r="M6">
            <v>2472682.3436292601</v>
          </cell>
          <cell r="N6">
            <v>2491811.66852349</v>
          </cell>
          <cell r="O6">
            <v>2504503.0844235602</v>
          </cell>
          <cell r="P6">
            <v>2515719.5699439999</v>
          </cell>
          <cell r="Q6">
            <v>2525277.9740177901</v>
          </cell>
          <cell r="R6">
            <v>2531774.4100010199</v>
          </cell>
          <cell r="S6">
            <v>2532777.3704917599</v>
          </cell>
        </row>
        <row r="7">
          <cell r="D7">
            <v>2067295.5754668401</v>
          </cell>
          <cell r="E7">
            <v>2030563.67084138</v>
          </cell>
          <cell r="F7">
            <v>1999539.51107932</v>
          </cell>
          <cell r="G7">
            <v>1977328.92625102</v>
          </cell>
          <cell r="H7">
            <v>1951892.34328802</v>
          </cell>
          <cell r="I7">
            <v>1940827.9869327899</v>
          </cell>
          <cell r="J7">
            <v>1939478.3077418201</v>
          </cell>
          <cell r="K7">
            <v>1966495.64824018</v>
          </cell>
          <cell r="L7">
            <v>2010391.43942339</v>
          </cell>
          <cell r="M7">
            <v>2082491.4450783599</v>
          </cell>
          <cell r="N7">
            <v>2173073.0300498102</v>
          </cell>
          <cell r="O7">
            <v>2271105.4534960198</v>
          </cell>
          <cell r="P7">
            <v>2347789.3098551598</v>
          </cell>
          <cell r="Q7">
            <v>2406543.1632741601</v>
          </cell>
          <cell r="R7">
            <v>2447499.2931257598</v>
          </cell>
          <cell r="S7">
            <v>2475453.5371544799</v>
          </cell>
        </row>
        <row r="8">
          <cell r="D8">
            <v>2197192.7647990999</v>
          </cell>
          <cell r="E8">
            <v>2184063.0069459402</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1917743.6543141501</v>
          </cell>
          <cell r="O8">
            <v>1916836.5231303</v>
          </cell>
          <cell r="P8">
            <v>1944315.00165342</v>
          </cell>
          <cell r="Q8">
            <v>1990582.20219549</v>
          </cell>
          <cell r="R8">
            <v>2066293.29052194</v>
          </cell>
          <cell r="S8">
            <v>2161893.48225562</v>
          </cell>
        </row>
        <row r="9">
          <cell r="D9">
            <v>2070512.85271975</v>
          </cell>
          <cell r="E9">
            <v>2127114.3155202302</v>
          </cell>
          <cell r="F9">
            <v>2174736.2256849702</v>
          </cell>
          <cell r="G9">
            <v>2208088.2403176199</v>
          </cell>
          <cell r="H9">
            <v>2214458.1273832698</v>
          </cell>
          <cell r="I9">
            <v>2205011.7668142798</v>
          </cell>
          <cell r="J9">
            <v>2182136.8591138902</v>
          </cell>
          <cell r="K9">
            <v>2152597.2543435399</v>
          </cell>
          <cell r="L9">
            <v>2121807.0011804099</v>
          </cell>
          <cell r="M9">
            <v>2091175.7793833499</v>
          </cell>
          <cell r="N9">
            <v>2049164.4162178</v>
          </cell>
          <cell r="O9">
            <v>2003420.8453152301</v>
          </cell>
          <cell r="P9">
            <v>1966818.8008683801</v>
          </cell>
          <cell r="Q9">
            <v>1942314.8448447399</v>
          </cell>
          <cell r="R9">
            <v>1917721.57892281</v>
          </cell>
          <cell r="S9">
            <v>1911064.4884621699</v>
          </cell>
        </row>
        <row r="10">
          <cell r="D10">
            <v>1733356.98170967</v>
          </cell>
          <cell r="E10">
            <v>1822648.59208174</v>
          </cell>
          <cell r="F10">
            <v>1912939.8561466199</v>
          </cell>
          <cell r="G10">
            <v>1989814.7929559499</v>
          </cell>
          <cell r="H10">
            <v>2056917.8416057101</v>
          </cell>
          <cell r="I10">
            <v>2110570.1855370398</v>
          </cell>
          <cell r="J10">
            <v>2161827.0102115399</v>
          </cell>
          <cell r="K10">
            <v>2205765.0845823502</v>
          </cell>
          <cell r="L10">
            <v>2235562.3028959902</v>
          </cell>
          <cell r="M10">
            <v>2239413.6077421098</v>
          </cell>
          <cell r="N10">
            <v>2230613.0806288202</v>
          </cell>
          <cell r="O10">
            <v>2210634.1028415002</v>
          </cell>
          <cell r="P10">
            <v>2184430.4790474698</v>
          </cell>
          <cell r="Q10">
            <v>2158947.30535135</v>
          </cell>
          <cell r="R10">
            <v>2135037.1315456699</v>
          </cell>
          <cell r="S10">
            <v>2100858.8849706501</v>
          </cell>
        </row>
        <row r="11">
          <cell r="D11">
            <v>1513720.33973522</v>
          </cell>
          <cell r="E11">
            <v>1541221.12442234</v>
          </cell>
          <cell r="F11">
            <v>1573080.8799540601</v>
          </cell>
          <cell r="G11">
            <v>1620925.4846888401</v>
          </cell>
          <cell r="H11">
            <v>1694072.7431160901</v>
          </cell>
          <cell r="I11">
            <v>1781211.0365955399</v>
          </cell>
          <cell r="J11">
            <v>1872313.8782017899</v>
          </cell>
          <cell r="K11">
            <v>1963590.6792256399</v>
          </cell>
          <cell r="L11">
            <v>2041040.91920085</v>
          </cell>
          <cell r="M11">
            <v>2109267.8057600199</v>
          </cell>
          <cell r="N11">
            <v>2166487.1752933301</v>
          </cell>
          <cell r="O11">
            <v>2222869.96992194</v>
          </cell>
          <cell r="P11">
            <v>2272134.8655855898</v>
          </cell>
          <cell r="Q11">
            <v>2309553.1339899502</v>
          </cell>
          <cell r="R11">
            <v>2323615.01167406</v>
          </cell>
          <cell r="S11">
            <v>2326453.4807539801</v>
          </cell>
        </row>
        <row r="12">
          <cell r="D12">
            <v>1258010.09048871</v>
          </cell>
          <cell r="E12">
            <v>1317108.98592169</v>
          </cell>
          <cell r="F12">
            <v>1369788.22052535</v>
          </cell>
          <cell r="G12">
            <v>1419260.8073084301</v>
          </cell>
          <cell r="H12">
            <v>1455041.1825890599</v>
          </cell>
          <cell r="I12">
            <v>1484201.3789504501</v>
          </cell>
          <cell r="J12">
            <v>1516879.8389898799</v>
          </cell>
          <cell r="K12">
            <v>1555796.5250667401</v>
          </cell>
          <cell r="L12">
            <v>1610841.60959692</v>
          </cell>
          <cell r="M12">
            <v>1690419.4122236101</v>
          </cell>
          <cell r="N12">
            <v>1783515.7902530499</v>
          </cell>
          <cell r="O12">
            <v>1880540.23689154</v>
          </cell>
          <cell r="P12">
            <v>1977799.66711928</v>
          </cell>
          <cell r="Q12">
            <v>2062631.2218812199</v>
          </cell>
          <cell r="R12">
            <v>2140150.0612411802</v>
          </cell>
          <cell r="S12">
            <v>2208498.1106848302</v>
          </cell>
        </row>
        <row r="13">
          <cell r="D13">
            <v>1052256.2479666399</v>
          </cell>
          <cell r="E13">
            <v>1053476.14352703</v>
          </cell>
          <cell r="F13">
            <v>1059443.6212536199</v>
          </cell>
          <cell r="G13">
            <v>1075111.97496571</v>
          </cell>
          <cell r="H13">
            <v>1109438.0724212399</v>
          </cell>
          <cell r="I13">
            <v>1159966.43829045</v>
          </cell>
          <cell r="J13">
            <v>1214719.1501302801</v>
          </cell>
          <cell r="K13">
            <v>1267835.3856719099</v>
          </cell>
          <cell r="L13">
            <v>1323322.9027108599</v>
          </cell>
          <cell r="M13">
            <v>1370399.2684216599</v>
          </cell>
          <cell r="N13">
            <v>1412480.3850147601</v>
          </cell>
          <cell r="O13">
            <v>1457442.92000063</v>
          </cell>
          <cell r="P13">
            <v>1506994.6501770299</v>
          </cell>
          <cell r="Q13">
            <v>1570586.5922923801</v>
          </cell>
          <cell r="R13">
            <v>1657875.4740504399</v>
          </cell>
          <cell r="S13">
            <v>1759030.4488934099</v>
          </cell>
        </row>
        <row r="14">
          <cell r="D14">
            <v>900064.95768288197</v>
          </cell>
          <cell r="E14">
            <v>916753.78446420701</v>
          </cell>
          <cell r="F14">
            <v>928051.42731409601</v>
          </cell>
          <cell r="G14">
            <v>934025.55247068603</v>
          </cell>
          <cell r="H14">
            <v>934501.90659492696</v>
          </cell>
          <cell r="I14">
            <v>933475.21074423695</v>
          </cell>
          <cell r="J14">
            <v>933817.20712039596</v>
          </cell>
          <cell r="K14">
            <v>942277.00938400102</v>
          </cell>
          <cell r="L14">
            <v>963817.96019777295</v>
          </cell>
          <cell r="M14">
            <v>1005551.14860981</v>
          </cell>
          <cell r="N14">
            <v>1062916.0354885201</v>
          </cell>
          <cell r="O14">
            <v>1125044.0809802001</v>
          </cell>
          <cell r="P14">
            <v>1186127.29375502</v>
          </cell>
          <cell r="Q14">
            <v>1247837.75293599</v>
          </cell>
          <cell r="R14">
            <v>1301675.7077986</v>
          </cell>
          <cell r="S14">
            <v>1351247.4699242599</v>
          </cell>
        </row>
        <row r="15">
          <cell r="D15">
            <v>735636.46931155596</v>
          </cell>
          <cell r="E15">
            <v>749621.82151593501</v>
          </cell>
          <cell r="F15">
            <v>760673.38719854201</v>
          </cell>
          <cell r="G15">
            <v>770051.77020143298</v>
          </cell>
          <cell r="H15">
            <v>778891.891882597</v>
          </cell>
          <cell r="I15">
            <v>788710.72823285602</v>
          </cell>
          <cell r="J15">
            <v>801356.67939600896</v>
          </cell>
          <cell r="K15">
            <v>812503.80734951096</v>
          </cell>
          <cell r="L15">
            <v>822523.382578686</v>
          </cell>
          <cell r="M15">
            <v>830719.819563483</v>
          </cell>
          <cell r="N15">
            <v>837923.52177620505</v>
          </cell>
          <cell r="O15">
            <v>846371.62996873399</v>
          </cell>
          <cell r="P15">
            <v>862017.57532639301</v>
          </cell>
          <cell r="Q15">
            <v>888109.14571901504</v>
          </cell>
          <cell r="R15">
            <v>932126.18236530502</v>
          </cell>
          <cell r="S15">
            <v>990750.91335470998</v>
          </cell>
        </row>
        <row r="16">
          <cell r="D16">
            <v>550597.96310852899</v>
          </cell>
          <cell r="E16">
            <v>572460.64080101997</v>
          </cell>
          <cell r="F16">
            <v>591896.24799086503</v>
          </cell>
          <cell r="G16">
            <v>608121.61135010503</v>
          </cell>
          <cell r="H16">
            <v>621048.918403683</v>
          </cell>
          <cell r="I16">
            <v>632261.54431834002</v>
          </cell>
          <cell r="J16">
            <v>642800.469669424</v>
          </cell>
          <cell r="K16">
            <v>653540.94110401603</v>
          </cell>
          <cell r="L16">
            <v>665509.72118776105</v>
          </cell>
          <cell r="M16">
            <v>679079.38092795003</v>
          </cell>
          <cell r="N16">
            <v>693593.113756701</v>
          </cell>
          <cell r="O16">
            <v>710450.62634227797</v>
          </cell>
          <cell r="P16">
            <v>725958.83031807304</v>
          </cell>
          <cell r="Q16">
            <v>739603.38037605199</v>
          </cell>
          <cell r="R16">
            <v>751083.35705876199</v>
          </cell>
          <cell r="S16">
            <v>761669.14194045204</v>
          </cell>
        </row>
        <row r="17">
          <cell r="D17">
            <v>389273.33208066598</v>
          </cell>
          <cell r="E17">
            <v>402837.36937866401</v>
          </cell>
          <cell r="F17">
            <v>417587.83411789098</v>
          </cell>
          <cell r="G17">
            <v>433416.25924813899</v>
          </cell>
          <cell r="H17">
            <v>450469.621006008</v>
          </cell>
          <cell r="I17">
            <v>468866.07567736798</v>
          </cell>
          <cell r="J17">
            <v>486297.494129806</v>
          </cell>
          <cell r="K17">
            <v>503284.86746353999</v>
          </cell>
          <cell r="L17">
            <v>519205.609464393</v>
          </cell>
          <cell r="M17">
            <v>533665.27457739599</v>
          </cell>
          <cell r="N17">
            <v>546773.103464699</v>
          </cell>
          <cell r="O17">
            <v>559135.98275525705</v>
          </cell>
          <cell r="P17">
            <v>571603.32608541602</v>
          </cell>
          <cell r="Q17">
            <v>584803.44251951505</v>
          </cell>
          <cell r="R17">
            <v>599313.55806185701</v>
          </cell>
          <cell r="S17">
            <v>614892.93704926595</v>
          </cell>
        </row>
        <row r="18">
          <cell r="D18">
            <v>300036.16760889598</v>
          </cell>
          <cell r="E18">
            <v>301160.905756197</v>
          </cell>
          <cell r="F18">
            <v>302989.91691691801</v>
          </cell>
          <cell r="G18">
            <v>306667.80085275503</v>
          </cell>
          <cell r="H18">
            <v>312293.19491129299</v>
          </cell>
          <cell r="I18">
            <v>319616.63851991802</v>
          </cell>
          <cell r="J18">
            <v>330111.49487239198</v>
          </cell>
          <cell r="K18">
            <v>342457.70895243197</v>
          </cell>
          <cell r="L18">
            <v>356563.81547732902</v>
          </cell>
          <cell r="M18">
            <v>372364.57481757802</v>
          </cell>
          <cell r="N18">
            <v>389448.382693352</v>
          </cell>
          <cell r="O18">
            <v>405787.89433905599</v>
          </cell>
          <cell r="P18">
            <v>421759.02149911801</v>
          </cell>
          <cell r="Q18">
            <v>436811.15970155899</v>
          </cell>
          <cell r="R18">
            <v>450783.95294257498</v>
          </cell>
          <cell r="S18">
            <v>463878.58052152698</v>
          </cell>
        </row>
        <row r="19">
          <cell r="D19">
            <v>206221.69964856101</v>
          </cell>
          <cell r="E19">
            <v>212380.74666039599</v>
          </cell>
          <cell r="F19">
            <v>219263.757137787</v>
          </cell>
          <cell r="G19">
            <v>224186.30395072899</v>
          </cell>
          <cell r="H19">
            <v>227039.216480292</v>
          </cell>
          <cell r="I19">
            <v>228568.80186138101</v>
          </cell>
          <cell r="J19">
            <v>229137.27784691201</v>
          </cell>
          <cell r="K19">
            <v>230809.11980926199</v>
          </cell>
          <cell r="L19">
            <v>234394.15686185</v>
          </cell>
          <cell r="M19">
            <v>239801.181863898</v>
          </cell>
          <cell r="N19">
            <v>246626.85507948801</v>
          </cell>
          <cell r="O19">
            <v>255973.69570017399</v>
          </cell>
          <cell r="P19">
            <v>266776.125237317</v>
          </cell>
          <cell r="Q19">
            <v>279021.59019063</v>
          </cell>
          <cell r="R19">
            <v>292794.42535136902</v>
          </cell>
          <cell r="S19">
            <v>307810.92750733602</v>
          </cell>
        </row>
        <row r="20">
          <cell r="D20">
            <v>137512.526109692</v>
          </cell>
          <cell r="E20">
            <v>136892.982716981</v>
          </cell>
          <cell r="F20">
            <v>135601.70153523999</v>
          </cell>
          <cell r="G20">
            <v>136053.77060840899</v>
          </cell>
          <cell r="H20">
            <v>138132.602622801</v>
          </cell>
          <cell r="I20">
            <v>141734.13526187101</v>
          </cell>
          <cell r="J20">
            <v>145985.865048037</v>
          </cell>
          <cell r="K20">
            <v>150904.21442269901</v>
          </cell>
          <cell r="L20">
            <v>154753.90388875199</v>
          </cell>
          <cell r="M20">
            <v>157382.848615708</v>
          </cell>
          <cell r="N20">
            <v>159215.60897507501</v>
          </cell>
          <cell r="O20">
            <v>160467.156638638</v>
          </cell>
          <cell r="P20">
            <v>162519.63122950401</v>
          </cell>
          <cell r="Q20">
            <v>165972.19435768601</v>
          </cell>
          <cell r="R20">
            <v>170845.03690208899</v>
          </cell>
          <cell r="S20">
            <v>176873.39813132299</v>
          </cell>
        </row>
        <row r="21">
          <cell r="D21">
            <v>81844.616802183795</v>
          </cell>
          <cell r="E21">
            <v>82186.773603037494</v>
          </cell>
          <cell r="F21">
            <v>82609.9330852696</v>
          </cell>
          <cell r="G21">
            <v>82777.954735832303</v>
          </cell>
          <cell r="H21">
            <v>82468.6400882007</v>
          </cell>
          <cell r="I21">
            <v>82007.690900088302</v>
          </cell>
          <cell r="J21">
            <v>81709.780284621695</v>
          </cell>
          <cell r="K21">
            <v>81147.4287953647</v>
          </cell>
          <cell r="L21">
            <v>81833.189688917104</v>
          </cell>
          <cell r="M21">
            <v>83625.613319672702</v>
          </cell>
          <cell r="N21">
            <v>86376.095685848501</v>
          </cell>
          <cell r="O21">
            <v>89554.036616472004</v>
          </cell>
          <cell r="P21">
            <v>93068.839344114895</v>
          </cell>
          <cell r="Q21">
            <v>95942.003427504605</v>
          </cell>
          <cell r="R21">
            <v>98163.237477587303</v>
          </cell>
          <cell r="S21">
            <v>100014.16226587001</v>
          </cell>
        </row>
        <row r="22">
          <cell r="D22">
            <v>61088.773372617303</v>
          </cell>
          <cell r="E22">
            <v>61359.5160090594</v>
          </cell>
          <cell r="F22">
            <v>61426.046540598298</v>
          </cell>
          <cell r="G22">
            <v>61373.902886079202</v>
          </cell>
          <cell r="H22">
            <v>61750.329378070397</v>
          </cell>
          <cell r="I22">
            <v>62034.068552122299</v>
          </cell>
          <cell r="J22">
            <v>62308.190344733099</v>
          </cell>
          <cell r="K22">
            <v>62629.265632521201</v>
          </cell>
          <cell r="L22">
            <v>62865.198289626504</v>
          </cell>
          <cell r="M22">
            <v>63145.2939815102</v>
          </cell>
          <cell r="N22">
            <v>63345.762761021702</v>
          </cell>
          <cell r="O22">
            <v>63684.434843062401</v>
          </cell>
          <cell r="P22">
            <v>63889.588939054898</v>
          </cell>
          <cell r="Q22">
            <v>64750.948719943699</v>
          </cell>
          <cell r="R22">
            <v>66269.584065193994</v>
          </cell>
          <cell r="S22">
            <v>68279.660858595307</v>
          </cell>
        </row>
        <row r="23">
          <cell r="D23">
            <v>1963652.4888454699</v>
          </cell>
          <cell r="E23">
            <v>1968529.9169954599</v>
          </cell>
          <cell r="F23">
            <v>2001301.9725229901</v>
          </cell>
          <cell r="G23">
            <v>2051124.9914772001</v>
          </cell>
          <cell r="H23">
            <v>2129120.54611076</v>
          </cell>
          <cell r="I23">
            <v>2222321.8220856199</v>
          </cell>
          <cell r="J23">
            <v>2320293.7576223798</v>
          </cell>
          <cell r="K23">
            <v>2391271.9168171501</v>
          </cell>
          <cell r="L23">
            <v>2440461.55196848</v>
          </cell>
          <cell r="M23">
            <v>2470900.6982332501</v>
          </cell>
          <cell r="N23">
            <v>2487526.6602400402</v>
          </cell>
          <cell r="O23">
            <v>2497826.9633559799</v>
          </cell>
          <cell r="P23">
            <v>2506655.0586479101</v>
          </cell>
          <cell r="Q23">
            <v>2514110.58419985</v>
          </cell>
          <cell r="R23">
            <v>2518381.6731903302</v>
          </cell>
          <cell r="S23">
            <v>2517269.9095583898</v>
          </cell>
        </row>
        <row r="24">
          <cell r="D24">
            <v>2081445.80585704</v>
          </cell>
          <cell r="E24">
            <v>2040296.9529476799</v>
          </cell>
          <cell r="F24">
            <v>2007327.0727748501</v>
          </cell>
          <cell r="G24">
            <v>1986424.7677334901</v>
          </cell>
          <cell r="H24">
            <v>1962716.0212978299</v>
          </cell>
          <cell r="I24">
            <v>1952883.0488732201</v>
          </cell>
          <cell r="J24">
            <v>1951295.11682305</v>
          </cell>
          <cell r="K24">
            <v>1977863.5890716601</v>
          </cell>
          <cell r="L24">
            <v>2020649.11281809</v>
          </cell>
          <cell r="M24">
            <v>2090803.34568593</v>
          </cell>
          <cell r="N24">
            <v>2179598.0965507799</v>
          </cell>
          <cell r="O24">
            <v>2276242.9818982598</v>
          </cell>
          <cell r="P24">
            <v>2351063.5465169898</v>
          </cell>
          <cell r="Q24">
            <v>2407636.7088512802</v>
          </cell>
          <cell r="R24">
            <v>2446464.64712347</v>
          </cell>
          <cell r="S24">
            <v>2472426.6896823798</v>
          </cell>
        </row>
        <row r="25">
          <cell r="D25">
            <v>2236247.26488565</v>
          </cell>
          <cell r="E25">
            <v>2221394.8335053599</v>
          </cell>
          <cell r="F25">
            <v>2196258.6266746698</v>
          </cell>
          <cell r="G25">
            <v>2167394.8405356999</v>
          </cell>
          <cell r="H25">
            <v>2138455.40120835</v>
          </cell>
          <cell r="I25">
            <v>2094647.10467021</v>
          </cell>
          <cell r="J25">
            <v>2044834.01248218</v>
          </cell>
          <cell r="K25">
            <v>2005273.50286485</v>
          </cell>
          <cell r="L25">
            <v>1977404.46566259</v>
          </cell>
          <cell r="M25">
            <v>1946606.8198135099</v>
          </cell>
          <cell r="N25">
            <v>1933039.46269462</v>
          </cell>
          <cell r="O25">
            <v>1930590.5878884799</v>
          </cell>
          <cell r="P25">
            <v>1956598.4286422799</v>
          </cell>
          <cell r="Q25">
            <v>2001396.2917786301</v>
          </cell>
          <cell r="R25">
            <v>2075742.7086640301</v>
          </cell>
          <cell r="S25">
            <v>2170234.16439198</v>
          </cell>
        </row>
        <row r="26">
          <cell r="D26">
            <v>2110878.1828809702</v>
          </cell>
          <cell r="E26">
            <v>2170233.9290318498</v>
          </cell>
          <cell r="F26">
            <v>2220889.3771037399</v>
          </cell>
          <cell r="G26">
            <v>2254710.88638609</v>
          </cell>
          <cell r="H26">
            <v>2265208.0498580001</v>
          </cell>
          <cell r="I26">
            <v>2257855.6040614401</v>
          </cell>
          <cell r="J26">
            <v>2234579.2588678999</v>
          </cell>
          <cell r="K26">
            <v>2202724.2765633799</v>
          </cell>
          <cell r="L26">
            <v>2166375.6439484502</v>
          </cell>
          <cell r="M26">
            <v>2129528.9728289698</v>
          </cell>
          <cell r="N26">
            <v>2081810.6992057799</v>
          </cell>
          <cell r="O26">
            <v>2031524.7407939299</v>
          </cell>
          <cell r="P26">
            <v>1992117.2331027801</v>
          </cell>
          <cell r="Q26">
            <v>1967217.0380415099</v>
          </cell>
          <cell r="R26">
            <v>1941963.46939162</v>
          </cell>
          <cell r="S26">
            <v>1934787.9029641901</v>
          </cell>
        </row>
        <row r="27">
          <cell r="D27">
            <v>1771349.9124660599</v>
          </cell>
          <cell r="E27">
            <v>1855553.7134938799</v>
          </cell>
          <cell r="F27">
            <v>1937772.72825785</v>
          </cell>
          <cell r="G27">
            <v>2018545.4902566499</v>
          </cell>
          <cell r="H27">
            <v>2088668.12472027</v>
          </cell>
          <cell r="I27">
            <v>2148068.0132884802</v>
          </cell>
          <cell r="J27">
            <v>2203502.0622226698</v>
          </cell>
          <cell r="K27">
            <v>2251229.1509625399</v>
          </cell>
          <cell r="L27">
            <v>2280597.5262032598</v>
          </cell>
          <cell r="M27">
            <v>2285876.42911421</v>
          </cell>
          <cell r="N27">
            <v>2277111.6629282599</v>
          </cell>
          <cell r="O27">
            <v>2255858.31943639</v>
          </cell>
          <cell r="P27">
            <v>2226671.1773580802</v>
          </cell>
          <cell r="Q27">
            <v>2195978.5681990902</v>
          </cell>
          <cell r="R27">
            <v>2167323.1138192699</v>
          </cell>
          <cell r="S27">
            <v>2128984.2296055402</v>
          </cell>
        </row>
        <row r="28">
          <cell r="D28">
            <v>1511880.21874583</v>
          </cell>
          <cell r="E28">
            <v>1538397.1715051101</v>
          </cell>
          <cell r="F28">
            <v>1571678.62204833</v>
          </cell>
          <cell r="G28">
            <v>1619151.1903198599</v>
          </cell>
          <cell r="H28">
            <v>1693173.8950622701</v>
          </cell>
          <cell r="I28">
            <v>1780554.26047886</v>
          </cell>
          <cell r="J28">
            <v>1869697.6870031899</v>
          </cell>
          <cell r="K28">
            <v>1956176.60160439</v>
          </cell>
          <cell r="L28">
            <v>2039690.90537295</v>
          </cell>
          <cell r="M28">
            <v>2111979.8000346799</v>
          </cell>
          <cell r="N28">
            <v>2175604.4718784099</v>
          </cell>
          <cell r="O28">
            <v>2237182.9489744101</v>
          </cell>
          <cell r="P28">
            <v>2290670.9635089398</v>
          </cell>
          <cell r="Q28">
            <v>2328582.0839132201</v>
          </cell>
          <cell r="R28">
            <v>2345896.1419517701</v>
          </cell>
          <cell r="S28">
            <v>2350758.2806839999</v>
          </cell>
        </row>
        <row r="29">
          <cell r="D29">
            <v>1363863.0883185801</v>
          </cell>
          <cell r="E29">
            <v>1372263.5253290699</v>
          </cell>
          <cell r="F29">
            <v>1383970.0766588</v>
          </cell>
          <cell r="G29">
            <v>1397026.7006893</v>
          </cell>
          <cell r="H29">
            <v>1413986.8579999199</v>
          </cell>
          <cell r="I29">
            <v>1437023.37469439</v>
          </cell>
          <cell r="J29">
            <v>1469836.0323355801</v>
          </cell>
          <cell r="K29">
            <v>1512493.2806828299</v>
          </cell>
          <cell r="L29">
            <v>1571063.3780738099</v>
          </cell>
          <cell r="M29">
            <v>1656385.2150196701</v>
          </cell>
          <cell r="N29">
            <v>1754100.6684695899</v>
          </cell>
          <cell r="O29">
            <v>1853106.77555601</v>
          </cell>
          <cell r="P29">
            <v>1949145.17528949</v>
          </cell>
          <cell r="Q29">
            <v>2042242.7784754599</v>
          </cell>
          <cell r="R29">
            <v>2125688.7103764499</v>
          </cell>
          <cell r="S29">
            <v>2202073.50253186</v>
          </cell>
        </row>
        <row r="30">
          <cell r="D30">
            <v>1250589.9125717501</v>
          </cell>
          <cell r="E30">
            <v>1250907.0203969199</v>
          </cell>
          <cell r="F30">
            <v>1245458.9353162199</v>
          </cell>
          <cell r="G30">
            <v>1237325.1112008099</v>
          </cell>
          <cell r="H30">
            <v>1226869.78089647</v>
          </cell>
          <cell r="I30">
            <v>1224040.4238633099</v>
          </cell>
          <cell r="J30">
            <v>1232083.8376312701</v>
          </cell>
          <cell r="K30">
            <v>1248989.66711854</v>
          </cell>
          <cell r="L30">
            <v>1274686.4254497299</v>
          </cell>
          <cell r="M30">
            <v>1309689.29437652</v>
          </cell>
          <cell r="N30">
            <v>1350063.5886856299</v>
          </cell>
          <cell r="O30">
            <v>1398005.4790255399</v>
          </cell>
          <cell r="P30">
            <v>1454096.86214072</v>
          </cell>
          <cell r="Q30">
            <v>1523003.9767358501</v>
          </cell>
          <cell r="R30">
            <v>1616879.92814793</v>
          </cell>
          <cell r="S30">
            <v>1723388.2272946101</v>
          </cell>
        </row>
        <row r="31">
          <cell r="D31">
            <v>1034221.0831562</v>
          </cell>
          <cell r="E31">
            <v>1056501.98057425</v>
          </cell>
          <cell r="F31">
            <v>1074737.07871158</v>
          </cell>
          <cell r="G31">
            <v>1088545.1473161799</v>
          </cell>
          <cell r="H31">
            <v>1098386.4198320401</v>
          </cell>
          <cell r="I31">
            <v>1099901.2566001499</v>
          </cell>
          <cell r="J31">
            <v>1096899.3255987801</v>
          </cell>
          <cell r="K31">
            <v>1093124.3893023401</v>
          </cell>
          <cell r="L31">
            <v>1094169.90205163</v>
          </cell>
          <cell r="M31">
            <v>1099514.70758962</v>
          </cell>
          <cell r="N31">
            <v>1112388.5647195801</v>
          </cell>
          <cell r="O31">
            <v>1134808.26725814</v>
          </cell>
          <cell r="P31">
            <v>1165286.8672187801</v>
          </cell>
          <cell r="Q31">
            <v>1200888.9516871399</v>
          </cell>
          <cell r="R31">
            <v>1243363.3446709199</v>
          </cell>
          <cell r="S31">
            <v>1291225.14381531</v>
          </cell>
        </row>
        <row r="32">
          <cell r="D32">
            <v>860342.81664050499</v>
          </cell>
          <cell r="E32">
            <v>880945.91225292406</v>
          </cell>
          <cell r="F32">
            <v>892394.05671037396</v>
          </cell>
          <cell r="G32">
            <v>900929.51491791406</v>
          </cell>
          <cell r="H32">
            <v>906985.59618247102</v>
          </cell>
          <cell r="I32">
            <v>919848.363915383</v>
          </cell>
          <cell r="J32">
            <v>937001.018265108</v>
          </cell>
          <cell r="K32">
            <v>953650.91978381702</v>
          </cell>
          <cell r="L32">
            <v>970659.13929567696</v>
          </cell>
          <cell r="M32">
            <v>988406.97013043601</v>
          </cell>
          <cell r="N32">
            <v>999110.74440295505</v>
          </cell>
          <cell r="O32">
            <v>1005228.38534918</v>
          </cell>
          <cell r="P32">
            <v>1011643.89804192</v>
          </cell>
          <cell r="Q32">
            <v>1020321.11739165</v>
          </cell>
          <cell r="R32">
            <v>1031345.25201333</v>
          </cell>
          <cell r="S32">
            <v>1049410.4034833801</v>
          </cell>
        </row>
        <row r="33">
          <cell r="D33">
            <v>657939.90638764994</v>
          </cell>
          <cell r="E33">
            <v>679444.13354334701</v>
          </cell>
          <cell r="F33">
            <v>703778.85158836399</v>
          </cell>
          <cell r="G33">
            <v>725200.70393830398</v>
          </cell>
          <cell r="H33">
            <v>743719.99676173099</v>
          </cell>
          <cell r="I33">
            <v>760981.82277328195</v>
          </cell>
          <cell r="J33">
            <v>777963.58083683497</v>
          </cell>
          <cell r="K33">
            <v>789825.82531931798</v>
          </cell>
          <cell r="L33">
            <v>802310.55438708898</v>
          </cell>
          <cell r="M33">
            <v>815337.20080984698</v>
          </cell>
          <cell r="N33">
            <v>834311.67882660998</v>
          </cell>
          <cell r="O33">
            <v>856512.82094953698</v>
          </cell>
          <cell r="P33">
            <v>878505.03093995503</v>
          </cell>
          <cell r="Q33">
            <v>899737.99064206704</v>
          </cell>
          <cell r="R33">
            <v>920666.91727200104</v>
          </cell>
          <cell r="S33">
            <v>935189.37583027105</v>
          </cell>
        </row>
        <row r="34">
          <cell r="D34">
            <v>485536.449168942</v>
          </cell>
          <cell r="E34">
            <v>506075.486920222</v>
          </cell>
          <cell r="F34">
            <v>526725.88414940704</v>
          </cell>
          <cell r="G34">
            <v>546420.96284026199</v>
          </cell>
          <cell r="H34">
            <v>565002.422689887</v>
          </cell>
          <cell r="I34">
            <v>583311.87637993298</v>
          </cell>
          <cell r="J34">
            <v>601532.84640152799</v>
          </cell>
          <cell r="K34">
            <v>624016.97592689295</v>
          </cell>
          <cell r="L34">
            <v>645891.70510436501</v>
          </cell>
          <cell r="M34">
            <v>667022.83106329001</v>
          </cell>
          <cell r="N34">
            <v>687114.71398265904</v>
          </cell>
          <cell r="O34">
            <v>706521.68077260198</v>
          </cell>
          <cell r="P34">
            <v>721253.83790632</v>
          </cell>
          <cell r="Q34">
            <v>736100.23857320496</v>
          </cell>
          <cell r="R34">
            <v>751095.23391908</v>
          </cell>
          <cell r="S34">
            <v>771843.13872602803</v>
          </cell>
        </row>
        <row r="35">
          <cell r="D35">
            <v>383219.88177922898</v>
          </cell>
          <cell r="E35">
            <v>386046.912047308</v>
          </cell>
          <cell r="F35">
            <v>390977.10860521102</v>
          </cell>
          <cell r="G35">
            <v>399255.52714796999</v>
          </cell>
          <cell r="H35">
            <v>411141.15573749598</v>
          </cell>
          <cell r="I35">
            <v>426137.963029865</v>
          </cell>
          <cell r="J35">
            <v>443571.496355012</v>
          </cell>
          <cell r="K35">
            <v>462150.83945371897</v>
          </cell>
          <cell r="L35">
            <v>480910.95808617998</v>
          </cell>
          <cell r="M35">
            <v>499628.980908881</v>
          </cell>
          <cell r="N35">
            <v>518276.89803143003</v>
          </cell>
          <cell r="O35">
            <v>536751.44418044097</v>
          </cell>
          <cell r="P35">
            <v>559077.70000453503</v>
          </cell>
          <cell r="Q35">
            <v>580878.08407047996</v>
          </cell>
          <cell r="R35">
            <v>602079.42292300297</v>
          </cell>
          <cell r="S35">
            <v>622644.88859057205</v>
          </cell>
        </row>
        <row r="36">
          <cell r="D36">
            <v>321161.59441067401</v>
          </cell>
          <cell r="E36">
            <v>322319.682638684</v>
          </cell>
          <cell r="F36">
            <v>323804.68429759698</v>
          </cell>
          <cell r="G36">
            <v>324966.51794379001</v>
          </cell>
          <cell r="H36">
            <v>325508.74081812601</v>
          </cell>
          <cell r="I36">
            <v>326819.16631663998</v>
          </cell>
          <cell r="J36">
            <v>328782.97900442098</v>
          </cell>
          <cell r="K36">
            <v>333180.93899628299</v>
          </cell>
          <cell r="L36">
            <v>340937.38702640502</v>
          </cell>
          <cell r="M36">
            <v>352228.88768682699</v>
          </cell>
          <cell r="N36">
            <v>366373.52753223502</v>
          </cell>
          <cell r="O36">
            <v>382652.27487630601</v>
          </cell>
          <cell r="P36">
            <v>399926.95828704</v>
          </cell>
          <cell r="Q36">
            <v>417559.42128547002</v>
          </cell>
          <cell r="R36">
            <v>435383.890822232</v>
          </cell>
          <cell r="S36">
            <v>453434.47542293603</v>
          </cell>
        </row>
        <row r="37">
          <cell r="D37">
            <v>255918.00712992001</v>
          </cell>
          <cell r="E37">
            <v>256574.247172659</v>
          </cell>
          <cell r="F37">
            <v>257417.962836828</v>
          </cell>
          <cell r="G37">
            <v>258321.40392091899</v>
          </cell>
          <cell r="H37">
            <v>258975.34402667001</v>
          </cell>
          <cell r="I37">
            <v>259021.80486584199</v>
          </cell>
          <cell r="J37">
            <v>259738.52237251101</v>
          </cell>
          <cell r="K37">
            <v>261043.550812523</v>
          </cell>
          <cell r="L37">
            <v>262299.50658484001</v>
          </cell>
          <cell r="M37">
            <v>263271.53018798702</v>
          </cell>
          <cell r="N37">
            <v>265021.19968873297</v>
          </cell>
          <cell r="O37">
            <v>267418.784528344</v>
          </cell>
          <cell r="P37">
            <v>271803.87959587498</v>
          </cell>
          <cell r="Q37">
            <v>279161.32573295198</v>
          </cell>
          <cell r="R37">
            <v>289617.122101432</v>
          </cell>
          <cell r="S37">
            <v>302588.836007684</v>
          </cell>
        </row>
        <row r="38">
          <cell r="D38">
            <v>186081.20708401501</v>
          </cell>
          <cell r="E38">
            <v>186665.48786122701</v>
          </cell>
          <cell r="F38">
            <v>187030.35977436</v>
          </cell>
          <cell r="G38">
            <v>187209.67021006701</v>
          </cell>
          <cell r="H38">
            <v>188144.72000521701</v>
          </cell>
          <cell r="I38">
            <v>188602.062328795</v>
          </cell>
          <cell r="J38">
            <v>189236.174278202</v>
          </cell>
          <cell r="K38">
            <v>190111.913670893</v>
          </cell>
          <cell r="L38">
            <v>191090.25570924801</v>
          </cell>
          <cell r="M38">
            <v>192002.183875794</v>
          </cell>
          <cell r="N38">
            <v>192566.75638386901</v>
          </cell>
          <cell r="O38">
            <v>193725.89748108399</v>
          </cell>
          <cell r="P38">
            <v>195271.767415757</v>
          </cell>
          <cell r="Q38">
            <v>196952.508321289</v>
          </cell>
          <cell r="R38">
            <v>198581.78988983601</v>
          </cell>
          <cell r="S38">
            <v>200882.66915421901</v>
          </cell>
        </row>
        <row r="39">
          <cell r="D39">
            <v>188654.14723926401</v>
          </cell>
          <cell r="E39">
            <v>191181.688225872</v>
          </cell>
          <cell r="F39">
            <v>193456.58200592801</v>
          </cell>
          <cell r="G39">
            <v>195721.41313042701</v>
          </cell>
          <cell r="H39">
            <v>197525.20203285801</v>
          </cell>
          <cell r="I39">
            <v>199294.743469409</v>
          </cell>
          <cell r="J39">
            <v>201015.192310807</v>
          </cell>
          <cell r="K39">
            <v>202549.64378670801</v>
          </cell>
          <cell r="L39">
            <v>204019.205944972</v>
          </cell>
          <cell r="M39">
            <v>205789.35045339601</v>
          </cell>
          <cell r="N39">
            <v>207439.77769839199</v>
          </cell>
          <cell r="O39">
            <v>209260.91699174099</v>
          </cell>
          <cell r="P39">
            <v>211038.73599157599</v>
          </cell>
          <cell r="Q39">
            <v>213120.03852133299</v>
          </cell>
          <cell r="R39">
            <v>215565.65151694801</v>
          </cell>
          <cell r="S39">
            <v>217811.962699286</v>
          </cell>
        </row>
        <row r="40">
          <cell r="D40">
            <v>211107.61547334</v>
          </cell>
          <cell r="E40">
            <v>209471.692206098</v>
          </cell>
          <cell r="F40">
            <v>209680.36384661001</v>
          </cell>
          <cell r="G40">
            <v>210780.20023025401</v>
          </cell>
          <cell r="H40">
            <v>214125.852220567</v>
          </cell>
          <cell r="I40">
            <v>218999.56483354501</v>
          </cell>
          <cell r="J40">
            <v>223564.45355587799</v>
          </cell>
          <cell r="K40">
            <v>227918.184422366</v>
          </cell>
          <cell r="L40">
            <v>232075.05506786599</v>
          </cell>
          <cell r="M40">
            <v>235522.585266649</v>
          </cell>
          <cell r="N40">
            <v>237763.009977587</v>
          </cell>
          <cell r="O40">
            <v>239696.98598892501</v>
          </cell>
          <cell r="P40">
            <v>241119.420448435</v>
          </cell>
          <cell r="Q40">
            <v>242143.78325868299</v>
          </cell>
          <cell r="R40">
            <v>243100.82010172401</v>
          </cell>
          <cell r="S40">
            <v>244218.02336361699</v>
          </cell>
        </row>
        <row r="41">
          <cell r="D41">
            <v>220083.507488231</v>
          </cell>
          <cell r="E41">
            <v>218474.432037611</v>
          </cell>
          <cell r="F41">
            <v>216403.77871128</v>
          </cell>
          <cell r="G41">
            <v>214613.56995741001</v>
          </cell>
          <cell r="H41">
            <v>211983.80146048599</v>
          </cell>
          <cell r="I41">
            <v>208726.01628200401</v>
          </cell>
          <cell r="J41">
            <v>206910.10683006101</v>
          </cell>
          <cell r="K41">
            <v>206928.264623191</v>
          </cell>
          <cell r="L41">
            <v>207792.694169797</v>
          </cell>
          <cell r="M41">
            <v>210931.155013738</v>
          </cell>
          <cell r="N41">
            <v>215698.10365732</v>
          </cell>
          <cell r="O41">
            <v>220190.52929204199</v>
          </cell>
          <cell r="P41">
            <v>224563.42727467601</v>
          </cell>
          <cell r="Q41">
            <v>228863.20902537199</v>
          </cell>
          <cell r="R41">
            <v>232472.301239944</v>
          </cell>
          <cell r="S41">
            <v>234934.57021827201</v>
          </cell>
        </row>
        <row r="42">
          <cell r="D42">
            <v>223657.65003787199</v>
          </cell>
          <cell r="E42">
            <v>224093.00701311301</v>
          </cell>
          <cell r="F42">
            <v>223772.48108308201</v>
          </cell>
          <cell r="G42">
            <v>222636.17924779499</v>
          </cell>
          <cell r="H42">
            <v>220954.14043470001</v>
          </cell>
          <cell r="I42">
            <v>219327.476046464</v>
          </cell>
          <cell r="J42">
            <v>217530.11013288901</v>
          </cell>
          <cell r="K42">
            <v>215258.902068786</v>
          </cell>
          <cell r="L42">
            <v>213218.030761973</v>
          </cell>
          <cell r="M42">
            <v>210358.00514451199</v>
          </cell>
          <cell r="N42">
            <v>207015.68197127001</v>
          </cell>
          <cell r="O42">
            <v>205137.92534806</v>
          </cell>
          <cell r="P42">
            <v>205143.79725184699</v>
          </cell>
          <cell r="Q42">
            <v>206079.83676407801</v>
          </cell>
          <cell r="R42">
            <v>209318.70259367899</v>
          </cell>
          <cell r="S42">
            <v>214174.40824461801</v>
          </cell>
        </row>
        <row r="43">
          <cell r="D43">
            <v>207096.08835517699</v>
          </cell>
          <cell r="E43">
            <v>211548.86234855701</v>
          </cell>
          <cell r="F43">
            <v>215904.78309241199</v>
          </cell>
          <cell r="G43">
            <v>220302.47508335501</v>
          </cell>
          <cell r="H43">
            <v>221823.596431418</v>
          </cell>
          <cell r="I43">
            <v>222713.886340125</v>
          </cell>
          <cell r="J43">
            <v>222953.901114509</v>
          </cell>
          <cell r="K43">
            <v>222419.20218740901</v>
          </cell>
          <cell r="L43">
            <v>221026.15035643301</v>
          </cell>
          <cell r="M43">
            <v>219097.29032326699</v>
          </cell>
          <cell r="N43">
            <v>217370.414442579</v>
          </cell>
          <cell r="O43">
            <v>215505.94319401399</v>
          </cell>
          <cell r="P43">
            <v>213243.62751681701</v>
          </cell>
          <cell r="Q43">
            <v>211303.083717103</v>
          </cell>
          <cell r="R43">
            <v>208591.787287343</v>
          </cell>
          <cell r="S43">
            <v>205394.40697195401</v>
          </cell>
        </row>
        <row r="44">
          <cell r="D44">
            <v>174765.66196523301</v>
          </cell>
          <cell r="E44">
            <v>181407.86165555599</v>
          </cell>
          <cell r="F44">
            <v>187991.08841282901</v>
          </cell>
          <cell r="G44">
            <v>194168.597262497</v>
          </cell>
          <cell r="H44">
            <v>199861.55914407599</v>
          </cell>
          <cell r="I44">
            <v>205483.00446983401</v>
          </cell>
          <cell r="J44">
            <v>209745.31586814299</v>
          </cell>
          <cell r="K44">
            <v>213880.14850550299</v>
          </cell>
          <cell r="L44">
            <v>217995.61079848601</v>
          </cell>
          <cell r="M44">
            <v>219268.33504863799</v>
          </cell>
          <cell r="N44">
            <v>220054.308320893</v>
          </cell>
          <cell r="O44">
            <v>220226.48773543799</v>
          </cell>
          <cell r="P44">
            <v>219707.52163831401</v>
          </cell>
          <cell r="Q44">
            <v>218432.676148973</v>
          </cell>
          <cell r="R44">
            <v>216675.60400677699</v>
          </cell>
          <cell r="S44">
            <v>215111.526581885</v>
          </cell>
        </row>
        <row r="45">
          <cell r="D45">
            <v>166680.553167698</v>
          </cell>
          <cell r="E45">
            <v>165275.240317697</v>
          </cell>
          <cell r="F45">
            <v>164536.29032755099</v>
          </cell>
          <cell r="G45">
            <v>164857.954623292</v>
          </cell>
          <cell r="H45">
            <v>168714.57667341299</v>
          </cell>
          <cell r="I45">
            <v>172321.85492850401</v>
          </cell>
          <cell r="J45">
            <v>178780.58236383399</v>
          </cell>
          <cell r="K45">
            <v>185159.789941261</v>
          </cell>
          <cell r="L45">
            <v>191103.20146052001</v>
          </cell>
          <cell r="M45">
            <v>196595.40645222901</v>
          </cell>
          <cell r="N45">
            <v>202120.69935596001</v>
          </cell>
          <cell r="O45">
            <v>206328.54936274001</v>
          </cell>
          <cell r="P45">
            <v>210461.83738145401</v>
          </cell>
          <cell r="Q45">
            <v>214653.90237929</v>
          </cell>
          <cell r="R45">
            <v>216100.25403180299</v>
          </cell>
          <cell r="S45">
            <v>217061.53027091999</v>
          </cell>
        </row>
        <row r="46">
          <cell r="D46">
            <v>162588.955647975</v>
          </cell>
          <cell r="E46">
            <v>163393.368235884</v>
          </cell>
          <cell r="F46">
            <v>163685.59297731199</v>
          </cell>
          <cell r="G46">
            <v>163502.64189549</v>
          </cell>
          <cell r="H46">
            <v>162886.112713868</v>
          </cell>
          <cell r="I46">
            <v>162703.126016216</v>
          </cell>
          <cell r="J46">
            <v>161274.06884792901</v>
          </cell>
          <cell r="K46">
            <v>160523.588007791</v>
          </cell>
          <cell r="L46">
            <v>160835.85031553599</v>
          </cell>
          <cell r="M46">
            <v>164660.05588543299</v>
          </cell>
          <cell r="N46">
            <v>168339.621658513</v>
          </cell>
          <cell r="O46">
            <v>174815.96795406801</v>
          </cell>
          <cell r="P46">
            <v>181250.54563350501</v>
          </cell>
          <cell r="Q46">
            <v>187292.70730145101</v>
          </cell>
          <cell r="R46">
            <v>192929.703999794</v>
          </cell>
          <cell r="S46">
            <v>198595.31435476599</v>
          </cell>
        </row>
        <row r="47">
          <cell r="D47">
            <v>151176.92166561601</v>
          </cell>
          <cell r="E47">
            <v>152774.16137933399</v>
          </cell>
          <cell r="F47">
            <v>153961.190404789</v>
          </cell>
          <cell r="G47">
            <v>154950.73887708801</v>
          </cell>
          <cell r="H47">
            <v>155836.19846135599</v>
          </cell>
          <cell r="I47">
            <v>156635.264397341</v>
          </cell>
          <cell r="J47">
            <v>157337.05827772201</v>
          </cell>
          <cell r="K47">
            <v>157605.76069944701</v>
          </cell>
          <cell r="L47">
            <v>157507.96346696801</v>
          </cell>
          <cell r="M47">
            <v>157111.081953413</v>
          </cell>
          <cell r="N47">
            <v>157250.191980292</v>
          </cell>
          <cell r="O47">
            <v>156188.49542909701</v>
          </cell>
          <cell r="P47">
            <v>155788.23262557099</v>
          </cell>
          <cell r="Q47">
            <v>156403.12710656799</v>
          </cell>
          <cell r="R47">
            <v>160440.87751001801</v>
          </cell>
          <cell r="S47">
            <v>164324.69737405499</v>
          </cell>
        </row>
        <row r="48">
          <cell r="D48">
            <v>134037.852211669</v>
          </cell>
          <cell r="E48">
            <v>137328.58860354201</v>
          </cell>
          <cell r="F48">
            <v>140107.54898616899</v>
          </cell>
          <cell r="G48">
            <v>142042.18710496699</v>
          </cell>
          <cell r="H48">
            <v>143031.027040257</v>
          </cell>
          <cell r="I48">
            <v>143848.732666672</v>
          </cell>
          <cell r="J48">
            <v>145264.361235085</v>
          </cell>
          <cell r="K48">
            <v>146361.30395005099</v>
          </cell>
          <cell r="L48">
            <v>147385.14038457401</v>
          </cell>
          <cell r="M48">
            <v>148457.81926811999</v>
          </cell>
          <cell r="N48">
            <v>149577.354211225</v>
          </cell>
          <cell r="O48">
            <v>150648.89745475599</v>
          </cell>
          <cell r="P48">
            <v>151329.58298988099</v>
          </cell>
          <cell r="Q48">
            <v>151619.80603327599</v>
          </cell>
          <cell r="R48">
            <v>151580.28846735199</v>
          </cell>
          <cell r="S48">
            <v>152024.52073023401</v>
          </cell>
        </row>
        <row r="49">
          <cell r="D49">
            <v>103817.280902834</v>
          </cell>
          <cell r="E49">
            <v>107623.25281505899</v>
          </cell>
          <cell r="F49">
            <v>111736.94265557401</v>
          </cell>
          <cell r="G49">
            <v>116296.25752794</v>
          </cell>
          <cell r="H49">
            <v>121359.811251242</v>
          </cell>
          <cell r="I49">
            <v>126177.627486071</v>
          </cell>
          <cell r="J49">
            <v>129190.490475693</v>
          </cell>
          <cell r="K49">
            <v>131780.18341741801</v>
          </cell>
          <cell r="L49">
            <v>133678.13110546701</v>
          </cell>
          <cell r="M49">
            <v>134815.25196206101</v>
          </cell>
          <cell r="N49">
            <v>135897.99193013099</v>
          </cell>
          <cell r="O49">
            <v>137576.00558887399</v>
          </cell>
          <cell r="P49">
            <v>138985.70118003699</v>
          </cell>
          <cell r="Q49">
            <v>140303.43601129099</v>
          </cell>
          <cell r="R49">
            <v>141642.78785974401</v>
          </cell>
          <cell r="S49">
            <v>143000.270529239</v>
          </cell>
        </row>
        <row r="50">
          <cell r="D50">
            <v>81884.997035493507</v>
          </cell>
          <cell r="E50">
            <v>84668.219225306704</v>
          </cell>
          <cell r="F50">
            <v>87462.509196332103</v>
          </cell>
          <cell r="G50">
            <v>90279.666385449105</v>
          </cell>
          <cell r="H50">
            <v>93045.831307369604</v>
          </cell>
          <cell r="I50">
            <v>95793.193995421403</v>
          </cell>
          <cell r="J50">
            <v>99273.420848609807</v>
          </cell>
          <cell r="K50">
            <v>103085.87688271501</v>
          </cell>
          <cell r="L50">
            <v>107378.41401008501</v>
          </cell>
          <cell r="M50">
            <v>112237.34821308</v>
          </cell>
          <cell r="N50">
            <v>116951.80028410599</v>
          </cell>
          <cell r="O50">
            <v>120029.284057094</v>
          </cell>
          <cell r="P50">
            <v>122757.09486110399</v>
          </cell>
          <cell r="Q50">
            <v>124828.22020107901</v>
          </cell>
          <cell r="R50">
            <v>126172.155517074</v>
          </cell>
          <cell r="S50">
            <v>127447.096933822</v>
          </cell>
        </row>
        <row r="51">
          <cell r="D51">
            <v>59155.011792609599</v>
          </cell>
          <cell r="E51">
            <v>61940.532608716901</v>
          </cell>
          <cell r="F51">
            <v>64793.278511039498</v>
          </cell>
          <cell r="G51">
            <v>67679.425669252494</v>
          </cell>
          <cell r="H51">
            <v>70591.403138380498</v>
          </cell>
          <cell r="I51">
            <v>73557.404285135504</v>
          </cell>
          <cell r="J51">
            <v>76050.371994960602</v>
          </cell>
          <cell r="K51">
            <v>78580.937098075694</v>
          </cell>
          <cell r="L51">
            <v>81165.798646300202</v>
          </cell>
          <cell r="M51">
            <v>83762.902615781</v>
          </cell>
          <cell r="N51">
            <v>86397.392768855803</v>
          </cell>
          <cell r="O51">
            <v>89730.300113050005</v>
          </cell>
          <cell r="P51">
            <v>93396.083514910904</v>
          </cell>
          <cell r="Q51">
            <v>97511.9155191311</v>
          </cell>
          <cell r="R51">
            <v>102145.0619348</v>
          </cell>
          <cell r="S51">
            <v>106634.09743689701</v>
          </cell>
        </row>
        <row r="52">
          <cell r="D52">
            <v>41340.3483254987</v>
          </cell>
          <cell r="E52">
            <v>42977.5916842683</v>
          </cell>
          <cell r="F52">
            <v>44734.255832076</v>
          </cell>
          <cell r="G52">
            <v>46628.973027894703</v>
          </cell>
          <cell r="H52">
            <v>48674.493324917203</v>
          </cell>
          <cell r="I52">
            <v>50618.661179570998</v>
          </cell>
          <cell r="J52">
            <v>53025.827875943702</v>
          </cell>
          <cell r="K52">
            <v>55500.842928981103</v>
          </cell>
          <cell r="L52">
            <v>58018.763766966498</v>
          </cell>
          <cell r="M52">
            <v>60590.843504984798</v>
          </cell>
          <cell r="N52">
            <v>63239.9367245662</v>
          </cell>
          <cell r="O52">
            <v>65518.281559491901</v>
          </cell>
          <cell r="P52">
            <v>67853.920054580594</v>
          </cell>
          <cell r="Q52">
            <v>70255.464698371899</v>
          </cell>
          <cell r="R52">
            <v>72675.576388215006</v>
          </cell>
          <cell r="S52">
            <v>75131.967288727305</v>
          </cell>
        </row>
        <row r="53">
          <cell r="D53">
            <v>29252.720329976499</v>
          </cell>
          <cell r="E53">
            <v>29751.4061002255</v>
          </cell>
          <cell r="F53">
            <v>30258.372888722799</v>
          </cell>
          <cell r="G53">
            <v>30864.440515013401</v>
          </cell>
          <cell r="H53">
            <v>31570.177892365002</v>
          </cell>
          <cell r="I53">
            <v>32631.678225056901</v>
          </cell>
          <cell r="J53">
            <v>33954.335113770998</v>
          </cell>
          <cell r="K53">
            <v>35379.658114811202</v>
          </cell>
          <cell r="L53">
            <v>36924.126011449203</v>
          </cell>
          <cell r="M53">
            <v>38607.095117819197</v>
          </cell>
          <cell r="N53">
            <v>40235.417649878902</v>
          </cell>
          <cell r="O53">
            <v>42268.1513667869</v>
          </cell>
          <cell r="P53">
            <v>44366.907612805102</v>
          </cell>
          <cell r="Q53">
            <v>46512.4355293607</v>
          </cell>
          <cell r="R53">
            <v>48710.305506891797</v>
          </cell>
          <cell r="S53">
            <v>50973.255940881201</v>
          </cell>
        </row>
        <row r="54">
          <cell r="D54">
            <v>18364.146597817398</v>
          </cell>
          <cell r="E54">
            <v>19054.0800194166</v>
          </cell>
          <cell r="F54">
            <v>19677.260970552299</v>
          </cell>
          <cell r="G54">
            <v>20138.222920721801</v>
          </cell>
          <cell r="H54">
            <v>20427.703175486</v>
          </cell>
          <cell r="I54">
            <v>20763.699005194299</v>
          </cell>
          <cell r="J54">
            <v>21136.744041680398</v>
          </cell>
          <cell r="K54">
            <v>21531.000412672802</v>
          </cell>
          <cell r="L54">
            <v>22006.703013954699</v>
          </cell>
          <cell r="M54">
            <v>22568.901395014</v>
          </cell>
          <cell r="N54">
            <v>23403.354701297201</v>
          </cell>
          <cell r="O54">
            <v>24436.7588247854</v>
          </cell>
          <cell r="P54">
            <v>25553.142897534901</v>
          </cell>
          <cell r="Q54">
            <v>26762.656465956501</v>
          </cell>
          <cell r="R54">
            <v>28077.477634863</v>
          </cell>
          <cell r="S54">
            <v>29365.699726082501</v>
          </cell>
        </row>
        <row r="55">
          <cell r="D55">
            <v>10059.845076011699</v>
          </cell>
          <cell r="E55">
            <v>10038.3203171938</v>
          </cell>
          <cell r="F55">
            <v>10146.244250321501</v>
          </cell>
          <cell r="G55">
            <v>10434.5045737365</v>
          </cell>
          <cell r="H55">
            <v>10906.809019959999</v>
          </cell>
          <cell r="I55">
            <v>11375.611007192299</v>
          </cell>
          <cell r="J55">
            <v>11809.0266122921</v>
          </cell>
          <cell r="K55">
            <v>12208.3818423309</v>
          </cell>
          <cell r="L55">
            <v>12518.6212859511</v>
          </cell>
          <cell r="M55">
            <v>12739.331124713</v>
          </cell>
          <cell r="N55">
            <v>12992.6452999385</v>
          </cell>
          <cell r="O55">
            <v>13276.656378460901</v>
          </cell>
          <cell r="P55">
            <v>13581.563821989599</v>
          </cell>
          <cell r="Q55">
            <v>13943.9545281475</v>
          </cell>
          <cell r="R55">
            <v>14365.800848265901</v>
          </cell>
          <cell r="S55">
            <v>14968.9700362279</v>
          </cell>
        </row>
        <row r="56">
          <cell r="D56">
            <v>7457.5570253072501</v>
          </cell>
          <cell r="E56">
            <v>7576.5632245406896</v>
          </cell>
          <cell r="F56">
            <v>7672.3081399082903</v>
          </cell>
          <cell r="G56">
            <v>7733.9036205569701</v>
          </cell>
          <cell r="H56">
            <v>7762.9283397858198</v>
          </cell>
          <cell r="I56">
            <v>7787.6406101776702</v>
          </cell>
          <cell r="J56">
            <v>7836.9268213165096</v>
          </cell>
          <cell r="K56">
            <v>7953.8850184194298</v>
          </cell>
          <cell r="L56">
            <v>8152.5218435300203</v>
          </cell>
          <cell r="M56">
            <v>8436.2059285355699</v>
          </cell>
          <cell r="N56">
            <v>8700.4142707081901</v>
          </cell>
          <cell r="O56">
            <v>8955.6500969967492</v>
          </cell>
          <cell r="P56">
            <v>9226.7197744155401</v>
          </cell>
          <cell r="Q56">
            <v>9494.8175131569296</v>
          </cell>
          <cell r="R56">
            <v>9761.0067677986499</v>
          </cell>
          <cell r="S56">
            <v>10037.1355527634</v>
          </cell>
        </row>
        <row r="57">
          <cell r="D57">
            <v>208160.321190227</v>
          </cell>
          <cell r="E57">
            <v>206472.28656523701</v>
          </cell>
          <cell r="F57">
            <v>206610.507524991</v>
          </cell>
          <cell r="G57">
            <v>207651.09558704001</v>
          </cell>
          <cell r="H57">
            <v>210968.500900296</v>
          </cell>
          <cell r="I57">
            <v>215723.54544381599</v>
          </cell>
          <cell r="J57">
            <v>220173.688342654</v>
          </cell>
          <cell r="K57">
            <v>224426.56930526299</v>
          </cell>
          <cell r="L57">
            <v>228524.32304175501</v>
          </cell>
          <cell r="M57">
            <v>231956.79820336701</v>
          </cell>
          <cell r="N57">
            <v>234203.42387418999</v>
          </cell>
          <cell r="O57">
            <v>236087.36700892</v>
          </cell>
          <cell r="P57">
            <v>237440.91179706799</v>
          </cell>
          <cell r="Q57">
            <v>238383.28487272601</v>
          </cell>
          <cell r="R57">
            <v>239259.683121982</v>
          </cell>
          <cell r="S57">
            <v>240283.79504831199</v>
          </cell>
        </row>
        <row r="58">
          <cell r="D58">
            <v>217820.178684677</v>
          </cell>
          <cell r="E58">
            <v>216138.344565003</v>
          </cell>
          <cell r="F58">
            <v>214023.94999656</v>
          </cell>
          <cell r="G58">
            <v>212218.579577667</v>
          </cell>
          <cell r="H58">
            <v>209586.29797703499</v>
          </cell>
          <cell r="I58">
            <v>206312.073105761</v>
          </cell>
          <cell r="J58">
            <v>204403.01739220199</v>
          </cell>
          <cell r="K58">
            <v>204294.88287916701</v>
          </cell>
          <cell r="L58">
            <v>205046.04353244501</v>
          </cell>
          <cell r="M58">
            <v>208108.98681290101</v>
          </cell>
          <cell r="N58">
            <v>212767.446268442</v>
          </cell>
          <cell r="O58">
            <v>217189.51038181601</v>
          </cell>
          <cell r="P58">
            <v>221503.79308140199</v>
          </cell>
          <cell r="Q58">
            <v>225759.20290412</v>
          </cell>
          <cell r="R58">
            <v>229312.38108714501</v>
          </cell>
          <cell r="S58">
            <v>231744.13251692301</v>
          </cell>
        </row>
        <row r="59">
          <cell r="D59">
            <v>222551.02683804001</v>
          </cell>
          <cell r="E59">
            <v>222827.072432847</v>
          </cell>
          <cell r="F59">
            <v>222344.15898208701</v>
          </cell>
          <cell r="G59">
            <v>221065.824138089</v>
          </cell>
          <cell r="H59">
            <v>219285.79164026401</v>
          </cell>
          <cell r="I59">
            <v>217580.36012061601</v>
          </cell>
          <cell r="J59">
            <v>215674.22877918501</v>
          </cell>
          <cell r="K59">
            <v>213301.084541491</v>
          </cell>
          <cell r="L59">
            <v>211181.388254563</v>
          </cell>
          <cell r="M59">
            <v>208295.024346711</v>
          </cell>
          <cell r="N59">
            <v>204914.75146448999</v>
          </cell>
          <cell r="O59">
            <v>202963.17994102099</v>
          </cell>
          <cell r="P59">
            <v>202868.90182763201</v>
          </cell>
          <cell r="Q59">
            <v>203711.945970484</v>
          </cell>
          <cell r="R59">
            <v>206847.45080259501</v>
          </cell>
          <cell r="S59">
            <v>211580.68047012301</v>
          </cell>
        </row>
        <row r="60">
          <cell r="D60">
            <v>208584.66635989599</v>
          </cell>
          <cell r="E60">
            <v>212448.97887176499</v>
          </cell>
          <cell r="F60">
            <v>216278.34188209</v>
          </cell>
          <cell r="G60">
            <v>219964.05396563499</v>
          </cell>
          <cell r="H60">
            <v>221413.26072606599</v>
          </cell>
          <cell r="I60">
            <v>222185.78215259299</v>
          </cell>
          <cell r="J60">
            <v>222237.40302542999</v>
          </cell>
          <cell r="K60">
            <v>221490.63574155499</v>
          </cell>
          <cell r="L60">
            <v>219895.39964402901</v>
          </cell>
          <cell r="M60">
            <v>217847.951687664</v>
          </cell>
          <cell r="N60">
            <v>216018.078078836</v>
          </cell>
          <cell r="O60">
            <v>214063.17363536599</v>
          </cell>
          <cell r="P60">
            <v>211722.74577344101</v>
          </cell>
          <cell r="Q60">
            <v>209719.75615513301</v>
          </cell>
          <cell r="R60">
            <v>206946.15611495799</v>
          </cell>
          <cell r="S60">
            <v>203684.95653979399</v>
          </cell>
        </row>
        <row r="61">
          <cell r="D61">
            <v>182043.076973986</v>
          </cell>
          <cell r="E61">
            <v>188444.06691005899</v>
          </cell>
          <cell r="F61">
            <v>194807.513564308</v>
          </cell>
          <cell r="G61">
            <v>200961.27542254201</v>
          </cell>
          <cell r="H61">
            <v>204122.68453509</v>
          </cell>
          <cell r="I61">
            <v>207563.99353614901</v>
          </cell>
          <cell r="J61">
            <v>211223.90527959101</v>
          </cell>
          <cell r="K61">
            <v>214802.11815187801</v>
          </cell>
          <cell r="L61">
            <v>218173.619105272</v>
          </cell>
          <cell r="M61">
            <v>219367.25821377701</v>
          </cell>
          <cell r="N61">
            <v>220033.38803650899</v>
          </cell>
          <cell r="O61">
            <v>220052.156105562</v>
          </cell>
          <cell r="P61">
            <v>219355.95493785801</v>
          </cell>
          <cell r="Q61">
            <v>217902.06844878601</v>
          </cell>
          <cell r="R61">
            <v>215992.14903488199</v>
          </cell>
          <cell r="S61">
            <v>214306.953030337</v>
          </cell>
        </row>
        <row r="62">
          <cell r="D62">
            <v>171175.236885691</v>
          </cell>
          <cell r="E62">
            <v>169001.79069710299</v>
          </cell>
          <cell r="F62">
            <v>167789.87925617601</v>
          </cell>
          <cell r="G62">
            <v>167915.18789334199</v>
          </cell>
          <cell r="H62">
            <v>173630.96707195899</v>
          </cell>
          <cell r="I62">
            <v>179610.456105727</v>
          </cell>
          <cell r="J62">
            <v>185861.67410525301</v>
          </cell>
          <cell r="K62">
            <v>192038.111769515</v>
          </cell>
          <cell r="L62">
            <v>197949.705021253</v>
          </cell>
          <cell r="M62">
            <v>200957.543980966</v>
          </cell>
          <cell r="N62">
            <v>204370.98033753599</v>
          </cell>
          <cell r="O62">
            <v>208068.198187381</v>
          </cell>
          <cell r="P62">
            <v>211740.710962374</v>
          </cell>
          <cell r="Q62">
            <v>215271.718879316</v>
          </cell>
          <cell r="R62">
            <v>216654.17254406601</v>
          </cell>
          <cell r="S62">
            <v>217515.68113685501</v>
          </cell>
        </row>
        <row r="63">
          <cell r="D63">
            <v>180551.86399566801</v>
          </cell>
          <cell r="E63">
            <v>178060.96606654799</v>
          </cell>
          <cell r="F63">
            <v>175096.112869189</v>
          </cell>
          <cell r="G63">
            <v>172082.666152569</v>
          </cell>
          <cell r="H63">
            <v>169171.406696911</v>
          </cell>
          <cell r="I63">
            <v>166714.07064654701</v>
          </cell>
          <cell r="J63">
            <v>164596.78899205499</v>
          </cell>
          <cell r="K63">
            <v>163449.333439768</v>
          </cell>
          <cell r="L63">
            <v>163626.21018816601</v>
          </cell>
          <cell r="M63">
            <v>169320.161013562</v>
          </cell>
          <cell r="N63">
            <v>175348.196015647</v>
          </cell>
          <cell r="O63">
            <v>181685.112302163</v>
          </cell>
          <cell r="P63">
            <v>188001.70991953099</v>
          </cell>
          <cell r="Q63">
            <v>194104.23756959799</v>
          </cell>
          <cell r="R63">
            <v>197392.67830621701</v>
          </cell>
          <cell r="S63">
            <v>201063.34892247699</v>
          </cell>
        </row>
        <row r="64">
          <cell r="D64">
            <v>172625.41648675301</v>
          </cell>
          <cell r="E64">
            <v>175206.81508236501</v>
          </cell>
          <cell r="F64">
            <v>176995.81376472901</v>
          </cell>
          <cell r="G64">
            <v>177228.60454674999</v>
          </cell>
          <cell r="H64">
            <v>176118.53111382099</v>
          </cell>
          <cell r="I64">
            <v>173902.581707568</v>
          </cell>
          <cell r="J64">
            <v>171465.81016650601</v>
          </cell>
          <cell r="K64">
            <v>168642.8295697</v>
          </cell>
          <cell r="L64">
            <v>165849.50936059601</v>
          </cell>
          <cell r="M64">
            <v>163254.93733064501</v>
          </cell>
          <cell r="N64">
            <v>161188.15597074101</v>
          </cell>
          <cell r="O64">
            <v>159482.12842457899</v>
          </cell>
          <cell r="P64">
            <v>158734.421015587</v>
          </cell>
          <cell r="Q64">
            <v>159275.29713835599</v>
          </cell>
          <cell r="R64">
            <v>165237.67801299001</v>
          </cell>
          <cell r="S64">
            <v>171507.962666415</v>
          </cell>
        </row>
        <row r="65">
          <cell r="D65">
            <v>148106.47235532801</v>
          </cell>
          <cell r="E65">
            <v>151943.98237654701</v>
          </cell>
          <cell r="F65">
            <v>155429.80001178099</v>
          </cell>
          <cell r="G65">
            <v>158941.62573353099</v>
          </cell>
          <cell r="H65">
            <v>162234.31278016901</v>
          </cell>
          <cell r="I65">
            <v>165322.71356566</v>
          </cell>
          <cell r="J65">
            <v>167689.35268577799</v>
          </cell>
          <cell r="K65">
            <v>169375.309922966</v>
          </cell>
          <cell r="L65">
            <v>169679.470024134</v>
          </cell>
          <cell r="M65">
            <v>168840.064152117</v>
          </cell>
          <cell r="N65">
            <v>167017.70231705499</v>
          </cell>
          <cell r="O65">
            <v>165018.641071727</v>
          </cell>
          <cell r="P65">
            <v>162683.76838269</v>
          </cell>
          <cell r="Q65">
            <v>160378.50784136399</v>
          </cell>
          <cell r="R65">
            <v>158295.404376769</v>
          </cell>
          <cell r="S65">
            <v>156671.45780856599</v>
          </cell>
        </row>
        <row r="66">
          <cell r="D66">
            <v>121621.929371944</v>
          </cell>
          <cell r="E66">
            <v>125409.391332019</v>
          </cell>
          <cell r="F66">
            <v>129239.77801362499</v>
          </cell>
          <cell r="G66">
            <v>133203.91359758601</v>
          </cell>
          <cell r="H66">
            <v>137244.32465962399</v>
          </cell>
          <cell r="I66">
            <v>141363.68507257901</v>
          </cell>
          <cell r="J66">
            <v>144982.47451435201</v>
          </cell>
          <cell r="K66">
            <v>148308.73407197601</v>
          </cell>
          <cell r="L66">
            <v>151724.90273160499</v>
          </cell>
          <cell r="M66">
            <v>155024.27676225401</v>
          </cell>
          <cell r="N66">
            <v>158217.40635804401</v>
          </cell>
          <cell r="O66">
            <v>160758.632693577</v>
          </cell>
          <cell r="P66">
            <v>162691.75291110401</v>
          </cell>
          <cell r="Q66">
            <v>163317.078122615</v>
          </cell>
          <cell r="R66">
            <v>162879.71777319899</v>
          </cell>
          <cell r="S66">
            <v>161457.137721395</v>
          </cell>
        </row>
        <row r="67">
          <cell r="D67">
            <v>96869.795560015904</v>
          </cell>
          <cell r="E67">
            <v>100670.41176631099</v>
          </cell>
          <cell r="F67">
            <v>104450.484840344</v>
          </cell>
          <cell r="G67">
            <v>108110.82222678101</v>
          </cell>
          <cell r="H67">
            <v>111577.277777685</v>
          </cell>
          <cell r="I67">
            <v>114906.834566947</v>
          </cell>
          <cell r="J67">
            <v>118478.080549109</v>
          </cell>
          <cell r="K67">
            <v>122132.832200048</v>
          </cell>
          <cell r="L67">
            <v>125976.275395608</v>
          </cell>
          <cell r="M67">
            <v>129982.224428945</v>
          </cell>
          <cell r="N67">
            <v>134107.554185013</v>
          </cell>
          <cell r="O67">
            <v>137762.57808861899</v>
          </cell>
          <cell r="P67">
            <v>141177.44109779701</v>
          </cell>
          <cell r="Q67">
            <v>144701.14561786799</v>
          </cell>
          <cell r="R67">
            <v>148162.65599749199</v>
          </cell>
          <cell r="S67">
            <v>151504.00005641</v>
          </cell>
        </row>
        <row r="68">
          <cell r="D68">
            <v>69130.231721054006</v>
          </cell>
          <cell r="E68">
            <v>72895.016136027494</v>
          </cell>
          <cell r="F68">
            <v>76877.769152397101</v>
          </cell>
          <cell r="G68">
            <v>81085.873601818093</v>
          </cell>
          <cell r="H68">
            <v>85541.108489533493</v>
          </cell>
          <cell r="I68">
            <v>90216.516014769295</v>
          </cell>
          <cell r="J68">
            <v>93770.662634174398</v>
          </cell>
          <cell r="K68">
            <v>97331.708775016203</v>
          </cell>
          <cell r="L68">
            <v>100816.256755419</v>
          </cell>
          <cell r="M68">
            <v>104171.01691553</v>
          </cell>
          <cell r="N68">
            <v>107447.775275108</v>
          </cell>
          <cell r="O68">
            <v>110956.98726929601</v>
          </cell>
          <cell r="P68">
            <v>114572.992420143</v>
          </cell>
          <cell r="Q68">
            <v>118384.682708755</v>
          </cell>
          <cell r="R68">
            <v>122374.646863377</v>
          </cell>
          <cell r="S68">
            <v>126474.12656940499</v>
          </cell>
        </row>
        <row r="69">
          <cell r="D69">
            <v>54774.554566020299</v>
          </cell>
          <cell r="E69">
            <v>56016.4685264078</v>
          </cell>
          <cell r="F69">
            <v>57383.792030237797</v>
          </cell>
          <cell r="G69">
            <v>58941.195404066297</v>
          </cell>
          <cell r="H69">
            <v>60712.611421705697</v>
          </cell>
          <cell r="I69">
            <v>62681.288535847001</v>
          </cell>
          <cell r="J69">
            <v>66136.139199791505</v>
          </cell>
          <cell r="K69">
            <v>69805.077058760799</v>
          </cell>
          <cell r="L69">
            <v>73702.217410780402</v>
          </cell>
          <cell r="M69">
            <v>77844.705477857104</v>
          </cell>
          <cell r="N69">
            <v>82225.391366232099</v>
          </cell>
          <cell r="O69">
            <v>85605.6923933699</v>
          </cell>
          <cell r="P69">
            <v>89016.513096912895</v>
          </cell>
          <cell r="Q69">
            <v>92372.450599297197</v>
          </cell>
          <cell r="R69">
            <v>95626.504236273599</v>
          </cell>
          <cell r="S69">
            <v>98812.677375283194</v>
          </cell>
        </row>
        <row r="70">
          <cell r="D70">
            <v>42215.338683524598</v>
          </cell>
          <cell r="E70">
            <v>43366.070199321301</v>
          </cell>
          <cell r="F70">
            <v>44398.494769588899</v>
          </cell>
          <cell r="G70">
            <v>45432.229913790397</v>
          </cell>
          <cell r="H70">
            <v>46489.362182348901</v>
          </cell>
          <cell r="I70">
            <v>47532.850699889103</v>
          </cell>
          <cell r="J70">
            <v>48642.697683251499</v>
          </cell>
          <cell r="K70">
            <v>49883.815905148796</v>
          </cell>
          <cell r="L70">
            <v>51316.067301345101</v>
          </cell>
          <cell r="M70">
            <v>52945.682001186797</v>
          </cell>
          <cell r="N70">
            <v>54778.943564943504</v>
          </cell>
          <cell r="O70">
            <v>57935.115113208303</v>
          </cell>
          <cell r="P70">
            <v>61290.2381769985</v>
          </cell>
          <cell r="Q70">
            <v>64850.036749915897</v>
          </cell>
          <cell r="R70">
            <v>68632.096839940394</v>
          </cell>
          <cell r="S70">
            <v>72621.521426614607</v>
          </cell>
        </row>
        <row r="71">
          <cell r="D71">
            <v>27642.484873259298</v>
          </cell>
          <cell r="E71">
            <v>29370.715811968999</v>
          </cell>
          <cell r="F71">
            <v>31037.4655280185</v>
          </cell>
          <cell r="G71">
            <v>32381.4163514592</v>
          </cell>
          <cell r="H71">
            <v>33377.492361694996</v>
          </cell>
          <cell r="I71">
            <v>34199.095603170303</v>
          </cell>
          <cell r="J71">
            <v>35169.388413189503</v>
          </cell>
          <cell r="K71">
            <v>36066.891703793</v>
          </cell>
          <cell r="L71">
            <v>36986.248456978698</v>
          </cell>
          <cell r="M71">
            <v>37927.652054122998</v>
          </cell>
          <cell r="N71">
            <v>38883.633894315899</v>
          </cell>
          <cell r="O71">
            <v>39892.2566506289</v>
          </cell>
          <cell r="P71">
            <v>41021.512796378702</v>
          </cell>
          <cell r="Q71">
            <v>42311.023146674997</v>
          </cell>
          <cell r="R71">
            <v>43770.322404669401</v>
          </cell>
          <cell r="S71">
            <v>45401.658610618702</v>
          </cell>
        </row>
        <row r="72">
          <cell r="D72">
            <v>18298.884627902698</v>
          </cell>
          <cell r="E72">
            <v>17767.840968901899</v>
          </cell>
          <cell r="F72">
            <v>17584.256707128701</v>
          </cell>
          <cell r="G72">
            <v>17968.177252854599</v>
          </cell>
          <cell r="H72">
            <v>18968.678869215499</v>
          </cell>
          <cell r="I72">
            <v>20337.688145567099</v>
          </cell>
          <cell r="J72">
            <v>21633.9069806726</v>
          </cell>
          <cell r="K72">
            <v>22903.287872245299</v>
          </cell>
          <cell r="L72">
            <v>23959.777439043701</v>
          </cell>
          <cell r="M72">
            <v>24769.9974451571</v>
          </cell>
          <cell r="N72">
            <v>25478.276203913101</v>
          </cell>
          <cell r="O72">
            <v>26287.198240598202</v>
          </cell>
          <cell r="P72">
            <v>27051.582268875401</v>
          </cell>
          <cell r="Q72">
            <v>27830.634561162198</v>
          </cell>
          <cell r="R72">
            <v>28628.5286787927</v>
          </cell>
          <cell r="S72">
            <v>29442.746841325301</v>
          </cell>
        </row>
        <row r="73">
          <cell r="D73">
            <v>16750.625247058</v>
          </cell>
          <cell r="E73">
            <v>17389.290417315598</v>
          </cell>
          <cell r="F73">
            <v>17885.844243815001</v>
          </cell>
          <cell r="G73">
            <v>18186.726750211201</v>
          </cell>
          <cell r="H73">
            <v>18306.665858074801</v>
          </cell>
          <cell r="I73">
            <v>18314.3520012636</v>
          </cell>
          <cell r="J73">
            <v>18359.840683653299</v>
          </cell>
          <cell r="K73">
            <v>18593.577886747302</v>
          </cell>
          <cell r="L73">
            <v>19107.759839417799</v>
          </cell>
          <cell r="M73">
            <v>19894.0136961104</v>
          </cell>
          <cell r="N73">
            <v>20829.232984312501</v>
          </cell>
          <cell r="O73">
            <v>21677.5994914394</v>
          </cell>
          <cell r="P73">
            <v>22603.201875856699</v>
          </cell>
          <cell r="Q73">
            <v>23539.484068989201</v>
          </cell>
          <cell r="R73">
            <v>24480.9115128187</v>
          </cell>
          <cell r="S73">
            <v>25451.523685532</v>
          </cell>
        </row>
        <row r="74">
          <cell r="D74">
            <v>43840.814309339301</v>
          </cell>
          <cell r="E74">
            <v>43283.509977717003</v>
          </cell>
          <cell r="F74">
            <v>43013.999021967</v>
          </cell>
          <cell r="G74">
            <v>43012.644309034302</v>
          </cell>
          <cell r="H74">
            <v>43275.460879099999</v>
          </cell>
          <cell r="I74">
            <v>43828.136240155203</v>
          </cell>
          <cell r="J74">
            <v>44586.697480892501</v>
          </cell>
          <cell r="K74">
            <v>45476.6415146656</v>
          </cell>
          <cell r="L74">
            <v>46295.344867112697</v>
          </cell>
          <cell r="M74">
            <v>46890.994950959299</v>
          </cell>
          <cell r="N74">
            <v>47584.068486944801</v>
          </cell>
          <cell r="O74">
            <v>48002.492979217503</v>
          </cell>
          <cell r="P74">
            <v>48355.185124288102</v>
          </cell>
          <cell r="Q74">
            <v>48697.668169357901</v>
          </cell>
          <cell r="R74">
            <v>49121.901132714302</v>
          </cell>
          <cell r="S74">
            <v>49249.545332286201</v>
          </cell>
        </row>
        <row r="75">
          <cell r="D75">
            <v>50826.576161724202</v>
          </cell>
          <cell r="E75">
            <v>49458.409975233597</v>
          </cell>
          <cell r="F75">
            <v>48052.997247544503</v>
          </cell>
          <cell r="G75">
            <v>46642.2546349646</v>
          </cell>
          <cell r="H75">
            <v>45255.805278530002</v>
          </cell>
          <cell r="I75">
            <v>44186.615654319401</v>
          </cell>
          <cell r="J75">
            <v>43562.825742480301</v>
          </cell>
          <cell r="K75">
            <v>43208.482346987803</v>
          </cell>
          <cell r="L75">
            <v>43135.451389416303</v>
          </cell>
          <cell r="M75">
            <v>43350.505425766903</v>
          </cell>
          <cell r="N75">
            <v>43883.628423923401</v>
          </cell>
          <cell r="O75">
            <v>44658.391667566299</v>
          </cell>
          <cell r="P75">
            <v>45598.937582851402</v>
          </cell>
          <cell r="Q75">
            <v>46501.1694724115</v>
          </cell>
          <cell r="R75">
            <v>47198.318523985603</v>
          </cell>
          <cell r="S75">
            <v>48022.232113726699</v>
          </cell>
        </row>
        <row r="76">
          <cell r="D76">
            <v>54358.522862542901</v>
          </cell>
          <cell r="E76">
            <v>54142.020943608397</v>
          </cell>
          <cell r="F76">
            <v>53724.509918120697</v>
          </cell>
          <cell r="G76">
            <v>53126.218712354603</v>
          </cell>
          <cell r="H76">
            <v>52428.761773108199</v>
          </cell>
          <cell r="I76">
            <v>51351.169114370001</v>
          </cell>
          <cell r="J76">
            <v>49897.152076979</v>
          </cell>
          <cell r="K76">
            <v>48377.355031894898</v>
          </cell>
          <cell r="L76">
            <v>46881.437982030999</v>
          </cell>
          <cell r="M76">
            <v>45441.613298918397</v>
          </cell>
          <cell r="N76">
            <v>44346.432787600403</v>
          </cell>
          <cell r="O76">
            <v>43759.129164760699</v>
          </cell>
          <cell r="P76">
            <v>43466.351971577402</v>
          </cell>
          <cell r="Q76">
            <v>43479.741400593899</v>
          </cell>
          <cell r="R76">
            <v>43796.279860614297</v>
          </cell>
          <cell r="S76">
            <v>44440.663822480899</v>
          </cell>
        </row>
        <row r="77">
          <cell r="D77">
            <v>56886.779661427201</v>
          </cell>
          <cell r="E77">
            <v>56494.363799805302</v>
          </cell>
          <cell r="F77">
            <v>56106.746357233198</v>
          </cell>
          <cell r="G77">
            <v>55582.875909378199</v>
          </cell>
          <cell r="H77">
            <v>55249.191233130601</v>
          </cell>
          <cell r="I77">
            <v>54914.8169984345</v>
          </cell>
          <cell r="J77">
            <v>54597.1055480988</v>
          </cell>
          <cell r="K77">
            <v>54058.295523581903</v>
          </cell>
          <cell r="L77">
            <v>53340.484669002697</v>
          </cell>
          <cell r="M77">
            <v>52569.572306300201</v>
          </cell>
          <cell r="N77">
            <v>51465.042148728302</v>
          </cell>
          <cell r="O77">
            <v>50060.937711553102</v>
          </cell>
          <cell r="P77">
            <v>48632.699763068602</v>
          </cell>
          <cell r="Q77">
            <v>47251.557036300401</v>
          </cell>
          <cell r="R77">
            <v>45936.464230036603</v>
          </cell>
          <cell r="S77">
            <v>44979.290352407399</v>
          </cell>
        </row>
        <row r="78">
          <cell r="D78">
            <v>53984.893787271903</v>
          </cell>
          <cell r="E78">
            <v>55807.929280334902</v>
          </cell>
          <cell r="F78">
            <v>57441.160774583303</v>
          </cell>
          <cell r="G78">
            <v>58911.445046001099</v>
          </cell>
          <cell r="H78">
            <v>58959.063269295701</v>
          </cell>
          <cell r="I78">
            <v>58865.139306766097</v>
          </cell>
          <cell r="J78">
            <v>58611.125300557404</v>
          </cell>
          <cell r="K78">
            <v>58313.478592470099</v>
          </cell>
          <cell r="L78">
            <v>57905.999753930599</v>
          </cell>
          <cell r="M78">
            <v>57719.375252034602</v>
          </cell>
          <cell r="N78">
            <v>57460.552989381104</v>
          </cell>
          <cell r="O78">
            <v>57248.066706844002</v>
          </cell>
          <cell r="P78">
            <v>56830.8203825276</v>
          </cell>
          <cell r="Q78">
            <v>56267.140601911502</v>
          </cell>
          <cell r="R78">
            <v>55669.633256434201</v>
          </cell>
          <cell r="S78">
            <v>54761.026393121203</v>
          </cell>
        </row>
        <row r="79">
          <cell r="D79">
            <v>51697.0417553179</v>
          </cell>
          <cell r="E79">
            <v>52155.977209643599</v>
          </cell>
          <cell r="F79">
            <v>52819.481300475498</v>
          </cell>
          <cell r="G79">
            <v>53916.577687626603</v>
          </cell>
          <cell r="H79">
            <v>56276.633393567303</v>
          </cell>
          <cell r="I79">
            <v>58712.080680493702</v>
          </cell>
          <cell r="J79">
            <v>61078.273998322598</v>
          </cell>
          <cell r="K79">
            <v>63271.499827526699</v>
          </cell>
          <cell r="L79">
            <v>65299.789819054102</v>
          </cell>
          <cell r="M79">
            <v>65935.869858776801</v>
          </cell>
          <cell r="N79">
            <v>66268.797247209295</v>
          </cell>
          <cell r="O79">
            <v>66371.149528772803</v>
          </cell>
          <cell r="P79">
            <v>66388.663264398798</v>
          </cell>
          <cell r="Q79">
            <v>66236.859348096594</v>
          </cell>
          <cell r="R79">
            <v>66259.2734650239</v>
          </cell>
          <cell r="S79">
            <v>66282.864009298704</v>
          </cell>
        </row>
        <row r="80">
          <cell r="D80">
            <v>48128.0326529308</v>
          </cell>
          <cell r="E80">
            <v>49811.662827358799</v>
          </cell>
          <cell r="F80">
            <v>51437.804277537303</v>
          </cell>
          <cell r="G80">
            <v>52947.003556178301</v>
          </cell>
          <cell r="H80">
            <v>54417.164542423998</v>
          </cell>
          <cell r="I80">
            <v>55784.834453035197</v>
          </cell>
          <cell r="J80">
            <v>56724.304690281198</v>
          </cell>
          <cell r="K80">
            <v>57951.014909631798</v>
          </cell>
          <cell r="L80">
            <v>59601.161378617398</v>
          </cell>
          <cell r="M80">
            <v>62501.335130216401</v>
          </cell>
          <cell r="N80">
            <v>65418.992682871198</v>
          </cell>
          <cell r="O80">
            <v>68230.422056721902</v>
          </cell>
          <cell r="P80">
            <v>70792.094468274707</v>
          </cell>
          <cell r="Q80">
            <v>73108.620429855495</v>
          </cell>
          <cell r="R80">
            <v>73955.5910720549</v>
          </cell>
          <cell r="S80">
            <v>74583.873980657198</v>
          </cell>
        </row>
        <row r="81">
          <cell r="D81">
            <v>43777.708058019998</v>
          </cell>
          <cell r="E81">
            <v>44888.201200864904</v>
          </cell>
          <cell r="F81">
            <v>46065.956638137002</v>
          </cell>
          <cell r="G81">
            <v>47340.992378708201</v>
          </cell>
          <cell r="H81">
            <v>48655.430074092597</v>
          </cell>
          <cell r="I81">
            <v>50135.762786009996</v>
          </cell>
          <cell r="J81">
            <v>52015.299307918103</v>
          </cell>
          <cell r="K81">
            <v>53856.480564439298</v>
          </cell>
          <cell r="L81">
            <v>55589.679614287597</v>
          </cell>
          <cell r="M81">
            <v>57305.551801037996</v>
          </cell>
          <cell r="N81">
            <v>58918.785704242997</v>
          </cell>
          <cell r="O81">
            <v>60122.121616142897</v>
          </cell>
          <cell r="P81">
            <v>61596.3136957803</v>
          </cell>
          <cell r="Q81">
            <v>63473.842887684397</v>
          </cell>
          <cell r="R81">
            <v>66549.400594026403</v>
          </cell>
          <cell r="S81">
            <v>69675.614882304595</v>
          </cell>
        </row>
        <row r="82">
          <cell r="D82">
            <v>39436.398641869098</v>
          </cell>
          <cell r="E82">
            <v>40469.529871583902</v>
          </cell>
          <cell r="F82">
            <v>41530.757676382003</v>
          </cell>
          <cell r="G82">
            <v>42582.729299555103</v>
          </cell>
          <cell r="H82">
            <v>43619.956191716999</v>
          </cell>
          <cell r="I82">
            <v>44642.770639196802</v>
          </cell>
          <cell r="J82">
            <v>45862.011198286003</v>
          </cell>
          <cell r="K82">
            <v>47143.372023007803</v>
          </cell>
          <cell r="L82">
            <v>48530.513652382397</v>
          </cell>
          <cell r="M82">
            <v>49968.681921051699</v>
          </cell>
          <cell r="N82">
            <v>51579.745816449999</v>
          </cell>
          <cell r="O82">
            <v>53610.186393722601</v>
          </cell>
          <cell r="P82">
            <v>55604.384720820097</v>
          </cell>
          <cell r="Q82">
            <v>57502.5468825922</v>
          </cell>
          <cell r="R82">
            <v>59376.702839681297</v>
          </cell>
          <cell r="S82">
            <v>61174.855957965898</v>
          </cell>
        </row>
        <row r="83">
          <cell r="D83">
            <v>34975.888528781899</v>
          </cell>
          <cell r="E83">
            <v>35702.623486372802</v>
          </cell>
          <cell r="F83">
            <v>36473.658878451599</v>
          </cell>
          <cell r="G83">
            <v>37316.018726755901</v>
          </cell>
          <cell r="H83">
            <v>38236.965108017197</v>
          </cell>
          <cell r="I83">
            <v>39230.335664105798</v>
          </cell>
          <cell r="J83">
            <v>40269.9415857403</v>
          </cell>
          <cell r="K83">
            <v>41325.8801161796</v>
          </cell>
          <cell r="L83">
            <v>42391.063040041401</v>
          </cell>
          <cell r="M83">
            <v>43456.460222398899</v>
          </cell>
          <cell r="N83">
            <v>44531.953502350298</v>
          </cell>
          <cell r="O83">
            <v>45834.503534469201</v>
          </cell>
          <cell r="P83">
            <v>47216.280961550801</v>
          </cell>
          <cell r="Q83">
            <v>48713.570422367498</v>
          </cell>
          <cell r="R83">
            <v>50268.499443908899</v>
          </cell>
          <cell r="S83">
            <v>52021.186276871202</v>
          </cell>
        </row>
        <row r="84">
          <cell r="D84">
            <v>29448.582262441199</v>
          </cell>
          <cell r="E84">
            <v>30510.207983829201</v>
          </cell>
          <cell r="F84">
            <v>31508.068529638698</v>
          </cell>
          <cell r="G84">
            <v>32405.724812869001</v>
          </cell>
          <cell r="H84">
            <v>33194.440151991497</v>
          </cell>
          <cell r="I84">
            <v>33890.402143564897</v>
          </cell>
          <cell r="J84">
            <v>34584.335557013597</v>
          </cell>
          <cell r="K84">
            <v>35317.617849962699</v>
          </cell>
          <cell r="L84">
            <v>36123.373250419099</v>
          </cell>
          <cell r="M84">
            <v>37028.202702209201</v>
          </cell>
          <cell r="N84">
            <v>38015.787752560696</v>
          </cell>
          <cell r="O84">
            <v>39083.561666784997</v>
          </cell>
          <cell r="P84">
            <v>40200.830254314104</v>
          </cell>
          <cell r="Q84">
            <v>41346.8517156858</v>
          </cell>
          <cell r="R84">
            <v>42515.547431559004</v>
          </cell>
          <cell r="S84">
            <v>43708.250994886999</v>
          </cell>
        </row>
        <row r="85">
          <cell r="D85">
            <v>22535.943526664301</v>
          </cell>
          <cell r="E85">
            <v>23548.5175429429</v>
          </cell>
          <cell r="F85">
            <v>24594.655478182802</v>
          </cell>
          <cell r="G85">
            <v>25624.7468530519</v>
          </cell>
          <cell r="H85">
            <v>26634.927064968098</v>
          </cell>
          <cell r="I85">
            <v>27630.102936096901</v>
          </cell>
          <cell r="J85">
            <v>28604.039528920701</v>
          </cell>
          <cell r="K85">
            <v>29501.129997657601</v>
          </cell>
          <cell r="L85">
            <v>30316.543004151401</v>
          </cell>
          <cell r="M85">
            <v>31046.754560269299</v>
          </cell>
          <cell r="N85">
            <v>31732.021607807299</v>
          </cell>
          <cell r="O85">
            <v>32452.1231217327</v>
          </cell>
          <cell r="P85">
            <v>33228.150620437897</v>
          </cell>
          <cell r="Q85">
            <v>34088.467107631797</v>
          </cell>
          <cell r="R85">
            <v>35061.664822735504</v>
          </cell>
          <cell r="S85">
            <v>36129.716092267598</v>
          </cell>
        </row>
        <row r="86">
          <cell r="D86">
            <v>16242.347065733</v>
          </cell>
          <cell r="E86">
            <v>16889.901992232299</v>
          </cell>
          <cell r="F86">
            <v>17594.761914374201</v>
          </cell>
          <cell r="G86">
            <v>18374.5876416721</v>
          </cell>
          <cell r="H86">
            <v>19230.292436173801</v>
          </cell>
          <cell r="I86">
            <v>20144.3277538037</v>
          </cell>
          <cell r="J86">
            <v>21033.6244257496</v>
          </cell>
          <cell r="K86">
            <v>21940.599438731599</v>
          </cell>
          <cell r="L86">
            <v>22841.601584654501</v>
          </cell>
          <cell r="M86">
            <v>23739.871886876899</v>
          </cell>
          <cell r="N86">
            <v>24647.324635397199</v>
          </cell>
          <cell r="O86">
            <v>25567.735877109499</v>
          </cell>
          <cell r="P86">
            <v>26450.4275069953</v>
          </cell>
          <cell r="Q86">
            <v>27280.315037911201</v>
          </cell>
          <cell r="R86">
            <v>28055.889526172701</v>
          </cell>
          <cell r="S86">
            <v>28799.625161016502</v>
          </cell>
        </row>
        <row r="87">
          <cell r="D87">
            <v>10559.7793874164</v>
          </cell>
          <cell r="E87">
            <v>11174.632126173899</v>
          </cell>
          <cell r="F87">
            <v>11795.5396499748</v>
          </cell>
          <cell r="G87">
            <v>12391.016444167601</v>
          </cell>
          <cell r="H87">
            <v>12951.8149989169</v>
          </cell>
          <cell r="I87">
            <v>13487.284475603399</v>
          </cell>
          <cell r="J87">
            <v>14023.422051748999</v>
          </cell>
          <cell r="K87">
            <v>14600.9608748872</v>
          </cell>
          <cell r="L87">
            <v>15243.430330739</v>
          </cell>
          <cell r="M87">
            <v>15959.191349300099</v>
          </cell>
          <cell r="N87">
            <v>16747.7329105643</v>
          </cell>
          <cell r="O87">
            <v>17542.091901350901</v>
          </cell>
          <cell r="P87">
            <v>18365.699965747601</v>
          </cell>
          <cell r="Q87">
            <v>19206.9399631169</v>
          </cell>
          <cell r="R87">
            <v>20064.476859848099</v>
          </cell>
          <cell r="S87">
            <v>20940.8454586935</v>
          </cell>
        </row>
        <row r="88">
          <cell r="D88">
            <v>6134.3283028398901</v>
          </cell>
          <cell r="E88">
            <v>6424.7862480255999</v>
          </cell>
          <cell r="F88">
            <v>6751.5134876326501</v>
          </cell>
          <cell r="G88">
            <v>7119.27173776787</v>
          </cell>
          <cell r="H88">
            <v>7530.54665825966</v>
          </cell>
          <cell r="I88">
            <v>7982.2087530318304</v>
          </cell>
          <cell r="J88">
            <v>8450.4620296058893</v>
          </cell>
          <cell r="K88">
            <v>8919.0163286771603</v>
          </cell>
          <cell r="L88">
            <v>9371.4786272581605</v>
          </cell>
          <cell r="M88">
            <v>9805.81655622158</v>
          </cell>
          <cell r="N88">
            <v>10234.559430367501</v>
          </cell>
          <cell r="O88">
            <v>10680.609460232101</v>
          </cell>
          <cell r="P88">
            <v>11177.175612819899</v>
          </cell>
          <cell r="Q88">
            <v>11736.8566118731</v>
          </cell>
          <cell r="R88">
            <v>12368.1592528172</v>
          </cell>
          <cell r="S88">
            <v>13060.202686890199</v>
          </cell>
        </row>
        <row r="89">
          <cell r="D89">
            <v>3273.5115763685098</v>
          </cell>
          <cell r="E89">
            <v>3411.09785333318</v>
          </cell>
          <cell r="F89">
            <v>3561.7904041100501</v>
          </cell>
          <cell r="G89">
            <v>3725.25886433901</v>
          </cell>
          <cell r="H89">
            <v>3899.2437284808898</v>
          </cell>
          <cell r="I89">
            <v>4082.23467702675</v>
          </cell>
          <cell r="J89">
            <v>4282.5597860107</v>
          </cell>
          <cell r="K89">
            <v>4506.1966996626197</v>
          </cell>
          <cell r="L89">
            <v>4760.8794565673197</v>
          </cell>
          <cell r="M89">
            <v>5049.8455904211396</v>
          </cell>
          <cell r="N89">
            <v>5370.1264957702397</v>
          </cell>
          <cell r="O89">
            <v>5711.2629607861099</v>
          </cell>
          <cell r="P89">
            <v>6059.5669514370902</v>
          </cell>
          <cell r="Q89">
            <v>6405.6262904159803</v>
          </cell>
          <cell r="R89">
            <v>6748.4365074818497</v>
          </cell>
          <cell r="S89">
            <v>7092.5784946229996</v>
          </cell>
        </row>
        <row r="90">
          <cell r="D90">
            <v>2007.37980386857</v>
          </cell>
          <cell r="E90">
            <v>2114.4993165557498</v>
          </cell>
          <cell r="F90">
            <v>2226.3703994070102</v>
          </cell>
          <cell r="G90">
            <v>2337.8516440527501</v>
          </cell>
          <cell r="H90">
            <v>2451.7590377479901</v>
          </cell>
          <cell r="I90">
            <v>2569.7737779408599</v>
          </cell>
          <cell r="J90">
            <v>2693.4464788484402</v>
          </cell>
          <cell r="K90">
            <v>2823.40131895082</v>
          </cell>
          <cell r="L90">
            <v>2962.52536891195</v>
          </cell>
          <cell r="M90">
            <v>3113.6716180051199</v>
          </cell>
          <cell r="N90">
            <v>3272.5455112596901</v>
          </cell>
          <cell r="O90">
            <v>3449.66257997613</v>
          </cell>
          <cell r="P90">
            <v>3648.47202525792</v>
          </cell>
          <cell r="Q90">
            <v>3873.1924986425201</v>
          </cell>
          <cell r="R90">
            <v>4125.3693137609898</v>
          </cell>
          <cell r="S90">
            <v>4402.4271726467496</v>
          </cell>
        </row>
        <row r="91">
          <cell r="D91">
            <v>42382.406622153198</v>
          </cell>
          <cell r="E91">
            <v>41765.695957993201</v>
          </cell>
          <cell r="F91">
            <v>41426.1252975116</v>
          </cell>
          <cell r="G91">
            <v>41359.866399313098</v>
          </cell>
          <cell r="H91">
            <v>41567.971976062603</v>
          </cell>
          <cell r="I91">
            <v>42073.422107336897</v>
          </cell>
          <cell r="J91">
            <v>42801.901118322399</v>
          </cell>
          <cell r="K91">
            <v>43670.797731909202</v>
          </cell>
          <cell r="L91">
            <v>44489.857289638901</v>
          </cell>
          <cell r="M91">
            <v>45114.271958621001</v>
          </cell>
          <cell r="N91">
            <v>45823.390405748803</v>
          </cell>
          <cell r="O91">
            <v>46249.880080793999</v>
          </cell>
          <cell r="P91">
            <v>46606.086434909703</v>
          </cell>
          <cell r="Q91">
            <v>46941.578893094797</v>
          </cell>
          <cell r="R91">
            <v>47342.721976258603</v>
          </cell>
          <cell r="S91">
            <v>47438.397355608096</v>
          </cell>
        </row>
        <row r="92">
          <cell r="D92">
            <v>49163.711722501997</v>
          </cell>
          <cell r="E92">
            <v>47742.661193936103</v>
          </cell>
          <cell r="F92">
            <v>46282.290692595197</v>
          </cell>
          <cell r="G92">
            <v>44845.766278260999</v>
          </cell>
          <cell r="H92">
            <v>43454.372671945202</v>
          </cell>
          <cell r="I92">
            <v>42391.210827773997</v>
          </cell>
          <cell r="J92">
            <v>41766.629884473303</v>
          </cell>
          <cell r="K92">
            <v>41403.915098931102</v>
          </cell>
          <cell r="L92">
            <v>41315.5140305104</v>
          </cell>
          <cell r="M92">
            <v>41513.254753114597</v>
          </cell>
          <cell r="N92">
            <v>42000.609199946099</v>
          </cell>
          <cell r="O92">
            <v>42728.467736910003</v>
          </cell>
          <cell r="P92">
            <v>43615.892804255796</v>
          </cell>
          <cell r="Q92">
            <v>44462.8288246343</v>
          </cell>
          <cell r="R92">
            <v>45112.106338124802</v>
          </cell>
          <cell r="S92">
            <v>45875.272436434097</v>
          </cell>
        </row>
        <row r="93">
          <cell r="D93">
            <v>52735.925989111398</v>
          </cell>
          <cell r="E93">
            <v>52398.528956428898</v>
          </cell>
          <cell r="F93">
            <v>51879.549589918897</v>
          </cell>
          <cell r="G93">
            <v>51206.356226970704</v>
          </cell>
          <cell r="H93">
            <v>50461.7197840152</v>
          </cell>
          <cell r="I93">
            <v>49372.537796620003</v>
          </cell>
          <cell r="J93">
            <v>47936.164943113203</v>
          </cell>
          <cell r="K93">
            <v>46440.541647147496</v>
          </cell>
          <cell r="L93">
            <v>44975.368636430801</v>
          </cell>
          <cell r="M93">
            <v>43572.408242676203</v>
          </cell>
          <cell r="N93">
            <v>42490.453026003503</v>
          </cell>
          <cell r="O93">
            <v>41872.3399699004</v>
          </cell>
          <cell r="P93">
            <v>41528.2484364103</v>
          </cell>
          <cell r="Q93">
            <v>41465.177775658798</v>
          </cell>
          <cell r="R93">
            <v>41686.375523566901</v>
          </cell>
          <cell r="S93">
            <v>42220.333250822398</v>
          </cell>
        </row>
        <row r="94">
          <cell r="D94">
            <v>54756.612860730304</v>
          </cell>
          <cell r="E94">
            <v>54393.185975054803</v>
          </cell>
          <cell r="F94">
            <v>54012.697103123297</v>
          </cell>
          <cell r="G94">
            <v>53742.375943445899</v>
          </cell>
          <cell r="H94">
            <v>53329.409683547703</v>
          </cell>
          <cell r="I94">
            <v>52945.405303364198</v>
          </cell>
          <cell r="J94">
            <v>52588.371204030402</v>
          </cell>
          <cell r="K94">
            <v>52040.132419726899</v>
          </cell>
          <cell r="L94">
            <v>51333.064643597201</v>
          </cell>
          <cell r="M94">
            <v>50573.329995087501</v>
          </cell>
          <cell r="N94">
            <v>49461.230575182897</v>
          </cell>
          <cell r="O94">
            <v>48035.0613172538</v>
          </cell>
          <cell r="P94">
            <v>46566.150626820898</v>
          </cell>
          <cell r="Q94">
            <v>45135.404326301898</v>
          </cell>
          <cell r="R94">
            <v>43765.357182722</v>
          </cell>
          <cell r="S94">
            <v>42742.039908594001</v>
          </cell>
        </row>
        <row r="95">
          <cell r="D95">
            <v>50066.018434482299</v>
          </cell>
          <cell r="E95">
            <v>52060.247936712098</v>
          </cell>
          <cell r="F95">
            <v>53858.469536440898</v>
          </cell>
          <cell r="G95">
            <v>55259.3786501797</v>
          </cell>
          <cell r="H95">
            <v>55522.525901715198</v>
          </cell>
          <cell r="I95">
            <v>55575.934017644999</v>
          </cell>
          <cell r="J95">
            <v>55264.241672933698</v>
          </cell>
          <cell r="K95">
            <v>54918.061630750301</v>
          </cell>
          <cell r="L95">
            <v>54684.5945179466</v>
          </cell>
          <cell r="M95">
            <v>54323.430713686503</v>
          </cell>
          <cell r="N95">
            <v>53983.7886753532</v>
          </cell>
          <cell r="O95">
            <v>53704.285445350797</v>
          </cell>
          <cell r="P95">
            <v>53235.430577661602</v>
          </cell>
          <cell r="Q95">
            <v>52617.5573107288</v>
          </cell>
          <cell r="R95">
            <v>51944.613719868197</v>
          </cell>
          <cell r="S95">
            <v>50942.709953603102</v>
          </cell>
        </row>
        <row r="96">
          <cell r="D96">
            <v>48242.398549848003</v>
          </cell>
          <cell r="E96">
            <v>48297.121800217501</v>
          </cell>
          <cell r="F96">
            <v>48437.470715325697</v>
          </cell>
          <cell r="G96">
            <v>48875.743085713802</v>
          </cell>
          <cell r="H96">
            <v>50491.789933258799</v>
          </cell>
          <cell r="I96">
            <v>52114.342687457603</v>
          </cell>
          <cell r="J96">
            <v>54278.078174281698</v>
          </cell>
          <cell r="K96">
            <v>56240.326357012302</v>
          </cell>
          <cell r="L96">
            <v>57807.884006587701</v>
          </cell>
          <cell r="M96">
            <v>58270.641848924803</v>
          </cell>
          <cell r="N96">
            <v>58519.342632133303</v>
          </cell>
          <cell r="O96">
            <v>58426.474423943597</v>
          </cell>
          <cell r="P96">
            <v>58300.289438532098</v>
          </cell>
          <cell r="Q96">
            <v>58278.567430848001</v>
          </cell>
          <cell r="R96">
            <v>58112.724851612802</v>
          </cell>
          <cell r="S96">
            <v>57990.238705335199</v>
          </cell>
        </row>
        <row r="97">
          <cell r="D97">
            <v>46629.850412694701</v>
          </cell>
          <cell r="E97">
            <v>47260.260449842899</v>
          </cell>
          <cell r="F97">
            <v>48004.832346450399</v>
          </cell>
          <cell r="G97">
            <v>48694.384109545499</v>
          </cell>
          <cell r="H97">
            <v>49322.061127682202</v>
          </cell>
          <cell r="I97">
            <v>49925.911215172899</v>
          </cell>
          <cell r="J97">
            <v>50148.017424337697</v>
          </cell>
          <cell r="K97">
            <v>50454.416463914102</v>
          </cell>
          <cell r="L97">
            <v>51073.7915738671</v>
          </cell>
          <cell r="M97">
            <v>52887.6264097405</v>
          </cell>
          <cell r="N97">
            <v>54703.559195274203</v>
          </cell>
          <cell r="O97">
            <v>57070.855544326398</v>
          </cell>
          <cell r="P97">
            <v>59236.784138216099</v>
          </cell>
          <cell r="Q97">
            <v>61007.787011057102</v>
          </cell>
          <cell r="R97">
            <v>61677.120949578799</v>
          </cell>
          <cell r="S97">
            <v>62149.9265885231</v>
          </cell>
        </row>
        <row r="98">
          <cell r="D98">
            <v>45783.562742699898</v>
          </cell>
          <cell r="E98">
            <v>46022.231984193</v>
          </cell>
          <cell r="F98">
            <v>46262.261138480702</v>
          </cell>
          <cell r="G98">
            <v>46525.090278582</v>
          </cell>
          <cell r="H98">
            <v>46841.273815084198</v>
          </cell>
          <cell r="I98">
            <v>47218.190918956301</v>
          </cell>
          <cell r="J98">
            <v>47918.125366918299</v>
          </cell>
          <cell r="K98">
            <v>48732.467172668301</v>
          </cell>
          <cell r="L98">
            <v>49509.143666576703</v>
          </cell>
          <cell r="M98">
            <v>50244.145593695001</v>
          </cell>
          <cell r="N98">
            <v>50959.752810407299</v>
          </cell>
          <cell r="O98">
            <v>51320.713855987</v>
          </cell>
          <cell r="P98">
            <v>51765.7928399913</v>
          </cell>
          <cell r="Q98">
            <v>52518.766547130799</v>
          </cell>
          <cell r="R98">
            <v>54442.584005148499</v>
          </cell>
          <cell r="S98">
            <v>56395.1929199113</v>
          </cell>
        </row>
        <row r="99">
          <cell r="D99">
            <v>41983.270948006699</v>
          </cell>
          <cell r="E99">
            <v>42857.603036428198</v>
          </cell>
          <cell r="F99">
            <v>43704.487078046797</v>
          </cell>
          <cell r="G99">
            <v>44473.028492986901</v>
          </cell>
          <cell r="H99">
            <v>45155.340780825602</v>
          </cell>
          <cell r="I99">
            <v>45765.585695254696</v>
          </cell>
          <cell r="J99">
            <v>46039.002846621101</v>
          </cell>
          <cell r="K99">
            <v>46314.325468731498</v>
          </cell>
          <cell r="L99">
            <v>46625.106161200201</v>
          </cell>
          <cell r="M99">
            <v>47013.335769693796</v>
          </cell>
          <cell r="N99">
            <v>47457.869294736098</v>
          </cell>
          <cell r="O99">
            <v>48244.847584549003</v>
          </cell>
          <cell r="P99">
            <v>49148.9990149683</v>
          </cell>
          <cell r="Q99">
            <v>50017.065089147502</v>
          </cell>
          <cell r="R99">
            <v>50839.281820470896</v>
          </cell>
          <cell r="S99">
            <v>51665.917079576997</v>
          </cell>
        </row>
        <row r="100">
          <cell r="D100">
            <v>37845.864561365299</v>
          </cell>
          <cell r="E100">
            <v>38433.928163208497</v>
          </cell>
          <cell r="F100">
            <v>39071.651211340999</v>
          </cell>
          <cell r="G100">
            <v>39780.740728366902</v>
          </cell>
          <cell r="H100">
            <v>40572.650036099003</v>
          </cell>
          <cell r="I100">
            <v>41424.8123214605</v>
          </cell>
          <cell r="J100">
            <v>42299.799580899002</v>
          </cell>
          <cell r="K100">
            <v>43140.890125702601</v>
          </cell>
          <cell r="L100">
            <v>43913.249999428197</v>
          </cell>
          <cell r="M100">
            <v>44619.995076286999</v>
          </cell>
          <cell r="N100">
            <v>45253.572077477998</v>
          </cell>
          <cell r="O100">
            <v>45581.560972124898</v>
          </cell>
          <cell r="P100">
            <v>45918.192140578998</v>
          </cell>
          <cell r="Q100">
            <v>46293.950553951901</v>
          </cell>
          <cell r="R100">
            <v>46740.1764282117</v>
          </cell>
          <cell r="S100">
            <v>47271.810334866503</v>
          </cell>
        </row>
        <row r="101">
          <cell r="D101">
            <v>33189.281696322701</v>
          </cell>
          <cell r="E101">
            <v>34038.276569728703</v>
          </cell>
          <cell r="F101">
            <v>34824.384261341002</v>
          </cell>
          <cell r="G101">
            <v>35550.367262164596</v>
          </cell>
          <cell r="H101">
            <v>36209.4713808507</v>
          </cell>
          <cell r="I101">
            <v>36813.367166852397</v>
          </cell>
          <cell r="J101">
            <v>37396.041451931298</v>
          </cell>
          <cell r="K101">
            <v>38019.117742840601</v>
          </cell>
          <cell r="L101">
            <v>38720.781224562503</v>
          </cell>
          <cell r="M101">
            <v>39517.136574458003</v>
          </cell>
          <cell r="N101">
            <v>40368.129673514202</v>
          </cell>
          <cell r="O101">
            <v>41259.963865843398</v>
          </cell>
          <cell r="P101">
            <v>42128.283952945501</v>
          </cell>
          <cell r="Q101">
            <v>42931.073045613899</v>
          </cell>
          <cell r="R101">
            <v>43674.576313728197</v>
          </cell>
          <cell r="S101">
            <v>44371.999141478598</v>
          </cell>
        </row>
        <row r="102">
          <cell r="D102">
            <v>26495.006179058499</v>
          </cell>
          <cell r="E102">
            <v>27644.965463365101</v>
          </cell>
          <cell r="F102">
            <v>28781.467784967601</v>
          </cell>
          <cell r="G102">
            <v>29841.066454390799</v>
          </cell>
          <cell r="H102">
            <v>30817.893621470899</v>
          </cell>
          <cell r="I102">
            <v>31717.720271010301</v>
          </cell>
          <cell r="J102">
            <v>32539.3866608057</v>
          </cell>
          <cell r="K102">
            <v>33294.024777857303</v>
          </cell>
          <cell r="L102">
            <v>33996.805872992903</v>
          </cell>
          <cell r="M102">
            <v>34649.409787909397</v>
          </cell>
          <cell r="N102">
            <v>35244.763125465302</v>
          </cell>
          <cell r="O102">
            <v>35836.489365149399</v>
          </cell>
          <cell r="P102">
            <v>36477.367108370898</v>
          </cell>
          <cell r="Q102">
            <v>37197.217210922397</v>
          </cell>
          <cell r="R102">
            <v>38011.246717267801</v>
          </cell>
          <cell r="S102">
            <v>38899.565633764199</v>
          </cell>
        </row>
        <row r="103">
          <cell r="D103">
            <v>20433.945904237298</v>
          </cell>
          <cell r="E103">
            <v>21100.5288126901</v>
          </cell>
          <cell r="F103">
            <v>21835.218418026001</v>
          </cell>
          <cell r="G103">
            <v>22675.8839208018</v>
          </cell>
          <cell r="H103">
            <v>23632.130290555499</v>
          </cell>
          <cell r="I103">
            <v>24678.248993693302</v>
          </cell>
          <cell r="J103">
            <v>25764.523600960802</v>
          </cell>
          <cell r="K103">
            <v>26831.956786102401</v>
          </cell>
          <cell r="L103">
            <v>27830.311241573501</v>
          </cell>
          <cell r="M103">
            <v>28758.1096195233</v>
          </cell>
          <cell r="N103">
            <v>29614.5581696388</v>
          </cell>
          <cell r="O103">
            <v>30417.010793356301</v>
          </cell>
          <cell r="P103">
            <v>31161.9110517427</v>
          </cell>
          <cell r="Q103">
            <v>31867.5054091321</v>
          </cell>
          <cell r="R103">
            <v>32530.4764507621</v>
          </cell>
          <cell r="S103">
            <v>33160.792398277401</v>
          </cell>
        </row>
        <row r="104">
          <cell r="D104">
            <v>14850.047826328</v>
          </cell>
          <cell r="E104">
            <v>15586.948523874</v>
          </cell>
          <cell r="F104">
            <v>16320.080692572201</v>
          </cell>
          <cell r="G104">
            <v>17019.688227596602</v>
          </cell>
          <cell r="H104">
            <v>17669.219695546999</v>
          </cell>
          <cell r="I104">
            <v>18283.3775499443</v>
          </cell>
          <cell r="J104">
            <v>18896.456064108999</v>
          </cell>
          <cell r="K104">
            <v>19570.519664380001</v>
          </cell>
          <cell r="L104">
            <v>20341.423849097999</v>
          </cell>
          <cell r="M104">
            <v>21224.889686136899</v>
          </cell>
          <cell r="N104">
            <v>22186.9262765651</v>
          </cell>
          <cell r="O104">
            <v>23196.3672694999</v>
          </cell>
          <cell r="P104">
            <v>24198.1045162466</v>
          </cell>
          <cell r="Q104">
            <v>25144.744051959002</v>
          </cell>
          <cell r="R104">
            <v>26034.157561885899</v>
          </cell>
          <cell r="S104">
            <v>26877.369382401899</v>
          </cell>
        </row>
        <row r="105">
          <cell r="D105">
            <v>9998.3986543717292</v>
          </cell>
          <cell r="E105">
            <v>10387.629300712</v>
          </cell>
          <cell r="F105">
            <v>10826.9754766445</v>
          </cell>
          <cell r="G105">
            <v>11322.411219347799</v>
          </cell>
          <cell r="H105">
            <v>11882.720642767799</v>
          </cell>
          <cell r="I105">
            <v>12498.018857065201</v>
          </cell>
          <cell r="J105">
            <v>13137.8224632408</v>
          </cell>
          <cell r="K105">
            <v>13771.587467159499</v>
          </cell>
          <cell r="L105">
            <v>14378.1432453048</v>
          </cell>
          <cell r="M105">
            <v>14949.3742893778</v>
          </cell>
          <cell r="N105">
            <v>15492.060760021999</v>
          </cell>
          <cell r="O105">
            <v>16046.651483633799</v>
          </cell>
          <cell r="P105">
            <v>16659.222344270798</v>
          </cell>
          <cell r="Q105">
            <v>17363.225117234899</v>
          </cell>
          <cell r="R105">
            <v>18167.1473103998</v>
          </cell>
          <cell r="S105">
            <v>19054.762097039798</v>
          </cell>
        </row>
        <row r="106">
          <cell r="D106">
            <v>6347.1575249613397</v>
          </cell>
          <cell r="E106">
            <v>6593.4773902197203</v>
          </cell>
          <cell r="F106">
            <v>6852.1104626030401</v>
          </cell>
          <cell r="G106">
            <v>7126.1051851328803</v>
          </cell>
          <cell r="H106">
            <v>7410.2871119343799</v>
          </cell>
          <cell r="I106">
            <v>7709.1333128123397</v>
          </cell>
          <cell r="J106">
            <v>8029.6158040647897</v>
          </cell>
          <cell r="K106">
            <v>8387.3655704485609</v>
          </cell>
          <cell r="L106">
            <v>8793.2611757124396</v>
          </cell>
          <cell r="M106">
            <v>9251.1822956687793</v>
          </cell>
          <cell r="N106">
            <v>9753.8902262073207</v>
          </cell>
          <cell r="O106">
            <v>10283.5230263666</v>
          </cell>
          <cell r="P106">
            <v>10812.620040060699</v>
          </cell>
          <cell r="Q106">
            <v>11325.0138997413</v>
          </cell>
          <cell r="R106">
            <v>11814.481664766599</v>
          </cell>
          <cell r="S106">
            <v>12294.521141556699</v>
          </cell>
        </row>
        <row r="107">
          <cell r="D107">
            <v>5401.8361914564603</v>
          </cell>
          <cell r="E107">
            <v>5610.6609364862998</v>
          </cell>
          <cell r="F107">
            <v>5833.6076358758701</v>
          </cell>
          <cell r="G107">
            <v>6069.0128102291701</v>
          </cell>
          <cell r="H107">
            <v>6316.7360177749797</v>
          </cell>
          <cell r="I107">
            <v>6580.3317380104299</v>
          </cell>
          <cell r="J107">
            <v>6856.0411527218203</v>
          </cell>
          <cell r="K107">
            <v>7148.2432474287498</v>
          </cell>
          <cell r="L107">
            <v>7457.8547084537404</v>
          </cell>
          <cell r="M107">
            <v>7783.3600560250297</v>
          </cell>
          <cell r="N107">
            <v>8127.4087874413799</v>
          </cell>
          <cell r="O107">
            <v>8501.3387365824292</v>
          </cell>
          <cell r="P107">
            <v>8913.6723654350608</v>
          </cell>
          <cell r="Q107">
            <v>9369.1563577999405</v>
          </cell>
          <cell r="R107">
            <v>9875.1628809866506</v>
          </cell>
          <cell r="S107">
            <v>10427.150465938499</v>
          </cell>
        </row>
        <row r="108">
          <cell r="D108">
            <v>135551.90145844099</v>
          </cell>
          <cell r="E108">
            <v>132644.50190132399</v>
          </cell>
          <cell r="F108">
            <v>130410.938029741</v>
          </cell>
          <cell r="G108">
            <v>128882.34296097999</v>
          </cell>
          <cell r="H108">
            <v>129264.43515407199</v>
          </cell>
          <cell r="I108">
            <v>132251.83691432499</v>
          </cell>
          <cell r="J108">
            <v>134567.03295512701</v>
          </cell>
          <cell r="K108">
            <v>136075.52074171399</v>
          </cell>
          <cell r="L108">
            <v>136800.951730284</v>
          </cell>
          <cell r="M108">
            <v>135754.81319261101</v>
          </cell>
          <cell r="N108">
            <v>133046.65944862101</v>
          </cell>
          <cell r="O108">
            <v>130416.370811849</v>
          </cell>
          <cell r="P108">
            <v>127811.13946362</v>
          </cell>
          <cell r="Q108">
            <v>125225.008202736</v>
          </cell>
          <cell r="R108">
            <v>122657.38680292699</v>
          </cell>
          <cell r="S108">
            <v>120066.895640512</v>
          </cell>
        </row>
        <row r="109">
          <cell r="D109">
            <v>150802.96683099799</v>
          </cell>
          <cell r="E109">
            <v>147022.32954685899</v>
          </cell>
          <cell r="F109">
            <v>143561.51133296001</v>
          </cell>
          <cell r="G109">
            <v>140268.18035396701</v>
          </cell>
          <cell r="H109">
            <v>137260.78343965099</v>
          </cell>
          <cell r="I109">
            <v>133228.859910517</v>
          </cell>
          <cell r="J109">
            <v>130098.286820041</v>
          </cell>
          <cell r="K109">
            <v>127678.613699857</v>
          </cell>
          <cell r="L109">
            <v>125995.58743117</v>
          </cell>
          <cell r="M109">
            <v>126297.74754742801</v>
          </cell>
          <cell r="N109">
            <v>129309.79778069899</v>
          </cell>
          <cell r="O109">
            <v>131676.49025021601</v>
          </cell>
          <cell r="P109">
            <v>133264.41740932199</v>
          </cell>
          <cell r="Q109">
            <v>134081.39855285699</v>
          </cell>
          <cell r="R109">
            <v>133124.65875502201</v>
          </cell>
          <cell r="S109">
            <v>130514.480942686</v>
          </cell>
        </row>
        <row r="110">
          <cell r="D110">
            <v>169497.43367911101</v>
          </cell>
          <cell r="E110">
            <v>165115.088898174</v>
          </cell>
          <cell r="F110">
            <v>161094.27232455101</v>
          </cell>
          <cell r="G110">
            <v>157117.73515331501</v>
          </cell>
          <cell r="H110">
            <v>152690.83716768699</v>
          </cell>
          <cell r="I110">
            <v>148663.81910061999</v>
          </cell>
          <cell r="J110">
            <v>144606.94276837099</v>
          </cell>
          <cell r="K110">
            <v>140927.35609037601</v>
          </cell>
          <cell r="L110">
            <v>137466.912550496</v>
          </cell>
          <cell r="M110">
            <v>134401.662301395</v>
          </cell>
          <cell r="N110">
            <v>130427.55993156901</v>
          </cell>
          <cell r="O110">
            <v>127351.944063553</v>
          </cell>
          <cell r="P110">
            <v>124982.182901636</v>
          </cell>
          <cell r="Q110">
            <v>123349.73690818201</v>
          </cell>
          <cell r="R110">
            <v>123697.22829154199</v>
          </cell>
          <cell r="S110">
            <v>126751.19465225701</v>
          </cell>
        </row>
        <row r="111">
          <cell r="D111">
            <v>185806.54421436001</v>
          </cell>
          <cell r="E111">
            <v>183486.367940483</v>
          </cell>
          <cell r="F111">
            <v>179966.45284294599</v>
          </cell>
          <cell r="G111">
            <v>175174.98515318701</v>
          </cell>
          <cell r="H111">
            <v>170583.080164643</v>
          </cell>
          <cell r="I111">
            <v>165934.57944869599</v>
          </cell>
          <cell r="J111">
            <v>161228.315352379</v>
          </cell>
          <cell r="K111">
            <v>156942.71525529199</v>
          </cell>
          <cell r="L111">
            <v>152758.012944911</v>
          </cell>
          <cell r="M111">
            <v>148251.97116503099</v>
          </cell>
          <cell r="N111">
            <v>144275.22454060701</v>
          </cell>
          <cell r="O111">
            <v>140267.669051887</v>
          </cell>
          <cell r="P111">
            <v>136635.40763861701</v>
          </cell>
          <cell r="Q111">
            <v>133221.109113844</v>
          </cell>
          <cell r="R111">
            <v>130202.724130584</v>
          </cell>
          <cell r="S111">
            <v>126279.162189947</v>
          </cell>
        </row>
        <row r="112">
          <cell r="D112">
            <v>177118.96241018499</v>
          </cell>
          <cell r="E112">
            <v>177235.70480338499</v>
          </cell>
          <cell r="F112">
            <v>177841.02664771699</v>
          </cell>
          <cell r="G112">
            <v>179008.71526647999</v>
          </cell>
          <cell r="H112">
            <v>178059.91152912201</v>
          </cell>
          <cell r="I112">
            <v>176009.440170457</v>
          </cell>
          <cell r="J112">
            <v>173347.89931363301</v>
          </cell>
          <cell r="K112">
            <v>169547.08108063499</v>
          </cell>
          <cell r="L112">
            <v>164529.320415683</v>
          </cell>
          <cell r="M112">
            <v>159834.70294434801</v>
          </cell>
          <cell r="N112">
            <v>155206.11928320999</v>
          </cell>
          <cell r="O112">
            <v>150516.37421464399</v>
          </cell>
          <cell r="P112">
            <v>146241.28237255299</v>
          </cell>
          <cell r="Q112">
            <v>142066.52129246999</v>
          </cell>
          <cell r="R112">
            <v>137572.426043657</v>
          </cell>
          <cell r="S112">
            <v>133602.15205978701</v>
          </cell>
        </row>
        <row r="113">
          <cell r="D113">
            <v>179725.53724807801</v>
          </cell>
          <cell r="E113">
            <v>174348.31721545101</v>
          </cell>
          <cell r="F113">
            <v>169253.10174755901</v>
          </cell>
          <cell r="G113">
            <v>165465.276232025</v>
          </cell>
          <cell r="H113">
            <v>164133.247501334</v>
          </cell>
          <cell r="I113">
            <v>164230.05009841599</v>
          </cell>
          <cell r="J113">
            <v>164003.884316407</v>
          </cell>
          <cell r="K113">
            <v>164346.04166171499</v>
          </cell>
          <cell r="L113">
            <v>165317.27405881701</v>
          </cell>
          <cell r="M113">
            <v>164338.87655344</v>
          </cell>
          <cell r="N113">
            <v>162280.285103106</v>
          </cell>
          <cell r="O113">
            <v>159616.79304291401</v>
          </cell>
          <cell r="P113">
            <v>155817.21049503499</v>
          </cell>
          <cell r="Q113">
            <v>150810.13588086399</v>
          </cell>
          <cell r="R113">
            <v>146121.67943421801</v>
          </cell>
          <cell r="S113">
            <v>141494.97392958301</v>
          </cell>
        </row>
        <row r="114">
          <cell r="D114">
            <v>185005.75317353301</v>
          </cell>
          <cell r="E114">
            <v>186336.68636090899</v>
          </cell>
          <cell r="F114">
            <v>186051.989166079</v>
          </cell>
          <cell r="G114">
            <v>183621.83007313599</v>
          </cell>
          <cell r="H114">
            <v>178697.77400367701</v>
          </cell>
          <cell r="I114">
            <v>171560.22775702801</v>
          </cell>
          <cell r="J114">
            <v>165801.195387991</v>
          </cell>
          <cell r="K114">
            <v>160455.76823717399</v>
          </cell>
          <cell r="L114">
            <v>156529.791043768</v>
          </cell>
          <cell r="M114">
            <v>155217.60019883901</v>
          </cell>
          <cell r="N114">
            <v>155348.961095162</v>
          </cell>
          <cell r="O114">
            <v>155157.44802568201</v>
          </cell>
          <cell r="P114">
            <v>155526.72836393499</v>
          </cell>
          <cell r="Q114">
            <v>156521.779105311</v>
          </cell>
          <cell r="R114">
            <v>155584.03739491699</v>
          </cell>
          <cell r="S114">
            <v>153579.20455562501</v>
          </cell>
        </row>
        <row r="115">
          <cell r="D115">
            <v>167162.126806299</v>
          </cell>
          <cell r="E115">
            <v>169730.70118742</v>
          </cell>
          <cell r="F115">
            <v>172433.22056419399</v>
          </cell>
          <cell r="G115">
            <v>175029.54013318999</v>
          </cell>
          <cell r="H115">
            <v>177543.403393279</v>
          </cell>
          <cell r="I115">
            <v>179782.252048061</v>
          </cell>
          <cell r="J115">
            <v>180649.287800536</v>
          </cell>
          <cell r="K115">
            <v>179985.18096870201</v>
          </cell>
          <cell r="L115">
            <v>177286.56988154401</v>
          </cell>
          <cell r="M115">
            <v>172293.884747</v>
          </cell>
          <cell r="N115">
            <v>165351.883506971</v>
          </cell>
          <cell r="O115">
            <v>159755.58591290901</v>
          </cell>
          <cell r="P115">
            <v>154556.45815283799</v>
          </cell>
          <cell r="Q115">
            <v>150753.24899220499</v>
          </cell>
          <cell r="R115">
            <v>149534.59487669799</v>
          </cell>
          <cell r="S115">
            <v>149749.05531598901</v>
          </cell>
        </row>
        <row r="116">
          <cell r="D116">
            <v>166774.74414029799</v>
          </cell>
          <cell r="E116">
            <v>164964.80848936399</v>
          </cell>
          <cell r="F116">
            <v>163538.51244906499</v>
          </cell>
          <cell r="G116">
            <v>162710.848474017</v>
          </cell>
          <cell r="H116">
            <v>162462.36875509401</v>
          </cell>
          <cell r="I116">
            <v>162688.85895160199</v>
          </cell>
          <cell r="J116">
            <v>164909.04822098199</v>
          </cell>
          <cell r="K116">
            <v>167301.76894980401</v>
          </cell>
          <cell r="L116">
            <v>169636.01997847899</v>
          </cell>
          <cell r="M116">
            <v>172010.062846627</v>
          </cell>
          <cell r="N116">
            <v>174333.93646552801</v>
          </cell>
          <cell r="O116">
            <v>175295.39480300801</v>
          </cell>
          <cell r="P116">
            <v>174750.456476388</v>
          </cell>
          <cell r="Q116">
            <v>172193.61792297501</v>
          </cell>
          <cell r="R116">
            <v>167375.56045583301</v>
          </cell>
          <cell r="S116">
            <v>160641.728309898</v>
          </cell>
        </row>
        <row r="117">
          <cell r="D117">
            <v>159780.83538747299</v>
          </cell>
          <cell r="E117">
            <v>160579.62616029201</v>
          </cell>
          <cell r="F117">
            <v>161301.80214644299</v>
          </cell>
          <cell r="G117">
            <v>161853.224390588</v>
          </cell>
          <cell r="H117">
            <v>162109.33795156601</v>
          </cell>
          <cell r="I117">
            <v>162168.782095167</v>
          </cell>
          <cell r="J117">
            <v>160157.939009469</v>
          </cell>
          <cell r="K117">
            <v>158596.681811558</v>
          </cell>
          <cell r="L117">
            <v>157687.722920353</v>
          </cell>
          <cell r="M117">
            <v>157468.18794405201</v>
          </cell>
          <cell r="N117">
            <v>157819.22543752301</v>
          </cell>
          <cell r="O117">
            <v>160105.06436253499</v>
          </cell>
          <cell r="P117">
            <v>162561.18739438799</v>
          </cell>
          <cell r="Q117">
            <v>164961.996954192</v>
          </cell>
          <cell r="R117">
            <v>167408.49209606799</v>
          </cell>
          <cell r="S117">
            <v>169819.91553160999</v>
          </cell>
        </row>
        <row r="118">
          <cell r="D118">
            <v>152820.96025388199</v>
          </cell>
          <cell r="E118">
            <v>152893.28418436399</v>
          </cell>
          <cell r="F118">
            <v>152836.18950846401</v>
          </cell>
          <cell r="G118">
            <v>152950.98609768401</v>
          </cell>
          <cell r="H118">
            <v>153258.49465290399</v>
          </cell>
          <cell r="I118">
            <v>153687.22041335001</v>
          </cell>
          <cell r="J118">
            <v>154273.372342227</v>
          </cell>
          <cell r="K118">
            <v>154843.488494827</v>
          </cell>
          <cell r="L118">
            <v>155304.863108694</v>
          </cell>
          <cell r="M118">
            <v>155600.36001518799</v>
          </cell>
          <cell r="N118">
            <v>155808.45223850501</v>
          </cell>
          <cell r="O118">
            <v>153985.19745464899</v>
          </cell>
          <cell r="P118">
            <v>152595.953323008</v>
          </cell>
          <cell r="Q118">
            <v>151838.09193908199</v>
          </cell>
          <cell r="R118">
            <v>151755.98369978499</v>
          </cell>
          <cell r="S118">
            <v>152243.941480421</v>
          </cell>
        </row>
        <row r="119">
          <cell r="D119">
            <v>136138.48089584699</v>
          </cell>
          <cell r="E119">
            <v>139401.10908141499</v>
          </cell>
          <cell r="F119">
            <v>142107.80002018501</v>
          </cell>
          <cell r="G119">
            <v>143957.46851636699</v>
          </cell>
          <cell r="H119">
            <v>144779.737797732</v>
          </cell>
          <cell r="I119">
            <v>144635.478131704</v>
          </cell>
          <cell r="J119">
            <v>144467.76380516699</v>
          </cell>
          <cell r="K119">
            <v>144256.301482209</v>
          </cell>
          <cell r="L119">
            <v>144287.511281224</v>
          </cell>
          <cell r="M119">
            <v>144640.237545493</v>
          </cell>
          <cell r="N119">
            <v>145217.18138445899</v>
          </cell>
          <cell r="O119">
            <v>145941.20205410701</v>
          </cell>
          <cell r="P119">
            <v>146644.563406795</v>
          </cell>
          <cell r="Q119">
            <v>147242.230144817</v>
          </cell>
          <cell r="R119">
            <v>147681.44166714101</v>
          </cell>
          <cell r="S119">
            <v>148044.54908845</v>
          </cell>
        </row>
        <row r="120">
          <cell r="D120">
            <v>112762.38942529701</v>
          </cell>
          <cell r="E120">
            <v>114918.426747505</v>
          </cell>
          <cell r="F120">
            <v>117163.116452495</v>
          </cell>
          <cell r="G120">
            <v>119687.20848987599</v>
          </cell>
          <cell r="H120">
            <v>122524.75617764</v>
          </cell>
          <cell r="I120">
            <v>125521.90210157901</v>
          </cell>
          <cell r="J120">
            <v>128442.157286671</v>
          </cell>
          <cell r="K120">
            <v>130856.470797681</v>
          </cell>
          <cell r="L120">
            <v>132486.20557530699</v>
          </cell>
          <cell r="M120">
            <v>133245.38786923999</v>
          </cell>
          <cell r="N120">
            <v>133305.37294019901</v>
          </cell>
          <cell r="O120">
            <v>133346.99723942901</v>
          </cell>
          <cell r="P120">
            <v>133348.26792139199</v>
          </cell>
          <cell r="Q120">
            <v>133575.40464847299</v>
          </cell>
          <cell r="R120">
            <v>134105.62246261199</v>
          </cell>
          <cell r="S120">
            <v>134849.595142003</v>
          </cell>
        </row>
        <row r="121">
          <cell r="D121">
            <v>85602.560286837703</v>
          </cell>
          <cell r="E121">
            <v>89028.117917743206</v>
          </cell>
          <cell r="F121">
            <v>92339.742587457396</v>
          </cell>
          <cell r="G121">
            <v>95311.626207524096</v>
          </cell>
          <cell r="H121">
            <v>97795.550147598595</v>
          </cell>
          <cell r="I121">
            <v>99868.7854836068</v>
          </cell>
          <cell r="J121">
            <v>101795.89420199599</v>
          </cell>
          <cell r="K121">
            <v>103845.686050905</v>
          </cell>
          <cell r="L121">
            <v>106183.75300045199</v>
          </cell>
          <cell r="M121">
            <v>108884.67433579599</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65053.079966910802</v>
          </cell>
          <cell r="G122">
            <v>66711.116861542905</v>
          </cell>
          <cell r="H122">
            <v>68818.942262618395</v>
          </cell>
          <cell r="I122">
            <v>71274.5791283789</v>
          </cell>
          <cell r="J122">
            <v>74194.402837492598</v>
          </cell>
          <cell r="K122">
            <v>77039.020588749307</v>
          </cell>
          <cell r="L122">
            <v>79628.315309209793</v>
          </cell>
          <cell r="M122">
            <v>81877.621393237598</v>
          </cell>
          <cell r="N122">
            <v>83858.132553802905</v>
          </cell>
          <cell r="O122">
            <v>85729.060713055398</v>
          </cell>
          <cell r="P122">
            <v>87721.610710674198</v>
          </cell>
          <cell r="Q122">
            <v>89978.091592952405</v>
          </cell>
          <cell r="R122">
            <v>92558.865557132798</v>
          </cell>
          <cell r="S122">
            <v>95344.569659924397</v>
          </cell>
        </row>
        <row r="123">
          <cell r="D123">
            <v>40935.437018291203</v>
          </cell>
          <cell r="E123">
            <v>42252.839740979303</v>
          </cell>
          <cell r="F123">
            <v>43532.137180686899</v>
          </cell>
          <cell r="G123">
            <v>44732.8697363791</v>
          </cell>
          <cell r="H123">
            <v>45794.714545067203</v>
          </cell>
          <cell r="I123">
            <v>46860.027047118303</v>
          </cell>
          <cell r="J123">
            <v>47705.341891111799</v>
          </cell>
          <cell r="K123">
            <v>48782.507854948199</v>
          </cell>
          <cell r="L123">
            <v>50196.046867592901</v>
          </cell>
          <cell r="M123">
            <v>51996.372022955999</v>
          </cell>
          <cell r="N123">
            <v>54113.073278902702</v>
          </cell>
          <cell r="O123">
            <v>56583.556524074003</v>
          </cell>
          <cell r="P123">
            <v>59002.810326663399</v>
          </cell>
          <cell r="Q123">
            <v>61235.242586474502</v>
          </cell>
          <cell r="R123">
            <v>63217.772036730697</v>
          </cell>
          <cell r="S123">
            <v>65008.749809365698</v>
          </cell>
        </row>
        <row r="124">
          <cell r="D124">
            <v>35675.240868856803</v>
          </cell>
          <cell r="E124">
            <v>36666.416010820903</v>
          </cell>
          <cell r="F124">
            <v>37739.348239160703</v>
          </cell>
          <cell r="G124">
            <v>38899.019830854399</v>
          </cell>
          <cell r="H124">
            <v>40143.212903371801</v>
          </cell>
          <cell r="I124">
            <v>41474.876707080002</v>
          </cell>
          <cell r="J124">
            <v>42902.165729335698</v>
          </cell>
          <cell r="K124">
            <v>44373.931541027297</v>
          </cell>
          <cell r="L124">
            <v>45862.301830358098</v>
          </cell>
          <cell r="M124">
            <v>47352.286209454403</v>
          </cell>
          <cell r="N124">
            <v>48877.870926167401</v>
          </cell>
          <cell r="O124">
            <v>50318.905687057697</v>
          </cell>
          <cell r="P124">
            <v>51973.342398119697</v>
          </cell>
          <cell r="Q124">
            <v>53889.847840374598</v>
          </cell>
          <cell r="R124">
            <v>56077.593676807002</v>
          </cell>
          <cell r="S124">
            <v>58496.098965732999</v>
          </cell>
        </row>
        <row r="125">
          <cell r="D125">
            <v>130788.375616936</v>
          </cell>
          <cell r="E125">
            <v>127922.558136019</v>
          </cell>
          <cell r="F125">
            <v>125716.54504803701</v>
          </cell>
          <cell r="G125">
            <v>124197.657113223</v>
          </cell>
          <cell r="H125">
            <v>124530.62379179</v>
          </cell>
          <cell r="I125">
            <v>127379.52900064499</v>
          </cell>
          <cell r="J125">
            <v>129578.594766041</v>
          </cell>
          <cell r="K125">
            <v>130997.665427182</v>
          </cell>
          <cell r="L125">
            <v>131660.67343121499</v>
          </cell>
          <cell r="M125">
            <v>130614.825606103</v>
          </cell>
          <cell r="N125">
            <v>127969.022569099</v>
          </cell>
          <cell r="O125">
            <v>125392.76010888199</v>
          </cell>
          <cell r="P125">
            <v>122843.59434664799</v>
          </cell>
          <cell r="Q125">
            <v>120314.57405341799</v>
          </cell>
          <cell r="R125">
            <v>117804.902997396</v>
          </cell>
          <cell r="S125">
            <v>115269.325514918</v>
          </cell>
        </row>
        <row r="126">
          <cell r="D126">
            <v>145973.49409537099</v>
          </cell>
          <cell r="E126">
            <v>142235.77474622399</v>
          </cell>
          <cell r="F126">
            <v>138822.16565033299</v>
          </cell>
          <cell r="G126">
            <v>135582.33372257001</v>
          </cell>
          <cell r="H126">
            <v>132638.21422311699</v>
          </cell>
          <cell r="I126">
            <v>128714.132933823</v>
          </cell>
          <cell r="J126">
            <v>125654.5800775</v>
          </cell>
          <cell r="K126">
            <v>123278.44069011</v>
          </cell>
          <cell r="L126">
            <v>121608.629490547</v>
          </cell>
          <cell r="M126">
            <v>121852.45992439501</v>
          </cell>
          <cell r="N126">
            <v>124704.878810593</v>
          </cell>
          <cell r="O126">
            <v>126929.783682863</v>
          </cell>
          <cell r="P126">
            <v>128406.654689944</v>
          </cell>
          <cell r="Q126">
            <v>129138.334877007</v>
          </cell>
          <cell r="R126">
            <v>128164.580495049</v>
          </cell>
          <cell r="S126">
            <v>125605.17962883299</v>
          </cell>
        </row>
        <row r="127">
          <cell r="D127">
            <v>164730.463087846</v>
          </cell>
          <cell r="E127">
            <v>160366.917444044</v>
          </cell>
          <cell r="F127">
            <v>156372.49278862099</v>
          </cell>
          <cell r="G127">
            <v>152436.74882971399</v>
          </cell>
          <cell r="H127">
            <v>148085.349788914</v>
          </cell>
          <cell r="I127">
            <v>144123.19741456199</v>
          </cell>
          <cell r="J127">
            <v>140127.07518037499</v>
          </cell>
          <cell r="K127">
            <v>136505.39331839801</v>
          </cell>
          <cell r="L127">
            <v>133103.823307485</v>
          </cell>
          <cell r="M127">
            <v>130094.041608821</v>
          </cell>
          <cell r="N127">
            <v>126211.56041078499</v>
          </cell>
          <cell r="O127">
            <v>123187.59568305399</v>
          </cell>
          <cell r="P127">
            <v>120845.80472946601</v>
          </cell>
          <cell r="Q127">
            <v>119214.598439436</v>
          </cell>
          <cell r="R127">
            <v>119493.590312042</v>
          </cell>
          <cell r="S127">
            <v>122386.453333219</v>
          </cell>
        </row>
        <row r="128">
          <cell r="D128">
            <v>182276.465669005</v>
          </cell>
          <cell r="E128">
            <v>179744.99560332301</v>
          </cell>
          <cell r="F128">
            <v>175582.44428398</v>
          </cell>
          <cell r="G128">
            <v>170676.89786975499</v>
          </cell>
          <cell r="H128">
            <v>166125.39023418201</v>
          </cell>
          <cell r="I128">
            <v>161727.545091693</v>
          </cell>
          <cell r="J128">
            <v>157259.97013715401</v>
          </cell>
          <cell r="K128">
            <v>153162.66775102599</v>
          </cell>
          <cell r="L128">
            <v>149108.48544881499</v>
          </cell>
          <cell r="M128">
            <v>144696.98482626001</v>
          </cell>
          <cell r="N128">
            <v>140771.81966781401</v>
          </cell>
          <cell r="O128">
            <v>136813.074968186</v>
          </cell>
          <cell r="P128">
            <v>133224.91190759401</v>
          </cell>
          <cell r="Q128">
            <v>129863.99937007899</v>
          </cell>
          <cell r="R128">
            <v>126900.06109336</v>
          </cell>
          <cell r="S128">
            <v>123069.122724289</v>
          </cell>
        </row>
        <row r="129">
          <cell r="D129">
            <v>175258.865275491</v>
          </cell>
          <cell r="E129">
            <v>174996.62530390499</v>
          </cell>
          <cell r="F129">
            <v>175688.67627785</v>
          </cell>
          <cell r="G129">
            <v>176316.09297729199</v>
          </cell>
          <cell r="H129">
            <v>176141.061866451</v>
          </cell>
          <cell r="I129">
            <v>174693.843514559</v>
          </cell>
          <cell r="J129">
            <v>171772.51642337799</v>
          </cell>
          <cell r="K129">
            <v>167373.28617093101</v>
          </cell>
          <cell r="L129">
            <v>162371.86289793899</v>
          </cell>
          <cell r="M129">
            <v>157900.508473269</v>
          </cell>
          <cell r="N129">
            <v>153524.66048004999</v>
          </cell>
          <cell r="O129">
            <v>149079.30208685499</v>
          </cell>
          <cell r="P129">
            <v>144999.98974119799</v>
          </cell>
          <cell r="Q129">
            <v>140969.56078673701</v>
          </cell>
          <cell r="R129">
            <v>136586.06014102101</v>
          </cell>
          <cell r="S129">
            <v>132703.34440849299</v>
          </cell>
        </row>
        <row r="130">
          <cell r="D130">
            <v>187668.768994768</v>
          </cell>
          <cell r="E130">
            <v>181149.175135022</v>
          </cell>
          <cell r="F130">
            <v>174866.88160828699</v>
          </cell>
          <cell r="G130">
            <v>169949.939040992</v>
          </cell>
          <cell r="H130">
            <v>166212.62253291099</v>
          </cell>
          <cell r="I130">
            <v>163813.61520346301</v>
          </cell>
          <cell r="J130">
            <v>163221.58877853499</v>
          </cell>
          <cell r="K130">
            <v>163569.71173152101</v>
          </cell>
          <cell r="L130">
            <v>163856.01703264701</v>
          </cell>
          <cell r="M130">
            <v>163458.20333869199</v>
          </cell>
          <cell r="N130">
            <v>162012.23355275</v>
          </cell>
          <cell r="O130">
            <v>159101.41486456501</v>
          </cell>
          <cell r="P130">
            <v>154718.37261658299</v>
          </cell>
          <cell r="Q130">
            <v>149740.41897190499</v>
          </cell>
          <cell r="R130">
            <v>145291.98179921301</v>
          </cell>
          <cell r="S130">
            <v>140747.665010864</v>
          </cell>
        </row>
        <row r="131">
          <cell r="D131">
            <v>188369.328075695</v>
          </cell>
          <cell r="E131">
            <v>189433.03312837501</v>
          </cell>
          <cell r="F131">
            <v>190056.052354513</v>
          </cell>
          <cell r="G131">
            <v>188580.13909398401</v>
          </cell>
          <cell r="H131">
            <v>184707.87520373301</v>
          </cell>
          <cell r="I131">
            <v>178775.80779666701</v>
          </cell>
          <cell r="J131">
            <v>172073.90157807301</v>
          </cell>
          <cell r="K131">
            <v>165747.185548979</v>
          </cell>
          <cell r="L131">
            <v>160882.708243909</v>
          </cell>
          <cell r="M131">
            <v>157138.82439279201</v>
          </cell>
          <cell r="N131">
            <v>154813.53267119499</v>
          </cell>
          <cell r="O131">
            <v>154266.631809568</v>
          </cell>
          <cell r="P131">
            <v>154645.48973699499</v>
          </cell>
          <cell r="Q131">
            <v>154962.80773084401</v>
          </cell>
          <cell r="R131">
            <v>154604.713083471</v>
          </cell>
          <cell r="S131">
            <v>153189.414468576</v>
          </cell>
        </row>
        <row r="132">
          <cell r="D132">
            <v>173097.140111488</v>
          </cell>
          <cell r="E132">
            <v>176257.58252958901</v>
          </cell>
          <cell r="F132">
            <v>178363.51770841799</v>
          </cell>
          <cell r="G132">
            <v>180289.80034058599</v>
          </cell>
          <cell r="H132">
            <v>181784.08919114899</v>
          </cell>
          <cell r="I132">
            <v>183040.12787144599</v>
          </cell>
          <cell r="J132">
            <v>183608.64238235701</v>
          </cell>
          <cell r="K132">
            <v>183875.45562115699</v>
          </cell>
          <cell r="L132">
            <v>182217.92398227</v>
          </cell>
          <cell r="M132">
            <v>178371.018032441</v>
          </cell>
          <cell r="N132">
            <v>172610.959292032</v>
          </cell>
          <cell r="O132">
            <v>166073.44967285599</v>
          </cell>
          <cell r="P132">
            <v>159893.05706728401</v>
          </cell>
          <cell r="Q132">
            <v>155151.460535783</v>
          </cell>
          <cell r="R132">
            <v>151515.77263498999</v>
          </cell>
          <cell r="S132">
            <v>149465.67251231699</v>
          </cell>
        </row>
        <row r="133">
          <cell r="D133">
            <v>177716.826850857</v>
          </cell>
          <cell r="E133">
            <v>174744.23354785101</v>
          </cell>
          <cell r="F133">
            <v>172310.29843504701</v>
          </cell>
          <cell r="G133">
            <v>170590.665512137</v>
          </cell>
          <cell r="H133">
            <v>169550.51129693401</v>
          </cell>
          <cell r="I133">
            <v>169047.82762607699</v>
          </cell>
          <cell r="J133">
            <v>171734.46779919701</v>
          </cell>
          <cell r="K133">
            <v>173376.34932852699</v>
          </cell>
          <cell r="L133">
            <v>174876.16151401401</v>
          </cell>
          <cell r="M133">
            <v>176320.86836176101</v>
          </cell>
          <cell r="N133">
            <v>177650.549471985</v>
          </cell>
          <cell r="O133">
            <v>178293.735865986</v>
          </cell>
          <cell r="P133">
            <v>178637.93465978</v>
          </cell>
          <cell r="Q133">
            <v>177076.11059122899</v>
          </cell>
          <cell r="R133">
            <v>173356.92700480099</v>
          </cell>
          <cell r="S133">
            <v>167779.975620693</v>
          </cell>
        </row>
        <row r="134">
          <cell r="D134">
            <v>165476.05810969</v>
          </cell>
          <cell r="E134">
            <v>167390.81976630099</v>
          </cell>
          <cell r="F134">
            <v>169098.28390339899</v>
          </cell>
          <cell r="G134">
            <v>170764.132929207</v>
          </cell>
          <cell r="H134">
            <v>172348.96354697499</v>
          </cell>
          <cell r="I134">
            <v>173899.29327506199</v>
          </cell>
          <cell r="J134">
            <v>170748.207409247</v>
          </cell>
          <cell r="K134">
            <v>168192.840884395</v>
          </cell>
          <cell r="L134">
            <v>166388.28001720301</v>
          </cell>
          <cell r="M134">
            <v>165353.417271218</v>
          </cell>
          <cell r="N134">
            <v>164958.655329253</v>
          </cell>
          <cell r="O134">
            <v>167684.37821400599</v>
          </cell>
          <cell r="P134">
            <v>169379.81216096701</v>
          </cell>
          <cell r="Q134">
            <v>170934.41371933499</v>
          </cell>
          <cell r="R134">
            <v>172444.716481404</v>
          </cell>
          <cell r="S134">
            <v>173858.12853240999</v>
          </cell>
        </row>
        <row r="135">
          <cell r="D135">
            <v>161478.868153658</v>
          </cell>
          <cell r="E135">
            <v>162339.97998145301</v>
          </cell>
          <cell r="F135">
            <v>162732.38178014601</v>
          </cell>
          <cell r="G135">
            <v>162656.28590937401</v>
          </cell>
          <cell r="H135">
            <v>162017.45083310001</v>
          </cell>
          <cell r="I135">
            <v>160832.79936171701</v>
          </cell>
          <cell r="J135">
            <v>162504.672596602</v>
          </cell>
          <cell r="K135">
            <v>164022.01787375001</v>
          </cell>
          <cell r="L135">
            <v>165551.193082735</v>
          </cell>
          <cell r="M135">
            <v>167109.68883210799</v>
          </cell>
          <cell r="N135">
            <v>168736.349712758</v>
          </cell>
          <cell r="O135">
            <v>165744.872183681</v>
          </cell>
          <cell r="P135">
            <v>163330.533155218</v>
          </cell>
          <cell r="Q135">
            <v>161648.503431794</v>
          </cell>
          <cell r="R135">
            <v>160727.70166228601</v>
          </cell>
          <cell r="S135">
            <v>160452.258268012</v>
          </cell>
        </row>
        <row r="136">
          <cell r="D136">
            <v>141124.62445666999</v>
          </cell>
          <cell r="E136">
            <v>144829.80112789301</v>
          </cell>
          <cell r="F136">
            <v>148314.896272413</v>
          </cell>
          <cell r="G136">
            <v>151328.76330449601</v>
          </cell>
          <cell r="H136">
            <v>153778.51061862899</v>
          </cell>
          <cell r="I136">
            <v>155683.75310601</v>
          </cell>
          <cell r="J136">
            <v>156295.73789804601</v>
          </cell>
          <cell r="K136">
            <v>156511.93469359499</v>
          </cell>
          <cell r="L136">
            <v>156333.235764941</v>
          </cell>
          <cell r="M136">
            <v>155724.41104124999</v>
          </cell>
          <cell r="N136">
            <v>154691.639332188</v>
          </cell>
          <cell r="O136">
            <v>156427.85274140301</v>
          </cell>
          <cell r="P136">
            <v>158011.08134095301</v>
          </cell>
          <cell r="Q136">
            <v>159601.27114116299</v>
          </cell>
          <cell r="R136">
            <v>161222.73056776199</v>
          </cell>
          <cell r="S136">
            <v>162926.43578330701</v>
          </cell>
        </row>
        <row r="137">
          <cell r="D137">
            <v>121430.907893126</v>
          </cell>
          <cell r="E137">
            <v>123313.40392426599</v>
          </cell>
          <cell r="F137">
            <v>125337.717749141</v>
          </cell>
          <cell r="G137">
            <v>127827.437747875</v>
          </cell>
          <cell r="H137">
            <v>130803.3279395</v>
          </cell>
          <cell r="I137">
            <v>134067.57799010701</v>
          </cell>
          <cell r="J137">
            <v>137474.68556314</v>
          </cell>
          <cell r="K137">
            <v>140690.225811324</v>
          </cell>
          <cell r="L137">
            <v>143477.90069247599</v>
          </cell>
          <cell r="M137">
            <v>145812.52214097499</v>
          </cell>
          <cell r="N137">
            <v>147770.69540345401</v>
          </cell>
          <cell r="O137">
            <v>148479.07390754201</v>
          </cell>
          <cell r="P137">
            <v>148806.872205122</v>
          </cell>
          <cell r="Q137">
            <v>148761.221079604</v>
          </cell>
          <cell r="R137">
            <v>148306.069086584</v>
          </cell>
          <cell r="S137">
            <v>147460.58068971601</v>
          </cell>
        </row>
        <row r="138">
          <cell r="D138">
            <v>96166.745837527094</v>
          </cell>
          <cell r="E138">
            <v>100424.87693574</v>
          </cell>
          <cell r="F138">
            <v>104506.225064326</v>
          </cell>
          <cell r="G138">
            <v>107968.92794973199</v>
          </cell>
          <cell r="H138">
            <v>110603.536098105</v>
          </cell>
          <cell r="I138">
            <v>112573.641372588</v>
          </cell>
          <cell r="J138">
            <v>114264.02353327</v>
          </cell>
          <cell r="K138">
            <v>116125.599308131</v>
          </cell>
          <cell r="L138">
            <v>118452.30169463099</v>
          </cell>
          <cell r="M138">
            <v>121308.685462742</v>
          </cell>
          <cell r="N138">
            <v>124519.041424893</v>
          </cell>
          <cell r="O138">
            <v>127858.58935135001</v>
          </cell>
          <cell r="P138">
            <v>131024.447981423</v>
          </cell>
          <cell r="Q138">
            <v>133796.76154710801</v>
          </cell>
          <cell r="R138">
            <v>136156.90201732301</v>
          </cell>
          <cell r="S138">
            <v>138180.66841169601</v>
          </cell>
        </row>
        <row r="139">
          <cell r="D139">
            <v>78096.324744360405</v>
          </cell>
          <cell r="E139">
            <v>77929.960900108999</v>
          </cell>
          <cell r="F139">
            <v>78353.110799777001</v>
          </cell>
          <cell r="G139">
            <v>79637.587664625695</v>
          </cell>
          <cell r="H139">
            <v>81891.075104846896</v>
          </cell>
          <cell r="I139">
            <v>85267.364352391305</v>
          </cell>
          <cell r="J139">
            <v>89066.822809328296</v>
          </cell>
          <cell r="K139">
            <v>92717.7557704629</v>
          </cell>
          <cell r="L139">
            <v>95831.952490568598</v>
          </cell>
          <cell r="M139">
            <v>98269.241406423607</v>
          </cell>
          <cell r="N139">
            <v>100194.32641277301</v>
          </cell>
          <cell r="O139">
            <v>101884.98825419899</v>
          </cell>
          <cell r="P139">
            <v>103741.29112549</v>
          </cell>
          <cell r="Q139">
            <v>106032.858005463</v>
          </cell>
          <cell r="R139">
            <v>108813.541284837</v>
          </cell>
          <cell r="S139">
            <v>111926.840440806</v>
          </cell>
        </row>
        <row r="140">
          <cell r="D140">
            <v>62452.840467262002</v>
          </cell>
          <cell r="E140">
            <v>63211.1146819594</v>
          </cell>
          <cell r="F140">
            <v>63783.292621588203</v>
          </cell>
          <cell r="G140">
            <v>64227.063196680203</v>
          </cell>
          <cell r="H140">
            <v>64459.655410483203</v>
          </cell>
          <cell r="I140">
            <v>64189.239020359302</v>
          </cell>
          <cell r="J140">
            <v>64087.9010346348</v>
          </cell>
          <cell r="K140">
            <v>64516.667937931699</v>
          </cell>
          <cell r="L140">
            <v>65696.822849715696</v>
          </cell>
          <cell r="M140">
            <v>67738.904306673896</v>
          </cell>
          <cell r="N140">
            <v>70757.085042442297</v>
          </cell>
          <cell r="O140">
            <v>74126.682071470903</v>
          </cell>
          <cell r="P140">
            <v>77370.667857815395</v>
          </cell>
          <cell r="Q140">
            <v>80169.456795051694</v>
          </cell>
          <cell r="R140">
            <v>82414.328424488704</v>
          </cell>
          <cell r="S140">
            <v>84250.784571854703</v>
          </cell>
        </row>
        <row r="141">
          <cell r="D141">
            <v>68887.976024919393</v>
          </cell>
          <cell r="E141">
            <v>71046.276220104803</v>
          </cell>
          <cell r="F141">
            <v>73193.843776712194</v>
          </cell>
          <cell r="G141">
            <v>75251.769848060299</v>
          </cell>
          <cell r="H141">
            <v>77212.616416673103</v>
          </cell>
          <cell r="I141">
            <v>79099.329958514398</v>
          </cell>
          <cell r="J141">
            <v>80926.419793805093</v>
          </cell>
          <cell r="K141">
            <v>82645.938687416099</v>
          </cell>
          <cell r="L141">
            <v>84243.749014245695</v>
          </cell>
          <cell r="M141">
            <v>85698.455322330599</v>
          </cell>
          <cell r="N141">
            <v>86822.027648203904</v>
          </cell>
          <cell r="O141">
            <v>88091.724719275895</v>
          </cell>
          <cell r="P141">
            <v>89739.791079835893</v>
          </cell>
          <cell r="Q141">
            <v>91902.862731849993</v>
          </cell>
          <cell r="R141">
            <v>94615.393685452902</v>
          </cell>
          <cell r="S141">
            <v>97778.417505420104</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35178.032837500003</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0.99318058118269703</v>
          </cell>
        </row>
        <row r="12">
          <cell r="A12" t="str">
            <v/>
          </cell>
          <cell r="D12" t="str">
            <v>IMIL</v>
          </cell>
          <cell r="J12">
            <v>1.44290622233195</v>
          </cell>
        </row>
        <row r="13">
          <cell r="A13" t="str">
            <v/>
          </cell>
          <cell r="D13" t="str">
            <v>IMIC</v>
          </cell>
          <cell r="J13">
            <v>17.353240259083101</v>
          </cell>
        </row>
        <row r="14">
          <cell r="A14" t="str">
            <v/>
          </cell>
          <cell r="D14" t="str">
            <v>IMIH</v>
          </cell>
          <cell r="J14">
            <v>7.6954998524370497</v>
          </cell>
        </row>
        <row r="15">
          <cell r="A15" t="str">
            <v/>
          </cell>
          <cell r="D15" t="str">
            <v>IMIP</v>
          </cell>
          <cell r="J15">
            <v>15.2945172722485</v>
          </cell>
        </row>
        <row r="16">
          <cell r="A16" t="str">
            <v/>
          </cell>
          <cell r="D16" t="str">
            <v>IMIF</v>
          </cell>
          <cell r="J16">
            <v>5.8889063414920697</v>
          </cell>
        </row>
        <row r="17">
          <cell r="A17" t="str">
            <v/>
          </cell>
          <cell r="D17" t="str">
            <v>IMIO</v>
          </cell>
          <cell r="J17">
            <v>28.894976807848298</v>
          </cell>
        </row>
        <row r="18">
          <cell r="A18" t="str">
            <v/>
          </cell>
          <cell r="D18" t="str">
            <v>IMIE</v>
          </cell>
          <cell r="J18">
            <v>0.18682963530638799</v>
          </cell>
        </row>
        <row r="19">
          <cell r="D19">
            <v>0</v>
          </cell>
          <cell r="J19" t="str">
            <v/>
          </cell>
        </row>
        <row r="20">
          <cell r="A20" t="str">
            <v/>
          </cell>
          <cell r="D20" t="str">
            <v>IMIS</v>
          </cell>
          <cell r="J20">
            <v>20.275122960000001</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0.55647663194961805</v>
          </cell>
        </row>
        <row r="74">
          <cell r="A74" t="str">
            <v/>
          </cell>
          <cell r="D74" t="str">
            <v>ICPA</v>
          </cell>
          <cell r="J74">
            <v>0.208678736981107</v>
          </cell>
        </row>
        <row r="75">
          <cell r="A75" t="str">
            <v/>
          </cell>
          <cell r="D75" t="str">
            <v>ICPL</v>
          </cell>
          <cell r="J75">
            <v>0.33388597916977097</v>
          </cell>
        </row>
        <row r="76">
          <cell r="A76" t="str">
            <v/>
          </cell>
          <cell r="D76" t="str">
            <v>ICPC</v>
          </cell>
          <cell r="J76">
            <v>2.7823831597480901</v>
          </cell>
        </row>
        <row r="77">
          <cell r="A77" t="str">
            <v/>
          </cell>
          <cell r="D77" t="str">
            <v>ICPH</v>
          </cell>
          <cell r="J77">
            <v>0.50082896875465599</v>
          </cell>
        </row>
        <row r="78">
          <cell r="A78" t="str">
            <v/>
          </cell>
          <cell r="D78" t="str">
            <v>ICPP</v>
          </cell>
          <cell r="J78">
            <v>7.7906728472946503</v>
          </cell>
        </row>
        <row r="79">
          <cell r="A79" t="str">
            <v/>
          </cell>
          <cell r="D79" t="str">
            <v>ICPF</v>
          </cell>
          <cell r="J79">
            <v>1.7807252222387799</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0.66789588210349704</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0.60110629389314796</v>
          </cell>
        </row>
        <row r="99">
          <cell r="A99" t="str">
            <v/>
          </cell>
          <cell r="D99" t="str">
            <v>INFP</v>
          </cell>
          <cell r="J99">
            <v>0</v>
          </cell>
        </row>
        <row r="100">
          <cell r="A100" t="str">
            <v/>
          </cell>
          <cell r="D100" t="str">
            <v>INFF</v>
          </cell>
          <cell r="J100">
            <v>0</v>
          </cell>
        </row>
        <row r="101">
          <cell r="A101" t="str">
            <v/>
          </cell>
          <cell r="D101" t="str">
            <v>INFO</v>
          </cell>
          <cell r="J101">
            <v>3.7402169397795899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3.1931633262906697E-2</v>
          </cell>
        </row>
        <row r="134">
          <cell r="A134" t="str">
            <v/>
          </cell>
          <cell r="D134" t="str">
            <v>IFBL</v>
          </cell>
          <cell r="J134">
            <v>0.2394872494718</v>
          </cell>
        </row>
        <row r="135">
          <cell r="A135" t="str">
            <v/>
          </cell>
          <cell r="D135" t="str">
            <v>IFBC</v>
          </cell>
          <cell r="J135">
            <v>7.3442756504685498</v>
          </cell>
        </row>
        <row r="136">
          <cell r="A136" t="str">
            <v/>
          </cell>
          <cell r="D136" t="str">
            <v>IFBH</v>
          </cell>
          <cell r="J136">
            <v>0.86215409809848098</v>
          </cell>
        </row>
        <row r="137">
          <cell r="A137" t="str">
            <v/>
          </cell>
          <cell r="D137" t="str">
            <v>IFBP</v>
          </cell>
          <cell r="J137">
            <v>3.5763429254455499</v>
          </cell>
        </row>
        <row r="138">
          <cell r="A138" t="str">
            <v/>
          </cell>
          <cell r="D138" t="str">
            <v>IFBF</v>
          </cell>
          <cell r="J138">
            <v>0.51090613220650705</v>
          </cell>
        </row>
        <row r="139">
          <cell r="A139" t="str">
            <v/>
          </cell>
          <cell r="D139" t="str">
            <v>IFBO</v>
          </cell>
          <cell r="J139">
            <v>2.6822571940841602</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4.0241553496851497</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4.2868722274366204</v>
          </cell>
        </row>
        <row r="176">
          <cell r="A176" t="str">
            <v/>
          </cell>
          <cell r="D176" t="str">
            <v>IOTH</v>
          </cell>
          <cell r="J176">
            <v>3.1863804172999202</v>
          </cell>
        </row>
        <row r="177">
          <cell r="A177" t="str">
            <v/>
          </cell>
          <cell r="D177" t="str">
            <v>IOTP</v>
          </cell>
          <cell r="J177">
            <v>4.3369135374845103</v>
          </cell>
        </row>
        <row r="178">
          <cell r="A178" t="str">
            <v/>
          </cell>
          <cell r="D178" t="str">
            <v>IOTF</v>
          </cell>
          <cell r="J178">
            <v>1.8465243407674501</v>
          </cell>
        </row>
        <row r="179">
          <cell r="A179" t="str">
            <v/>
          </cell>
          <cell r="D179" t="str">
            <v>IOTO</v>
          </cell>
          <cell r="J179">
            <v>12.304490923310899</v>
          </cell>
        </row>
        <row r="180">
          <cell r="A180" t="str">
            <v/>
          </cell>
          <cell r="D180" t="str">
            <v>IOTE</v>
          </cell>
          <cell r="J180">
            <v>0.41264064265496903</v>
          </cell>
        </row>
        <row r="181">
          <cell r="D181" t="str">
            <v/>
          </cell>
          <cell r="J181" t="str">
            <v/>
          </cell>
        </row>
        <row r="182">
          <cell r="A182" t="str">
            <v/>
          </cell>
          <cell r="D182" t="str">
            <v>IOTS</v>
          </cell>
          <cell r="J182">
            <v>73.690487252999503</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9.4685659246785203</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30.822038664165198</v>
          </cell>
          <cell r="L8">
            <v>30.425949170614501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6.0910000000000002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8.4021746293245503</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9.6111784369999995</v>
          </cell>
        </row>
        <row r="14">
          <cell r="J14">
            <v>14.27</v>
          </cell>
          <cell r="K14">
            <v>14.368</v>
          </cell>
          <cell r="L14">
            <v>14.465999999999999</v>
          </cell>
          <cell r="M14">
            <v>14.564</v>
          </cell>
          <cell r="N14">
            <v>14.662000000000001</v>
          </cell>
          <cell r="O14">
            <v>14.7599608803003</v>
          </cell>
        </row>
        <row r="15">
          <cell r="J15">
            <v>1.27</v>
          </cell>
          <cell r="K15">
            <v>1.2484871200000001</v>
          </cell>
          <cell r="L15">
            <v>1.2269742400000001</v>
          </cell>
          <cell r="M15">
            <v>1.2054613599999999</v>
          </cell>
          <cell r="N15">
            <v>1.18394848</v>
          </cell>
          <cell r="O15">
            <v>1.1624356</v>
          </cell>
        </row>
        <row r="16">
          <cell r="J16">
            <v>1.2</v>
          </cell>
          <cell r="K16">
            <v>1.17333333333333</v>
          </cell>
          <cell r="L16">
            <v>1.1466666666666701</v>
          </cell>
          <cell r="M16">
            <v>1.1200000000000001</v>
          </cell>
          <cell r="N16">
            <v>1.1200000000000001</v>
          </cell>
          <cell r="O16">
            <v>1.3591716472036699</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0.65910719806663898</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139.66439435388401</v>
          </cell>
        </row>
        <row r="11">
          <cell r="J11">
            <v>7.8517549075019</v>
          </cell>
        </row>
        <row r="12">
          <cell r="J12">
            <v>9.8944997565297594</v>
          </cell>
        </row>
        <row r="13">
          <cell r="J13">
            <v>121.540271905689</v>
          </cell>
        </row>
        <row r="14">
          <cell r="J14">
            <v>29.566390373747101</v>
          </cell>
        </row>
        <row r="15">
          <cell r="J15">
            <v>9.6831090230750299</v>
          </cell>
        </row>
        <row r="16">
          <cell r="J16">
            <v>10.300552873773199</v>
          </cell>
        </row>
        <row r="17">
          <cell r="J17">
            <v>3.5593512487513501</v>
          </cell>
        </row>
        <row r="18">
          <cell r="J18">
            <v>18.760184357078899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0.44318133021912598</v>
          </cell>
        </row>
      </sheetData>
      <sheetData sheetId="44"/>
      <sheetData sheetId="45"/>
      <sheetData sheetId="46">
        <row r="8">
          <cell r="I8">
            <v>132.81549000000001</v>
          </cell>
          <cell r="J8">
            <v>134.00787500000001</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22.864075230945598</v>
          </cell>
          <cell r="G22">
            <v>21.9551966725226</v>
          </cell>
          <cell r="H22">
            <v>20.441926094865501</v>
          </cell>
          <cell r="I22">
            <v>19.5676292046019</v>
          </cell>
        </row>
        <row r="23">
          <cell r="C23" t="str">
            <v>Middle Income</v>
          </cell>
          <cell r="E23">
            <v>16.970364490783801</v>
          </cell>
          <cell r="F23">
            <v>18.982870373304099</v>
          </cell>
          <cell r="G23">
            <v>21.9680762423334</v>
          </cell>
          <cell r="H23">
            <v>25.241391122052001</v>
          </cell>
          <cell r="I23">
            <v>28.641998792381099</v>
          </cell>
        </row>
        <row r="24">
          <cell r="C24" t="str">
            <v>High Income</v>
          </cell>
          <cell r="E24">
            <v>12.622024542915501</v>
          </cell>
          <cell r="F24">
            <v>15.315885695750399</v>
          </cell>
          <cell r="G24">
            <v>18.883034605144001</v>
          </cell>
          <cell r="H24">
            <v>22.904553213082401</v>
          </cell>
          <cell r="I24">
            <v>26.986581433017001</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7" t="s">
        <v>202</v>
      </c>
      <c r="B1" s="67" t="s">
        <v>28</v>
      </c>
      <c r="C1" s="67" t="s">
        <v>204</v>
      </c>
      <c r="D1" s="67" t="s">
        <v>200</v>
      </c>
    </row>
    <row r="2" spans="1:4">
      <c r="A2" s="66">
        <v>41499</v>
      </c>
      <c r="B2" s="65" t="s">
        <v>203</v>
      </c>
      <c r="C2" s="65" t="s">
        <v>205</v>
      </c>
      <c r="D2" t="s">
        <v>201</v>
      </c>
    </row>
    <row r="3" spans="1:4">
      <c r="A3" s="66">
        <v>41500</v>
      </c>
      <c r="B3" t="s">
        <v>208</v>
      </c>
      <c r="C3" t="s">
        <v>209</v>
      </c>
      <c r="D3" t="s">
        <v>201</v>
      </c>
    </row>
    <row r="4" spans="1:4">
      <c r="A4" s="66">
        <v>41502</v>
      </c>
      <c r="B4" t="s">
        <v>210</v>
      </c>
      <c r="C4" t="s">
        <v>209</v>
      </c>
      <c r="D4" t="s">
        <v>201</v>
      </c>
    </row>
    <row r="5" spans="1:4">
      <c r="A5" s="66">
        <v>41505</v>
      </c>
      <c r="B5" t="s">
        <v>212</v>
      </c>
      <c r="C5" t="s">
        <v>247</v>
      </c>
      <c r="D5" t="s">
        <v>211</v>
      </c>
    </row>
    <row r="7" spans="1:4">
      <c r="A7" s="66">
        <v>41599</v>
      </c>
      <c r="B7" t="s">
        <v>252</v>
      </c>
      <c r="C7" t="s">
        <v>4</v>
      </c>
      <c r="D7" t="s">
        <v>211</v>
      </c>
    </row>
    <row r="9" spans="1:4">
      <c r="A9" s="66" t="s">
        <v>391</v>
      </c>
      <c r="B9" t="s">
        <v>392</v>
      </c>
      <c r="D9" t="s">
        <v>393</v>
      </c>
    </row>
    <row r="11" spans="1:4">
      <c r="A11" s="66">
        <v>42467</v>
      </c>
      <c r="B11" t="s">
        <v>414</v>
      </c>
      <c r="C11" t="s">
        <v>415</v>
      </c>
      <c r="D11" t="s">
        <v>416</v>
      </c>
    </row>
    <row r="13" spans="1:4">
      <c r="A13" s="122">
        <v>42963</v>
      </c>
      <c r="B13" t="s">
        <v>430</v>
      </c>
      <c r="C13" t="s">
        <v>429</v>
      </c>
      <c r="D13" t="s">
        <v>211</v>
      </c>
    </row>
    <row r="14" spans="1:4">
      <c r="B14" t="s">
        <v>431</v>
      </c>
    </row>
    <row r="15" spans="1:4">
      <c r="B15" t="s">
        <v>432</v>
      </c>
    </row>
    <row r="17" spans="1:4">
      <c r="A17" s="122">
        <v>43007</v>
      </c>
      <c r="B17" t="s">
        <v>483</v>
      </c>
      <c r="D17" t="s">
        <v>211</v>
      </c>
    </row>
    <row r="18" spans="1:4">
      <c r="B18" t="s">
        <v>484</v>
      </c>
    </row>
    <row r="20" spans="1:4">
      <c r="A20" s="122">
        <v>43039</v>
      </c>
      <c r="B20" t="s">
        <v>497</v>
      </c>
      <c r="C20" t="s">
        <v>498</v>
      </c>
      <c r="D20" t="s">
        <v>499</v>
      </c>
    </row>
    <row r="21" spans="1:4">
      <c r="B21" t="s">
        <v>500</v>
      </c>
      <c r="C21" t="s">
        <v>4</v>
      </c>
      <c r="D21" t="s">
        <v>499</v>
      </c>
    </row>
    <row r="24" spans="1:4">
      <c r="A24" s="178">
        <v>44007.756886921299</v>
      </c>
      <c r="B24" t="s">
        <v>580</v>
      </c>
      <c r="C24" t="s">
        <v>581</v>
      </c>
      <c r="D24" t="s">
        <v>582</v>
      </c>
    </row>
    <row r="26" spans="1:4">
      <c r="A26" s="66">
        <v>44061</v>
      </c>
      <c r="B26" t="s">
        <v>625</v>
      </c>
      <c r="C26" t="s">
        <v>520</v>
      </c>
      <c r="D26" t="s">
        <v>393</v>
      </c>
    </row>
    <row r="27" spans="1:4">
      <c r="B27" t="s">
        <v>626</v>
      </c>
      <c r="C27" t="s">
        <v>520</v>
      </c>
      <c r="D27" t="s">
        <v>393</v>
      </c>
    </row>
    <row r="28" spans="1:4">
      <c r="B28" t="s">
        <v>627</v>
      </c>
      <c r="C28" t="s">
        <v>520</v>
      </c>
      <c r="D28" t="s">
        <v>393</v>
      </c>
    </row>
    <row r="30" spans="1:4">
      <c r="A30" s="66">
        <v>44298</v>
      </c>
      <c r="B30" t="s">
        <v>674</v>
      </c>
      <c r="C30" t="s">
        <v>581</v>
      </c>
      <c r="D30" t="s">
        <v>582</v>
      </c>
    </row>
    <row r="38" spans="1:2">
      <c r="A38" s="178">
        <f ca="1">NOW()</f>
        <v>45463.636190509256</v>
      </c>
    </row>
    <row r="39" spans="1:2">
      <c r="A39" t="s">
        <v>487</v>
      </c>
      <c r="B39" t="s">
        <v>488</v>
      </c>
    </row>
    <row r="40" spans="1:2">
      <c r="B40" t="s">
        <v>491</v>
      </c>
    </row>
    <row r="41" spans="1:2">
      <c r="B41" t="s">
        <v>489</v>
      </c>
    </row>
    <row r="42" spans="1:2">
      <c r="B42" t="s">
        <v>490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4" customWidth="1"/>
    <col min="2" max="2" width="42.42578125" style="14" customWidth="1"/>
    <col min="3" max="3" width="28.42578125" style="14" customWidth="1"/>
    <col min="4" max="4" width="21.85546875" style="14" customWidth="1"/>
    <col min="5" max="16384" width="9.140625" style="14"/>
  </cols>
  <sheetData>
    <row r="1" spans="1:2">
      <c r="A1" s="12" t="s">
        <v>26</v>
      </c>
      <c r="B1" s="14" t="s">
        <v>27</v>
      </c>
    </row>
  </sheetData>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73296304208503"/>
  </sheetPr>
  <dimension ref="B2:H29"/>
  <sheetViews>
    <sheetView workbookViewId="0">
      <selection activeCell="C8" sqref="C8"/>
    </sheetView>
  </sheetViews>
  <sheetFormatPr defaultColWidth="8.85546875" defaultRowHeight="15"/>
  <cols>
    <col min="2" max="2" width="31.42578125" customWidth="1"/>
    <col min="6" max="6" width="13.140625" customWidth="1"/>
  </cols>
  <sheetData>
    <row r="2" spans="2:5">
      <c r="E2" s="4"/>
    </row>
    <row r="3" spans="2:5" ht="18" thickBot="1">
      <c r="B3" s="29" t="s">
        <v>388</v>
      </c>
    </row>
    <row r="4" spans="2:5" ht="18.75" thickTop="1" thickBot="1">
      <c r="B4" s="29" t="s">
        <v>270</v>
      </c>
    </row>
    <row r="5" spans="2:5" ht="15.75" thickTop="1"/>
    <row r="6" spans="2:5" ht="18" thickBot="1">
      <c r="B6" s="29" t="s">
        <v>271</v>
      </c>
    </row>
    <row r="7" spans="2:5" ht="15.75" thickTop="1">
      <c r="B7" t="s">
        <v>1</v>
      </c>
      <c r="C7" s="21">
        <v>1</v>
      </c>
      <c r="D7" s="4"/>
    </row>
    <row r="8" spans="2:5">
      <c r="B8" t="s">
        <v>3</v>
      </c>
      <c r="C8" s="21">
        <v>1</v>
      </c>
      <c r="D8" s="4"/>
    </row>
    <row r="9" spans="2:5">
      <c r="B9" t="s">
        <v>127</v>
      </c>
      <c r="C9" s="21">
        <v>1</v>
      </c>
      <c r="D9" s="4"/>
    </row>
    <row r="10" spans="2:5">
      <c r="B10" t="s">
        <v>128</v>
      </c>
      <c r="C10" s="21">
        <v>1</v>
      </c>
      <c r="D10" s="4"/>
    </row>
    <row r="11" spans="2:5">
      <c r="B11" t="s">
        <v>2</v>
      </c>
      <c r="C11" s="21">
        <v>1</v>
      </c>
      <c r="D11" s="4"/>
    </row>
    <row r="13" spans="2:5">
      <c r="B13" s="4" t="s">
        <v>262</v>
      </c>
    </row>
    <row r="14" spans="2:5">
      <c r="B14" t="s">
        <v>255</v>
      </c>
    </row>
    <row r="15" spans="2:5">
      <c r="B15" t="s">
        <v>256</v>
      </c>
    </row>
    <row r="16" spans="2:5">
      <c r="B16" t="s">
        <v>257</v>
      </c>
    </row>
    <row r="17" spans="2:8">
      <c r="B17" t="s">
        <v>258</v>
      </c>
      <c r="G17" t="s">
        <v>455</v>
      </c>
    </row>
    <row r="18" spans="2:8">
      <c r="G18" t="s">
        <v>454</v>
      </c>
      <c r="H18" t="s">
        <v>456</v>
      </c>
    </row>
    <row r="19" spans="2:8">
      <c r="B19" t="s">
        <v>453</v>
      </c>
      <c r="C19" s="21">
        <v>1</v>
      </c>
      <c r="G19">
        <v>1</v>
      </c>
      <c r="H19" s="22">
        <v>0</v>
      </c>
    </row>
    <row r="20" spans="2:8">
      <c r="G20">
        <v>2</v>
      </c>
      <c r="H20" s="22">
        <v>0.04</v>
      </c>
    </row>
    <row r="21" spans="2:8">
      <c r="G21">
        <v>3</v>
      </c>
      <c r="H21" s="22">
        <v>0.06</v>
      </c>
    </row>
    <row r="22" spans="2:8">
      <c r="G22">
        <v>4</v>
      </c>
      <c r="H22" s="22">
        <v>0.08</v>
      </c>
    </row>
    <row r="23" spans="2:8">
      <c r="G23">
        <v>5</v>
      </c>
      <c r="H23" s="22">
        <v>0.1</v>
      </c>
    </row>
    <row r="29" spans="2:8">
      <c r="B29" t="s">
        <v>114</v>
      </c>
      <c r="C29" s="23">
        <v>1E-8</v>
      </c>
    </row>
  </sheetData>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612</v>
      </c>
      <c r="C7" t="str">
        <f>"DriversGams!"&amp;ADDRESS(ROW(DriversGams!A5),COLUMN(DriversGams!A5),4)</f>
        <v>DriversGams!A5</v>
      </c>
      <c r="D7">
        <v>1</v>
      </c>
      <c r="E7">
        <v>1</v>
      </c>
    </row>
    <row r="8" spans="1:6">
      <c r="A8" t="s">
        <v>286</v>
      </c>
      <c r="B8" t="s">
        <v>590</v>
      </c>
      <c r="C8" t="str">
        <f>"DriversGams!"&amp;ADDRESS(ROW(DriversGams!A43),COLUMN(DriversGams!A43),4)</f>
        <v>DriversGams!A43</v>
      </c>
      <c r="E8">
        <v>1</v>
      </c>
    </row>
    <row r="9" spans="1:6">
      <c r="A9" t="s">
        <v>286</v>
      </c>
      <c r="B9" t="s">
        <v>613</v>
      </c>
      <c r="C9" t="str">
        <f>"DriversGams!"&amp;ADDRESS(ROW(DriversGams!A61),COLUMN(DriversGams!A61),4)</f>
        <v>DriversGams!A61</v>
      </c>
      <c r="D9">
        <v>1</v>
      </c>
      <c r="E9">
        <v>1</v>
      </c>
    </row>
    <row r="10" spans="1:6">
      <c r="A10" t="s">
        <v>286</v>
      </c>
      <c r="B10" t="s">
        <v>492</v>
      </c>
      <c r="C10" t="str">
        <f>"DriversGams!"&amp;ADDRESS(ROW(DriversGams!A71),COLUMN(DriversGams!A71),4)</f>
        <v>DriversGams!A71</v>
      </c>
      <c r="E10">
        <v>1</v>
      </c>
    </row>
    <row r="11" spans="1:6">
      <c r="A11" t="s">
        <v>485</v>
      </c>
      <c r="B11" t="s">
        <v>486</v>
      </c>
      <c r="C11" t="str">
        <f>"DriversGams!"&amp;ADDRESS(ROW(DriversGams!A102),COLUMN(DriversGams!A102),4)</f>
        <v>DriversGams!A102</v>
      </c>
      <c r="D11">
        <v>2</v>
      </c>
      <c r="E11">
        <v>1</v>
      </c>
    </row>
    <row r="12" spans="1:6">
      <c r="A12" t="s">
        <v>286</v>
      </c>
      <c r="B12" t="s">
        <v>686</v>
      </c>
      <c r="C12" t="str">
        <f>"DriversGams!"&amp;ADDRESS(ROW(DriversGams!A130),COLUMN(DriversGams!A130),4)</f>
        <v>DriversGams!A130</v>
      </c>
      <c r="D12">
        <v>1</v>
      </c>
      <c r="E12">
        <v>1</v>
      </c>
    </row>
    <row r="13" spans="1:6">
      <c r="A13" t="s">
        <v>286</v>
      </c>
      <c r="B13" t="s">
        <v>615</v>
      </c>
      <c r="C13" t="str">
        <f>"DriversGams!"&amp;ADDRESS(ROW(DriversGams!A163),COLUMN(DriversGams!A163),4)</f>
        <v>DriversGams!A163</v>
      </c>
      <c r="E13">
        <v>1</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452</v>
      </c>
      <c r="D1">
        <v>2002</v>
      </c>
      <c r="E1">
        <v>2003</v>
      </c>
      <c r="F1">
        <v>2004</v>
      </c>
      <c r="G1">
        <v>2005</v>
      </c>
      <c r="H1">
        <v>2006</v>
      </c>
      <c r="I1">
        <v>2007</v>
      </c>
      <c r="J1">
        <v>2008</v>
      </c>
      <c r="K1">
        <v>2009</v>
      </c>
      <c r="L1">
        <v>2010</v>
      </c>
      <c r="M1">
        <v>2011</v>
      </c>
      <c r="N1">
        <v>2012</v>
      </c>
      <c r="O1">
        <v>2013</v>
      </c>
      <c r="P1">
        <v>2014</v>
      </c>
      <c r="Q1">
        <v>2015</v>
      </c>
      <c r="R1">
        <v>2016</v>
      </c>
      <c r="S1">
        <v>2017</v>
      </c>
    </row>
    <row r="2" spans="1:31">
      <c r="B2" t="s">
        <v>433</v>
      </c>
      <c r="C2" t="s">
        <v>434</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1:31">
      <c r="B3" t="s">
        <v>433</v>
      </c>
      <c r="C3" t="s">
        <v>435</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1:31">
      <c r="B4" t="s">
        <v>433</v>
      </c>
      <c r="C4" t="s">
        <v>436</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1:31">
      <c r="B5" t="s">
        <v>433</v>
      </c>
      <c r="C5" t="s">
        <v>437</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1:31">
      <c r="B6" t="s">
        <v>433</v>
      </c>
      <c r="C6" t="s">
        <v>438</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1:31">
      <c r="B7" t="s">
        <v>433</v>
      </c>
      <c r="C7" t="s">
        <v>439</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1:31">
      <c r="B8" t="s">
        <v>433</v>
      </c>
      <c r="C8" t="s">
        <v>440</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1:31">
      <c r="B9" t="s">
        <v>433</v>
      </c>
      <c r="C9" t="s">
        <v>441</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1:31">
      <c r="B10" t="s">
        <v>433</v>
      </c>
      <c r="C10" t="s">
        <v>442</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1:31">
      <c r="B11" t="s">
        <v>433</v>
      </c>
      <c r="C11" t="s">
        <v>443</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1:31">
      <c r="B12" t="s">
        <v>433</v>
      </c>
      <c r="C12" t="s">
        <v>444</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1:31">
      <c r="B13" t="s">
        <v>433</v>
      </c>
      <c r="C13" t="s">
        <v>445</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1:31">
      <c r="B14" t="s">
        <v>433</v>
      </c>
      <c r="C14" t="s">
        <v>446</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1:31">
      <c r="B15" t="s">
        <v>433</v>
      </c>
      <c r="C15" t="s">
        <v>447</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1:31">
      <c r="B16" t="s">
        <v>433</v>
      </c>
      <c r="C16" t="s">
        <v>448</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c r="B17" t="s">
        <v>433</v>
      </c>
      <c r="C17" t="s">
        <v>449</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c r="B18" t="s">
        <v>433</v>
      </c>
      <c r="C18" t="s">
        <v>450</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c r="B19" t="s">
        <v>451</v>
      </c>
      <c r="C19" t="s">
        <v>434</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c r="B20" t="s">
        <v>451</v>
      </c>
      <c r="C20" t="s">
        <v>435</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c r="B21" t="s">
        <v>451</v>
      </c>
      <c r="C21" t="s">
        <v>436</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c r="B22" t="s">
        <v>451</v>
      </c>
      <c r="C22" t="s">
        <v>437</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c r="B23" t="s">
        <v>451</v>
      </c>
      <c r="C23" t="s">
        <v>438</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c r="B24" t="s">
        <v>451</v>
      </c>
      <c r="C24" t="s">
        <v>439</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c r="B25" t="s">
        <v>451</v>
      </c>
      <c r="C25" t="s">
        <v>440</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c r="B26" t="s">
        <v>451</v>
      </c>
      <c r="C26" t="s">
        <v>441</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c r="B27" t="s">
        <v>451</v>
      </c>
      <c r="C27" t="s">
        <v>442</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c r="B28" t="s">
        <v>451</v>
      </c>
      <c r="C28" t="s">
        <v>443</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c r="B29" t="s">
        <v>451</v>
      </c>
      <c r="C29" t="s">
        <v>444</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c r="B30" t="s">
        <v>451</v>
      </c>
      <c r="C30" t="s">
        <v>445</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c r="B31" t="s">
        <v>451</v>
      </c>
      <c r="C31" t="s">
        <v>446</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c r="B32" t="s">
        <v>451</v>
      </c>
      <c r="C32" t="s">
        <v>447</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c r="B33" t="s">
        <v>451</v>
      </c>
      <c r="C33" t="s">
        <v>448</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c r="B34" t="s">
        <v>451</v>
      </c>
      <c r="C34" t="s">
        <v>449</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c r="B35" t="s">
        <v>451</v>
      </c>
      <c r="C35" t="s">
        <v>450</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c r="B36" t="s">
        <v>224</v>
      </c>
      <c r="C36" t="s">
        <v>434</v>
      </c>
      <c r="D36" s="7">
        <f t="shared" ref="D36:D52" si="0">SUM(D2,D19)</f>
        <v>4697820.5122410664</v>
      </c>
      <c r="E36" s="7">
        <f t="shared" ref="E36:S51" si="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c r="B37" t="s">
        <v>224</v>
      </c>
      <c r="C37" t="s">
        <v>435</v>
      </c>
      <c r="D37" s="7">
        <f t="shared" si="0"/>
        <v>4983411.8163073836</v>
      </c>
      <c r="E37" s="7">
        <f t="shared" ref="E37:S37" si="2">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c r="B38" t="s">
        <v>224</v>
      </c>
      <c r="C38" t="s">
        <v>436</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c r="B39" t="s">
        <v>224</v>
      </c>
      <c r="C39" t="s">
        <v>437</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c r="B40" t="s">
        <v>224</v>
      </c>
      <c r="C40" t="s">
        <v>438</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c r="B41" t="s">
        <v>224</v>
      </c>
      <c r="C41" t="s">
        <v>439</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c r="B42" t="s">
        <v>224</v>
      </c>
      <c r="C42" t="s">
        <v>440</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c r="B43" t="s">
        <v>224</v>
      </c>
      <c r="C43" t="s">
        <v>441</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c r="B44" t="s">
        <v>224</v>
      </c>
      <c r="C44" t="s">
        <v>442</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c r="B45" t="s">
        <v>224</v>
      </c>
      <c r="C45" t="s">
        <v>443</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c r="B46" t="s">
        <v>224</v>
      </c>
      <c r="C46" t="s">
        <v>444</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c r="B47" t="s">
        <v>224</v>
      </c>
      <c r="C47" t="s">
        <v>445</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c r="B48" t="s">
        <v>224</v>
      </c>
      <c r="C48" t="s">
        <v>446</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c r="B49" t="s">
        <v>224</v>
      </c>
      <c r="C49" t="s">
        <v>447</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c r="B50" t="s">
        <v>224</v>
      </c>
      <c r="C50" t="s">
        <v>448</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c r="B51" t="s">
        <v>224</v>
      </c>
      <c r="C51" t="s">
        <v>449</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c r="B52" t="s">
        <v>224</v>
      </c>
      <c r="C52" t="s">
        <v>450</v>
      </c>
      <c r="D52" s="7">
        <f t="shared" si="0"/>
        <v>385923.53577334783</v>
      </c>
      <c r="E52" s="7">
        <f t="shared" ref="E52:S52" si="3">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c r="B53" t="s">
        <v>224</v>
      </c>
      <c r="C53" t="s">
        <v>389</v>
      </c>
      <c r="D53" s="7">
        <f>SUM(D36:D52)</f>
        <v>45920830.605811313</v>
      </c>
      <c r="E53" s="7">
        <f t="shared" ref="E53:S53" si="4">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36" workbookViewId="0">
      <selection activeCell="E171" sqref="E171"/>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586</v>
      </c>
    </row>
    <row r="5" spans="1:53">
      <c r="B5" s="27" t="s">
        <v>547</v>
      </c>
      <c r="C5" s="27" t="s">
        <v>535</v>
      </c>
      <c r="D5" s="27" t="s">
        <v>548</v>
      </c>
      <c r="E5" s="27" t="s">
        <v>549</v>
      </c>
      <c r="F5" s="27" t="s">
        <v>550</v>
      </c>
      <c r="G5" s="27" t="s">
        <v>551</v>
      </c>
      <c r="H5" s="27" t="s">
        <v>536</v>
      </c>
      <c r="I5" s="27" t="s">
        <v>552</v>
      </c>
      <c r="J5" s="27" t="s">
        <v>553</v>
      </c>
      <c r="K5" s="27" t="s">
        <v>554</v>
      </c>
      <c r="L5" s="27" t="s">
        <v>555</v>
      </c>
      <c r="M5" s="27" t="s">
        <v>537</v>
      </c>
      <c r="N5" s="27" t="s">
        <v>556</v>
      </c>
      <c r="O5" s="27" t="s">
        <v>557</v>
      </c>
      <c r="P5" s="27" t="s">
        <v>558</v>
      </c>
      <c r="Q5" s="27" t="s">
        <v>559</v>
      </c>
      <c r="R5" s="27" t="s">
        <v>538</v>
      </c>
      <c r="S5" s="27" t="s">
        <v>560</v>
      </c>
      <c r="T5" s="27" t="s">
        <v>561</v>
      </c>
      <c r="U5" s="27" t="s">
        <v>562</v>
      </c>
      <c r="V5" s="27" t="s">
        <v>563</v>
      </c>
      <c r="W5" s="27" t="s">
        <v>539</v>
      </c>
      <c r="X5" s="27" t="s">
        <v>564</v>
      </c>
      <c r="Y5" s="27" t="s">
        <v>565</v>
      </c>
      <c r="Z5" s="27" t="s">
        <v>566</v>
      </c>
      <c r="AA5" s="27" t="s">
        <v>567</v>
      </c>
      <c r="AB5" s="27" t="s">
        <v>540</v>
      </c>
      <c r="AC5" s="27" t="s">
        <v>568</v>
      </c>
      <c r="AD5" s="27" t="s">
        <v>569</v>
      </c>
      <c r="AE5" s="27" t="s">
        <v>570</v>
      </c>
      <c r="AF5" s="27" t="s">
        <v>571</v>
      </c>
      <c r="AG5" s="27" t="s">
        <v>541</v>
      </c>
      <c r="AH5" s="27" t="s">
        <v>695</v>
      </c>
      <c r="AI5" s="27" t="s">
        <v>696</v>
      </c>
      <c r="AJ5" s="27" t="s">
        <v>697</v>
      </c>
      <c r="AK5" s="27" t="s">
        <v>698</v>
      </c>
      <c r="AL5" s="27" t="s">
        <v>699</v>
      </c>
      <c r="AM5" s="27" t="s">
        <v>700</v>
      </c>
      <c r="AN5" s="27" t="s">
        <v>701</v>
      </c>
      <c r="AO5" s="27" t="s">
        <v>702</v>
      </c>
      <c r="AP5" s="27" t="s">
        <v>703</v>
      </c>
      <c r="AQ5" s="27" t="s">
        <v>704</v>
      </c>
      <c r="AR5" s="27" t="s">
        <v>705</v>
      </c>
      <c r="AS5" s="27" t="s">
        <v>706</v>
      </c>
      <c r="AT5" s="27" t="s">
        <v>707</v>
      </c>
      <c r="AU5" s="27" t="s">
        <v>708</v>
      </c>
      <c r="AV5" s="27" t="s">
        <v>709</v>
      </c>
      <c r="AW5" s="27" t="s">
        <v>710</v>
      </c>
      <c r="AX5" s="27" t="s">
        <v>711</v>
      </c>
      <c r="AY5" s="27" t="s">
        <v>712</v>
      </c>
      <c r="AZ5" s="27" t="s">
        <v>713</v>
      </c>
      <c r="BA5" s="27" t="s">
        <v>714</v>
      </c>
    </row>
    <row r="6" spans="1:53">
      <c r="A6" s="27" t="s">
        <v>4</v>
      </c>
      <c r="B6">
        <v>2742.3903804389329</v>
      </c>
      <c r="C6">
        <v>2644.4609232565481</v>
      </c>
      <c r="D6">
        <v>2739.4602538850727</v>
      </c>
      <c r="E6">
        <v>2847.4319810086022</v>
      </c>
      <c r="F6">
        <v>2889.6403880694602</v>
      </c>
      <c r="G6">
        <v>2946.7609589265303</v>
      </c>
      <c r="H6">
        <v>3004.6198030405658</v>
      </c>
      <c r="I6">
        <v>3071.8658330198105</v>
      </c>
      <c r="J6">
        <v>3159.6511800357093</v>
      </c>
      <c r="K6">
        <v>3258.4949933490402</v>
      </c>
      <c r="L6">
        <v>3368.0258813865312</v>
      </c>
      <c r="M6">
        <v>3495.6766560133342</v>
      </c>
      <c r="N6">
        <v>3630.5965702350059</v>
      </c>
      <c r="O6">
        <v>3774.0046845233796</v>
      </c>
      <c r="P6">
        <v>3921.08119974084</v>
      </c>
      <c r="Q6">
        <v>4076.1200737910494</v>
      </c>
      <c r="R6">
        <v>4242.3577777886876</v>
      </c>
      <c r="S6">
        <v>4412.3613364699986</v>
      </c>
      <c r="T6">
        <v>4590.1079398096954</v>
      </c>
      <c r="U6">
        <v>4777.5358276627494</v>
      </c>
      <c r="V6">
        <v>4972.8204001231352</v>
      </c>
      <c r="W6">
        <v>5173.2231915077</v>
      </c>
      <c r="X6">
        <v>5375.8569777940274</v>
      </c>
      <c r="Y6">
        <v>5589.7413398941198</v>
      </c>
      <c r="Z6">
        <v>5801.8398196109229</v>
      </c>
      <c r="AA6">
        <v>6014.8521950729746</v>
      </c>
      <c r="AB6">
        <v>6224.8537986327819</v>
      </c>
      <c r="AC6">
        <v>6445.1065269241444</v>
      </c>
      <c r="AD6">
        <v>6670.72599805967</v>
      </c>
      <c r="AE6">
        <v>6893.1133149666703</v>
      </c>
      <c r="AF6">
        <v>7108.5666267487923</v>
      </c>
      <c r="AG6">
        <v>7301.8610719989301</v>
      </c>
      <c r="AH6">
        <v>7504.3553628283717</v>
      </c>
      <c r="AI6">
        <v>7729.0341737245035</v>
      </c>
      <c r="AJ6">
        <v>7966.0635219777396</v>
      </c>
      <c r="AK6">
        <v>8211.369674109028</v>
      </c>
      <c r="AL6">
        <v>8481.8443778476758</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7" t="s">
        <v>614</v>
      </c>
      <c r="B7">
        <v>102.81301388133373</v>
      </c>
      <c r="C7">
        <v>106.58234879918679</v>
      </c>
      <c r="D7">
        <v>114.20617974210768</v>
      </c>
      <c r="E7">
        <v>110.70324483889449</v>
      </c>
      <c r="F7">
        <v>108.33663129458782</v>
      </c>
      <c r="G7">
        <v>107.57227281991533</v>
      </c>
      <c r="H7">
        <v>109.95139063321953</v>
      </c>
      <c r="I7">
        <v>111.33488364955244</v>
      </c>
      <c r="J7">
        <v>113.07794729813953</v>
      </c>
      <c r="K7">
        <v>114.96884914012409</v>
      </c>
      <c r="L7">
        <v>116.82712518135403</v>
      </c>
      <c r="M7">
        <v>119.74425561278014</v>
      </c>
      <c r="N7">
        <v>122.52975327664002</v>
      </c>
      <c r="O7">
        <v>125.17738030036439</v>
      </c>
      <c r="P7">
        <v>127.8902874544183</v>
      </c>
      <c r="Q7">
        <v>130.67355050237211</v>
      </c>
      <c r="R7">
        <v>134.67440026557202</v>
      </c>
      <c r="S7">
        <v>137.80618528860202</v>
      </c>
      <c r="T7">
        <v>140.89428289165568</v>
      </c>
      <c r="U7">
        <v>144.13666445034789</v>
      </c>
      <c r="V7">
        <v>147.54265455783869</v>
      </c>
      <c r="W7">
        <v>150.92798120601532</v>
      </c>
      <c r="X7">
        <v>154.46051695521157</v>
      </c>
      <c r="Y7">
        <v>158.0862193629813</v>
      </c>
      <c r="Z7">
        <v>161.82979916722189</v>
      </c>
      <c r="AA7">
        <v>165.51819603131349</v>
      </c>
      <c r="AB7">
        <v>169.43143484811893</v>
      </c>
      <c r="AC7">
        <v>173.68150100276281</v>
      </c>
      <c r="AD7">
        <v>178.06024184897691</v>
      </c>
      <c r="AE7">
        <v>182.31994249062521</v>
      </c>
      <c r="AF7">
        <v>186.66746271165439</v>
      </c>
      <c r="AG7">
        <v>189.10117172942572</v>
      </c>
      <c r="AH7">
        <v>192.97458571012496</v>
      </c>
      <c r="AI7">
        <v>197.48858412051823</v>
      </c>
      <c r="AJ7">
        <v>202.33685172948148</v>
      </c>
      <c r="AK7">
        <v>207.47387525706742</v>
      </c>
      <c r="AL7">
        <v>212.95786275919406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7" t="s">
        <v>371</v>
      </c>
      <c r="B8">
        <v>195.00072986244942</v>
      </c>
      <c r="C8">
        <v>176.28724468908553</v>
      </c>
      <c r="D8">
        <v>194.48766319405988</v>
      </c>
      <c r="E8">
        <v>183.45825269742934</v>
      </c>
      <c r="F8">
        <v>185.68354633989219</v>
      </c>
      <c r="G8">
        <v>186.22171671672959</v>
      </c>
      <c r="H8">
        <v>188.04142343512845</v>
      </c>
      <c r="I8">
        <v>192.09407211833644</v>
      </c>
      <c r="J8">
        <v>195.23369152731115</v>
      </c>
      <c r="K8">
        <v>198.57073584002859</v>
      </c>
      <c r="L8">
        <v>203.28619342954855</v>
      </c>
      <c r="M8">
        <v>208.92195841090376</v>
      </c>
      <c r="N8">
        <v>214.50835361610973</v>
      </c>
      <c r="O8">
        <v>220.66008330306278</v>
      </c>
      <c r="P8">
        <v>226.96645678807545</v>
      </c>
      <c r="Q8">
        <v>233.67023059021818</v>
      </c>
      <c r="R8">
        <v>241.66646086885476</v>
      </c>
      <c r="S8">
        <v>249.18837603949612</v>
      </c>
      <c r="T8">
        <v>256.59791873863816</v>
      </c>
      <c r="U8">
        <v>264.70224020313543</v>
      </c>
      <c r="V8">
        <v>273.00889312154743</v>
      </c>
      <c r="W8">
        <v>281.53314331203126</v>
      </c>
      <c r="X8">
        <v>290.33891203989918</v>
      </c>
      <c r="Y8">
        <v>299.8495525377856</v>
      </c>
      <c r="Z8">
        <v>310.37696338501507</v>
      </c>
      <c r="AA8">
        <v>320.3339753214517</v>
      </c>
      <c r="AB8">
        <v>330.91068845015894</v>
      </c>
      <c r="AC8">
        <v>342.31471165768926</v>
      </c>
      <c r="AD8">
        <v>353.9669808916068</v>
      </c>
      <c r="AE8">
        <v>362.94207270277587</v>
      </c>
      <c r="AF8">
        <v>372.84899745867676</v>
      </c>
      <c r="AG8">
        <v>383.29237113891782</v>
      </c>
      <c r="AH8">
        <v>394.22858428908535</v>
      </c>
      <c r="AI8">
        <v>405.83839377737343</v>
      </c>
      <c r="AJ8">
        <v>417.76575870015489</v>
      </c>
      <c r="AK8">
        <v>429.71744001010802</v>
      </c>
      <c r="AL8">
        <v>443.28881322805933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7" t="s">
        <v>502</v>
      </c>
      <c r="B9">
        <v>155.24978901659622</v>
      </c>
      <c r="C9">
        <v>146.5278930534634</v>
      </c>
      <c r="D9">
        <v>155.41847970347516</v>
      </c>
      <c r="E9">
        <v>164.12452302541752</v>
      </c>
      <c r="F9">
        <v>166.96254505120936</v>
      </c>
      <c r="G9">
        <v>170.11433541928085</v>
      </c>
      <c r="H9">
        <v>171.40083253538168</v>
      </c>
      <c r="I9">
        <v>171.4620938892692</v>
      </c>
      <c r="J9">
        <v>174.32182713229741</v>
      </c>
      <c r="K9">
        <v>177.40621695051775</v>
      </c>
      <c r="L9">
        <v>181.05624971823505</v>
      </c>
      <c r="M9">
        <v>186.46386870151645</v>
      </c>
      <c r="N9">
        <v>191.77909745889514</v>
      </c>
      <c r="O9">
        <v>196.99055901020679</v>
      </c>
      <c r="P9">
        <v>202.38456610391057</v>
      </c>
      <c r="Q9">
        <v>207.87834218358489</v>
      </c>
      <c r="R9">
        <v>215.83653437947578</v>
      </c>
      <c r="S9">
        <v>221.11895242153054</v>
      </c>
      <c r="T9">
        <v>226.45027353094082</v>
      </c>
      <c r="U9">
        <v>232.14444853509369</v>
      </c>
      <c r="V9">
        <v>238.23742615471591</v>
      </c>
      <c r="W9">
        <v>244.20915434250634</v>
      </c>
      <c r="X9">
        <v>250.60631907291986</v>
      </c>
      <c r="Y9">
        <v>257.09895774215249</v>
      </c>
      <c r="Z9">
        <v>263.40060896061254</v>
      </c>
      <c r="AA9">
        <v>269.66884541833548</v>
      </c>
      <c r="AB9">
        <v>276.38700769529987</v>
      </c>
      <c r="AC9">
        <v>283.76283089046098</v>
      </c>
      <c r="AD9">
        <v>291.42398595510724</v>
      </c>
      <c r="AE9">
        <v>298.71932358296749</v>
      </c>
      <c r="AF9">
        <v>306.61413008740692</v>
      </c>
      <c r="AG9">
        <v>313.86434857773315</v>
      </c>
      <c r="AH9">
        <v>320.55094165370059</v>
      </c>
      <c r="AI9">
        <v>328.32545068420626</v>
      </c>
      <c r="AJ9">
        <v>336.55838753079684</v>
      </c>
      <c r="AK9">
        <v>345.12611994648432</v>
      </c>
      <c r="AL9">
        <v>354.12490358307764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7" t="s">
        <v>503</v>
      </c>
      <c r="B10">
        <v>361.1759782392063</v>
      </c>
      <c r="C10">
        <v>313.54033499337623</v>
      </c>
      <c r="D10">
        <v>332.11385070733201</v>
      </c>
      <c r="E10">
        <v>346.17339874492876</v>
      </c>
      <c r="F10">
        <v>347.02212231983833</v>
      </c>
      <c r="G10">
        <v>350.27719151606743</v>
      </c>
      <c r="H10">
        <v>363.13283203913079</v>
      </c>
      <c r="I10">
        <v>382.9491163896389</v>
      </c>
      <c r="J10">
        <v>387.70907321195261</v>
      </c>
      <c r="K10">
        <v>393.90918176217292</v>
      </c>
      <c r="L10">
        <v>405.30644489666474</v>
      </c>
      <c r="M10">
        <v>419.61598857112733</v>
      </c>
      <c r="N10">
        <v>434.18369021861247</v>
      </c>
      <c r="O10">
        <v>448.95531842155538</v>
      </c>
      <c r="P10">
        <v>465.96875241802081</v>
      </c>
      <c r="Q10">
        <v>485.36460086593445</v>
      </c>
      <c r="R10">
        <v>507.4660016767067</v>
      </c>
      <c r="S10">
        <v>526.31468679650106</v>
      </c>
      <c r="T10">
        <v>545.0770429466728</v>
      </c>
      <c r="U10">
        <v>563.4614484882826</v>
      </c>
      <c r="V10">
        <v>580.27440142021089</v>
      </c>
      <c r="W10">
        <v>597.37799016412009</v>
      </c>
      <c r="X10">
        <v>616.63605637586716</v>
      </c>
      <c r="Y10">
        <v>632.07308497429813</v>
      </c>
      <c r="Z10">
        <v>650.85352065206598</v>
      </c>
      <c r="AA10">
        <v>671.44604309782414</v>
      </c>
      <c r="AB10">
        <v>691.98483288765658</v>
      </c>
      <c r="AC10">
        <v>712.94675260292229</v>
      </c>
      <c r="AD10">
        <v>731.82511613950521</v>
      </c>
      <c r="AE10">
        <v>752.49884967009257</v>
      </c>
      <c r="AF10">
        <v>776.76384451516833</v>
      </c>
      <c r="AG10">
        <v>808.15955569375251</v>
      </c>
      <c r="AH10">
        <v>837.38165233043105</v>
      </c>
      <c r="AI10">
        <v>865.45280089157507</v>
      </c>
      <c r="AJ10">
        <v>894.76459017150489</v>
      </c>
      <c r="AK10">
        <v>928.25856074282206</v>
      </c>
      <c r="AL10">
        <v>962.85739536025176</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7" t="s">
        <v>504</v>
      </c>
      <c r="B11">
        <v>24.014738063745142</v>
      </c>
      <c r="C11">
        <v>22.437179515829303</v>
      </c>
      <c r="D11">
        <v>23.174255435947646</v>
      </c>
      <c r="E11">
        <v>25.198606632212815</v>
      </c>
      <c r="F11">
        <v>25.369737536797192</v>
      </c>
      <c r="G11">
        <v>25.796475011756581</v>
      </c>
      <c r="H11">
        <v>26.194430750390332</v>
      </c>
      <c r="I11">
        <v>26.622001611104523</v>
      </c>
      <c r="J11">
        <v>27.171616799258338</v>
      </c>
      <c r="K11">
        <v>27.802410128390367</v>
      </c>
      <c r="L11">
        <v>28.53538487531258</v>
      </c>
      <c r="M11">
        <v>29.504257717015619</v>
      </c>
      <c r="N11">
        <v>30.529913675282273</v>
      </c>
      <c r="O11">
        <v>31.591765393848537</v>
      </c>
      <c r="P11">
        <v>32.678430755250446</v>
      </c>
      <c r="Q11">
        <v>33.793831176308601</v>
      </c>
      <c r="R11">
        <v>35.277703174764454</v>
      </c>
      <c r="S11">
        <v>36.435288917101559</v>
      </c>
      <c r="T11">
        <v>37.649033216448878</v>
      </c>
      <c r="U11">
        <v>38.965913777062568</v>
      </c>
      <c r="V11">
        <v>40.393167020467217</v>
      </c>
      <c r="W11">
        <v>41.801584146701835</v>
      </c>
      <c r="X11">
        <v>43.278474188843994</v>
      </c>
      <c r="Y11">
        <v>44.76947684421804</v>
      </c>
      <c r="Z11">
        <v>46.289294631199894</v>
      </c>
      <c r="AA11">
        <v>47.833633068137615</v>
      </c>
      <c r="AB11">
        <v>49.419435598819085</v>
      </c>
      <c r="AC11">
        <v>51.116371808806079</v>
      </c>
      <c r="AD11">
        <v>52.875947181452048</v>
      </c>
      <c r="AE11">
        <v>54.581378918999917</v>
      </c>
      <c r="AF11">
        <v>56.182810363134109</v>
      </c>
      <c r="AG11">
        <v>58.174003019984269</v>
      </c>
      <c r="AH11">
        <v>59.622274369761492</v>
      </c>
      <c r="AI11">
        <v>61.328651147873856</v>
      </c>
      <c r="AJ11">
        <v>63.159099051417876</v>
      </c>
      <c r="AK11">
        <v>65.051466228859198</v>
      </c>
      <c r="AL11">
        <v>67.082316509877344</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7" t="s">
        <v>505</v>
      </c>
      <c r="B12">
        <v>78.727153819698827</v>
      </c>
      <c r="C12">
        <v>72.76375666359732</v>
      </c>
      <c r="D12">
        <v>75.28512744017695</v>
      </c>
      <c r="E12">
        <v>82.460440556905112</v>
      </c>
      <c r="F12">
        <v>81.942274408948578</v>
      </c>
      <c r="G12">
        <v>82.822177711165125</v>
      </c>
      <c r="H12">
        <v>84.4208701169363</v>
      </c>
      <c r="I12">
        <v>85.753671768278764</v>
      </c>
      <c r="J12">
        <v>87.500859798739398</v>
      </c>
      <c r="K12">
        <v>89.420942640013138</v>
      </c>
      <c r="L12">
        <v>91.81484216314945</v>
      </c>
      <c r="M12">
        <v>94.945662269281343</v>
      </c>
      <c r="N12">
        <v>97.938280610006245</v>
      </c>
      <c r="O12">
        <v>101.0962537741959</v>
      </c>
      <c r="P12">
        <v>104.40991810526621</v>
      </c>
      <c r="Q12">
        <v>107.83082948543208</v>
      </c>
      <c r="R12">
        <v>112.28109881209264</v>
      </c>
      <c r="S12">
        <v>115.53018643481457</v>
      </c>
      <c r="T12">
        <v>119.17473180215583</v>
      </c>
      <c r="U12">
        <v>123.13645347987453</v>
      </c>
      <c r="V12">
        <v>127.44140867230041</v>
      </c>
      <c r="W12">
        <v>131.74660836000209</v>
      </c>
      <c r="X12">
        <v>136.35534062955102</v>
      </c>
      <c r="Y12">
        <v>141.00454238271772</v>
      </c>
      <c r="Z12">
        <v>145.81388519377529</v>
      </c>
      <c r="AA12">
        <v>150.61242761018818</v>
      </c>
      <c r="AB12">
        <v>155.57852105756271</v>
      </c>
      <c r="AC12">
        <v>160.3602115380838</v>
      </c>
      <c r="AD12">
        <v>165.64735029290009</v>
      </c>
      <c r="AE12">
        <v>170.10722438661745</v>
      </c>
      <c r="AF12">
        <v>172.08553046257674</v>
      </c>
      <c r="AG12">
        <v>177.83669968137085</v>
      </c>
      <c r="AH12">
        <v>182.7972907019184</v>
      </c>
      <c r="AI12">
        <v>188.1838616006352</v>
      </c>
      <c r="AJ12">
        <v>194.02975076509324</v>
      </c>
      <c r="AK12">
        <v>200.10662462784677</v>
      </c>
      <c r="AL12">
        <v>206.65361532711984</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7" t="s">
        <v>506</v>
      </c>
      <c r="B13">
        <v>9.7246298269513503</v>
      </c>
      <c r="C13">
        <v>8.6529168129793703</v>
      </c>
      <c r="D13">
        <v>9.2132212413661811</v>
      </c>
      <c r="E13">
        <v>9.5769318380909247</v>
      </c>
      <c r="F13">
        <v>9.6008286674818919</v>
      </c>
      <c r="G13">
        <v>9.67916629131531</v>
      </c>
      <c r="H13">
        <v>9.9267196929819441</v>
      </c>
      <c r="I13">
        <v>10.345970252616064</v>
      </c>
      <c r="J13">
        <v>10.527469607869088</v>
      </c>
      <c r="K13">
        <v>10.734585612767502</v>
      </c>
      <c r="L13">
        <v>11.047726120398135</v>
      </c>
      <c r="M13">
        <v>11.434296394514895</v>
      </c>
      <c r="N13">
        <v>11.839831200632908</v>
      </c>
      <c r="O13">
        <v>12.255772726732964</v>
      </c>
      <c r="P13">
        <v>12.72982341577934</v>
      </c>
      <c r="Q13">
        <v>13.250847229880016</v>
      </c>
      <c r="R13">
        <v>13.890884068767898</v>
      </c>
      <c r="S13">
        <v>14.412752589244031</v>
      </c>
      <c r="T13">
        <v>14.946978173481288</v>
      </c>
      <c r="U13">
        <v>15.492384469262189</v>
      </c>
      <c r="V13">
        <v>16.028846026313005</v>
      </c>
      <c r="W13">
        <v>16.571713803179737</v>
      </c>
      <c r="X13">
        <v>17.151991358657266</v>
      </c>
      <c r="Y13">
        <v>17.6943915327507</v>
      </c>
      <c r="Z13">
        <v>18.259985324624576</v>
      </c>
      <c r="AA13">
        <v>18.778323965527211</v>
      </c>
      <c r="AB13">
        <v>19.368844149929359</v>
      </c>
      <c r="AC13">
        <v>19.855680640460093</v>
      </c>
      <c r="AD13">
        <v>20.315692283250552</v>
      </c>
      <c r="AE13">
        <v>20.822408241223776</v>
      </c>
      <c r="AF13">
        <v>21.363787961639424</v>
      </c>
      <c r="AG13">
        <v>19.170012454992264</v>
      </c>
      <c r="AH13">
        <v>19.762692055655329</v>
      </c>
      <c r="AI13">
        <v>20.404505985113616</v>
      </c>
      <c r="AJ13">
        <v>21.101659160648584</v>
      </c>
      <c r="AK13">
        <v>21.887665113502653</v>
      </c>
      <c r="AL13">
        <v>22.730111626645243</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7" t="s">
        <v>372</v>
      </c>
      <c r="B14">
        <v>20.822016404955374</v>
      </c>
      <c r="C14">
        <v>17.24298878710643</v>
      </c>
      <c r="D14">
        <v>17.169491607093363</v>
      </c>
      <c r="E14">
        <v>18.959165287449551</v>
      </c>
      <c r="F14">
        <v>18.281546194111826</v>
      </c>
      <c r="G14">
        <v>18.315662107398406</v>
      </c>
      <c r="H14">
        <v>18.541945761251871</v>
      </c>
      <c r="I14">
        <v>19.394693433688769</v>
      </c>
      <c r="J14">
        <v>19.763562910622159</v>
      </c>
      <c r="K14">
        <v>20.330649006254877</v>
      </c>
      <c r="L14">
        <v>20.785683079178554</v>
      </c>
      <c r="M14">
        <v>21.529126333602751</v>
      </c>
      <c r="N14">
        <v>22.206547163813752</v>
      </c>
      <c r="O14">
        <v>22.99194948457745</v>
      </c>
      <c r="P14">
        <v>23.597643684431816</v>
      </c>
      <c r="Q14">
        <v>24.173098469500513</v>
      </c>
      <c r="R14">
        <v>24.933363678250277</v>
      </c>
      <c r="S14">
        <v>25.819787454570299</v>
      </c>
      <c r="T14">
        <v>26.509908396977242</v>
      </c>
      <c r="U14">
        <v>27.331248973261541</v>
      </c>
      <c r="V14">
        <v>28.002728982493476</v>
      </c>
      <c r="W14">
        <v>28.928712480224252</v>
      </c>
      <c r="X14">
        <v>29.77085825889829</v>
      </c>
      <c r="Y14">
        <v>30.763739687976464</v>
      </c>
      <c r="Z14">
        <v>31.78597767619058</v>
      </c>
      <c r="AA14">
        <v>32.743147983879894</v>
      </c>
      <c r="AB14">
        <v>33.770576487325975</v>
      </c>
      <c r="AC14">
        <v>34.981062795086395</v>
      </c>
      <c r="AD14">
        <v>36.159519338895706</v>
      </c>
      <c r="AE14">
        <v>36.970226972116144</v>
      </c>
      <c r="AF14">
        <v>37.696513179154202</v>
      </c>
      <c r="AG14">
        <v>38.574572735560935</v>
      </c>
      <c r="AH14">
        <v>39.514528023824646</v>
      </c>
      <c r="AI14">
        <v>40.597096913078403</v>
      </c>
      <c r="AJ14">
        <v>41.661619202846616</v>
      </c>
      <c r="AK14">
        <v>42.66985302506977</v>
      </c>
      <c r="AL14">
        <v>43.948342758890689</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7" t="s">
        <v>507</v>
      </c>
      <c r="B15">
        <v>13.081394956063088</v>
      </c>
      <c r="C15">
        <v>10.456476308000456</v>
      </c>
      <c r="D15">
        <v>9.9223075466126947</v>
      </c>
      <c r="E15">
        <v>11.362429276473316</v>
      </c>
      <c r="F15">
        <v>10.745400664904842</v>
      </c>
      <c r="G15">
        <v>10.683971823329749</v>
      </c>
      <c r="H15">
        <v>10.677819412330672</v>
      </c>
      <c r="I15">
        <v>10.973175871470305</v>
      </c>
      <c r="J15">
        <v>11.038639494628224</v>
      </c>
      <c r="K15">
        <v>11.173932577779132</v>
      </c>
      <c r="L15">
        <v>11.34441983417341</v>
      </c>
      <c r="M15">
        <v>11.708477496625724</v>
      </c>
      <c r="N15">
        <v>11.978185126248027</v>
      </c>
      <c r="O15">
        <v>12.321626099703515</v>
      </c>
      <c r="P15">
        <v>12.621685238582051</v>
      </c>
      <c r="Q15">
        <v>12.989619997599158</v>
      </c>
      <c r="R15">
        <v>13.67428468627744</v>
      </c>
      <c r="S15">
        <v>14.092762321399224</v>
      </c>
      <c r="T15">
        <v>14.533093255042772</v>
      </c>
      <c r="U15">
        <v>14.99427040200395</v>
      </c>
      <c r="V15">
        <v>15.456759516253793</v>
      </c>
      <c r="W15">
        <v>15.970064244155559</v>
      </c>
      <c r="X15">
        <v>16.484978684028935</v>
      </c>
      <c r="Y15">
        <v>17.006670443940941</v>
      </c>
      <c r="Z15">
        <v>17.624525264484927</v>
      </c>
      <c r="AA15">
        <v>18.234676905837759</v>
      </c>
      <c r="AB15">
        <v>18.851464457801701</v>
      </c>
      <c r="AC15">
        <v>19.584081554159514</v>
      </c>
      <c r="AD15">
        <v>20.324587140528127</v>
      </c>
      <c r="AE15">
        <v>20.859890359078886</v>
      </c>
      <c r="AF15">
        <v>21.35797870022175</v>
      </c>
      <c r="AG15">
        <v>22.055495266828022</v>
      </c>
      <c r="AH15">
        <v>22.923181746247046</v>
      </c>
      <c r="AI15">
        <v>23.61842342701426</v>
      </c>
      <c r="AJ15">
        <v>24.350808543375088</v>
      </c>
      <c r="AK15">
        <v>25.050528789533622</v>
      </c>
      <c r="AL15">
        <v>25.882750292504721</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7" t="s">
        <v>577</v>
      </c>
      <c r="B16">
        <v>0.12038694518980531</v>
      </c>
      <c r="C16">
        <v>0.12023131397402477</v>
      </c>
      <c r="D16">
        <v>0.12007336850336391</v>
      </c>
      <c r="E16">
        <v>0.11998315499995697</v>
      </c>
      <c r="F16">
        <v>0.11998315499995701</v>
      </c>
      <c r="G16">
        <v>0.11998315499995699</v>
      </c>
      <c r="H16">
        <v>0.11998315499995695</v>
      </c>
      <c r="I16">
        <v>0.11993552530359924</v>
      </c>
      <c r="J16">
        <v>0.11993355239839114</v>
      </c>
      <c r="K16">
        <v>0.1199335523983911</v>
      </c>
      <c r="L16">
        <v>0.11993355239839106</v>
      </c>
      <c r="M16">
        <v>0.11993355239839106</v>
      </c>
      <c r="N16">
        <v>0.11993355239839103</v>
      </c>
      <c r="O16">
        <v>0.11993355239839103</v>
      </c>
      <c r="P16">
        <v>0.11993355239839101</v>
      </c>
      <c r="Q16">
        <v>0.11993355239839101</v>
      </c>
      <c r="R16">
        <v>0.11993355239839106</v>
      </c>
      <c r="S16">
        <v>0.11018576569103632</v>
      </c>
      <c r="T16">
        <v>0.10043797898368148</v>
      </c>
      <c r="U16">
        <v>9.0690192276326714E-2</v>
      </c>
      <c r="V16">
        <v>8.0881587992628096E-2</v>
      </c>
      <c r="W16">
        <v>7.430781065894787E-2</v>
      </c>
      <c r="X16">
        <v>8.0881587992628109E-2</v>
      </c>
      <c r="Y16">
        <v>8.6422071479242593E-2</v>
      </c>
      <c r="Z16">
        <v>0.52351460449585263</v>
      </c>
      <c r="AA16">
        <v>1.5388406256736351</v>
      </c>
      <c r="AB16">
        <v>2.6561231586720049</v>
      </c>
      <c r="AC16">
        <v>3.8436886670993653</v>
      </c>
      <c r="AD16">
        <v>5.2007298394313768</v>
      </c>
      <c r="AE16">
        <v>6.6934751289965835</v>
      </c>
      <c r="AF16">
        <v>8.3354949475183133</v>
      </c>
      <c r="AG16">
        <v>10.141716747892225</v>
      </c>
      <c r="AH16">
        <v>11.320894192924179</v>
      </c>
      <c r="AI16">
        <v>12.758612769363978</v>
      </c>
      <c r="AJ16">
        <v>13.813699014882376</v>
      </c>
      <c r="AK16">
        <v>14.484188944872088</v>
      </c>
      <c r="AL16">
        <v>14.680154647786059</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7" t="s">
        <v>508</v>
      </c>
      <c r="B17">
        <v>142.16546283895707</v>
      </c>
      <c r="C17">
        <v>137.68045233638463</v>
      </c>
      <c r="D17">
        <v>147.69622814047071</v>
      </c>
      <c r="E17">
        <v>151.73563260483036</v>
      </c>
      <c r="F17">
        <v>147.59143731773102</v>
      </c>
      <c r="G17">
        <v>149.24079237734358</v>
      </c>
      <c r="H17">
        <v>147.76924738534973</v>
      </c>
      <c r="I17">
        <v>152.29455951470757</v>
      </c>
      <c r="J17">
        <v>153.6173157934123</v>
      </c>
      <c r="K17">
        <v>152.91434705077177</v>
      </c>
      <c r="L17">
        <v>154.78684365321888</v>
      </c>
      <c r="M17">
        <v>157.65650545377429</v>
      </c>
      <c r="N17">
        <v>159.10950057121693</v>
      </c>
      <c r="O17">
        <v>161.52471034805106</v>
      </c>
      <c r="P17">
        <v>163.713466518704</v>
      </c>
      <c r="Q17">
        <v>167.00625694780743</v>
      </c>
      <c r="R17">
        <v>169.65690964342394</v>
      </c>
      <c r="S17">
        <v>173.81741913482028</v>
      </c>
      <c r="T17">
        <v>177.34735796754123</v>
      </c>
      <c r="U17">
        <v>181.49413881591505</v>
      </c>
      <c r="V17">
        <v>186.17946851572094</v>
      </c>
      <c r="W17">
        <v>190.56616953595835</v>
      </c>
      <c r="X17">
        <v>193.83724636965809</v>
      </c>
      <c r="Y17">
        <v>198.12118688208727</v>
      </c>
      <c r="Z17">
        <v>203.13143527570557</v>
      </c>
      <c r="AA17">
        <v>208.46867224874021</v>
      </c>
      <c r="AB17">
        <v>215.17834467503414</v>
      </c>
      <c r="AC17">
        <v>223.32423426990752</v>
      </c>
      <c r="AD17">
        <v>235.59991427479369</v>
      </c>
      <c r="AE17">
        <v>249.70081187087951</v>
      </c>
      <c r="AF17">
        <v>265.62620496959914</v>
      </c>
      <c r="AG17">
        <v>290.97458096457643</v>
      </c>
      <c r="AH17">
        <v>303.38411627794613</v>
      </c>
      <c r="AI17">
        <v>308.58931046135172</v>
      </c>
      <c r="AJ17">
        <v>313.52117196299326</v>
      </c>
      <c r="AK17">
        <v>318.77914819930004</v>
      </c>
      <c r="AL17">
        <v>324.4268489427551</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7" t="s">
        <v>573</v>
      </c>
      <c r="B18">
        <v>65.034909150272796</v>
      </c>
      <c r="C18">
        <v>54.042800735045766</v>
      </c>
      <c r="D18">
        <v>57.226501475304325</v>
      </c>
      <c r="E18">
        <v>68.210515235358358</v>
      </c>
      <c r="F18">
        <v>72.466883564551367</v>
      </c>
      <c r="G18">
        <v>74.228404932772534</v>
      </c>
      <c r="H18">
        <v>75.51802702093444</v>
      </c>
      <c r="I18">
        <v>76.37808480948911</v>
      </c>
      <c r="J18">
        <v>79.190838139536297</v>
      </c>
      <c r="K18">
        <v>82.032420150023626</v>
      </c>
      <c r="L18">
        <v>84.862515499021413</v>
      </c>
      <c r="M18">
        <v>87.655637151373512</v>
      </c>
      <c r="N18">
        <v>90.345262303108555</v>
      </c>
      <c r="O18">
        <v>93.049962484060146</v>
      </c>
      <c r="P18">
        <v>95.703063812375021</v>
      </c>
      <c r="Q18">
        <v>98.410479701169621</v>
      </c>
      <c r="R18">
        <v>101.50064253716876</v>
      </c>
      <c r="S18">
        <v>104.02390045403702</v>
      </c>
      <c r="T18">
        <v>106.39571928727908</v>
      </c>
      <c r="U18">
        <v>108.77929277908659</v>
      </c>
      <c r="V18">
        <v>111.14326308604088</v>
      </c>
      <c r="W18">
        <v>113.31904366724586</v>
      </c>
      <c r="X18">
        <v>115.48241896889461</v>
      </c>
      <c r="Y18">
        <v>117.6461513606196</v>
      </c>
      <c r="Z18">
        <v>119.60847573157426</v>
      </c>
      <c r="AA18">
        <v>121.4034363267984</v>
      </c>
      <c r="AB18">
        <v>123.33344139687395</v>
      </c>
      <c r="AC18">
        <v>125.34278101121294</v>
      </c>
      <c r="AD18">
        <v>127.33815462241125</v>
      </c>
      <c r="AE18">
        <v>129.23247135261832</v>
      </c>
      <c r="AF18">
        <v>131.17009214915751</v>
      </c>
      <c r="AG18">
        <v>132.97650907168932</v>
      </c>
      <c r="AH18">
        <v>134.78738912463822</v>
      </c>
      <c r="AI18">
        <v>136.89901225777444</v>
      </c>
      <c r="AJ18">
        <v>139.03185491762736</v>
      </c>
      <c r="AK18">
        <v>141.16883743450353</v>
      </c>
      <c r="AL18">
        <v>143.39042266170239</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7" t="s">
        <v>574</v>
      </c>
      <c r="B19">
        <v>227.80708143759773</v>
      </c>
      <c r="C19">
        <v>204.60680693922785</v>
      </c>
      <c r="D19">
        <v>219.69172458724992</v>
      </c>
      <c r="E19">
        <v>248.6518556015333</v>
      </c>
      <c r="F19">
        <v>252.71439151465239</v>
      </c>
      <c r="G19">
        <v>256.83229231662244</v>
      </c>
      <c r="H19">
        <v>262.4484648450125</v>
      </c>
      <c r="I19">
        <v>269.50388733690914</v>
      </c>
      <c r="J19">
        <v>281.56580301565879</v>
      </c>
      <c r="K19">
        <v>295.06096485260599</v>
      </c>
      <c r="L19">
        <v>307.79420547874241</v>
      </c>
      <c r="M19">
        <v>320.30428602088062</v>
      </c>
      <c r="N19">
        <v>333.5173364201475</v>
      </c>
      <c r="O19">
        <v>348.07822315704504</v>
      </c>
      <c r="P19">
        <v>361.25060384723889</v>
      </c>
      <c r="Q19">
        <v>374.12196738095366</v>
      </c>
      <c r="R19">
        <v>389.7711508466727</v>
      </c>
      <c r="S19">
        <v>405.58816756675259</v>
      </c>
      <c r="T19">
        <v>422.14128025097148</v>
      </c>
      <c r="U19">
        <v>440.51622210813167</v>
      </c>
      <c r="V19">
        <v>460.21752317172138</v>
      </c>
      <c r="W19">
        <v>478.92081847182146</v>
      </c>
      <c r="X19">
        <v>495.59074107068329</v>
      </c>
      <c r="Y19">
        <v>510.72781536663689</v>
      </c>
      <c r="Z19">
        <v>525.96439709641834</v>
      </c>
      <c r="AA19">
        <v>540.87916738776698</v>
      </c>
      <c r="AB19">
        <v>555.64331678140718</v>
      </c>
      <c r="AC19">
        <v>570.6184779064497</v>
      </c>
      <c r="AD19">
        <v>586.34567479992688</v>
      </c>
      <c r="AE19">
        <v>602.20145414018918</v>
      </c>
      <c r="AF19">
        <v>618.08532280462509</v>
      </c>
      <c r="AG19">
        <v>634.9410838203213</v>
      </c>
      <c r="AH19">
        <v>648.88732142116976</v>
      </c>
      <c r="AI19">
        <v>665.63125183472573</v>
      </c>
      <c r="AJ19">
        <v>682.3661087184048</v>
      </c>
      <c r="AK19">
        <v>698.86906885228404</v>
      </c>
      <c r="AL19">
        <v>715.9795316216223</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7" t="s">
        <v>794</v>
      </c>
      <c r="B20">
        <v>21.48466864889863</v>
      </c>
      <c r="C20">
        <v>18.307779220259423</v>
      </c>
      <c r="D20">
        <v>19.330451272365316</v>
      </c>
      <c r="E20">
        <v>22.071758289823141</v>
      </c>
      <c r="F20">
        <v>22.698490339406487</v>
      </c>
      <c r="G20">
        <v>23.049561801496186</v>
      </c>
      <c r="H20">
        <v>23.420273119110355</v>
      </c>
      <c r="I20">
        <v>23.812368744242441</v>
      </c>
      <c r="J20">
        <v>24.731137388300873</v>
      </c>
      <c r="K20">
        <v>25.722047765130682</v>
      </c>
      <c r="L20">
        <v>26.713304586034695</v>
      </c>
      <c r="M20">
        <v>27.747962233905362</v>
      </c>
      <c r="N20">
        <v>28.748440875904258</v>
      </c>
      <c r="O20">
        <v>29.782957335392474</v>
      </c>
      <c r="P20">
        <v>30.748655814943174</v>
      </c>
      <c r="Q20">
        <v>31.713259218499566</v>
      </c>
      <c r="R20">
        <v>32.808996936589608</v>
      </c>
      <c r="S20">
        <v>33.813670380514104</v>
      </c>
      <c r="T20">
        <v>34.814099999933653</v>
      </c>
      <c r="U20">
        <v>35.870915980631409</v>
      </c>
      <c r="V20">
        <v>36.95695254983039</v>
      </c>
      <c r="W20">
        <v>37.990844364443547</v>
      </c>
      <c r="X20">
        <v>38.980660821558637</v>
      </c>
      <c r="Y20">
        <v>39.95546988151807</v>
      </c>
      <c r="Z20">
        <v>40.916720954762411</v>
      </c>
      <c r="AA20">
        <v>41.843289516189699</v>
      </c>
      <c r="AB20">
        <v>42.805142471234674</v>
      </c>
      <c r="AC20">
        <v>43.79872539398842</v>
      </c>
      <c r="AD20">
        <v>44.811004641661135</v>
      </c>
      <c r="AE20">
        <v>45.804235891139093</v>
      </c>
      <c r="AF20">
        <v>46.793575286031754</v>
      </c>
      <c r="AG20">
        <v>47.799611370220177</v>
      </c>
      <c r="AH20">
        <v>48.74401938601634</v>
      </c>
      <c r="AI20">
        <v>49.809877093334777</v>
      </c>
      <c r="AJ20">
        <v>50.864204139814106</v>
      </c>
      <c r="AK20">
        <v>51.897460568202789</v>
      </c>
      <c r="AL20">
        <v>52.977405333209596</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7" t="s">
        <v>509</v>
      </c>
      <c r="B21">
        <v>46.84347202985203</v>
      </c>
      <c r="C21">
        <v>30.490805982415402</v>
      </c>
      <c r="D21">
        <v>29.498204755986869</v>
      </c>
      <c r="E21">
        <v>17.58247155648386</v>
      </c>
      <c r="F21">
        <v>24.947539493855427</v>
      </c>
      <c r="G21">
        <v>24.94753949385542</v>
      </c>
      <c r="H21">
        <v>24.94753949385542</v>
      </c>
      <c r="I21">
        <v>24.937636072571287</v>
      </c>
      <c r="J21">
        <v>24.93722585556544</v>
      </c>
      <c r="K21">
        <v>24.937225855565433</v>
      </c>
      <c r="L21">
        <v>24.93722585556543</v>
      </c>
      <c r="M21">
        <v>24.937225855565423</v>
      </c>
      <c r="N21">
        <v>24.937225855565423</v>
      </c>
      <c r="O21">
        <v>24.937225855565426</v>
      </c>
      <c r="P21">
        <v>24.937225855565426</v>
      </c>
      <c r="Q21">
        <v>24.937225855565426</v>
      </c>
      <c r="R21">
        <v>9.6101493904690365</v>
      </c>
      <c r="S21">
        <v>9.6101493904690383</v>
      </c>
      <c r="T21">
        <v>9.6101493904690347</v>
      </c>
      <c r="U21">
        <v>9.6101493904690365</v>
      </c>
      <c r="V21">
        <v>9.6101493904690329</v>
      </c>
      <c r="W21">
        <v>9.6101493904690329</v>
      </c>
      <c r="X21">
        <v>9.6101493904690347</v>
      </c>
      <c r="Y21">
        <v>9.6101493904690365</v>
      </c>
      <c r="Z21">
        <v>9.6101493904690312</v>
      </c>
      <c r="AA21">
        <v>9.6101493904690329</v>
      </c>
      <c r="AB21">
        <v>9.6101493904688251</v>
      </c>
      <c r="AC21">
        <v>7.6881195123750583</v>
      </c>
      <c r="AD21">
        <v>5.7660896342812951</v>
      </c>
      <c r="AE21">
        <v>3.8440597561875278</v>
      </c>
      <c r="AF21">
        <v>1.9220298780937639</v>
      </c>
      <c r="AG21">
        <v>0.19220298780937636</v>
      </c>
      <c r="AH21">
        <v>0.19220298780937636</v>
      </c>
      <c r="AI21">
        <v>0.19220298780937634</v>
      </c>
      <c r="AJ21">
        <v>0.19220298780937639</v>
      </c>
      <c r="AK21">
        <v>0.19220298780937642</v>
      </c>
      <c r="AL21">
        <v>0.19220298780937642</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7" t="s">
        <v>578</v>
      </c>
      <c r="B22">
        <v>94.108496528502243</v>
      </c>
      <c r="C22">
        <v>89.170292796395046</v>
      </c>
      <c r="D22">
        <v>89.96738031498613</v>
      </c>
      <c r="E22">
        <v>88.806521035222204</v>
      </c>
      <c r="F22">
        <v>84.617045139158805</v>
      </c>
      <c r="G22">
        <v>80.915658386609536</v>
      </c>
      <c r="H22">
        <v>75.877238126919551</v>
      </c>
      <c r="I22">
        <v>71.875791793575942</v>
      </c>
      <c r="J22">
        <v>67.672487477651515</v>
      </c>
      <c r="K22">
        <v>63.009821834038966</v>
      </c>
      <c r="L22">
        <v>58.727132707763268</v>
      </c>
      <c r="M22">
        <v>55.600131566361455</v>
      </c>
      <c r="N22">
        <v>53.405626184449716</v>
      </c>
      <c r="O22">
        <v>51.073183466608732</v>
      </c>
      <c r="P22">
        <v>48.012822201833707</v>
      </c>
      <c r="Q22">
        <v>45.52082019032914</v>
      </c>
      <c r="R22">
        <v>44.727102286028412</v>
      </c>
      <c r="S22">
        <v>44.028315895251161</v>
      </c>
      <c r="T22">
        <v>43.179634424160412</v>
      </c>
      <c r="U22">
        <v>42.091808841452853</v>
      </c>
      <c r="V22">
        <v>41.369785254148226</v>
      </c>
      <c r="W22">
        <v>40.605239376517197</v>
      </c>
      <c r="X22">
        <v>39.185791672348991</v>
      </c>
      <c r="Y22">
        <v>37.510867516377921</v>
      </c>
      <c r="Z22">
        <v>35.76826804050782</v>
      </c>
      <c r="AA22">
        <v>35.056497252310749</v>
      </c>
      <c r="AB22">
        <v>33.764113708096161</v>
      </c>
      <c r="AC22">
        <v>29.705155804734456</v>
      </c>
      <c r="AD22">
        <v>25.918898977419033</v>
      </c>
      <c r="AE22">
        <v>21.705576547699263</v>
      </c>
      <c r="AF22">
        <v>18.393850221136628</v>
      </c>
      <c r="AG22">
        <v>12.493314859420927</v>
      </c>
      <c r="AH22">
        <v>12.527175024190166</v>
      </c>
      <c r="AI22">
        <v>12.559985642035684</v>
      </c>
      <c r="AJ22">
        <v>12.601256177445736</v>
      </c>
      <c r="AK22">
        <v>12.655394318563188</v>
      </c>
      <c r="AL22">
        <v>12.70953245968064</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7" t="s">
        <v>691</v>
      </c>
      <c r="B23">
        <v>97.59940397132965</v>
      </c>
      <c r="C23">
        <v>86.884046722195407</v>
      </c>
      <c r="D23">
        <v>129.68024943260448</v>
      </c>
      <c r="E23">
        <v>100.62332967912559</v>
      </c>
      <c r="F23">
        <v>106.71021865775819</v>
      </c>
      <c r="G23">
        <v>108.35625586276512</v>
      </c>
      <c r="H23">
        <v>109.68541353165772</v>
      </c>
      <c r="I23">
        <v>110.84890220910657</v>
      </c>
      <c r="J23">
        <v>113.43035657380651</v>
      </c>
      <c r="K23">
        <v>115.55904080602052</v>
      </c>
      <c r="L23">
        <v>118.97181530387022</v>
      </c>
      <c r="M23">
        <v>122.25449739432558</v>
      </c>
      <c r="N23">
        <v>125.42909388353142</v>
      </c>
      <c r="O23">
        <v>128.60224455456421</v>
      </c>
      <c r="P23">
        <v>131.74950930611618</v>
      </c>
      <c r="Q23">
        <v>134.87655187624037</v>
      </c>
      <c r="R23">
        <v>140.86581055355495</v>
      </c>
      <c r="S23">
        <v>145.2481266556243</v>
      </c>
      <c r="T23">
        <v>149.50650264964929</v>
      </c>
      <c r="U23">
        <v>154.0628694290414</v>
      </c>
      <c r="V23">
        <v>159.12788741835848</v>
      </c>
      <c r="W23">
        <v>163.74811960847313</v>
      </c>
      <c r="X23">
        <v>168.50779954221801</v>
      </c>
      <c r="Y23">
        <v>172.98599784190469</v>
      </c>
      <c r="Z23">
        <v>177.62892901067394</v>
      </c>
      <c r="AA23">
        <v>182.3606575593806</v>
      </c>
      <c r="AB23">
        <v>187.17582584973914</v>
      </c>
      <c r="AC23">
        <v>192.88863591333089</v>
      </c>
      <c r="AD23">
        <v>199.318113392345</v>
      </c>
      <c r="AE23">
        <v>205.93062202769448</v>
      </c>
      <c r="AF23">
        <v>212.96269013671238</v>
      </c>
      <c r="AG23">
        <v>222.39573309591924</v>
      </c>
      <c r="AH23">
        <v>230.67211879656301</v>
      </c>
      <c r="AI23">
        <v>240.10567143916739</v>
      </c>
      <c r="AJ23">
        <v>250.37163458676073</v>
      </c>
      <c r="AK23">
        <v>261.37740621790454</v>
      </c>
      <c r="AL23">
        <v>273.15916243353405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7" t="s">
        <v>685</v>
      </c>
      <c r="B24">
        <v>2.4822992718580812</v>
      </c>
      <c r="C24">
        <v>2.1916461428360452</v>
      </c>
      <c r="D24">
        <v>2.2609720535768423</v>
      </c>
      <c r="E24">
        <v>2.4133311323623698</v>
      </c>
      <c r="F24">
        <v>2.4324127786102898</v>
      </c>
      <c r="G24">
        <v>2.4597389366185451</v>
      </c>
      <c r="H24">
        <v>2.5042675770803484</v>
      </c>
      <c r="I24">
        <v>2.5495064965347591</v>
      </c>
      <c r="J24">
        <v>2.6017350522869536</v>
      </c>
      <c r="K24">
        <v>2.6602711742051519</v>
      </c>
      <c r="L24">
        <v>2.7307008968955242</v>
      </c>
      <c r="M24">
        <v>2.8268249053615135</v>
      </c>
      <c r="N24">
        <v>2.9180049393040344</v>
      </c>
      <c r="O24">
        <v>3.0157744096276531</v>
      </c>
      <c r="P24">
        <v>3.1146733827815227</v>
      </c>
      <c r="Q24">
        <v>3.2176526898980184</v>
      </c>
      <c r="R24">
        <v>3.2830332503179047</v>
      </c>
      <c r="S24">
        <v>3.3862455333488146</v>
      </c>
      <c r="T24">
        <v>3.4996573671901166</v>
      </c>
      <c r="U24">
        <v>3.6219334817323441</v>
      </c>
      <c r="V24">
        <v>3.7531972465876704</v>
      </c>
      <c r="W24">
        <v>3.8858751552295074</v>
      </c>
      <c r="X24">
        <v>4.0249188599820505</v>
      </c>
      <c r="Y24">
        <v>4.1679285495968914</v>
      </c>
      <c r="Z24">
        <v>4.3144467957939465</v>
      </c>
      <c r="AA24">
        <v>4.4596550756404731</v>
      </c>
      <c r="AB24">
        <v>4.6106747270699149</v>
      </c>
      <c r="AC24">
        <v>4.7518063178931076</v>
      </c>
      <c r="AD24">
        <v>4.9047598875754739</v>
      </c>
      <c r="AE24">
        <v>5.0336138733966358</v>
      </c>
      <c r="AF24">
        <v>5.1028285831113154</v>
      </c>
      <c r="AG24">
        <v>5.2605734815715808</v>
      </c>
      <c r="AH24">
        <v>5.4172928458546208</v>
      </c>
      <c r="AI24">
        <v>5.5848824150570957</v>
      </c>
      <c r="AJ24">
        <v>5.7634324832108073</v>
      </c>
      <c r="AK24">
        <v>5.9452435779535344</v>
      </c>
      <c r="AL24">
        <v>6.1465491478824212</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7" t="s">
        <v>693</v>
      </c>
      <c r="B25">
        <v>0.28999999999999998</v>
      </c>
      <c r="C25">
        <v>0.28962510010944126</v>
      </c>
      <c r="D25">
        <v>0.28924462541245949</v>
      </c>
      <c r="E25">
        <v>0.2890273101882318</v>
      </c>
      <c r="F25">
        <v>0.28902731018823186</v>
      </c>
      <c r="G25">
        <v>0.2890273101882318</v>
      </c>
      <c r="H25">
        <v>0.28902731018823175</v>
      </c>
      <c r="I25">
        <v>0.28891257505709311</v>
      </c>
      <c r="J25">
        <v>0.28890782252757718</v>
      </c>
      <c r="K25">
        <v>0.28890782252757713</v>
      </c>
      <c r="L25">
        <v>0.28890782252757707</v>
      </c>
      <c r="M25">
        <v>0.28890782252757702</v>
      </c>
      <c r="N25">
        <v>0.28890782252757702</v>
      </c>
      <c r="O25">
        <v>0.28890782252757702</v>
      </c>
      <c r="P25">
        <v>0.28890782252757702</v>
      </c>
      <c r="Q25">
        <v>0.28890782252757702</v>
      </c>
      <c r="R25">
        <v>0.28890782252757707</v>
      </c>
      <c r="S25">
        <v>0.28890782252757707</v>
      </c>
      <c r="T25">
        <v>0.28890782252757696</v>
      </c>
      <c r="U25">
        <v>0.28890782252757702</v>
      </c>
      <c r="V25">
        <v>0.28890782252757691</v>
      </c>
      <c r="W25">
        <v>0.28890782252757691</v>
      </c>
      <c r="X25">
        <v>0.28890782252757702</v>
      </c>
      <c r="Y25">
        <v>0.28890782252757707</v>
      </c>
      <c r="Z25">
        <v>0.28890782252757691</v>
      </c>
      <c r="AA25">
        <v>0.28890782252757696</v>
      </c>
      <c r="AB25">
        <v>0.28890782252757707</v>
      </c>
      <c r="AC25">
        <v>0.28890782252757707</v>
      </c>
      <c r="AD25">
        <v>0.28890782252757707</v>
      </c>
      <c r="AE25">
        <v>0.28890782252757691</v>
      </c>
      <c r="AF25">
        <v>0.28890782252757691</v>
      </c>
      <c r="AG25">
        <v>0.28890782252757691</v>
      </c>
      <c r="AH25">
        <v>0.28890782252757691</v>
      </c>
      <c r="AI25">
        <v>0.28890782252757685</v>
      </c>
      <c r="AJ25">
        <v>0.28890782252757696</v>
      </c>
      <c r="AK25">
        <v>0.28890782252757702</v>
      </c>
      <c r="AL25">
        <v>0.28890782252757702</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7" t="s">
        <v>694</v>
      </c>
      <c r="B26">
        <v>7.816978240367306E-2</v>
      </c>
      <c r="C26">
        <v>7.8068727773093288E-2</v>
      </c>
      <c r="D26">
        <v>7.7966170448013392E-2</v>
      </c>
      <c r="E26">
        <v>7.7907592917700011E-2</v>
      </c>
      <c r="F26">
        <v>7.7907592917700025E-2</v>
      </c>
      <c r="G26">
        <v>7.7907592917700011E-2</v>
      </c>
      <c r="H26">
        <v>7.7907592917699983E-2</v>
      </c>
      <c r="I26">
        <v>7.7876665951371826E-2</v>
      </c>
      <c r="J26">
        <v>7.7875384902412761E-2</v>
      </c>
      <c r="K26">
        <v>7.7875384902412734E-2</v>
      </c>
      <c r="L26">
        <v>7.787538490241272E-2</v>
      </c>
      <c r="M26">
        <v>7.7875384902412706E-2</v>
      </c>
      <c r="N26">
        <v>7.7875384902412706E-2</v>
      </c>
      <c r="O26">
        <v>7.7875384902412706E-2</v>
      </c>
      <c r="P26">
        <v>0.10463784600766005</v>
      </c>
      <c r="Q26">
        <v>0.54406890647617456</v>
      </c>
      <c r="R26">
        <v>5.4406890647617459E-2</v>
      </c>
      <c r="S26">
        <v>0.56234099203348464</v>
      </c>
      <c r="T26">
        <v>2.821024482164602</v>
      </c>
      <c r="U26">
        <v>2.0659152549534543</v>
      </c>
      <c r="V26">
        <v>0.20659152549534529</v>
      </c>
      <c r="W26">
        <v>0.13488547202630427</v>
      </c>
      <c r="X26">
        <v>0.22934813585149108</v>
      </c>
      <c r="Y26">
        <v>0.76210290205974129</v>
      </c>
      <c r="Z26">
        <v>1.1345625044960852</v>
      </c>
      <c r="AA26">
        <v>1.250097408179532</v>
      </c>
      <c r="AB26">
        <v>1.0343853386815742</v>
      </c>
      <c r="AC26">
        <v>0.69975534730387512</v>
      </c>
      <c r="AD26">
        <v>0.11539475310065056</v>
      </c>
      <c r="AE26">
        <v>0.58789648797108429</v>
      </c>
      <c r="AF26">
        <v>1.552525149031025</v>
      </c>
      <c r="AG26">
        <v>1.6033517672309732</v>
      </c>
      <c r="AH26">
        <v>2.0624514251419286</v>
      </c>
      <c r="AI26">
        <v>1.8880567340190637</v>
      </c>
      <c r="AJ26">
        <v>1.7975351324423832</v>
      </c>
      <c r="AK26">
        <v>0.88445805668801547</v>
      </c>
      <c r="AL26">
        <v>8.8445805668801517E-2</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7"/>
    </row>
    <row r="28" spans="1:53">
      <c r="A28" s="27"/>
    </row>
    <row r="42" spans="1:82">
      <c r="A42" s="113"/>
      <c r="B42" s="113"/>
      <c r="C42" s="113"/>
      <c r="D42" s="113"/>
      <c r="E42" s="113"/>
      <c r="F42" s="113"/>
      <c r="G42" s="113"/>
      <c r="H42" s="113"/>
      <c r="I42" s="113"/>
    </row>
    <row r="43" spans="1:82">
      <c r="A43" s="27" t="s">
        <v>547</v>
      </c>
      <c r="B43" s="27" t="s">
        <v>535</v>
      </c>
      <c r="C43" s="27" t="s">
        <v>548</v>
      </c>
      <c r="D43" s="27" t="s">
        <v>549</v>
      </c>
      <c r="E43" s="27" t="s">
        <v>550</v>
      </c>
      <c r="F43" s="27" t="s">
        <v>551</v>
      </c>
      <c r="G43" s="27" t="s">
        <v>536</v>
      </c>
      <c r="H43" s="27" t="s">
        <v>552</v>
      </c>
      <c r="I43" s="27" t="s">
        <v>553</v>
      </c>
      <c r="J43" s="27" t="s">
        <v>554</v>
      </c>
      <c r="K43" s="27" t="s">
        <v>555</v>
      </c>
      <c r="L43" s="27" t="s">
        <v>537</v>
      </c>
      <c r="M43" s="27" t="s">
        <v>556</v>
      </c>
      <c r="N43" s="27" t="s">
        <v>557</v>
      </c>
      <c r="O43" s="27" t="s">
        <v>558</v>
      </c>
      <c r="P43" s="27" t="s">
        <v>559</v>
      </c>
      <c r="Q43" s="27" t="s">
        <v>538</v>
      </c>
      <c r="R43" s="27" t="s">
        <v>560</v>
      </c>
      <c r="S43" s="27" t="s">
        <v>561</v>
      </c>
      <c r="T43" s="27" t="s">
        <v>562</v>
      </c>
      <c r="U43" s="27" t="s">
        <v>563</v>
      </c>
      <c r="V43" s="27" t="s">
        <v>539</v>
      </c>
      <c r="W43" s="27" t="s">
        <v>564</v>
      </c>
      <c r="X43" s="27" t="s">
        <v>565</v>
      </c>
      <c r="Y43" s="27" t="s">
        <v>566</v>
      </c>
      <c r="Z43" s="27" t="s">
        <v>567</v>
      </c>
      <c r="AA43" s="27" t="s">
        <v>540</v>
      </c>
      <c r="AB43" s="27" t="s">
        <v>568</v>
      </c>
      <c r="AC43" s="27" t="s">
        <v>569</v>
      </c>
      <c r="AD43" s="27" t="s">
        <v>570</v>
      </c>
      <c r="AE43" s="27" t="s">
        <v>571</v>
      </c>
      <c r="AF43" s="27" t="s">
        <v>541</v>
      </c>
      <c r="AG43" s="27" t="s">
        <v>695</v>
      </c>
      <c r="AH43" s="27" t="s">
        <v>696</v>
      </c>
      <c r="AI43" s="27" t="s">
        <v>697</v>
      </c>
      <c r="AJ43" s="27" t="s">
        <v>698</v>
      </c>
      <c r="AK43" s="27" t="s">
        <v>699</v>
      </c>
      <c r="AL43" s="27" t="s">
        <v>700</v>
      </c>
      <c r="AM43" s="27" t="s">
        <v>701</v>
      </c>
      <c r="AN43" s="27" t="s">
        <v>702</v>
      </c>
      <c r="AO43" s="27" t="s">
        <v>703</v>
      </c>
      <c r="AP43" s="27" t="s">
        <v>704</v>
      </c>
      <c r="AQ43" s="27" t="s">
        <v>705</v>
      </c>
      <c r="AR43" s="27" t="s">
        <v>706</v>
      </c>
      <c r="AS43" s="27" t="s">
        <v>707</v>
      </c>
      <c r="AT43" s="27" t="s">
        <v>708</v>
      </c>
      <c r="AU43" s="27" t="s">
        <v>709</v>
      </c>
      <c r="AV43" s="27" t="s">
        <v>710</v>
      </c>
      <c r="AW43" s="27" t="s">
        <v>711</v>
      </c>
      <c r="AX43" s="27" t="s">
        <v>712</v>
      </c>
      <c r="AY43" s="27" t="s">
        <v>713</v>
      </c>
      <c r="AZ43" s="27" t="s">
        <v>714</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7" t="s">
        <v>547</v>
      </c>
      <c r="C61" s="27" t="s">
        <v>535</v>
      </c>
      <c r="D61" s="27" t="s">
        <v>548</v>
      </c>
      <c r="E61" s="27" t="s">
        <v>549</v>
      </c>
      <c r="F61" s="27" t="s">
        <v>550</v>
      </c>
      <c r="G61" s="27" t="s">
        <v>551</v>
      </c>
      <c r="H61" s="27" t="s">
        <v>536</v>
      </c>
      <c r="I61" s="27" t="s">
        <v>552</v>
      </c>
      <c r="J61" s="27" t="s">
        <v>553</v>
      </c>
      <c r="K61" s="27" t="s">
        <v>554</v>
      </c>
      <c r="L61" s="27" t="s">
        <v>555</v>
      </c>
      <c r="M61" s="27" t="s">
        <v>537</v>
      </c>
      <c r="N61" s="27" t="s">
        <v>556</v>
      </c>
      <c r="O61" s="27" t="s">
        <v>557</v>
      </c>
      <c r="P61" s="27" t="s">
        <v>558</v>
      </c>
      <c r="Q61" s="27" t="s">
        <v>559</v>
      </c>
      <c r="R61" s="27" t="s">
        <v>538</v>
      </c>
      <c r="S61" s="27" t="s">
        <v>560</v>
      </c>
      <c r="T61" s="27" t="s">
        <v>561</v>
      </c>
      <c r="U61" s="27" t="s">
        <v>562</v>
      </c>
      <c r="V61" s="27" t="s">
        <v>563</v>
      </c>
      <c r="W61" s="27" t="s">
        <v>539</v>
      </c>
      <c r="X61" s="27" t="s">
        <v>564</v>
      </c>
      <c r="Y61" s="27" t="s">
        <v>565</v>
      </c>
      <c r="Z61" s="27" t="s">
        <v>566</v>
      </c>
      <c r="AA61" s="27" t="s">
        <v>567</v>
      </c>
      <c r="AB61" s="27" t="s">
        <v>540</v>
      </c>
      <c r="AC61" s="27" t="s">
        <v>568</v>
      </c>
      <c r="AD61" s="27" t="s">
        <v>569</v>
      </c>
      <c r="AE61" s="27" t="s">
        <v>570</v>
      </c>
      <c r="AF61" s="27" t="s">
        <v>571</v>
      </c>
      <c r="AG61" s="27" t="s">
        <v>541</v>
      </c>
      <c r="AH61" s="27" t="s">
        <v>695</v>
      </c>
      <c r="AI61" s="27" t="s">
        <v>696</v>
      </c>
      <c r="AJ61" s="27" t="s">
        <v>697</v>
      </c>
      <c r="AK61" s="27" t="s">
        <v>698</v>
      </c>
      <c r="AL61" s="27" t="s">
        <v>699</v>
      </c>
      <c r="AM61" s="27"/>
      <c r="AN61" s="27"/>
      <c r="AO61" s="27"/>
      <c r="AP61" s="27"/>
      <c r="AQ61" s="27"/>
      <c r="AR61" s="27"/>
      <c r="AS61" s="27"/>
      <c r="AT61" s="27"/>
      <c r="AU61" s="27"/>
      <c r="AV61" s="27"/>
      <c r="AW61" s="27"/>
      <c r="AX61" s="27"/>
      <c r="AY61" s="27"/>
      <c r="AZ61" s="27"/>
      <c r="BA61" s="27"/>
    </row>
    <row r="62" spans="1:53">
      <c r="A62" s="27" t="s">
        <v>259</v>
      </c>
      <c r="B62">
        <v>0.5</v>
      </c>
      <c r="C62">
        <v>0.50869109967400905</v>
      </c>
      <c r="D62">
        <v>0.48947211509097449</v>
      </c>
      <c r="E62">
        <v>0.4606178050566635</v>
      </c>
      <c r="F62">
        <v>0.44783547304107746</v>
      </c>
      <c r="G62">
        <v>0.4373450444929311</v>
      </c>
      <c r="H62">
        <v>0.42847018132309483</v>
      </c>
      <c r="I62">
        <v>0.42283459382689914</v>
      </c>
      <c r="J62">
        <v>0.41133888034482868</v>
      </c>
      <c r="K62">
        <v>0.39667878483899643</v>
      </c>
      <c r="L62">
        <v>0.38256993533227351</v>
      </c>
      <c r="M62">
        <v>0.36813146309135064</v>
      </c>
      <c r="N62">
        <v>0.3540843011225776</v>
      </c>
      <c r="O62">
        <v>0.34075368376324844</v>
      </c>
      <c r="P62">
        <v>0.32791372667188523</v>
      </c>
      <c r="Q62">
        <v>0.31543762454488994</v>
      </c>
      <c r="R62">
        <v>0.30324459681030069</v>
      </c>
      <c r="S62">
        <v>0.29154182974196219</v>
      </c>
      <c r="T62">
        <v>0.28046722445348188</v>
      </c>
      <c r="U62">
        <v>0.26982400445783222</v>
      </c>
      <c r="V62">
        <v>0.25972185449361052</v>
      </c>
      <c r="W62">
        <v>0.25016713258411949</v>
      </c>
      <c r="X62">
        <v>0.24122773354630761</v>
      </c>
      <c r="Y62">
        <v>0.23269419561714433</v>
      </c>
      <c r="Z62">
        <v>0.22453473051714334</v>
      </c>
      <c r="AA62">
        <v>0.21721369644424959</v>
      </c>
      <c r="AB62">
        <v>0.21014696677205003</v>
      </c>
      <c r="AC62">
        <v>0.20318538565140118</v>
      </c>
      <c r="AD62">
        <v>0.19666663363252757</v>
      </c>
      <c r="AE62">
        <v>0.19059548741874305</v>
      </c>
      <c r="AF62">
        <v>0.18508369905334232</v>
      </c>
      <c r="AG62">
        <v>0.18072458479062242</v>
      </c>
      <c r="AH62" s="18">
        <v>0.17584605474498105</v>
      </c>
      <c r="AI62" s="18">
        <v>0.17033070270405204</v>
      </c>
      <c r="AJ62" s="18">
        <v>0.16493882759964995</v>
      </c>
      <c r="AK62" s="18">
        <v>0.15955976879586242</v>
      </c>
      <c r="AL62" s="18">
        <v>0.15418593312694762</v>
      </c>
      <c r="AM62" s="18"/>
      <c r="AN62" s="18"/>
    </row>
    <row r="63" spans="1:53">
      <c r="A63" s="27" t="s">
        <v>260</v>
      </c>
      <c r="B63">
        <v>0.3</v>
      </c>
      <c r="C63">
        <v>0.29130890032599099</v>
      </c>
      <c r="D63">
        <v>0.29340566839946647</v>
      </c>
      <c r="E63">
        <v>0.30702568611369813</v>
      </c>
      <c r="F63">
        <v>0.31192284361497868</v>
      </c>
      <c r="G63">
        <v>0.3146811687378378</v>
      </c>
      <c r="H63">
        <v>0.31810023619141697</v>
      </c>
      <c r="I63">
        <v>0.32002715947280558</v>
      </c>
      <c r="J63">
        <v>0.3205618278723007</v>
      </c>
      <c r="K63">
        <v>0.32405011507682863</v>
      </c>
      <c r="L63">
        <v>0.32739290265745646</v>
      </c>
      <c r="M63">
        <v>0.3301611284366166</v>
      </c>
      <c r="N63">
        <v>0.33359646163824991</v>
      </c>
      <c r="O63">
        <v>0.33654052852471195</v>
      </c>
      <c r="P63">
        <v>0.33966241959979315</v>
      </c>
      <c r="Q63">
        <v>0.34245066314010103</v>
      </c>
      <c r="R63">
        <v>0.34518504524092186</v>
      </c>
      <c r="S63">
        <v>0.34770931437923797</v>
      </c>
      <c r="T63">
        <v>0.35009843702544508</v>
      </c>
      <c r="U63">
        <v>0.3523714849898934</v>
      </c>
      <c r="V63">
        <v>0.35460235350222807</v>
      </c>
      <c r="W63">
        <v>0.35664814779018039</v>
      </c>
      <c r="X63">
        <v>0.35874924374926437</v>
      </c>
      <c r="Y63">
        <v>0.36044650584554888</v>
      </c>
      <c r="Z63">
        <v>0.36238477362283072</v>
      </c>
      <c r="AA63">
        <v>0.36411265953542882</v>
      </c>
      <c r="AB63">
        <v>0.36564029649579993</v>
      </c>
      <c r="AC63">
        <v>0.367126043633481</v>
      </c>
      <c r="AD63">
        <v>0.3686716101381638</v>
      </c>
      <c r="AE63">
        <v>0.37017056021357031</v>
      </c>
      <c r="AF63">
        <v>0.37174357480116832</v>
      </c>
      <c r="AG63">
        <v>0.37346403644390014</v>
      </c>
      <c r="AH63" s="18">
        <v>0.37388997416795478</v>
      </c>
      <c r="AI63" s="18">
        <v>0.37492393081172831</v>
      </c>
      <c r="AJ63" s="18">
        <v>0.37587848887777464</v>
      </c>
      <c r="AK63" s="18">
        <v>0.37684268350097799</v>
      </c>
      <c r="AL63" s="18">
        <v>0.37772506321390981</v>
      </c>
      <c r="AM63" s="18"/>
      <c r="AN63" s="18"/>
    </row>
    <row r="64" spans="1:53">
      <c r="A64" s="27" t="s">
        <v>261</v>
      </c>
      <c r="B64">
        <v>0.2</v>
      </c>
      <c r="C64">
        <v>0.2</v>
      </c>
      <c r="D64">
        <v>0.21712221650955904</v>
      </c>
      <c r="E64">
        <v>0.23235650882963832</v>
      </c>
      <c r="F64">
        <v>0.24024168334394388</v>
      </c>
      <c r="G64">
        <v>0.24797378676923107</v>
      </c>
      <c r="H64">
        <v>0.25342958248548819</v>
      </c>
      <c r="I64">
        <v>0.25713824670029534</v>
      </c>
      <c r="J64">
        <v>0.26809929178287062</v>
      </c>
      <c r="K64">
        <v>0.27927110008417494</v>
      </c>
      <c r="L64">
        <v>0.29003716201027002</v>
      </c>
      <c r="M64">
        <v>0.3017074084720327</v>
      </c>
      <c r="N64">
        <v>0.31231923723917243</v>
      </c>
      <c r="O64">
        <v>0.32270578771203962</v>
      </c>
      <c r="P64">
        <v>0.33242385372832162</v>
      </c>
      <c r="Q64">
        <v>0.34211171231500903</v>
      </c>
      <c r="R64">
        <v>0.35157035794877739</v>
      </c>
      <c r="S64">
        <v>0.36074885587879985</v>
      </c>
      <c r="T64">
        <v>0.36943433852107305</v>
      </c>
      <c r="U64">
        <v>0.37780451055227438</v>
      </c>
      <c r="V64">
        <v>0.38567579200416147</v>
      </c>
      <c r="W64">
        <v>0.39318471962570017</v>
      </c>
      <c r="X64">
        <v>0.40002302270442802</v>
      </c>
      <c r="Y64">
        <v>0.40685929853730679</v>
      </c>
      <c r="Z64">
        <v>0.41308049586002593</v>
      </c>
      <c r="AA64">
        <v>0.41867364402032164</v>
      </c>
      <c r="AB64">
        <v>0.4242127367321501</v>
      </c>
      <c r="AC64">
        <v>0.42968857071511779</v>
      </c>
      <c r="AD64">
        <v>0.43466175622930864</v>
      </c>
      <c r="AE64">
        <v>0.43923395236768664</v>
      </c>
      <c r="AF64">
        <v>0.44317272614548942</v>
      </c>
      <c r="AG64">
        <v>0.4458113787654775</v>
      </c>
      <c r="AH64" s="18">
        <v>0.45026397108706423</v>
      </c>
      <c r="AI64" s="18">
        <v>0.4547453664842197</v>
      </c>
      <c r="AJ64" s="18">
        <v>0.45918268352257541</v>
      </c>
      <c r="AK64" s="18">
        <v>0.46359754770315958</v>
      </c>
      <c r="AL64" s="18">
        <v>0.46808900365914258</v>
      </c>
      <c r="AM64" s="18"/>
      <c r="AN64" s="18"/>
    </row>
    <row r="65" spans="1:52">
      <c r="A65" s="27"/>
    </row>
    <row r="66" spans="1:52">
      <c r="A66" s="27"/>
    </row>
    <row r="67" spans="1:52">
      <c r="A67" s="27"/>
    </row>
    <row r="71" spans="1:52">
      <c r="A71" s="27" t="s">
        <v>547</v>
      </c>
      <c r="B71" s="27" t="s">
        <v>535</v>
      </c>
      <c r="C71" s="27" t="s">
        <v>548</v>
      </c>
      <c r="D71" s="27" t="s">
        <v>549</v>
      </c>
      <c r="E71" s="27" t="s">
        <v>550</v>
      </c>
      <c r="F71" s="27" t="s">
        <v>551</v>
      </c>
      <c r="G71" s="27" t="s">
        <v>536</v>
      </c>
      <c r="H71" s="27" t="s">
        <v>552</v>
      </c>
      <c r="I71" s="27" t="s">
        <v>553</v>
      </c>
      <c r="J71" s="27" t="s">
        <v>554</v>
      </c>
      <c r="K71" s="27" t="s">
        <v>555</v>
      </c>
      <c r="L71" s="27" t="s">
        <v>537</v>
      </c>
      <c r="M71" s="27" t="s">
        <v>556</v>
      </c>
      <c r="N71" s="27" t="s">
        <v>557</v>
      </c>
      <c r="O71" s="27" t="s">
        <v>558</v>
      </c>
      <c r="P71" s="27" t="s">
        <v>559</v>
      </c>
      <c r="Q71" s="27" t="s">
        <v>538</v>
      </c>
      <c r="R71" s="27" t="s">
        <v>560</v>
      </c>
      <c r="S71" s="27" t="s">
        <v>561</v>
      </c>
      <c r="T71" s="27" t="s">
        <v>562</v>
      </c>
      <c r="U71" s="27" t="s">
        <v>563</v>
      </c>
      <c r="V71" s="27" t="s">
        <v>539</v>
      </c>
      <c r="W71" s="27" t="s">
        <v>564</v>
      </c>
      <c r="X71" s="27" t="s">
        <v>565</v>
      </c>
      <c r="Y71" s="27" t="s">
        <v>566</v>
      </c>
      <c r="Z71" s="27" t="s">
        <v>567</v>
      </c>
      <c r="AA71" s="27" t="s">
        <v>540</v>
      </c>
      <c r="AB71" s="27" t="s">
        <v>568</v>
      </c>
      <c r="AC71" s="27" t="s">
        <v>569</v>
      </c>
      <c r="AD71" s="27" t="s">
        <v>570</v>
      </c>
      <c r="AE71" s="27" t="s">
        <v>571</v>
      </c>
      <c r="AF71" s="27" t="s">
        <v>541</v>
      </c>
      <c r="AG71" s="27" t="s">
        <v>695</v>
      </c>
      <c r="AH71" s="27" t="s">
        <v>696</v>
      </c>
      <c r="AI71" s="27" t="s">
        <v>697</v>
      </c>
      <c r="AJ71" s="27" t="s">
        <v>698</v>
      </c>
      <c r="AK71" s="27" t="s">
        <v>699</v>
      </c>
      <c r="AL71" s="27"/>
      <c r="AM71" s="27"/>
      <c r="AN71" s="27"/>
      <c r="AO71" s="27"/>
      <c r="AP71" s="27"/>
      <c r="AQ71" s="27"/>
      <c r="AR71" s="27"/>
      <c r="AS71" s="27"/>
      <c r="AT71" s="27"/>
      <c r="AU71" s="27"/>
      <c r="AV71" s="27"/>
      <c r="AW71" s="27"/>
      <c r="AX71" s="27"/>
      <c r="AY71" s="27"/>
      <c r="AZ71" s="27"/>
    </row>
    <row r="72" spans="1:52">
      <c r="A72">
        <v>0.36334628492272741</v>
      </c>
      <c r="B72">
        <v>0.34712263583904623</v>
      </c>
      <c r="C72">
        <v>0.44280291396319554</v>
      </c>
      <c r="D72">
        <v>0.45627322360302747</v>
      </c>
      <c r="E72">
        <v>0.46492567395571788</v>
      </c>
      <c r="F72">
        <v>0.47458112577213096</v>
      </c>
      <c r="G72">
        <v>0.48077134434874597</v>
      </c>
      <c r="H72">
        <v>0.48594318744712117</v>
      </c>
      <c r="I72">
        <v>0.50254081311302068</v>
      </c>
      <c r="J72">
        <v>0.51875239604564249</v>
      </c>
      <c r="K72">
        <v>0.53579087120031565</v>
      </c>
      <c r="L72">
        <v>0.61192265669948076</v>
      </c>
      <c r="M72">
        <v>0.6336376011174093</v>
      </c>
      <c r="N72">
        <v>0.65683488664279255</v>
      </c>
      <c r="O72">
        <v>0.67975553420241741</v>
      </c>
      <c r="P72">
        <v>0.70455326084811898</v>
      </c>
      <c r="Q72">
        <v>0.73060234639305233</v>
      </c>
      <c r="R72">
        <v>0.75805621792074751</v>
      </c>
      <c r="S72">
        <v>0.78610401829501619</v>
      </c>
      <c r="T72">
        <v>0.81509517516685925</v>
      </c>
      <c r="U72">
        <v>0.8442461491629969</v>
      </c>
      <c r="V72">
        <v>0.87425699778793997</v>
      </c>
      <c r="W72">
        <v>0.97226371526572386</v>
      </c>
      <c r="X72">
        <v>1.0063000972393938</v>
      </c>
      <c r="Y72">
        <v>1.0384833006521086</v>
      </c>
      <c r="Z72">
        <v>1.0692905157611092</v>
      </c>
      <c r="AA72">
        <v>1.1019648402228825</v>
      </c>
      <c r="AB72">
        <v>1.1364320813462354</v>
      </c>
      <c r="AC72">
        <v>1.169345941540723</v>
      </c>
      <c r="AD72">
        <v>1.2010627300652332</v>
      </c>
      <c r="AE72">
        <v>1.2289099860968038</v>
      </c>
      <c r="AF72">
        <v>1.245941113080463</v>
      </c>
      <c r="AG72" s="18">
        <v>1.283736130820033</v>
      </c>
      <c r="AH72" s="18">
        <v>1.322038391699897</v>
      </c>
      <c r="AI72" s="18">
        <v>1.3627061519940094</v>
      </c>
      <c r="AJ72" s="18">
        <v>1.4055455096323435</v>
      </c>
      <c r="AK72" s="18">
        <v>1.4525400263723511</v>
      </c>
      <c r="AL72" s="18"/>
      <c r="AM72" s="18"/>
    </row>
    <row r="82" span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46">
      <c r="A83" s="27"/>
    </row>
    <row r="84" spans="1:46">
      <c r="A84" s="27"/>
    </row>
    <row r="85" spans="1:46">
      <c r="A85" s="27"/>
    </row>
    <row r="92" span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46">
      <c r="A93" s="27"/>
    </row>
    <row r="94" spans="1:46">
      <c r="A94" s="27"/>
    </row>
    <row r="95" spans="1:46">
      <c r="A95" s="27"/>
    </row>
    <row r="96" spans="1:46">
      <c r="A96" s="27"/>
    </row>
    <row r="97" spans="1:47">
      <c r="A97" s="27"/>
    </row>
    <row r="98" spans="1:47">
      <c r="A98" s="27"/>
    </row>
    <row r="99" spans="1:47">
      <c r="A99" s="27"/>
    </row>
    <row r="100" spans="1:47">
      <c r="A100" s="27"/>
    </row>
    <row r="101" spans="1:47">
      <c r="A101" s="27"/>
    </row>
    <row r="102" spans="1:47">
      <c r="C102" s="27" t="s">
        <v>547</v>
      </c>
      <c r="D102" s="27" t="s">
        <v>535</v>
      </c>
      <c r="E102" s="27" t="s">
        <v>548</v>
      </c>
      <c r="F102" s="27" t="s">
        <v>549</v>
      </c>
      <c r="G102" s="27" t="s">
        <v>550</v>
      </c>
      <c r="H102" s="27" t="s">
        <v>551</v>
      </c>
      <c r="I102" s="27" t="s">
        <v>536</v>
      </c>
      <c r="J102" s="27" t="s">
        <v>552</v>
      </c>
      <c r="K102" s="27" t="s">
        <v>553</v>
      </c>
      <c r="L102" s="27" t="s">
        <v>554</v>
      </c>
      <c r="M102" s="27" t="s">
        <v>555</v>
      </c>
      <c r="N102" s="27" t="s">
        <v>537</v>
      </c>
      <c r="O102" s="27" t="s">
        <v>556</v>
      </c>
      <c r="P102" s="27" t="s">
        <v>557</v>
      </c>
      <c r="Q102" s="27" t="s">
        <v>558</v>
      </c>
      <c r="R102" s="27" t="s">
        <v>559</v>
      </c>
      <c r="S102" s="27" t="s">
        <v>538</v>
      </c>
      <c r="T102" s="27" t="s">
        <v>560</v>
      </c>
      <c r="U102" s="27" t="s">
        <v>561</v>
      </c>
      <c r="V102" s="27" t="s">
        <v>562</v>
      </c>
      <c r="W102" s="27" t="s">
        <v>563</v>
      </c>
      <c r="X102" s="27" t="s">
        <v>539</v>
      </c>
      <c r="Y102" s="27" t="s">
        <v>564</v>
      </c>
      <c r="Z102" s="27" t="s">
        <v>565</v>
      </c>
      <c r="AA102" s="27" t="s">
        <v>566</v>
      </c>
      <c r="AB102" s="27" t="s">
        <v>567</v>
      </c>
      <c r="AC102" s="27" t="s">
        <v>540</v>
      </c>
      <c r="AD102" s="27" t="s">
        <v>568</v>
      </c>
      <c r="AE102" s="27" t="s">
        <v>569</v>
      </c>
      <c r="AF102" s="27" t="s">
        <v>570</v>
      </c>
      <c r="AG102" s="27" t="s">
        <v>571</v>
      </c>
      <c r="AH102" s="27" t="s">
        <v>541</v>
      </c>
      <c r="AI102" s="27" t="s">
        <v>695</v>
      </c>
      <c r="AJ102" s="27" t="s">
        <v>696</v>
      </c>
      <c r="AK102" s="27" t="s">
        <v>697</v>
      </c>
      <c r="AL102" s="27" t="s">
        <v>698</v>
      </c>
      <c r="AM102" s="27" t="s">
        <v>699</v>
      </c>
      <c r="AN102" s="27"/>
      <c r="AO102" s="27"/>
      <c r="AP102" s="27"/>
      <c r="AQ102" s="27"/>
      <c r="AR102" s="27"/>
      <c r="AS102" s="27"/>
      <c r="AT102" s="27"/>
      <c r="AU102" s="27"/>
    </row>
    <row r="103" spans="1:47">
      <c r="A103" s="27" t="s">
        <v>259</v>
      </c>
      <c r="B103" s="27"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7" t="s">
        <v>259</v>
      </c>
      <c r="B104" s="27"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row>
    <row r="105" spans="1:47">
      <c r="A105" s="27" t="s">
        <v>259</v>
      </c>
      <c r="B105" s="27"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47">
      <c r="A106" s="27" t="s">
        <v>259</v>
      </c>
      <c r="B106" s="27" t="s">
        <v>513</v>
      </c>
      <c r="C106" t="s">
        <v>379</v>
      </c>
      <c r="D106" t="s">
        <v>379</v>
      </c>
      <c r="E106" t="s">
        <v>379</v>
      </c>
      <c r="F106" t="s">
        <v>379</v>
      </c>
      <c r="G106" t="s">
        <v>379</v>
      </c>
      <c r="H106" t="s">
        <v>379</v>
      </c>
      <c r="I106" t="s">
        <v>379</v>
      </c>
      <c r="J106" t="s">
        <v>379</v>
      </c>
      <c r="K106" t="s">
        <v>379</v>
      </c>
    </row>
    <row r="107" spans="1:47">
      <c r="A107" s="27" t="s">
        <v>259</v>
      </c>
      <c r="B107" s="27" t="s">
        <v>514</v>
      </c>
      <c r="C107" t="s">
        <v>379</v>
      </c>
      <c r="D107" t="s">
        <v>379</v>
      </c>
    </row>
    <row r="108" spans="1:47">
      <c r="A108" s="27" t="s">
        <v>260</v>
      </c>
      <c r="B108" s="27" t="s">
        <v>511</v>
      </c>
      <c r="AE108" t="s">
        <v>379</v>
      </c>
      <c r="AF108" t="s">
        <v>379</v>
      </c>
      <c r="AG108" t="s">
        <v>379</v>
      </c>
      <c r="AH108" t="s">
        <v>379</v>
      </c>
      <c r="AI108" t="s">
        <v>379</v>
      </c>
      <c r="AJ108" t="s">
        <v>379</v>
      </c>
      <c r="AK108" t="s">
        <v>379</v>
      </c>
      <c r="AL108" t="s">
        <v>379</v>
      </c>
      <c r="AM108" t="s">
        <v>379</v>
      </c>
    </row>
    <row r="109" spans="1:47">
      <c r="A109" s="27" t="s">
        <v>260</v>
      </c>
      <c r="B109" s="27" t="s">
        <v>512</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7" t="s">
        <v>260</v>
      </c>
      <c r="B110" s="27" t="s">
        <v>513</v>
      </c>
      <c r="L110" t="s">
        <v>379</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7" t="s">
        <v>260</v>
      </c>
      <c r="B111" s="27" t="s">
        <v>514</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7" t="s">
        <v>260</v>
      </c>
      <c r="B112" s="27" t="s">
        <v>515</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row>
    <row r="113" spans="1:39">
      <c r="A113" s="27" t="s">
        <v>260</v>
      </c>
      <c r="B113" s="27" t="s">
        <v>516</v>
      </c>
      <c r="C113" t="s">
        <v>379</v>
      </c>
      <c r="D113" t="s">
        <v>379</v>
      </c>
      <c r="E113" t="s">
        <v>379</v>
      </c>
      <c r="F113" t="s">
        <v>379</v>
      </c>
      <c r="G113" t="s">
        <v>379</v>
      </c>
      <c r="H113" t="s">
        <v>379</v>
      </c>
      <c r="I113" t="s">
        <v>379</v>
      </c>
      <c r="J113" t="s">
        <v>379</v>
      </c>
      <c r="K113" t="s">
        <v>379</v>
      </c>
      <c r="L113" t="s">
        <v>379</v>
      </c>
      <c r="M113" t="s">
        <v>379</v>
      </c>
    </row>
    <row r="114" spans="1:39">
      <c r="A114" s="27" t="s">
        <v>260</v>
      </c>
      <c r="B114" s="27" t="s">
        <v>517</v>
      </c>
      <c r="C114" t="s">
        <v>379</v>
      </c>
      <c r="D114" t="s">
        <v>379</v>
      </c>
    </row>
    <row r="115" spans="1:39">
      <c r="A115" s="27" t="s">
        <v>261</v>
      </c>
      <c r="B115" s="27" t="s">
        <v>515</v>
      </c>
      <c r="Y115" t="s">
        <v>379</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7" t="s">
        <v>261</v>
      </c>
      <c r="B116" s="27" t="s">
        <v>516</v>
      </c>
      <c r="N116" t="s">
        <v>379</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7" t="s">
        <v>261</v>
      </c>
      <c r="B117" s="27" t="s">
        <v>517</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7" t="s">
        <v>261</v>
      </c>
      <c r="B118" s="27" t="s">
        <v>518</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7" t="s">
        <v>261</v>
      </c>
      <c r="B119" s="27" t="s">
        <v>579</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7"/>
      <c r="B120" s="27"/>
    </row>
    <row r="121" spans="1:39">
      <c r="A121" s="27"/>
      <c r="B121" s="27"/>
    </row>
    <row r="122" spans="1:39">
      <c r="A122" s="27"/>
      <c r="B122" s="27"/>
    </row>
    <row r="123" spans="1:39">
      <c r="A123" s="27"/>
      <c r="B123" s="27"/>
    </row>
    <row r="124" spans="1:39">
      <c r="A124" s="27"/>
      <c r="B124" s="27"/>
    </row>
    <row r="125" spans="1:39">
      <c r="A125" s="27"/>
      <c r="B125" s="27"/>
    </row>
    <row r="126" spans="1:39">
      <c r="A126" s="27"/>
      <c r="B126" s="27"/>
    </row>
    <row r="127" spans="1:39">
      <c r="A127" s="27"/>
      <c r="B127" s="27"/>
    </row>
    <row r="128" spans="1:39">
      <c r="A128" s="27"/>
      <c r="B128" s="27"/>
    </row>
    <row r="129" spans="1:53">
      <c r="A129" s="27"/>
      <c r="B129" s="27"/>
    </row>
    <row r="130" spans="1:53">
      <c r="A130" s="27"/>
      <c r="B130" s="27" t="s">
        <v>547</v>
      </c>
      <c r="C130" s="27" t="s">
        <v>535</v>
      </c>
      <c r="D130" s="27" t="s">
        <v>548</v>
      </c>
      <c r="E130" s="27" t="s">
        <v>549</v>
      </c>
      <c r="F130" s="27" t="s">
        <v>550</v>
      </c>
      <c r="G130" s="27" t="s">
        <v>551</v>
      </c>
      <c r="H130" s="27" t="s">
        <v>536</v>
      </c>
      <c r="I130" s="27" t="s">
        <v>552</v>
      </c>
      <c r="J130" s="27" t="s">
        <v>553</v>
      </c>
      <c r="K130" s="27" t="s">
        <v>554</v>
      </c>
      <c r="L130" s="27" t="s">
        <v>555</v>
      </c>
      <c r="M130" s="27" t="s">
        <v>537</v>
      </c>
      <c r="N130" s="27" t="s">
        <v>556</v>
      </c>
      <c r="O130" s="27" t="s">
        <v>557</v>
      </c>
      <c r="P130" s="27" t="s">
        <v>558</v>
      </c>
      <c r="Q130" s="27" t="s">
        <v>559</v>
      </c>
      <c r="R130" s="27" t="s">
        <v>538</v>
      </c>
      <c r="S130" s="27" t="s">
        <v>560</v>
      </c>
      <c r="T130" s="27" t="s">
        <v>561</v>
      </c>
      <c r="U130" s="27" t="s">
        <v>562</v>
      </c>
      <c r="V130" s="27" t="s">
        <v>563</v>
      </c>
      <c r="W130" s="27" t="s">
        <v>539</v>
      </c>
      <c r="X130" s="27" t="s">
        <v>564</v>
      </c>
      <c r="Y130" s="27" t="s">
        <v>565</v>
      </c>
      <c r="Z130" s="27" t="s">
        <v>566</v>
      </c>
      <c r="AA130" s="27" t="s">
        <v>567</v>
      </c>
      <c r="AB130" s="27" t="s">
        <v>540</v>
      </c>
      <c r="AC130" s="27" t="s">
        <v>568</v>
      </c>
      <c r="AD130" s="27" t="s">
        <v>569</v>
      </c>
      <c r="AE130" s="27" t="s">
        <v>570</v>
      </c>
      <c r="AF130" s="27" t="s">
        <v>571</v>
      </c>
      <c r="AG130" s="27" t="s">
        <v>541</v>
      </c>
      <c r="AH130" s="27" t="s">
        <v>695</v>
      </c>
      <c r="AI130" s="27" t="s">
        <v>696</v>
      </c>
      <c r="AJ130" s="27" t="s">
        <v>697</v>
      </c>
      <c r="AK130" s="27" t="s">
        <v>698</v>
      </c>
      <c r="AL130" s="27" t="s">
        <v>699</v>
      </c>
      <c r="AM130" s="27"/>
      <c r="AN130" s="27"/>
      <c r="AO130" s="27"/>
      <c r="AP130" s="27"/>
      <c r="AQ130" s="27"/>
      <c r="AR130" s="27"/>
      <c r="AS130" s="27"/>
      <c r="AT130" s="27"/>
      <c r="AU130" s="27"/>
      <c r="AV130" s="27"/>
      <c r="AW130" s="27"/>
      <c r="AX130" s="27"/>
      <c r="AY130" s="27"/>
      <c r="AZ130" s="27"/>
      <c r="BA130" s="27"/>
    </row>
    <row r="131" spans="1:53">
      <c r="A131" s="27" t="s">
        <v>372</v>
      </c>
      <c r="B131">
        <v>118.6298855621762</v>
      </c>
      <c r="C131">
        <v>103.01340323587007</v>
      </c>
      <c r="D131">
        <v>105.08628865644404</v>
      </c>
      <c r="E131">
        <v>112.37294178157305</v>
      </c>
      <c r="F131">
        <v>110.63098276354111</v>
      </c>
      <c r="G131">
        <v>111.70734132371921</v>
      </c>
      <c r="H131">
        <v>114.09436983728534</v>
      </c>
      <c r="I131">
        <v>120.0942881294018</v>
      </c>
      <c r="J131">
        <v>122.0392262137738</v>
      </c>
      <c r="K131">
        <v>125.07309796709416</v>
      </c>
      <c r="L131">
        <v>127.73812961776495</v>
      </c>
      <c r="M131">
        <v>132.81639090471981</v>
      </c>
      <c r="N131">
        <v>137.24609083041679</v>
      </c>
      <c r="O131">
        <v>142.42893443084859</v>
      </c>
      <c r="P131">
        <v>146.02843763856137</v>
      </c>
      <c r="Q131">
        <v>149.97560519541196</v>
      </c>
      <c r="R131">
        <v>155.70353655801125</v>
      </c>
      <c r="S131">
        <v>161.96653340434426</v>
      </c>
      <c r="T131">
        <v>167.64064710917569</v>
      </c>
      <c r="U131">
        <v>173.70887454210862</v>
      </c>
      <c r="V131">
        <v>179.66376961958719</v>
      </c>
      <c r="W131">
        <v>186.22903430354478</v>
      </c>
      <c r="X131">
        <v>192.02714628976094</v>
      </c>
      <c r="Y131">
        <v>199.35926022445523</v>
      </c>
      <c r="Z131">
        <v>205.97353504510608</v>
      </c>
      <c r="AA131">
        <v>212.10240542066816</v>
      </c>
      <c r="AB131">
        <v>219.03924575152689</v>
      </c>
      <c r="AC131">
        <v>227.26326282595977</v>
      </c>
      <c r="AD131">
        <v>234.97138917578309</v>
      </c>
      <c r="AE131">
        <v>241.41852857552706</v>
      </c>
      <c r="AF131">
        <v>246.17462559831324</v>
      </c>
      <c r="AG131">
        <v>249.55328068948489</v>
      </c>
      <c r="AH131">
        <v>257.89947640984656</v>
      </c>
      <c r="AI131">
        <v>266.34506091226706</v>
      </c>
      <c r="AJ131">
        <v>273.8777940903164</v>
      </c>
      <c r="AK131">
        <v>280.2646726314677</v>
      </c>
      <c r="AL131">
        <v>289.70252895062958</v>
      </c>
    </row>
    <row r="132" spans="1:53">
      <c r="A132" s="27" t="s">
        <v>685</v>
      </c>
      <c r="B132" s="165">
        <v>9.1050000000000004</v>
      </c>
      <c r="C132" s="165">
        <v>8.6709999999999994</v>
      </c>
      <c r="D132" s="165">
        <v>8.7420000000000009</v>
      </c>
      <c r="E132" s="27">
        <v>8.8580000000000005</v>
      </c>
      <c r="F132" s="165">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7"/>
      <c r="B133" s="27"/>
    </row>
    <row r="134" spans="1:53">
      <c r="A134" s="27"/>
      <c r="B134" s="27"/>
    </row>
    <row r="135" spans="1:53">
      <c r="A135" s="27"/>
      <c r="B135" s="27"/>
    </row>
    <row r="162" spans="1:13">
      <c r="A162" s="27"/>
      <c r="B162" s="27"/>
      <c r="C162" s="27"/>
      <c r="D162" s="27"/>
      <c r="E162" s="27"/>
      <c r="F162" s="27"/>
      <c r="G162" s="27"/>
      <c r="H162" s="27"/>
      <c r="I162" s="27"/>
      <c r="J162" s="27"/>
      <c r="K162" s="27"/>
      <c r="L162" s="27"/>
      <c r="M162" s="27"/>
    </row>
    <row r="163" spans="1:13">
      <c r="A163" s="27" t="s">
        <v>616</v>
      </c>
      <c r="B163" s="27" t="s">
        <v>4</v>
      </c>
      <c r="C163" s="27" t="s">
        <v>617</v>
      </c>
      <c r="D163" s="27" t="s">
        <v>618</v>
      </c>
      <c r="E163" s="27" t="s">
        <v>637</v>
      </c>
    </row>
    <row r="164" spans="1:13">
      <c r="A164">
        <v>2</v>
      </c>
      <c r="B164">
        <v>2</v>
      </c>
      <c r="C164">
        <v>1</v>
      </c>
      <c r="D164">
        <v>1</v>
      </c>
      <c r="E164">
        <v>-1</v>
      </c>
    </row>
  </sheetData>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pane xSplit="2" ySplit="6" topLeftCell="C7" activePane="bottomRight" state="frozen"/>
      <selection pane="topRight" activeCell="C1" sqref="C1"/>
      <selection pane="bottomLeft" activeCell="A7" sqref="A7"/>
      <selection pane="bottomRight" activeCell="T34" sqref="T34"/>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7" t="s">
        <v>533</v>
      </c>
      <c r="D3" s="27" t="s">
        <v>542</v>
      </c>
      <c r="E3" s="27" t="s">
        <v>543</v>
      </c>
      <c r="F3" s="27" t="s">
        <v>534</v>
      </c>
      <c r="G3" s="27" t="s">
        <v>544</v>
      </c>
      <c r="H3" s="27" t="s">
        <v>545</v>
      </c>
      <c r="I3" s="27" t="s">
        <v>546</v>
      </c>
      <c r="J3" s="27" t="s">
        <v>547</v>
      </c>
      <c r="K3" s="27" t="s">
        <v>535</v>
      </c>
      <c r="L3" s="27" t="s">
        <v>548</v>
      </c>
      <c r="M3" s="27" t="s">
        <v>549</v>
      </c>
      <c r="N3" s="27" t="s">
        <v>550</v>
      </c>
      <c r="O3" s="27" t="s">
        <v>551</v>
      </c>
      <c r="P3" s="27" t="s">
        <v>536</v>
      </c>
      <c r="Q3" s="27" t="s">
        <v>552</v>
      </c>
      <c r="R3" s="27" t="s">
        <v>553</v>
      </c>
      <c r="S3" s="27" t="s">
        <v>554</v>
      </c>
      <c r="T3" s="27" t="s">
        <v>555</v>
      </c>
      <c r="U3" s="27" t="s">
        <v>537</v>
      </c>
      <c r="V3" s="27" t="s">
        <v>556</v>
      </c>
      <c r="W3" s="27" t="s">
        <v>557</v>
      </c>
      <c r="X3" s="27" t="s">
        <v>558</v>
      </c>
      <c r="Y3" s="27" t="s">
        <v>559</v>
      </c>
      <c r="Z3" s="27" t="s">
        <v>538</v>
      </c>
      <c r="AA3" s="27" t="s">
        <v>560</v>
      </c>
      <c r="AB3" s="27" t="s">
        <v>561</v>
      </c>
      <c r="AC3" s="27" t="s">
        <v>562</v>
      </c>
      <c r="AD3" s="27" t="s">
        <v>563</v>
      </c>
      <c r="AE3" s="27" t="s">
        <v>539</v>
      </c>
      <c r="AF3" s="27" t="s">
        <v>540</v>
      </c>
      <c r="AG3" s="27" t="s">
        <v>541</v>
      </c>
      <c r="AH3" s="27" t="s">
        <v>699</v>
      </c>
      <c r="AI3" s="27" t="s">
        <v>704</v>
      </c>
      <c r="AJ3" s="27" t="s">
        <v>709</v>
      </c>
      <c r="AK3" s="27" t="s">
        <v>714</v>
      </c>
      <c r="AL3" s="27"/>
      <c r="AM3" s="27"/>
      <c r="AN3" s="27"/>
      <c r="AO3" s="27"/>
    </row>
    <row r="5" spans="1:41">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41">
      <c r="A6" t="s">
        <v>588</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57">
        <v>96.797279590965346</v>
      </c>
      <c r="D7" s="257">
        <v>101.32801029182565</v>
      </c>
      <c r="E7" s="257">
        <v>105.4512845971946</v>
      </c>
      <c r="F7" s="257">
        <v>104.03295587682055</v>
      </c>
      <c r="G7" s="257">
        <v>102.86973222443167</v>
      </c>
      <c r="H7" s="257">
        <v>106.45368114150588</v>
      </c>
      <c r="I7" s="257">
        <v>104.83293209544796</v>
      </c>
      <c r="J7" s="257">
        <v>103.19</v>
      </c>
      <c r="K7" s="257">
        <v>101.98</v>
      </c>
      <c r="L7" s="8">
        <f t="shared" ref="L7:M13" si="5">L47/K47*K7</f>
        <v>109.27462512619168</v>
      </c>
      <c r="M7" s="8">
        <f t="shared" si="5"/>
        <v>105.92295099389477</v>
      </c>
      <c r="N7" s="8">
        <f t="shared" ref="N7:AG7" si="6">N47/M47*M7</f>
        <v>103.65853055310377</v>
      </c>
      <c r="O7" s="8">
        <f t="shared" si="6"/>
        <v>102.92717795930828</v>
      </c>
      <c r="P7" s="8">
        <f t="shared" si="6"/>
        <v>105.20356272033369</v>
      </c>
      <c r="Q7" s="8">
        <f t="shared" si="6"/>
        <v>106.52731491190396</v>
      </c>
      <c r="R7" s="8">
        <f t="shared" si="6"/>
        <v>108.19511106094386</v>
      </c>
      <c r="S7" s="8">
        <f t="shared" si="6"/>
        <v>110.00436157961001</v>
      </c>
      <c r="T7" s="8">
        <f t="shared" si="6"/>
        <v>111.78239511724279</v>
      </c>
      <c r="U7" s="8">
        <f t="shared" si="6"/>
        <v>114.57356049076384</v>
      </c>
      <c r="V7" s="8">
        <f t="shared" si="6"/>
        <v>117.23877715150419</v>
      </c>
      <c r="W7" s="8">
        <f t="shared" si="6"/>
        <v>119.7720765854295</v>
      </c>
      <c r="X7" s="8">
        <f t="shared" si="6"/>
        <v>122.36783727833448</v>
      </c>
      <c r="Y7" s="8">
        <f t="shared" si="6"/>
        <v>125.03091581646193</v>
      </c>
      <c r="Z7" s="8">
        <f t="shared" si="6"/>
        <v>128.85900427058164</v>
      </c>
      <c r="AA7" s="8">
        <f t="shared" si="6"/>
        <v>131.85555520276597</v>
      </c>
      <c r="AB7" s="8">
        <f t="shared" si="6"/>
        <v>134.81030518817647</v>
      </c>
      <c r="AC7" s="8">
        <f t="shared" si="6"/>
        <v>137.91267697000339</v>
      </c>
      <c r="AD7" s="8">
        <f t="shared" si="6"/>
        <v>141.17159249471513</v>
      </c>
      <c r="AE7" s="8">
        <f t="shared" si="6"/>
        <v>144.41073683212804</v>
      </c>
      <c r="AF7" s="8">
        <f t="shared" si="6"/>
        <v>162.11518999610377</v>
      </c>
      <c r="AG7" s="8">
        <f t="shared" si="6"/>
        <v>180.93556494331989</v>
      </c>
      <c r="AH7" s="8">
        <f t="shared" ref="AH7:AK11" si="7">AH47/AG47*AG7</f>
        <v>203.76209652782873</v>
      </c>
      <c r="AI7" s="8">
        <f t="shared" si="7"/>
        <v>227.340220723431</v>
      </c>
      <c r="AJ7" s="8">
        <f t="shared" si="7"/>
        <v>242.6647374226188</v>
      </c>
      <c r="AK7" s="8">
        <f t="shared" si="7"/>
        <v>247.70963495063509</v>
      </c>
      <c r="AL7" s="107"/>
      <c r="AM7" s="107"/>
    </row>
    <row r="8" spans="1:41">
      <c r="A8" s="115" t="s">
        <v>4</v>
      </c>
      <c r="B8">
        <f>B7+1</f>
        <v>2</v>
      </c>
      <c r="C8" s="257">
        <v>2420.5059603282948</v>
      </c>
      <c r="D8" s="257">
        <v>2489.1047071827661</v>
      </c>
      <c r="E8" s="257">
        <v>2551.5982527371866</v>
      </c>
      <c r="F8" s="257">
        <v>2595.1630396206046</v>
      </c>
      <c r="G8" s="257">
        <v>2628.6516711665686</v>
      </c>
      <c r="H8" s="257">
        <v>2667.1308637985835</v>
      </c>
      <c r="I8" s="257">
        <v>2710.4237502366891</v>
      </c>
      <c r="J8" s="257">
        <v>2746.44</v>
      </c>
      <c r="K8" s="257">
        <v>2570.58</v>
      </c>
      <c r="L8" s="8">
        <f t="shared" si="5"/>
        <v>2662.9252402640709</v>
      </c>
      <c r="M8" s="8">
        <f t="shared" si="5"/>
        <v>2767.8804543374972</v>
      </c>
      <c r="N8" s="8">
        <f t="shared" ref="N8:AG8" si="8">N48/M48*M8</f>
        <v>2808.9096433371542</v>
      </c>
      <c r="O8" s="8">
        <f t="shared" si="8"/>
        <v>2864.4343802475973</v>
      </c>
      <c r="P8" s="8">
        <f t="shared" si="8"/>
        <v>2920.6767645440164</v>
      </c>
      <c r="Q8" s="8">
        <f t="shared" si="8"/>
        <v>2986.0440755992977</v>
      </c>
      <c r="R8" s="8">
        <f t="shared" si="8"/>
        <v>3071.3768764539382</v>
      </c>
      <c r="S8" s="8">
        <f t="shared" si="8"/>
        <v>3167.4591922833911</v>
      </c>
      <c r="T8" s="8">
        <f t="shared" si="8"/>
        <v>3273.930007448505</v>
      </c>
      <c r="U8" s="8">
        <f t="shared" si="8"/>
        <v>3398.0144759896702</v>
      </c>
      <c r="V8" s="8">
        <f t="shared" si="8"/>
        <v>3529.16499897522</v>
      </c>
      <c r="W8" s="8">
        <f t="shared" si="8"/>
        <v>3668.5665787775183</v>
      </c>
      <c r="X8" s="8">
        <f t="shared" si="8"/>
        <v>3811.5340717598383</v>
      </c>
      <c r="Y8" s="8">
        <f t="shared" si="8"/>
        <v>3962.2414712721747</v>
      </c>
      <c r="Z8" s="8">
        <f t="shared" si="8"/>
        <v>4123.8348279310476</v>
      </c>
      <c r="AA8" s="8">
        <f t="shared" si="8"/>
        <v>4289.088828862491</v>
      </c>
      <c r="AB8" s="8">
        <f t="shared" si="8"/>
        <v>4461.869549346834</v>
      </c>
      <c r="AC8" s="8">
        <f t="shared" si="8"/>
        <v>4644.061078713049</v>
      </c>
      <c r="AD8" s="8">
        <f t="shared" si="8"/>
        <v>4833.889792709334</v>
      </c>
      <c r="AE8" s="8">
        <f t="shared" si="8"/>
        <v>5028.6937328798494</v>
      </c>
      <c r="AF8" s="8">
        <f t="shared" si="8"/>
        <v>6050.943894449485</v>
      </c>
      <c r="AG8" s="8">
        <f t="shared" si="8"/>
        <v>7097.8617492084104</v>
      </c>
      <c r="AH8" s="8">
        <f t="shared" si="7"/>
        <v>8244.8786930675578</v>
      </c>
      <c r="AI8" s="8">
        <f t="shared" si="7"/>
        <v>9198.9264630671769</v>
      </c>
      <c r="AJ8" s="8">
        <f t="shared" si="7"/>
        <v>9819.0063668751682</v>
      </c>
      <c r="AK8" s="8">
        <f t="shared" si="7"/>
        <v>10023.139367301817</v>
      </c>
      <c r="AL8" s="107"/>
      <c r="AM8" s="107"/>
    </row>
    <row r="9" spans="1:41">
      <c r="A9" s="115" t="s">
        <v>505</v>
      </c>
      <c r="B9">
        <f t="shared" ref="B9:B39" si="9">B8+1</f>
        <v>3</v>
      </c>
      <c r="C9" s="257">
        <v>70.962100386128554</v>
      </c>
      <c r="D9" s="257">
        <v>73.086209474587847</v>
      </c>
      <c r="E9" s="257">
        <v>74.596549410412479</v>
      </c>
      <c r="F9" s="257">
        <v>75.426967631355183</v>
      </c>
      <c r="G9" s="257">
        <v>76.235886351432072</v>
      </c>
      <c r="H9" s="257">
        <v>76.890277409035789</v>
      </c>
      <c r="I9" s="257">
        <v>77.76100719410195</v>
      </c>
      <c r="J9" s="257">
        <v>77.597073499999993</v>
      </c>
      <c r="K9" s="257">
        <v>76.465347000000008</v>
      </c>
      <c r="L9" s="8">
        <f t="shared" si="5"/>
        <v>79.114983305038052</v>
      </c>
      <c r="M9" s="8">
        <f t="shared" si="5"/>
        <v>86.655314267344707</v>
      </c>
      <c r="N9" s="8">
        <f t="shared" ref="N9:AG9" si="10">N49/M49*M9</f>
        <v>86.110788309314131</v>
      </c>
      <c r="O9" s="8">
        <f t="shared" si="10"/>
        <v>87.035453478011974</v>
      </c>
      <c r="P9" s="8">
        <f t="shared" si="10"/>
        <v>88.715473520389949</v>
      </c>
      <c r="Q9" s="8">
        <f t="shared" si="10"/>
        <v>90.116076587425681</v>
      </c>
      <c r="R9" s="8">
        <f t="shared" si="10"/>
        <v>91.95214642698987</v>
      </c>
      <c r="S9" s="8">
        <f t="shared" si="10"/>
        <v>93.969906469335157</v>
      </c>
      <c r="T9" s="8">
        <f t="shared" si="10"/>
        <v>96.485586886524658</v>
      </c>
      <c r="U9" s="8">
        <f t="shared" si="10"/>
        <v>99.775676029623</v>
      </c>
      <c r="V9" s="8">
        <f t="shared" si="10"/>
        <v>102.92053289730828</v>
      </c>
      <c r="W9" s="8">
        <f t="shared" si="10"/>
        <v>106.23915641111122</v>
      </c>
      <c r="X9" s="8">
        <f t="shared" si="10"/>
        <v>109.72139131121743</v>
      </c>
      <c r="Y9" s="8">
        <f t="shared" si="10"/>
        <v>113.31632906230109</v>
      </c>
      <c r="Z9" s="8">
        <f t="shared" si="10"/>
        <v>117.99298958547608</v>
      </c>
      <c r="AA9" s="8">
        <f t="shared" si="10"/>
        <v>121.40736267307575</v>
      </c>
      <c r="AB9" s="8">
        <f t="shared" si="10"/>
        <v>125.23731097356547</v>
      </c>
      <c r="AC9" s="8">
        <f t="shared" si="10"/>
        <v>129.40057077067453</v>
      </c>
      <c r="AD9" s="8">
        <f t="shared" si="10"/>
        <v>133.92452483382394</v>
      </c>
      <c r="AE9" s="8">
        <f t="shared" si="10"/>
        <v>138.44873583005324</v>
      </c>
      <c r="AF9" s="8">
        <f t="shared" si="10"/>
        <v>163.49301003537829</v>
      </c>
      <c r="AG9" s="8">
        <f t="shared" si="10"/>
        <v>186.88349219432033</v>
      </c>
      <c r="AH9" s="8">
        <f t="shared" si="7"/>
        <v>217.16636316412422</v>
      </c>
      <c r="AI9" s="8">
        <f t="shared" si="7"/>
        <v>243.17868876623697</v>
      </c>
      <c r="AJ9" s="8">
        <f t="shared" si="7"/>
        <v>260.17181984715688</v>
      </c>
      <c r="AK9" s="8">
        <f t="shared" si="7"/>
        <v>265.93710251277764</v>
      </c>
      <c r="AL9" s="107"/>
      <c r="AM9" s="107"/>
    </row>
    <row r="10" spans="1:41">
      <c r="A10" s="115" t="s">
        <v>685</v>
      </c>
      <c r="B10">
        <f t="shared" si="9"/>
        <v>4</v>
      </c>
      <c r="C10" s="257">
        <v>2.4554419284149018</v>
      </c>
      <c r="D10" s="257">
        <v>2.4807404210106916</v>
      </c>
      <c r="E10" s="257">
        <v>2.5000863271133542</v>
      </c>
      <c r="F10" s="257">
        <v>2.4936376917457999</v>
      </c>
      <c r="G10" s="257">
        <v>2.4903306992496184</v>
      </c>
      <c r="H10" s="257">
        <v>2.5025665714854908</v>
      </c>
      <c r="I10" s="257">
        <v>2.5113301016003717</v>
      </c>
      <c r="J10" s="257">
        <v>2.4900000000000002</v>
      </c>
      <c r="K10" s="257">
        <v>2.36</v>
      </c>
      <c r="L10" s="8">
        <f t="shared" si="5"/>
        <v>2.4346512615109326</v>
      </c>
      <c r="M10" s="8">
        <f t="shared" si="5"/>
        <v>2.5987139808094759</v>
      </c>
      <c r="N10" s="8">
        <f t="shared" ref="N10:AG10" si="11">N50/M50*M10</f>
        <v>2.6192614059913608</v>
      </c>
      <c r="O10" s="8">
        <f t="shared" si="11"/>
        <v>2.6486866547297505</v>
      </c>
      <c r="P10" s="8">
        <f t="shared" si="11"/>
        <v>2.6966358146949037</v>
      </c>
      <c r="Q10" s="8">
        <f t="shared" si="11"/>
        <v>2.7453498145627173</v>
      </c>
      <c r="R10" s="8">
        <f t="shared" si="11"/>
        <v>2.8015903678007863</v>
      </c>
      <c r="S10" s="8">
        <f t="shared" si="11"/>
        <v>2.864623010263855</v>
      </c>
      <c r="T10" s="8">
        <f t="shared" si="11"/>
        <v>2.9404628743279475</v>
      </c>
      <c r="U10" s="8">
        <f t="shared" si="11"/>
        <v>3.0439707607270639</v>
      </c>
      <c r="V10" s="8">
        <f t="shared" si="11"/>
        <v>3.1421548954277023</v>
      </c>
      <c r="W10" s="8">
        <f t="shared" si="11"/>
        <v>3.247434641758085</v>
      </c>
      <c r="X10" s="8">
        <f t="shared" si="11"/>
        <v>3.353930654997296</v>
      </c>
      <c r="Y10" s="8">
        <f t="shared" si="11"/>
        <v>3.4648204378161784</v>
      </c>
      <c r="Z10" s="8">
        <f t="shared" si="11"/>
        <v>3.5352232823151839</v>
      </c>
      <c r="AA10" s="8">
        <f t="shared" si="11"/>
        <v>3.6463639373653405</v>
      </c>
      <c r="AB10" s="8">
        <f t="shared" si="11"/>
        <v>3.7684876336291557</v>
      </c>
      <c r="AC10" s="8">
        <f t="shared" si="11"/>
        <v>3.9001565306648049</v>
      </c>
      <c r="AD10" s="8">
        <f t="shared" si="11"/>
        <v>4.0415034748652516</v>
      </c>
      <c r="AE10" s="8">
        <f t="shared" si="11"/>
        <v>4.1843731919581542</v>
      </c>
      <c r="AF10" s="8">
        <f t="shared" si="11"/>
        <v>4.9648490890981449</v>
      </c>
      <c r="AG10" s="8">
        <f t="shared" si="11"/>
        <v>5.664670575170347</v>
      </c>
      <c r="AH10" s="8">
        <f t="shared" si="7"/>
        <v>6.6187034966473073</v>
      </c>
      <c r="AI10" s="8">
        <f t="shared" si="7"/>
        <v>7.4114960263472938</v>
      </c>
      <c r="AJ10" s="8">
        <f t="shared" si="7"/>
        <v>7.9294054045103808</v>
      </c>
      <c r="AK10" s="8">
        <f t="shared" si="7"/>
        <v>8.1051172227778601</v>
      </c>
      <c r="AL10" s="107"/>
      <c r="AM10" s="107"/>
    </row>
    <row r="11" spans="1:41">
      <c r="A11" s="115" t="s">
        <v>797</v>
      </c>
      <c r="B11">
        <f t="shared" si="9"/>
        <v>5</v>
      </c>
      <c r="C11" s="257">
        <v>1.1457944489290657</v>
      </c>
      <c r="D11" s="257">
        <v>1.1800915228492761</v>
      </c>
      <c r="E11" s="257">
        <v>1.2044783308079934</v>
      </c>
      <c r="F11" s="257">
        <v>1.2178867358956154</v>
      </c>
      <c r="G11" s="257">
        <v>1.230947997809448</v>
      </c>
      <c r="H11" s="257">
        <v>1.2415141681616677</v>
      </c>
      <c r="I11" s="257">
        <v>1.2555734667001452</v>
      </c>
      <c r="J11" s="257">
        <v>1.2529265000000001</v>
      </c>
      <c r="K11" s="257">
        <v>1.2346530000000002</v>
      </c>
      <c r="L11" s="8">
        <f t="shared" si="5"/>
        <v>1.27743553537415</v>
      </c>
      <c r="M11" s="8">
        <f t="shared" si="5"/>
        <v>1.3991860093974327</v>
      </c>
      <c r="N11" s="8">
        <f t="shared" ref="N11" si="12">N51/M51*M11</f>
        <v>1.3903937834540869</v>
      </c>
      <c r="O11" s="8">
        <f t="shared" ref="O11" si="13">O51/N51*N11</f>
        <v>1.4053239533848962</v>
      </c>
      <c r="P11" s="8">
        <f t="shared" ref="P11" si="14">P51/O51*O11</f>
        <v>1.4324505128887994</v>
      </c>
      <c r="Q11" s="8">
        <f t="shared" ref="Q11" si="15">Q51/P51*P11</f>
        <v>1.4550654469258455</v>
      </c>
      <c r="R11" s="8">
        <f t="shared" ref="R11" si="16">R51/Q51*Q11</f>
        <v>1.484711675244504</v>
      </c>
      <c r="S11" s="8">
        <f t="shared" ref="S11" si="17">S51/R51*R11</f>
        <v>1.5172915769555591</v>
      </c>
      <c r="T11" s="8">
        <f t="shared" ref="T11" si="18">T51/S51*S11</f>
        <v>1.5579111843461364</v>
      </c>
      <c r="U11" s="8">
        <f t="shared" ref="U11" si="19">U51/T51*T11</f>
        <v>1.6110348356491744</v>
      </c>
      <c r="V11" s="8">
        <f t="shared" ref="V11" si="20">V51/U51*U11</f>
        <v>1.6618134839989718</v>
      </c>
      <c r="W11" s="8">
        <f t="shared" ref="W11" si="21">W51/V51*V11</f>
        <v>1.7153978674869241</v>
      </c>
      <c r="X11" s="8">
        <f t="shared" ref="X11" si="22">X51/W51*W11</f>
        <v>1.7716240135099173</v>
      </c>
      <c r="Y11" s="8">
        <f t="shared" ref="Y11" si="23">Y51/X51*X11</f>
        <v>1.8296699238905858</v>
      </c>
      <c r="Z11" s="8">
        <f t="shared" ref="Z11" si="24">Z51/Y51*Y11</f>
        <v>1.9051819456292638</v>
      </c>
      <c r="AA11" s="8">
        <f t="shared" ref="AA11" si="25">AA51/Z51*Z11</f>
        <v>1.9603123562154365</v>
      </c>
      <c r="AB11" s="8">
        <f t="shared" ref="AB11" si="26">AB51/AA51*AA11</f>
        <v>2.0221528806433784</v>
      </c>
      <c r="AC11" s="8">
        <f t="shared" ref="AC11" si="27">AC51/AB51*AB11</f>
        <v>2.0893752421436815</v>
      </c>
      <c r="AD11" s="8">
        <f t="shared" ref="AD11" si="28">AD51/AC51*AC11</f>
        <v>2.162421578491696</v>
      </c>
      <c r="AE11" s="8">
        <f t="shared" ref="AE11" si="29">AE51/AD51*AD11</f>
        <v>2.2354720634274079</v>
      </c>
      <c r="AF11" s="8">
        <f t="shared" ref="AF11" si="30">AF51/AE51*AE11</f>
        <v>2.6398511644655187</v>
      </c>
      <c r="AG11" s="8">
        <f t="shared" ref="AG11" si="31">AG51/AF51*AF11</f>
        <v>3.0175271981462952</v>
      </c>
      <c r="AH11" s="8">
        <f t="shared" si="7"/>
        <v>3.5064916632062824</v>
      </c>
      <c r="AI11" s="8">
        <f t="shared" si="7"/>
        <v>3.9265014728998855</v>
      </c>
      <c r="AJ11" s="8">
        <f t="shared" si="7"/>
        <v>4.2008822361030003</v>
      </c>
      <c r="AK11" s="8">
        <f t="shared" si="7"/>
        <v>4.2939717703590423</v>
      </c>
      <c r="AL11" s="107"/>
      <c r="AM11" s="107"/>
    </row>
    <row r="12" spans="1:41">
      <c r="A12" s="115" t="s">
        <v>502</v>
      </c>
      <c r="B12">
        <f t="shared" si="9"/>
        <v>6</v>
      </c>
      <c r="C12" s="257">
        <v>138.08343097582718</v>
      </c>
      <c r="D12" s="257">
        <v>143.16360238477418</v>
      </c>
      <c r="E12" s="257">
        <v>146.98438355117329</v>
      </c>
      <c r="F12" s="257">
        <v>148.78204922418408</v>
      </c>
      <c r="G12" s="257">
        <v>151.86270236184362</v>
      </c>
      <c r="H12" s="257">
        <v>153.55950890468549</v>
      </c>
      <c r="I12" s="257">
        <v>155.74281242834212</v>
      </c>
      <c r="J12" s="257">
        <v>155.24</v>
      </c>
      <c r="K12" s="257">
        <v>152.88999999999999</v>
      </c>
      <c r="L12" s="8">
        <f t="shared" si="5"/>
        <v>162.16660778159374</v>
      </c>
      <c r="M12" s="8">
        <f t="shared" si="5"/>
        <v>171.25065953279241</v>
      </c>
      <c r="N12" s="8">
        <f t="shared" ref="N12:AG12" si="32">N52/M52*M12</f>
        <v>174.21190587627865</v>
      </c>
      <c r="O12" s="8">
        <f t="shared" si="32"/>
        <v>177.50054409616098</v>
      </c>
      <c r="P12" s="8">
        <f t="shared" si="32"/>
        <v>178.84289973904797</v>
      </c>
      <c r="Q12" s="8">
        <f t="shared" si="32"/>
        <v>178.90682100482667</v>
      </c>
      <c r="R12" s="8">
        <f t="shared" si="32"/>
        <v>181.8907212467216</v>
      </c>
      <c r="S12" s="8">
        <f t="shared" si="32"/>
        <v>185.10903244659426</v>
      </c>
      <c r="T12" s="8">
        <f t="shared" si="32"/>
        <v>188.91754629489398</v>
      </c>
      <c r="U12" s="8">
        <f t="shared" si="32"/>
        <v>194.55995914288485</v>
      </c>
      <c r="V12" s="8">
        <f t="shared" si="32"/>
        <v>200.10597026596238</v>
      </c>
      <c r="W12" s="8">
        <f t="shared" si="32"/>
        <v>205.54370870590103</v>
      </c>
      <c r="X12" s="8">
        <f t="shared" si="32"/>
        <v>211.17191864853268</v>
      </c>
      <c r="Y12" s="8">
        <f t="shared" si="32"/>
        <v>216.90422945515118</v>
      </c>
      <c r="Z12" s="8">
        <f t="shared" si="32"/>
        <v>225.20795906918318</v>
      </c>
      <c r="AA12" s="8">
        <f t="shared" si="32"/>
        <v>230.71973486572091</v>
      </c>
      <c r="AB12" s="8">
        <f t="shared" si="32"/>
        <v>236.28253705602015</v>
      </c>
      <c r="AC12" s="8">
        <f t="shared" si="32"/>
        <v>242.22394792492062</v>
      </c>
      <c r="AD12" s="8">
        <f t="shared" si="32"/>
        <v>248.5814770536862</v>
      </c>
      <c r="AE12" s="8">
        <f t="shared" si="32"/>
        <v>254.81249221131321</v>
      </c>
      <c r="AF12" s="8">
        <f t="shared" si="32"/>
        <v>288.38747849268674</v>
      </c>
      <c r="AG12" s="8">
        <f t="shared" si="32"/>
        <v>327.49205119970406</v>
      </c>
      <c r="AH12" s="8">
        <f t="shared" ref="AH12:AK13" si="33">AH52/AG52*AG12</f>
        <v>369.50068263836943</v>
      </c>
      <c r="AI12" s="8">
        <f t="shared" si="33"/>
        <v>413.7597102656278</v>
      </c>
      <c r="AJ12" s="8">
        <f t="shared" si="33"/>
        <v>442.67290585944932</v>
      </c>
      <c r="AK12" s="8">
        <f t="shared" si="33"/>
        <v>452.48232500480776</v>
      </c>
      <c r="AL12" s="107"/>
      <c r="AM12" s="107"/>
    </row>
    <row r="13" spans="1:41">
      <c r="A13" s="115" t="s">
        <v>577</v>
      </c>
      <c r="B13">
        <f t="shared" si="9"/>
        <v>7</v>
      </c>
      <c r="C13" s="257">
        <v>0.14875454246747444</v>
      </c>
      <c r="D13" s="257">
        <v>0.12</v>
      </c>
      <c r="E13" s="257">
        <v>0.12</v>
      </c>
      <c r="F13" s="257">
        <v>0.12</v>
      </c>
      <c r="G13" s="257">
        <v>0.12</v>
      </c>
      <c r="H13" s="257">
        <v>0.12</v>
      </c>
      <c r="I13" s="257">
        <v>0.12</v>
      </c>
      <c r="J13" s="257">
        <v>0.12</v>
      </c>
      <c r="K13" s="257">
        <v>0.12</v>
      </c>
      <c r="L13" s="8">
        <f t="shared" si="5"/>
        <v>0.1198423584018769</v>
      </c>
      <c r="M13" s="8">
        <f t="shared" si="5"/>
        <v>0.1197523184609413</v>
      </c>
      <c r="N13" s="8">
        <f t="shared" ref="N13:AG13" si="34">N53/M53*M13</f>
        <v>0.11975231846094135</v>
      </c>
      <c r="O13" s="8">
        <f t="shared" si="34"/>
        <v>0.11975231846094132</v>
      </c>
      <c r="P13" s="8">
        <f t="shared" si="34"/>
        <v>0.11975231846094128</v>
      </c>
      <c r="Q13" s="8">
        <f t="shared" si="34"/>
        <v>0.11970478039973238</v>
      </c>
      <c r="R13" s="8">
        <f t="shared" si="34"/>
        <v>0.11970281129021218</v>
      </c>
      <c r="S13" s="8">
        <f t="shared" si="34"/>
        <v>0.11970281129021214</v>
      </c>
      <c r="T13" s="8">
        <f t="shared" si="34"/>
        <v>0.1197028112902121</v>
      </c>
      <c r="U13" s="8">
        <f t="shared" si="34"/>
        <v>0.1197028112902121</v>
      </c>
      <c r="V13" s="8">
        <f t="shared" si="34"/>
        <v>0.11970281129021207</v>
      </c>
      <c r="W13" s="8">
        <f t="shared" si="34"/>
        <v>0.11970281129021207</v>
      </c>
      <c r="X13" s="8">
        <f t="shared" si="34"/>
        <v>0.11970281129021206</v>
      </c>
      <c r="Y13" s="8">
        <f t="shared" si="34"/>
        <v>0.11970281129021206</v>
      </c>
      <c r="Z13" s="8">
        <f t="shared" si="34"/>
        <v>0.11970281129021211</v>
      </c>
      <c r="AA13" s="8">
        <f t="shared" si="34"/>
        <v>0.10997377842664978</v>
      </c>
      <c r="AB13" s="8">
        <f t="shared" si="34"/>
        <v>0.10024474556308734</v>
      </c>
      <c r="AC13" s="8">
        <f t="shared" si="34"/>
        <v>9.0515712699524964E-2</v>
      </c>
      <c r="AD13" s="8">
        <f t="shared" si="34"/>
        <v>8.0725979267033954E-2</v>
      </c>
      <c r="AE13" s="8">
        <f t="shared" si="34"/>
        <v>7.416484927545744E-2</v>
      </c>
      <c r="AF13" s="8">
        <f t="shared" si="34"/>
        <v>2.651013022360392</v>
      </c>
      <c r="AG13" s="8">
        <f t="shared" si="34"/>
        <v>10.122205018985269</v>
      </c>
      <c r="AH13" s="8">
        <f t="shared" si="33"/>
        <v>14.651911382378422</v>
      </c>
      <c r="AI13" s="8">
        <f t="shared" si="33"/>
        <v>16.406926680413729</v>
      </c>
      <c r="AJ13" s="8">
        <f t="shared" si="33"/>
        <v>17.553429513905538</v>
      </c>
      <c r="AK13" s="8">
        <f t="shared" si="33"/>
        <v>17.942405087655867</v>
      </c>
      <c r="AL13" s="107"/>
      <c r="AM13" s="107"/>
    </row>
    <row r="14" spans="1:41">
      <c r="A14" s="115" t="s">
        <v>693</v>
      </c>
      <c r="B14">
        <f t="shared" si="9"/>
        <v>8</v>
      </c>
      <c r="C14" s="257">
        <v>0.28999999999999998</v>
      </c>
      <c r="D14" s="257">
        <v>0.28999999999999998</v>
      </c>
      <c r="E14" s="257">
        <v>0.28999999999999998</v>
      </c>
      <c r="F14" s="257">
        <v>0.28999999999999998</v>
      </c>
      <c r="G14" s="257">
        <v>0.28999999999999998</v>
      </c>
      <c r="H14" s="257">
        <v>0.28999999999999998</v>
      </c>
      <c r="I14" s="257">
        <v>0.28999999999999998</v>
      </c>
      <c r="J14" s="257">
        <v>0.28999999999999998</v>
      </c>
      <c r="K14" s="257">
        <v>0.28999999999999998</v>
      </c>
      <c r="L14" s="8">
        <f>L56/K56*K14</f>
        <v>0.28876389282235526</v>
      </c>
      <c r="M14" s="8">
        <f>M56/L56*L14</f>
        <v>0.31886339434794836</v>
      </c>
      <c r="N14" s="8">
        <f t="shared" ref="N14:AG14" si="35">N56/M56*M14</f>
        <v>0.30746690505631918</v>
      </c>
      <c r="O14" s="8">
        <f t="shared" si="35"/>
        <v>0.30804068115600008</v>
      </c>
      <c r="P14" s="8">
        <f t="shared" si="35"/>
        <v>0.31184641694970278</v>
      </c>
      <c r="Q14" s="8">
        <f t="shared" si="35"/>
        <v>0.32618829399085802</v>
      </c>
      <c r="R14" s="8">
        <f t="shared" si="35"/>
        <v>0.33239209946979409</v>
      </c>
      <c r="S14" s="8">
        <f t="shared" si="35"/>
        <v>0.34192959727623351</v>
      </c>
      <c r="T14" s="8">
        <f t="shared" si="35"/>
        <v>0.34958255598177645</v>
      </c>
      <c r="U14" s="8">
        <f t="shared" si="35"/>
        <v>0.36208610431930316</v>
      </c>
      <c r="V14" s="8">
        <f t="shared" si="35"/>
        <v>0.37347925913641283</v>
      </c>
      <c r="W14" s="8">
        <f t="shared" si="35"/>
        <v>0.38668849309426279</v>
      </c>
      <c r="X14" s="8">
        <f t="shared" si="35"/>
        <v>0.39687531859919556</v>
      </c>
      <c r="Y14" s="8">
        <f t="shared" si="35"/>
        <v>0.40655356462315101</v>
      </c>
      <c r="Z14" s="8">
        <f t="shared" si="35"/>
        <v>0.41934003182205654</v>
      </c>
      <c r="AA14" s="8">
        <f t="shared" si="35"/>
        <v>0.434248288059225</v>
      </c>
      <c r="AB14" s="8">
        <f t="shared" si="35"/>
        <v>0.445855038824363</v>
      </c>
      <c r="AC14" s="8">
        <f t="shared" si="35"/>
        <v>0.45966869781720265</v>
      </c>
      <c r="AD14" s="8">
        <f t="shared" si="35"/>
        <v>0.47096193735250119</v>
      </c>
      <c r="AE14" s="8">
        <f t="shared" si="35"/>
        <v>0.48653552599524996</v>
      </c>
      <c r="AF14" s="8">
        <f t="shared" si="35"/>
        <v>0.56796807689439888</v>
      </c>
      <c r="AG14" s="8">
        <f t="shared" si="35"/>
        <v>0.64876375154158539</v>
      </c>
      <c r="AH14" s="8">
        <f>AH56/AG56*AG14</f>
        <v>0.73914212654412126</v>
      </c>
      <c r="AI14" s="8">
        <f>AI56/AH56*AH14</f>
        <v>0.82767704227309624</v>
      </c>
      <c r="AJ14" s="8">
        <f>AJ56/AI56*AI14</f>
        <v>0.88551444794121814</v>
      </c>
      <c r="AK14" s="8">
        <f>AK56/AJ56*AJ14</f>
        <v>0.90513702312968936</v>
      </c>
      <c r="AL14" s="107"/>
      <c r="AM14" s="107"/>
    </row>
    <row r="15" spans="1:41">
      <c r="A15" s="115" t="s">
        <v>694</v>
      </c>
      <c r="B15">
        <f t="shared" si="9"/>
        <v>9</v>
      </c>
      <c r="C15" s="257">
        <v>0.08</v>
      </c>
      <c r="D15" s="257">
        <v>0.08</v>
      </c>
      <c r="E15" s="257">
        <v>0.08</v>
      </c>
      <c r="F15" s="257">
        <v>0.08</v>
      </c>
      <c r="G15" s="257">
        <v>0.08</v>
      </c>
      <c r="H15" s="257">
        <v>0.08</v>
      </c>
      <c r="I15" s="257">
        <v>0.08</v>
      </c>
      <c r="J15" s="257">
        <v>0.08</v>
      </c>
      <c r="K15" s="257">
        <v>0.08</v>
      </c>
      <c r="L15" s="8">
        <f>L58/K58*K15</f>
        <v>8.825943750477197E-2</v>
      </c>
      <c r="M15" s="8">
        <f>M58/L58*L15</f>
        <v>8.3254237943756471E-2</v>
      </c>
      <c r="N15" s="8">
        <f t="shared" ref="N15:AG15" si="36">N58/M58*M15</f>
        <v>8.4264086907650623E-2</v>
      </c>
      <c r="O15" s="8">
        <f t="shared" si="36"/>
        <v>8.4508311214536377E-2</v>
      </c>
      <c r="P15" s="8">
        <f t="shared" si="36"/>
        <v>8.5334102880454468E-2</v>
      </c>
      <c r="Q15" s="8">
        <f t="shared" si="36"/>
        <v>8.7173214355754022E-2</v>
      </c>
      <c r="R15" s="8">
        <f t="shared" si="36"/>
        <v>8.8597988752568482E-2</v>
      </c>
      <c r="S15" s="8">
        <f t="shared" si="36"/>
        <v>9.011235552078381E-2</v>
      </c>
      <c r="T15" s="8">
        <f t="shared" si="36"/>
        <v>9.2252252867451867E-2</v>
      </c>
      <c r="U15" s="8">
        <f t="shared" si="36"/>
        <v>9.4809790137397806E-2</v>
      </c>
      <c r="V15" s="8">
        <f t="shared" si="36"/>
        <v>9.7344923165341421E-2</v>
      </c>
      <c r="W15" s="8">
        <f t="shared" si="36"/>
        <v>0.10013660770170263</v>
      </c>
      <c r="X15" s="8">
        <f t="shared" si="36"/>
        <v>0.10299847033782702</v>
      </c>
      <c r="Y15" s="8">
        <f t="shared" si="36"/>
        <v>0.10604067515030388</v>
      </c>
      <c r="Z15" s="8">
        <f t="shared" si="36"/>
        <v>0.10966940293159715</v>
      </c>
      <c r="AA15" s="8">
        <f t="shared" si="36"/>
        <v>0.11308288423430063</v>
      </c>
      <c r="AB15" s="8">
        <f t="shared" si="36"/>
        <v>0.11644537036865941</v>
      </c>
      <c r="AC15" s="8">
        <f t="shared" si="36"/>
        <v>0.12012315045027144</v>
      </c>
      <c r="AD15" s="8">
        <f t="shared" si="36"/>
        <v>0.12389274951936451</v>
      </c>
      <c r="AE15" s="8">
        <f t="shared" si="36"/>
        <v>0.12776109527768315</v>
      </c>
      <c r="AF15" s="8">
        <f t="shared" si="36"/>
        <v>0.1501688628845631</v>
      </c>
      <c r="AG15" s="8">
        <f t="shared" si="36"/>
        <v>0.17393992256895194</v>
      </c>
      <c r="AH15" s="8">
        <f>AH58/AG58*AG15</f>
        <v>0.20116659671430198</v>
      </c>
      <c r="AI15" s="8">
        <f>AI58/AH58*AH15</f>
        <v>0.22444438528323074</v>
      </c>
      <c r="AJ15" s="8">
        <f>AJ58/AI58*AI15</f>
        <v>0.23957369992613367</v>
      </c>
      <c r="AK15" s="8">
        <f>AK58/AJ58*AJ15</f>
        <v>0.24455433608848695</v>
      </c>
      <c r="AL15" s="107"/>
      <c r="AM15" s="107"/>
    </row>
    <row r="16" spans="1:41">
      <c r="A16" s="115" t="s">
        <v>372</v>
      </c>
      <c r="B16">
        <f t="shared" si="9"/>
        <v>10</v>
      </c>
      <c r="C16" s="257">
        <v>14.50864017337797</v>
      </c>
      <c r="D16" s="257">
        <v>14.950424082313688</v>
      </c>
      <c r="E16" s="257">
        <v>15.23525618743048</v>
      </c>
      <c r="F16" s="257">
        <v>15.616844236651836</v>
      </c>
      <c r="G16" s="257">
        <v>15.665765781423806</v>
      </c>
      <c r="H16" s="257">
        <v>15.777741761679646</v>
      </c>
      <c r="I16" s="257">
        <v>15.787526070634039</v>
      </c>
      <c r="J16" s="257">
        <v>15.637499999999999</v>
      </c>
      <c r="K16" s="257">
        <v>14.865</v>
      </c>
      <c r="L16" s="8">
        <f>L56/K56*K16</f>
        <v>14.801638851049349</v>
      </c>
      <c r="M16" s="8">
        <f>M56/L56*L16</f>
        <v>16.34449778269742</v>
      </c>
      <c r="N16" s="8">
        <f t="shared" ref="N16:AG16" si="37">N56/M56*M16</f>
        <v>15.760329460904083</v>
      </c>
      <c r="O16" s="8">
        <f t="shared" si="37"/>
        <v>15.789740432358418</v>
      </c>
      <c r="P16" s="8">
        <f t="shared" si="37"/>
        <v>15.984817199852868</v>
      </c>
      <c r="Q16" s="8">
        <f t="shared" si="37"/>
        <v>16.719962035083121</v>
      </c>
      <c r="R16" s="8">
        <f t="shared" si="37"/>
        <v>17.03796054696031</v>
      </c>
      <c r="S16" s="8">
        <f t="shared" si="37"/>
        <v>17.526839529349008</v>
      </c>
      <c r="T16" s="8">
        <f t="shared" si="37"/>
        <v>17.919119636790029</v>
      </c>
      <c r="U16" s="8">
        <f t="shared" si="37"/>
        <v>18.56003427829808</v>
      </c>
      <c r="V16" s="8">
        <f t="shared" si="37"/>
        <v>19.144031679526822</v>
      </c>
      <c r="W16" s="8">
        <f t="shared" si="37"/>
        <v>19.821118792573166</v>
      </c>
      <c r="X16" s="8">
        <f t="shared" si="37"/>
        <v>20.34328141716222</v>
      </c>
      <c r="Y16" s="8">
        <f t="shared" si="37"/>
        <v>20.839374959045315</v>
      </c>
      <c r="Z16" s="8">
        <f t="shared" si="37"/>
        <v>21.494791631154733</v>
      </c>
      <c r="AA16" s="8">
        <f t="shared" si="37"/>
        <v>22.258968282759938</v>
      </c>
      <c r="AB16" s="8">
        <f t="shared" si="37"/>
        <v>22.853914317669513</v>
      </c>
      <c r="AC16" s="8">
        <f t="shared" si="37"/>
        <v>23.561983424319724</v>
      </c>
      <c r="AD16" s="8">
        <f t="shared" si="37"/>
        <v>24.14085930601701</v>
      </c>
      <c r="AE16" s="8">
        <f t="shared" si="37"/>
        <v>24.939139979032394</v>
      </c>
      <c r="AF16" s="8">
        <f t="shared" si="37"/>
        <v>29.113260217362907</v>
      </c>
      <c r="AG16" s="8">
        <f t="shared" si="37"/>
        <v>33.254735057467833</v>
      </c>
      <c r="AH16" s="8">
        <f t="shared" ref="AH16:AK17" si="38">AH56/AG56*AG16</f>
        <v>37.887405900270238</v>
      </c>
      <c r="AI16" s="8">
        <f t="shared" si="38"/>
        <v>42.425583563412353</v>
      </c>
      <c r="AJ16" s="8">
        <f t="shared" si="38"/>
        <v>45.390249202228325</v>
      </c>
      <c r="AK16" s="8">
        <f t="shared" si="38"/>
        <v>46.396075340768412</v>
      </c>
      <c r="AL16" s="107"/>
      <c r="AM16" s="107"/>
    </row>
    <row r="17" spans="1:39">
      <c r="A17" s="115" t="s">
        <v>796</v>
      </c>
      <c r="B17">
        <f t="shared" si="9"/>
        <v>11</v>
      </c>
      <c r="C17" s="257">
        <v>4.8362133911259901</v>
      </c>
      <c r="D17" s="257">
        <v>4.9834746941045625</v>
      </c>
      <c r="E17" s="257">
        <v>5.0784187291434932</v>
      </c>
      <c r="F17" s="257">
        <v>5.2056147455506121</v>
      </c>
      <c r="G17" s="257">
        <v>5.2219219271412687</v>
      </c>
      <c r="H17" s="257">
        <v>5.2592472538932151</v>
      </c>
      <c r="I17" s="257">
        <v>5.2625086902113463</v>
      </c>
      <c r="J17" s="257">
        <v>5.2125000000000004</v>
      </c>
      <c r="K17" s="257">
        <v>4.9550000000000001</v>
      </c>
      <c r="L17" s="8">
        <f t="shared" ref="L17" si="39">L57/K57*K17</f>
        <v>4.9338796170164505</v>
      </c>
      <c r="M17" s="8">
        <f t="shared" ref="M17:M29" si="40">M57/L57*L17</f>
        <v>5.4481659275658085</v>
      </c>
      <c r="N17" s="8">
        <f t="shared" ref="N17" si="41">N57/M57*M17</f>
        <v>5.2534431536346959</v>
      </c>
      <c r="O17" s="8">
        <f t="shared" ref="O17" si="42">O57/N57*N17</f>
        <v>5.2632468107861419</v>
      </c>
      <c r="P17" s="8">
        <f t="shared" ref="P17" si="43">P57/O57*O17</f>
        <v>5.2632468107861419</v>
      </c>
      <c r="Q17" s="8">
        <f t="shared" ref="Q17" si="44">Q57/P57*P17</f>
        <v>5.2632468107861419</v>
      </c>
      <c r="R17" s="8">
        <f t="shared" ref="R17" si="45">R57/Q57*Q17</f>
        <v>5.2632468107861419</v>
      </c>
      <c r="S17" s="8">
        <f t="shared" ref="S17" si="46">S57/R57*R17</f>
        <v>5.2632468107861419</v>
      </c>
      <c r="T17" s="8">
        <f t="shared" ref="T17" si="47">T57/S57*S17</f>
        <v>5.2632468107861419</v>
      </c>
      <c r="U17" s="8">
        <f t="shared" ref="U17" si="48">U57/T57*T17</f>
        <v>5.2632468107861419</v>
      </c>
      <c r="V17" s="8">
        <f t="shared" ref="V17" si="49">V57/U57*U17</f>
        <v>5.2632468107861419</v>
      </c>
      <c r="W17" s="8">
        <f t="shared" ref="W17" si="50">W57/V57*V17</f>
        <v>5.2632468107861419</v>
      </c>
      <c r="X17" s="8">
        <f t="shared" ref="X17" si="51">X57/W57*W17</f>
        <v>5.2632468107861419</v>
      </c>
      <c r="Y17" s="8">
        <f t="shared" ref="Y17" si="52">Y57/X57*X17</f>
        <v>5.2632468107861419</v>
      </c>
      <c r="Z17" s="8">
        <f t="shared" ref="Z17" si="53">Z57/Y57*Y17</f>
        <v>5.2632468107861419</v>
      </c>
      <c r="AA17" s="8">
        <f t="shared" ref="AA17" si="54">AA57/Z57*Z17</f>
        <v>5.4503642480451635</v>
      </c>
      <c r="AB17" s="8">
        <f t="shared" ref="AB17" si="55">AB57/AA57*AA17</f>
        <v>5.5960436235218296</v>
      </c>
      <c r="AC17" s="8">
        <f t="shared" ref="AC17" si="56">AC57/AB57*AB17</f>
        <v>5.7694224834495227</v>
      </c>
      <c r="AD17" s="8">
        <f t="shared" ref="AD17" si="57">AD57/AC57*AC17</f>
        <v>5.9111668971877904</v>
      </c>
      <c r="AE17" s="8">
        <f t="shared" ref="AE17" si="58">AE57/AD57*AD17</f>
        <v>6.1066350961104847</v>
      </c>
      <c r="AF17" s="8">
        <f t="shared" ref="AF17" si="59">AF57/AE57*AE17</f>
        <v>7.1287164174473379</v>
      </c>
      <c r="AG17" s="8">
        <f t="shared" ref="AG17" si="60">AG57/AF57*AF17</f>
        <v>8.1428041377739522</v>
      </c>
      <c r="AH17" s="8">
        <f t="shared" si="38"/>
        <v>9.2771668455966658</v>
      </c>
      <c r="AI17" s="8">
        <f t="shared" si="38"/>
        <v>10.388391812192468</v>
      </c>
      <c r="AJ17" s="8">
        <f t="shared" si="38"/>
        <v>11.114324272311283</v>
      </c>
      <c r="AK17" s="8">
        <f t="shared" si="38"/>
        <v>11.360612364176449</v>
      </c>
      <c r="AL17" s="107"/>
      <c r="AM17" s="107"/>
    </row>
    <row r="18" spans="1:39">
      <c r="A18" s="115" t="s">
        <v>371</v>
      </c>
      <c r="B18">
        <f t="shared" si="9"/>
        <v>12</v>
      </c>
      <c r="C18" s="257">
        <v>186.51301855651582</v>
      </c>
      <c r="D18" s="257">
        <v>191.20040429598868</v>
      </c>
      <c r="E18" s="257">
        <v>192.19084947996168</v>
      </c>
      <c r="F18" s="257">
        <v>198.3568473622208</v>
      </c>
      <c r="G18" s="257">
        <v>195.64424405359443</v>
      </c>
      <c r="H18" s="257">
        <v>201.78663829260577</v>
      </c>
      <c r="I18" s="257">
        <v>200.62824410860065</v>
      </c>
      <c r="J18" s="257">
        <v>198.05</v>
      </c>
      <c r="K18" s="257">
        <v>190.12</v>
      </c>
      <c r="L18" s="8">
        <f t="shared" ref="L18:L29" si="61">L58/K58*K18</f>
        <v>209.74855323009061</v>
      </c>
      <c r="M18" s="8">
        <f t="shared" si="40"/>
        <v>197.85369647333729</v>
      </c>
      <c r="N18" s="8">
        <f t="shared" ref="N18:AG18" si="62">N58/M58*M18</f>
        <v>200.25360253603174</v>
      </c>
      <c r="O18" s="8">
        <f t="shared" si="62"/>
        <v>200.83400160134573</v>
      </c>
      <c r="P18" s="8">
        <f t="shared" si="62"/>
        <v>202.79649549540008</v>
      </c>
      <c r="Q18" s="8">
        <f t="shared" si="62"/>
        <v>207.16714391644948</v>
      </c>
      <c r="R18" s="8">
        <f t="shared" si="62"/>
        <v>210.55312027047904</v>
      </c>
      <c r="S18" s="8">
        <f t="shared" si="62"/>
        <v>214.15201289514275</v>
      </c>
      <c r="T18" s="8">
        <f t="shared" si="62"/>
        <v>219.2374789394994</v>
      </c>
      <c r="U18" s="8">
        <f t="shared" si="62"/>
        <v>225.3154662615259</v>
      </c>
      <c r="V18" s="8">
        <f t="shared" si="62"/>
        <v>231.34020990243388</v>
      </c>
      <c r="W18" s="8">
        <f t="shared" si="62"/>
        <v>237.97464820309628</v>
      </c>
      <c r="X18" s="8">
        <f t="shared" si="62"/>
        <v>244.77586475784588</v>
      </c>
      <c r="Y18" s="8">
        <f t="shared" si="62"/>
        <v>252.0056644946971</v>
      </c>
      <c r="Z18" s="8">
        <f t="shared" si="62"/>
        <v>260.62933606694054</v>
      </c>
      <c r="AA18" s="8">
        <f t="shared" si="62"/>
        <v>268.7414743828154</v>
      </c>
      <c r="AB18" s="8">
        <f t="shared" si="62"/>
        <v>276.73242268111903</v>
      </c>
      <c r="AC18" s="8">
        <f t="shared" si="62"/>
        <v>285.47266704507001</v>
      </c>
      <c r="AD18" s="8">
        <f t="shared" si="62"/>
        <v>294.43111923276967</v>
      </c>
      <c r="AE18" s="8">
        <f t="shared" si="62"/>
        <v>303.62424292741389</v>
      </c>
      <c r="AF18" s="8">
        <f t="shared" si="62"/>
        <v>356.87630264516412</v>
      </c>
      <c r="AG18" s="8">
        <f t="shared" si="62"/>
        <v>413.36822598511418</v>
      </c>
      <c r="AH18" s="8">
        <f t="shared" ref="AH18:AK29" si="63">AH58/AG58*AG18</f>
        <v>478.07241709153857</v>
      </c>
      <c r="AI18" s="8">
        <f t="shared" si="63"/>
        <v>533.39208162559771</v>
      </c>
      <c r="AJ18" s="8">
        <f t="shared" si="63"/>
        <v>569.34689787445654</v>
      </c>
      <c r="AK18" s="8">
        <f t="shared" si="63"/>
        <v>581.18337971428912</v>
      </c>
      <c r="AL18" s="107"/>
      <c r="AM18" s="107"/>
    </row>
    <row r="19" spans="1:39">
      <c r="A19" s="115" t="s">
        <v>691</v>
      </c>
      <c r="B19">
        <f t="shared" si="9"/>
        <v>13</v>
      </c>
      <c r="C19" s="257">
        <v>91.99927686334776</v>
      </c>
      <c r="D19" s="257">
        <v>94.311373368720652</v>
      </c>
      <c r="E19" s="257">
        <v>94.799919645026264</v>
      </c>
      <c r="F19" s="257">
        <v>97.841355308332979</v>
      </c>
      <c r="G19" s="257">
        <v>96.503338558927737</v>
      </c>
      <c r="H19" s="257">
        <v>99.533131506208818</v>
      </c>
      <c r="I19" s="257">
        <v>98.961742827413289</v>
      </c>
      <c r="J19" s="257">
        <v>97.69</v>
      </c>
      <c r="K19" s="257">
        <v>74.06</v>
      </c>
      <c r="L19" s="8">
        <f t="shared" si="61"/>
        <v>110.53950219062736</v>
      </c>
      <c r="M19" s="8">
        <f t="shared" si="40"/>
        <v>85.771370892331049</v>
      </c>
      <c r="N19" s="8">
        <f t="shared" ref="N19:AG19" si="64">N59/M59*M19</f>
        <v>90.95983776011991</v>
      </c>
      <c r="O19" s="8">
        <f t="shared" si="64"/>
        <v>92.362920604460669</v>
      </c>
      <c r="P19" s="8">
        <f t="shared" si="64"/>
        <v>93.495895191532227</v>
      </c>
      <c r="Q19" s="8">
        <f t="shared" si="64"/>
        <v>94.487653456744923</v>
      </c>
      <c r="R19" s="8">
        <f t="shared" si="64"/>
        <v>96.688086303306136</v>
      </c>
      <c r="S19" s="8">
        <f t="shared" si="64"/>
        <v>98.502577687919512</v>
      </c>
      <c r="T19" s="8">
        <f t="shared" si="64"/>
        <v>101.41162818505963</v>
      </c>
      <c r="U19" s="8">
        <f t="shared" si="64"/>
        <v>104.20978785637956</v>
      </c>
      <c r="V19" s="8">
        <f t="shared" si="64"/>
        <v>106.91581531320752</v>
      </c>
      <c r="W19" s="8">
        <f t="shared" si="64"/>
        <v>109.62061035398287</v>
      </c>
      <c r="X19" s="8">
        <f t="shared" si="64"/>
        <v>112.30334022550018</v>
      </c>
      <c r="Y19" s="8">
        <f t="shared" si="64"/>
        <v>114.96883270059038</v>
      </c>
      <c r="Z19" s="8">
        <f t="shared" si="64"/>
        <v>120.07407945619074</v>
      </c>
      <c r="AA19" s="8">
        <f t="shared" si="64"/>
        <v>123.8095676472161</v>
      </c>
      <c r="AB19" s="8">
        <f t="shared" si="64"/>
        <v>127.43940923511862</v>
      </c>
      <c r="AC19" s="8">
        <f t="shared" si="64"/>
        <v>131.32325830076735</v>
      </c>
      <c r="AD19" s="8">
        <f t="shared" si="64"/>
        <v>135.64068188358254</v>
      </c>
      <c r="AE19" s="8">
        <f t="shared" si="64"/>
        <v>139.57896985368555</v>
      </c>
      <c r="AF19" s="8">
        <f t="shared" si="64"/>
        <v>159.5487570549638</v>
      </c>
      <c r="AG19" s="8">
        <f t="shared" si="64"/>
        <v>189.57022162822656</v>
      </c>
      <c r="AH19" s="8">
        <f t="shared" si="63"/>
        <v>232.84099133310195</v>
      </c>
      <c r="AI19" s="8">
        <f t="shared" si="63"/>
        <v>260.73083390277264</v>
      </c>
      <c r="AJ19" s="8">
        <f t="shared" si="63"/>
        <v>278.95049476132124</v>
      </c>
      <c r="AK19" s="8">
        <f t="shared" si="63"/>
        <v>285.13190385073977</v>
      </c>
      <c r="AL19" s="107"/>
      <c r="AM19" s="107"/>
    </row>
    <row r="20" spans="1:39">
      <c r="A20" s="115" t="s">
        <v>507</v>
      </c>
      <c r="B20">
        <f t="shared" si="9"/>
        <v>14</v>
      </c>
      <c r="C20" s="257">
        <v>18.748363502594032</v>
      </c>
      <c r="D20" s="257">
        <v>15.909210489014884</v>
      </c>
      <c r="E20" s="257">
        <v>14.603991495393339</v>
      </c>
      <c r="F20" s="257">
        <v>14.80978596739901</v>
      </c>
      <c r="G20" s="257">
        <v>14.414883061658401</v>
      </c>
      <c r="H20" s="257">
        <v>13.877221828490436</v>
      </c>
      <c r="I20" s="257">
        <v>13.621369241672575</v>
      </c>
      <c r="J20" s="257">
        <v>13.08</v>
      </c>
      <c r="K20" s="257">
        <v>12.33</v>
      </c>
      <c r="L20" s="8">
        <f t="shared" si="61"/>
        <v>11.700122340078197</v>
      </c>
      <c r="M20" s="8">
        <f t="shared" si="40"/>
        <v>13.398275752963134</v>
      </c>
      <c r="N20" s="8">
        <f t="shared" ref="N20:AG20" si="65">N60/M60*M20</f>
        <v>12.670691951638181</v>
      </c>
      <c r="O20" s="8">
        <f t="shared" si="65"/>
        <v>12.59825668814111</v>
      </c>
      <c r="P20" s="8">
        <f t="shared" si="65"/>
        <v>12.591001927992075</v>
      </c>
      <c r="Q20" s="8">
        <f t="shared" si="65"/>
        <v>12.939278444279431</v>
      </c>
      <c r="R20" s="8">
        <f t="shared" si="65"/>
        <v>13.01647141538764</v>
      </c>
      <c r="S20" s="8">
        <f t="shared" si="65"/>
        <v>13.17600543680309</v>
      </c>
      <c r="T20" s="8">
        <f t="shared" si="65"/>
        <v>13.377039495449891</v>
      </c>
      <c r="U20" s="8">
        <f t="shared" si="65"/>
        <v>13.806326651640601</v>
      </c>
      <c r="V20" s="8">
        <f t="shared" si="65"/>
        <v>14.124358747280564</v>
      </c>
      <c r="W20" s="8">
        <f t="shared" si="65"/>
        <v>14.529335249686653</v>
      </c>
      <c r="X20" s="8">
        <f t="shared" si="65"/>
        <v>14.883157041406452</v>
      </c>
      <c r="Y20" s="8">
        <f t="shared" si="65"/>
        <v>15.317015967210153</v>
      </c>
      <c r="Z20" s="8">
        <f t="shared" si="65"/>
        <v>16.124354439822017</v>
      </c>
      <c r="AA20" s="8">
        <f t="shared" si="65"/>
        <v>16.617812186874314</v>
      </c>
      <c r="AB20" s="8">
        <f t="shared" si="65"/>
        <v>17.137038764920579</v>
      </c>
      <c r="AC20" s="8">
        <f t="shared" si="65"/>
        <v>17.680846645753302</v>
      </c>
      <c r="AD20" s="8">
        <f t="shared" si="65"/>
        <v>18.226201563675076</v>
      </c>
      <c r="AE20" s="8">
        <f t="shared" si="65"/>
        <v>18.83147690773972</v>
      </c>
      <c r="AF20" s="8">
        <f t="shared" si="65"/>
        <v>22.229147747109771</v>
      </c>
      <c r="AG20" s="8">
        <f t="shared" si="65"/>
        <v>26.007256042068366</v>
      </c>
      <c r="AH20" s="8">
        <f t="shared" si="63"/>
        <v>30.520253831819748</v>
      </c>
      <c r="AI20" s="8">
        <f t="shared" si="63"/>
        <v>34.175989317579244</v>
      </c>
      <c r="AJ20" s="8">
        <f t="shared" si="63"/>
        <v>36.564179949086494</v>
      </c>
      <c r="AK20" s="8">
        <f t="shared" si="63"/>
        <v>37.374424628802174</v>
      </c>
      <c r="AL20" s="107"/>
      <c r="AM20" s="107"/>
    </row>
    <row r="21" spans="1:39">
      <c r="A21" s="115" t="s">
        <v>506</v>
      </c>
      <c r="B21">
        <f t="shared" si="9"/>
        <v>15</v>
      </c>
      <c r="C21" s="257">
        <v>16.099074173411047</v>
      </c>
      <c r="D21" s="257">
        <v>16.518849146566016</v>
      </c>
      <c r="E21" s="257">
        <v>16.808536607755151</v>
      </c>
      <c r="F21" s="257">
        <v>17.0461507724374</v>
      </c>
      <c r="G21" s="257">
        <v>17.232929214387152</v>
      </c>
      <c r="H21" s="257">
        <v>17.424562753451802</v>
      </c>
      <c r="I21" s="257">
        <v>17.64894439854638</v>
      </c>
      <c r="J21" s="257">
        <v>17.63</v>
      </c>
      <c r="K21" s="257">
        <v>16.46</v>
      </c>
      <c r="L21" s="8">
        <f t="shared" si="61"/>
        <v>17.525838386128132</v>
      </c>
      <c r="M21" s="8">
        <f t="shared" si="40"/>
        <v>18.217706406066714</v>
      </c>
      <c r="N21" s="8">
        <f t="shared" ref="N21:AG21" si="66">N61/M61*M21</f>
        <v>18.26316411937621</v>
      </c>
      <c r="O21" s="8">
        <f t="shared" si="66"/>
        <v>18.412181764659003</v>
      </c>
      <c r="P21" s="8">
        <f t="shared" si="66"/>
        <v>18.883089908063397</v>
      </c>
      <c r="Q21" s="8">
        <f t="shared" si="66"/>
        <v>19.680608751793216</v>
      </c>
      <c r="R21" s="8">
        <f t="shared" si="66"/>
        <v>20.02586566943555</v>
      </c>
      <c r="S21" s="8">
        <f t="shared" si="66"/>
        <v>20.419851826278546</v>
      </c>
      <c r="T21" s="8">
        <f t="shared" si="66"/>
        <v>21.015522958568731</v>
      </c>
      <c r="U21" s="8">
        <f t="shared" si="66"/>
        <v>21.750875770746177</v>
      </c>
      <c r="V21" s="8">
        <f t="shared" si="66"/>
        <v>22.522303839797971</v>
      </c>
      <c r="W21" s="8">
        <f t="shared" si="66"/>
        <v>23.313528078697082</v>
      </c>
      <c r="X21" s="8">
        <f t="shared" si="66"/>
        <v>24.215290398889394</v>
      </c>
      <c r="Y21" s="8">
        <f t="shared" si="66"/>
        <v>25.206407286461115</v>
      </c>
      <c r="Z21" s="8">
        <f t="shared" si="66"/>
        <v>26.423916549036257</v>
      </c>
      <c r="AA21" s="8">
        <f t="shared" si="66"/>
        <v>27.416640278236127</v>
      </c>
      <c r="AB21" s="8">
        <f t="shared" si="66"/>
        <v>28.43287021625601</v>
      </c>
      <c r="AC21" s="8">
        <f t="shared" si="66"/>
        <v>29.470368648586664</v>
      </c>
      <c r="AD21" s="8">
        <f t="shared" si="66"/>
        <v>30.49085196304673</v>
      </c>
      <c r="AE21" s="8">
        <f t="shared" si="66"/>
        <v>31.52352150100219</v>
      </c>
      <c r="AF21" s="8">
        <f t="shared" si="66"/>
        <v>36.844359144840126</v>
      </c>
      <c r="AG21" s="8">
        <f t="shared" si="66"/>
        <v>36.466131806082466</v>
      </c>
      <c r="AH21" s="8">
        <f t="shared" si="63"/>
        <v>43.238325926510072</v>
      </c>
      <c r="AI21" s="8">
        <f t="shared" si="63"/>
        <v>48.417440206011243</v>
      </c>
      <c r="AJ21" s="8">
        <f t="shared" si="63"/>
        <v>51.800811965262156</v>
      </c>
      <c r="AK21" s="8">
        <f t="shared" si="63"/>
        <v>52.948693098060673</v>
      </c>
      <c r="AL21" s="107"/>
      <c r="AM21" s="107"/>
    </row>
    <row r="22" spans="1:39">
      <c r="A22" s="115" t="s">
        <v>503</v>
      </c>
      <c r="B22">
        <f t="shared" si="9"/>
        <v>16</v>
      </c>
      <c r="C22" s="257">
        <v>335.77331305186084</v>
      </c>
      <c r="D22" s="257">
        <v>345.12368336779264</v>
      </c>
      <c r="E22" s="257">
        <v>351.73654833895557</v>
      </c>
      <c r="F22" s="257">
        <v>356.62847152051233</v>
      </c>
      <c r="G22" s="257">
        <v>360.31274126727499</v>
      </c>
      <c r="H22" s="257">
        <v>363.08022098030375</v>
      </c>
      <c r="I22" s="257">
        <v>367.26352107202263</v>
      </c>
      <c r="J22" s="257">
        <v>366.87</v>
      </c>
      <c r="K22" s="257">
        <v>340.31</v>
      </c>
      <c r="L22" s="8">
        <f t="shared" si="61"/>
        <v>360.46929826939112</v>
      </c>
      <c r="M22" s="8">
        <f t="shared" si="40"/>
        <v>375.72923218754437</v>
      </c>
      <c r="N22" s="8">
        <f t="shared" ref="N22:AG22" si="67">N62/M62*M22</f>
        <v>376.65041867471058</v>
      </c>
      <c r="O22" s="8">
        <f t="shared" si="67"/>
        <v>380.1834014349418</v>
      </c>
      <c r="P22" s="8">
        <f t="shared" si="67"/>
        <v>394.13663978463006</v>
      </c>
      <c r="Q22" s="8">
        <f t="shared" si="67"/>
        <v>415.64481265643576</v>
      </c>
      <c r="R22" s="8">
        <f t="shared" si="67"/>
        <v>420.81116838618834</v>
      </c>
      <c r="S22" s="8">
        <f t="shared" si="67"/>
        <v>427.54063412070076</v>
      </c>
      <c r="T22" s="8">
        <f t="shared" si="67"/>
        <v>439.91098072181944</v>
      </c>
      <c r="U22" s="8">
        <f t="shared" si="67"/>
        <v>455.44225457836887</v>
      </c>
      <c r="V22" s="8">
        <f t="shared" si="67"/>
        <v>471.25372759909015</v>
      </c>
      <c r="W22" s="8">
        <f t="shared" si="67"/>
        <v>487.28653815869387</v>
      </c>
      <c r="X22" s="8">
        <f t="shared" si="67"/>
        <v>505.75255696759598</v>
      </c>
      <c r="Y22" s="8">
        <f t="shared" si="67"/>
        <v>526.80439766760969</v>
      </c>
      <c r="Z22" s="8">
        <f t="shared" si="67"/>
        <v>550.79278726371319</v>
      </c>
      <c r="AA22" s="8">
        <f t="shared" si="67"/>
        <v>571.25074854404647</v>
      </c>
      <c r="AB22" s="8">
        <f t="shared" si="67"/>
        <v>591.6150101998868</v>
      </c>
      <c r="AC22" s="8">
        <f t="shared" si="67"/>
        <v>611.56905231697965</v>
      </c>
      <c r="AD22" s="8">
        <f t="shared" si="67"/>
        <v>629.8174732494424</v>
      </c>
      <c r="AE22" s="8">
        <f t="shared" si="67"/>
        <v>648.38134410058092</v>
      </c>
      <c r="AF22" s="8">
        <f t="shared" si="67"/>
        <v>751.06559570708271</v>
      </c>
      <c r="AG22" s="8">
        <f t="shared" si="67"/>
        <v>877.15916487730681</v>
      </c>
      <c r="AH22" s="8">
        <f t="shared" si="63"/>
        <v>1045.0649043988856</v>
      </c>
      <c r="AI22" s="8">
        <f t="shared" si="63"/>
        <v>1170.2434457368909</v>
      </c>
      <c r="AJ22" s="8">
        <f t="shared" si="63"/>
        <v>1252.0191160099985</v>
      </c>
      <c r="AK22" s="8">
        <f t="shared" si="63"/>
        <v>1279.7632587492035</v>
      </c>
      <c r="AL22" s="107"/>
      <c r="AM22" s="107"/>
    </row>
    <row r="23" spans="1:39">
      <c r="A23" s="115" t="s">
        <v>509</v>
      </c>
      <c r="B23">
        <f t="shared" si="9"/>
        <v>17</v>
      </c>
      <c r="C23" s="257">
        <v>49.680584563226056</v>
      </c>
      <c r="D23" s="257">
        <v>48.564231533814059</v>
      </c>
      <c r="E23" s="257">
        <v>47.459267978951466</v>
      </c>
      <c r="F23" s="257">
        <v>46.356109920093544</v>
      </c>
      <c r="G23" s="257">
        <v>46.356109920093544</v>
      </c>
      <c r="H23" s="257">
        <v>46.356109920093544</v>
      </c>
      <c r="I23" s="257">
        <v>46.327221984018706</v>
      </c>
      <c r="J23" s="257">
        <v>46.32</v>
      </c>
      <c r="K23" s="257">
        <v>29.1</v>
      </c>
      <c r="L23" s="8">
        <f t="shared" si="61"/>
        <v>28.152675232470777</v>
      </c>
      <c r="M23" s="8">
        <f t="shared" si="40"/>
        <v>16.780465645570604</v>
      </c>
      <c r="N23" s="8">
        <f t="shared" ref="N23:AG23" si="68">N63/M63*M23</f>
        <v>23.809583770592187</v>
      </c>
      <c r="O23" s="8">
        <f t="shared" si="68"/>
        <v>23.80958377059218</v>
      </c>
      <c r="P23" s="8">
        <f t="shared" si="68"/>
        <v>23.80958377059218</v>
      </c>
      <c r="Q23" s="8">
        <f t="shared" si="68"/>
        <v>23.80013208343329</v>
      </c>
      <c r="R23" s="8">
        <f t="shared" si="68"/>
        <v>23.79974057804386</v>
      </c>
      <c r="S23" s="8">
        <f t="shared" si="68"/>
        <v>23.799740578043853</v>
      </c>
      <c r="T23" s="8">
        <f t="shared" si="68"/>
        <v>23.799740578043849</v>
      </c>
      <c r="U23" s="8">
        <f t="shared" si="68"/>
        <v>23.799740578043842</v>
      </c>
      <c r="V23" s="8">
        <f t="shared" si="68"/>
        <v>23.799740578043842</v>
      </c>
      <c r="W23" s="8">
        <f t="shared" si="68"/>
        <v>23.799740578043846</v>
      </c>
      <c r="X23" s="8">
        <f t="shared" si="68"/>
        <v>23.799740578043846</v>
      </c>
      <c r="Y23" s="8">
        <f t="shared" si="68"/>
        <v>23.799740578043846</v>
      </c>
      <c r="Z23" s="8">
        <f t="shared" si="68"/>
        <v>9.1717925535957043</v>
      </c>
      <c r="AA23" s="8">
        <f t="shared" si="68"/>
        <v>9.1717925535957061</v>
      </c>
      <c r="AB23" s="8">
        <f t="shared" si="68"/>
        <v>9.1717925535957026</v>
      </c>
      <c r="AC23" s="8">
        <f t="shared" si="68"/>
        <v>9.1717925535957043</v>
      </c>
      <c r="AD23" s="8">
        <f t="shared" si="68"/>
        <v>9.1717925535957008</v>
      </c>
      <c r="AE23" s="8">
        <f t="shared" si="68"/>
        <v>9.1717925535957008</v>
      </c>
      <c r="AF23" s="8">
        <f t="shared" si="68"/>
        <v>9.1717925535955018</v>
      </c>
      <c r="AG23" s="8">
        <f t="shared" si="68"/>
        <v>0.18343585107190991</v>
      </c>
      <c r="AH23" s="8">
        <f t="shared" si="63"/>
        <v>0.18343585107190993</v>
      </c>
      <c r="AI23" s="8">
        <f t="shared" si="63"/>
        <v>0.205407914404651</v>
      </c>
      <c r="AJ23" s="8">
        <f t="shared" si="63"/>
        <v>0.21976165416797369</v>
      </c>
      <c r="AK23" s="8">
        <f t="shared" si="63"/>
        <v>0.22463146695587316</v>
      </c>
      <c r="AL23" s="107"/>
      <c r="AM23" s="107"/>
    </row>
    <row r="24" spans="1:39">
      <c r="A24" s="115" t="s">
        <v>504</v>
      </c>
      <c r="B24">
        <f t="shared" si="9"/>
        <v>18</v>
      </c>
      <c r="C24" s="257">
        <v>21.771602125906632</v>
      </c>
      <c r="D24" s="257">
        <v>22.321967288291042</v>
      </c>
      <c r="E24" s="257">
        <v>22.799481809844082</v>
      </c>
      <c r="F24" s="257">
        <v>23.061502598593702</v>
      </c>
      <c r="G24" s="257">
        <v>23.492490064200549</v>
      </c>
      <c r="H24" s="257">
        <v>23.649212778966675</v>
      </c>
      <c r="I24" s="257">
        <v>24.045917150718431</v>
      </c>
      <c r="J24" s="257">
        <v>24.03</v>
      </c>
      <c r="K24" s="257">
        <v>22.95</v>
      </c>
      <c r="L24" s="8">
        <f t="shared" si="61"/>
        <v>23.703922406101974</v>
      </c>
      <c r="M24" s="8">
        <f t="shared" si="40"/>
        <v>25.774541840309784</v>
      </c>
      <c r="N24" s="8">
        <f t="shared" ref="N24:AG24" si="69">N64/M64*M24</f>
        <v>25.949584084698863</v>
      </c>
      <c r="O24" s="8">
        <f t="shared" si="69"/>
        <v>26.386075001188996</v>
      </c>
      <c r="P24" s="8">
        <f t="shared" si="69"/>
        <v>26.793126350722531</v>
      </c>
      <c r="Q24" s="8">
        <f t="shared" si="69"/>
        <v>27.230469700695192</v>
      </c>
      <c r="R24" s="8">
        <f t="shared" si="69"/>
        <v>27.792646803179537</v>
      </c>
      <c r="S24" s="8">
        <f t="shared" si="69"/>
        <v>28.437857440878759</v>
      </c>
      <c r="T24" s="8">
        <f t="shared" si="69"/>
        <v>29.187584938044662</v>
      </c>
      <c r="U24" s="8">
        <f t="shared" si="69"/>
        <v>30.178602178041231</v>
      </c>
      <c r="V24" s="8">
        <f t="shared" si="69"/>
        <v>31.227700360172953</v>
      </c>
      <c r="W24" s="8">
        <f t="shared" si="69"/>
        <v>32.313821586947611</v>
      </c>
      <c r="X24" s="8">
        <f t="shared" si="69"/>
        <v>33.425323593096806</v>
      </c>
      <c r="Y24" s="8">
        <f t="shared" si="69"/>
        <v>34.566217422698919</v>
      </c>
      <c r="Z24" s="8">
        <f t="shared" si="69"/>
        <v>36.084004555459359</v>
      </c>
      <c r="AA24" s="8">
        <f t="shared" si="69"/>
        <v>37.268047887104224</v>
      </c>
      <c r="AB24" s="8">
        <f t="shared" si="69"/>
        <v>38.509533326500431</v>
      </c>
      <c r="AC24" s="8">
        <f t="shared" si="69"/>
        <v>39.856512292584931</v>
      </c>
      <c r="AD24" s="8">
        <f t="shared" si="69"/>
        <v>41.316386601342316</v>
      </c>
      <c r="AE24" s="8">
        <f t="shared" si="69"/>
        <v>42.756994277734108</v>
      </c>
      <c r="AF24" s="8">
        <f t="shared" si="69"/>
        <v>50.548958089529144</v>
      </c>
      <c r="AG24" s="8">
        <f t="shared" si="69"/>
        <v>59.50361846357459</v>
      </c>
      <c r="AH24" s="8">
        <f t="shared" si="63"/>
        <v>68.615538901204047</v>
      </c>
      <c r="AI24" s="8">
        <f t="shared" si="63"/>
        <v>76.834351949676233</v>
      </c>
      <c r="AJ24" s="8">
        <f t="shared" si="63"/>
        <v>82.203474633997814</v>
      </c>
      <c r="AK24" s="8">
        <f t="shared" si="63"/>
        <v>84.025064180627425</v>
      </c>
      <c r="AL24" s="107"/>
      <c r="AM24" s="107"/>
    </row>
    <row r="25" spans="1:39">
      <c r="A25" s="115" t="s">
        <v>574</v>
      </c>
      <c r="B25">
        <f t="shared" si="9"/>
        <v>19</v>
      </c>
      <c r="C25" s="257">
        <v>234.64829421512601</v>
      </c>
      <c r="D25" s="257">
        <v>241.75157173268613</v>
      </c>
      <c r="E25" s="257">
        <v>247.49716491255998</v>
      </c>
      <c r="F25" s="257">
        <v>250.49509082227485</v>
      </c>
      <c r="G25" s="257">
        <v>252.5592931181983</v>
      </c>
      <c r="H25" s="257">
        <v>256.25966914032193</v>
      </c>
      <c r="I25" s="257">
        <v>259.56135726080817</v>
      </c>
      <c r="J25" s="257">
        <v>260.25</v>
      </c>
      <c r="K25" s="257">
        <v>248.16</v>
      </c>
      <c r="L25" s="8">
        <f t="shared" si="61"/>
        <v>266.45593657969079</v>
      </c>
      <c r="M25" s="8">
        <f t="shared" si="40"/>
        <v>301.58060432664001</v>
      </c>
      <c r="N25" s="8">
        <f t="shared" ref="N25:AG25" si="70">N65/M65*M25</f>
        <v>306.50790331185448</v>
      </c>
      <c r="O25" s="8">
        <f t="shared" si="70"/>
        <v>311.5023523153053</v>
      </c>
      <c r="P25" s="8">
        <f t="shared" si="70"/>
        <v>318.31399947159582</v>
      </c>
      <c r="Q25" s="8">
        <f t="shared" si="70"/>
        <v>326.87125947570269</v>
      </c>
      <c r="R25" s="8">
        <f t="shared" si="70"/>
        <v>341.50070919741978</v>
      </c>
      <c r="S25" s="8">
        <f t="shared" si="70"/>
        <v>357.86848997438835</v>
      </c>
      <c r="T25" s="8">
        <f t="shared" si="70"/>
        <v>373.31216480149493</v>
      </c>
      <c r="U25" s="8">
        <f t="shared" si="70"/>
        <v>388.48517704765703</v>
      </c>
      <c r="V25" s="8">
        <f t="shared" si="70"/>
        <v>404.51079533540042</v>
      </c>
      <c r="W25" s="8">
        <f t="shared" si="70"/>
        <v>422.17115427791475</v>
      </c>
      <c r="X25" s="8">
        <f t="shared" si="70"/>
        <v>438.14744578540802</v>
      </c>
      <c r="Y25" s="8">
        <f t="shared" si="70"/>
        <v>453.75864475922998</v>
      </c>
      <c r="Z25" s="8">
        <f t="shared" si="70"/>
        <v>472.73895840053666</v>
      </c>
      <c r="AA25" s="8">
        <f t="shared" si="70"/>
        <v>491.92283076515884</v>
      </c>
      <c r="AB25" s="8">
        <f t="shared" si="70"/>
        <v>511.99948659673072</v>
      </c>
      <c r="AC25" s="8">
        <f t="shared" si="70"/>
        <v>534.28577139578567</v>
      </c>
      <c r="AD25" s="8">
        <f t="shared" si="70"/>
        <v>558.18074803452748</v>
      </c>
      <c r="AE25" s="8">
        <f t="shared" si="70"/>
        <v>580.86528053422785</v>
      </c>
      <c r="AF25" s="8">
        <f t="shared" si="70"/>
        <v>673.91915037034653</v>
      </c>
      <c r="AG25" s="8">
        <f t="shared" si="70"/>
        <v>770.09646804004569</v>
      </c>
      <c r="AH25" s="8">
        <f t="shared" si="63"/>
        <v>868.38499278274423</v>
      </c>
      <c r="AI25" s="8">
        <f t="shared" si="63"/>
        <v>972.40070152849296</v>
      </c>
      <c r="AJ25" s="8">
        <f t="shared" si="63"/>
        <v>1040.3512800437695</v>
      </c>
      <c r="AK25" s="8">
        <f t="shared" si="63"/>
        <v>1063.4049651220237</v>
      </c>
      <c r="AL25" s="107"/>
      <c r="AM25" s="107"/>
    </row>
    <row r="26" spans="1:39">
      <c r="A26" s="115" t="s">
        <v>573</v>
      </c>
      <c r="B26">
        <f t="shared" si="9"/>
        <v>20</v>
      </c>
      <c r="C26" s="257">
        <v>40.911909200944407</v>
      </c>
      <c r="D26" s="257">
        <v>43.472466890059046</v>
      </c>
      <c r="E26" s="257">
        <v>46.683336524652951</v>
      </c>
      <c r="F26" s="257">
        <v>48.977367480453168</v>
      </c>
      <c r="G26" s="257">
        <v>50.507366203925315</v>
      </c>
      <c r="H26" s="257">
        <v>54.114758895803412</v>
      </c>
      <c r="I26" s="257">
        <v>58.020027445348646</v>
      </c>
      <c r="J26" s="257">
        <v>60.61</v>
      </c>
      <c r="K26" s="257">
        <v>58.58</v>
      </c>
      <c r="L26" s="8">
        <f t="shared" si="61"/>
        <v>62.030990452524854</v>
      </c>
      <c r="M26" s="8">
        <f t="shared" si="40"/>
        <v>73.937174390299646</v>
      </c>
      <c r="N26" s="8">
        <f t="shared" ref="N26:AG26" si="71">N66/M66*M26</f>
        <v>78.550888952328918</v>
      </c>
      <c r="O26" s="8">
        <f t="shared" si="71"/>
        <v>80.460300018130312</v>
      </c>
      <c r="P26" s="8">
        <f t="shared" si="71"/>
        <v>81.858193186082545</v>
      </c>
      <c r="Q26" s="8">
        <f t="shared" si="71"/>
        <v>82.79045769806703</v>
      </c>
      <c r="R26" s="8">
        <f t="shared" si="71"/>
        <v>85.839357603939462</v>
      </c>
      <c r="S26" s="8">
        <f t="shared" si="71"/>
        <v>88.919506521284546</v>
      </c>
      <c r="T26" s="8">
        <f t="shared" si="71"/>
        <v>91.987204406838075</v>
      </c>
      <c r="U26" s="8">
        <f t="shared" si="71"/>
        <v>95.014824444462818</v>
      </c>
      <c r="V26" s="8">
        <f t="shared" si="71"/>
        <v>97.930258863953682</v>
      </c>
      <c r="W26" s="8">
        <f t="shared" si="71"/>
        <v>100.86203394676129</v>
      </c>
      <c r="X26" s="8">
        <f t="shared" si="71"/>
        <v>103.73787816095462</v>
      </c>
      <c r="Y26" s="8">
        <f t="shared" si="71"/>
        <v>106.67259695066268</v>
      </c>
      <c r="Z26" s="8">
        <f t="shared" si="71"/>
        <v>110.02219646198927</v>
      </c>
      <c r="AA26" s="8">
        <f t="shared" si="71"/>
        <v>112.75729617480428</v>
      </c>
      <c r="AB26" s="8">
        <f t="shared" si="71"/>
        <v>115.3282426350461</v>
      </c>
      <c r="AC26" s="8">
        <f t="shared" si="71"/>
        <v>117.91193062402806</v>
      </c>
      <c r="AD26" s="8">
        <f t="shared" si="71"/>
        <v>120.47436962973967</v>
      </c>
      <c r="AE26" s="8">
        <f t="shared" si="71"/>
        <v>122.83281931616264</v>
      </c>
      <c r="AF26" s="8">
        <f t="shared" si="71"/>
        <v>133.68798246504778</v>
      </c>
      <c r="AG26" s="8">
        <f t="shared" si="71"/>
        <v>144.1406402974973</v>
      </c>
      <c r="AH26" s="8">
        <f t="shared" si="63"/>
        <v>155.42886092643596</v>
      </c>
      <c r="AI26" s="8">
        <f t="shared" si="63"/>
        <v>174.04622910204233</v>
      </c>
      <c r="AJ26" s="8">
        <f t="shared" si="63"/>
        <v>186.20843953370522</v>
      </c>
      <c r="AK26" s="8">
        <f t="shared" si="63"/>
        <v>190.33472918823668</v>
      </c>
      <c r="AL26" s="107"/>
      <c r="AM26" s="107"/>
    </row>
    <row r="27" spans="1:39">
      <c r="A27" s="115" t="s">
        <v>794</v>
      </c>
      <c r="B27">
        <f t="shared" si="9"/>
        <v>21</v>
      </c>
      <c r="C27" s="257">
        <v>6.4158612357306808</v>
      </c>
      <c r="D27" s="257">
        <v>6.604363287904599</v>
      </c>
      <c r="E27" s="257">
        <v>6.7999637989778527</v>
      </c>
      <c r="F27" s="257">
        <v>6.9251895229982949</v>
      </c>
      <c r="G27" s="257">
        <v>6.9893547700170355</v>
      </c>
      <c r="H27" s="257">
        <v>7.0969867972742753</v>
      </c>
      <c r="I27" s="257">
        <v>7.234631601362862</v>
      </c>
      <c r="J27" s="257">
        <v>7.29</v>
      </c>
      <c r="K27" s="257">
        <v>6.9</v>
      </c>
      <c r="L27" s="8">
        <f t="shared" si="61"/>
        <v>7.2854338133880265</v>
      </c>
      <c r="M27" s="8">
        <f t="shared" si="40"/>
        <v>8.3186021836689825</v>
      </c>
      <c r="N27" s="8">
        <f t="shared" ref="N27:AG27" si="72">N67/M67*M27</f>
        <v>8.5548105784774382</v>
      </c>
      <c r="O27" s="8">
        <f t="shared" si="72"/>
        <v>8.6871255391985223</v>
      </c>
      <c r="P27" s="8">
        <f t="shared" si="72"/>
        <v>8.826842544781984</v>
      </c>
      <c r="Q27" s="8">
        <f t="shared" si="72"/>
        <v>8.9746190599377673</v>
      </c>
      <c r="R27" s="8">
        <f t="shared" si="72"/>
        <v>9.3208928251898548</v>
      </c>
      <c r="S27" s="8">
        <f t="shared" si="72"/>
        <v>9.6943560135900899</v>
      </c>
      <c r="T27" s="8">
        <f t="shared" si="72"/>
        <v>10.067949772939606</v>
      </c>
      <c r="U27" s="8">
        <f t="shared" si="72"/>
        <v>10.457900825135354</v>
      </c>
      <c r="V27" s="8">
        <f t="shared" si="72"/>
        <v>10.834970187111992</v>
      </c>
      <c r="W27" s="8">
        <f t="shared" si="72"/>
        <v>11.224868026964113</v>
      </c>
      <c r="X27" s="8">
        <f t="shared" si="72"/>
        <v>11.588829129440496</v>
      </c>
      <c r="Y27" s="8">
        <f t="shared" si="72"/>
        <v>11.952377509856502</v>
      </c>
      <c r="Z27" s="8">
        <f t="shared" si="72"/>
        <v>12.365348966626897</v>
      </c>
      <c r="AA27" s="8">
        <f t="shared" si="72"/>
        <v>12.743999303168414</v>
      </c>
      <c r="AB27" s="8">
        <f t="shared" si="72"/>
        <v>13.12105018907576</v>
      </c>
      <c r="AC27" s="8">
        <f t="shared" si="72"/>
        <v>13.519352472443103</v>
      </c>
      <c r="AD27" s="8">
        <f t="shared" si="72"/>
        <v>13.928667673228377</v>
      </c>
      <c r="AE27" s="8">
        <f t="shared" si="72"/>
        <v>14.318330091318741</v>
      </c>
      <c r="AF27" s="8">
        <f t="shared" si="72"/>
        <v>16.132785932041298</v>
      </c>
      <c r="AG27" s="8">
        <f t="shared" si="72"/>
        <v>18.015146156533433</v>
      </c>
      <c r="AH27" s="8">
        <f t="shared" si="63"/>
        <v>19.966599575039357</v>
      </c>
      <c r="AI27" s="8">
        <f t="shared" si="63"/>
        <v>22.358211617280027</v>
      </c>
      <c r="AJ27" s="8">
        <f t="shared" si="63"/>
        <v>23.920585453058912</v>
      </c>
      <c r="AK27" s="8">
        <f t="shared" si="63"/>
        <v>24.450654146682371</v>
      </c>
      <c r="AL27" s="107"/>
      <c r="AM27" s="107"/>
    </row>
    <row r="28" spans="1:39">
      <c r="A28" s="115" t="s">
        <v>578</v>
      </c>
      <c r="B28">
        <f t="shared" si="9"/>
        <v>22</v>
      </c>
      <c r="C28" s="257">
        <v>125.48003402211921</v>
      </c>
      <c r="D28" s="257">
        <v>127.1852732099033</v>
      </c>
      <c r="E28" s="257">
        <v>121.33259319855085</v>
      </c>
      <c r="F28" s="257">
        <v>115.48558072755804</v>
      </c>
      <c r="G28" s="257">
        <v>115.29855189569106</v>
      </c>
      <c r="H28" s="257">
        <v>115.15875256682079</v>
      </c>
      <c r="I28" s="257">
        <v>113.64929765104591</v>
      </c>
      <c r="J28" s="257">
        <v>113.16</v>
      </c>
      <c r="K28" s="257">
        <v>108.36</v>
      </c>
      <c r="L28" s="8">
        <f t="shared" si="61"/>
        <v>109.32862307844772</v>
      </c>
      <c r="M28" s="8">
        <f t="shared" si="40"/>
        <v>107.91794349435753</v>
      </c>
      <c r="N28" s="8">
        <f t="shared" ref="N28:AG28" si="73">N68/M68*M28</f>
        <v>102.82688016080994</v>
      </c>
      <c r="O28" s="8">
        <f t="shared" si="73"/>
        <v>98.328944178676949</v>
      </c>
      <c r="P28" s="8">
        <f t="shared" si="73"/>
        <v>92.206241177279168</v>
      </c>
      <c r="Q28" s="8">
        <f t="shared" si="73"/>
        <v>87.34367191700818</v>
      </c>
      <c r="R28" s="8">
        <f t="shared" si="73"/>
        <v>82.235804247294936</v>
      </c>
      <c r="S28" s="8">
        <f t="shared" si="73"/>
        <v>76.569719351784954</v>
      </c>
      <c r="T28" s="8">
        <f t="shared" si="73"/>
        <v>71.365383028892495</v>
      </c>
      <c r="U28" s="8">
        <f t="shared" si="73"/>
        <v>67.565442117450303</v>
      </c>
      <c r="V28" s="8">
        <f t="shared" si="73"/>
        <v>64.898672773909809</v>
      </c>
      <c r="W28" s="8">
        <f t="shared" si="73"/>
        <v>62.064281577254832</v>
      </c>
      <c r="X28" s="8">
        <f t="shared" si="73"/>
        <v>58.34532163834087</v>
      </c>
      <c r="Y28" s="8">
        <f t="shared" si="73"/>
        <v>55.317033522441001</v>
      </c>
      <c r="Z28" s="8">
        <f t="shared" si="73"/>
        <v>54.35250520911125</v>
      </c>
      <c r="AA28" s="8">
        <f t="shared" si="73"/>
        <v>53.503337948019961</v>
      </c>
      <c r="AB28" s="8">
        <f t="shared" si="73"/>
        <v>52.472017747946431</v>
      </c>
      <c r="AC28" s="8">
        <f t="shared" si="73"/>
        <v>51.150088925627294</v>
      </c>
      <c r="AD28" s="8">
        <f t="shared" si="73"/>
        <v>50.272683755511132</v>
      </c>
      <c r="AE28" s="8">
        <f t="shared" si="73"/>
        <v>49.343605374112713</v>
      </c>
      <c r="AF28" s="8">
        <f t="shared" si="73"/>
        <v>41.030249499833552</v>
      </c>
      <c r="AG28" s="8">
        <f t="shared" si="73"/>
        <v>15.181912671947416</v>
      </c>
      <c r="AH28" s="8">
        <f t="shared" si="63"/>
        <v>15.444660930693624</v>
      </c>
      <c r="AI28" s="8">
        <f t="shared" si="63"/>
        <v>14.539956300310639</v>
      </c>
      <c r="AJ28" s="8">
        <f t="shared" si="63"/>
        <v>13.68824671280424</v>
      </c>
      <c r="AK28" s="8">
        <f t="shared" si="63"/>
        <v>12.886427868190571</v>
      </c>
      <c r="AL28" s="107"/>
      <c r="AM28" s="107"/>
    </row>
    <row r="29" spans="1:39">
      <c r="A29" s="115" t="s">
        <v>508</v>
      </c>
      <c r="B29">
        <f t="shared" si="9"/>
        <v>23</v>
      </c>
      <c r="C29" s="257">
        <v>154.18842101590053</v>
      </c>
      <c r="D29" s="257">
        <v>151.87047226763119</v>
      </c>
      <c r="E29" s="257">
        <v>148.71168942836181</v>
      </c>
      <c r="F29" s="257">
        <v>145.49800306349678</v>
      </c>
      <c r="G29" s="257">
        <v>142.32274916654868</v>
      </c>
      <c r="H29" s="257">
        <v>141.64560568420242</v>
      </c>
      <c r="I29" s="257">
        <v>143.22499710383713</v>
      </c>
      <c r="J29" s="257">
        <v>142.18</v>
      </c>
      <c r="K29" s="257">
        <v>135.41</v>
      </c>
      <c r="L29" s="8">
        <f t="shared" si="61"/>
        <v>145.26060826440124</v>
      </c>
      <c r="M29" s="8">
        <f t="shared" si="40"/>
        <v>149.23339996603332</v>
      </c>
      <c r="N29" s="8">
        <f t="shared" ref="N29:AG29" si="74">N69/M69*M29</f>
        <v>145.15754551971682</v>
      </c>
      <c r="O29" s="8">
        <f t="shared" si="74"/>
        <v>146.77970149634356</v>
      </c>
      <c r="P29" s="8">
        <f t="shared" si="74"/>
        <v>145.33242336800734</v>
      </c>
      <c r="Q29" s="8">
        <f t="shared" si="74"/>
        <v>149.78310975839776</v>
      </c>
      <c r="R29" s="8">
        <f t="shared" si="74"/>
        <v>151.08405280920783</v>
      </c>
      <c r="S29" s="8">
        <f t="shared" si="74"/>
        <v>150.39267654027762</v>
      </c>
      <c r="T29" s="8">
        <f t="shared" si="74"/>
        <v>152.23429429090697</v>
      </c>
      <c r="U29" s="8">
        <f t="shared" si="74"/>
        <v>155.05663324911885</v>
      </c>
      <c r="V29" s="8">
        <f t="shared" si="74"/>
        <v>156.48566740403433</v>
      </c>
      <c r="W29" s="8">
        <f t="shared" si="74"/>
        <v>158.86104858801002</v>
      </c>
      <c r="X29" s="8">
        <f t="shared" si="74"/>
        <v>161.01371055300697</v>
      </c>
      <c r="Y29" s="8">
        <f t="shared" si="74"/>
        <v>164.25220043620052</v>
      </c>
      <c r="Z29" s="8">
        <f t="shared" si="74"/>
        <v>166.85914191135271</v>
      </c>
      <c r="AA29" s="8">
        <f t="shared" si="74"/>
        <v>170.95104152868927</v>
      </c>
      <c r="AB29" s="8">
        <f t="shared" si="74"/>
        <v>174.42276906319</v>
      </c>
      <c r="AC29" s="8">
        <f t="shared" si="74"/>
        <v>178.50116643296616</v>
      </c>
      <c r="AD29" s="8">
        <f t="shared" si="74"/>
        <v>183.10923158589458</v>
      </c>
      <c r="AE29" s="8">
        <f t="shared" si="74"/>
        <v>187.4235926667186</v>
      </c>
      <c r="AF29" s="8">
        <f t="shared" si="74"/>
        <v>211.62989486159827</v>
      </c>
      <c r="AG29" s="8">
        <f t="shared" si="74"/>
        <v>286.17619523901635</v>
      </c>
      <c r="AH29" s="8">
        <f t="shared" si="63"/>
        <v>319.0768106136515</v>
      </c>
      <c r="AI29" s="8">
        <f t="shared" si="63"/>
        <v>357.29603466306503</v>
      </c>
      <c r="AJ29" s="8">
        <f t="shared" si="63"/>
        <v>382.26359404306845</v>
      </c>
      <c r="AK29" s="8">
        <f t="shared" si="63"/>
        <v>390.73437183033644</v>
      </c>
      <c r="AL29" s="107"/>
      <c r="AM29" s="107"/>
    </row>
    <row r="30" spans="1:39">
      <c r="A30" s="4" t="s">
        <v>5</v>
      </c>
      <c r="B30">
        <f t="shared" si="9"/>
        <v>24</v>
      </c>
      <c r="C30" s="264">
        <f t="shared" ref="C30:K30" si="75">SUM(C7:C29)</f>
        <v>4032.0433682922139</v>
      </c>
      <c r="D30" s="265">
        <f t="shared" si="75"/>
        <v>4135.6011269326036</v>
      </c>
      <c r="E30" s="265">
        <f t="shared" si="75"/>
        <v>4214.5620530894539</v>
      </c>
      <c r="F30" s="265">
        <f t="shared" si="75"/>
        <v>4269.9104508291794</v>
      </c>
      <c r="G30" s="265">
        <f t="shared" si="75"/>
        <v>4306.3530098044157</v>
      </c>
      <c r="H30" s="265">
        <f t="shared" si="75"/>
        <v>4369.2882721535752</v>
      </c>
      <c r="I30" s="265">
        <f t="shared" si="75"/>
        <v>4424.2547121291227</v>
      </c>
      <c r="J30" s="265">
        <f t="shared" si="75"/>
        <v>4454.71</v>
      </c>
      <c r="K30" s="265">
        <f t="shared" si="75"/>
        <v>4168.5599999999986</v>
      </c>
      <c r="L30" s="108">
        <f>SUM(L7:L29)</f>
        <v>4389.6274316739164</v>
      </c>
      <c r="M30" s="108">
        <f t="shared" ref="M30:AG30" si="76">SUM(M7:M29)</f>
        <v>4532.5348263418728</v>
      </c>
      <c r="N30" s="108">
        <f t="shared" si="76"/>
        <v>4588.5806906106154</v>
      </c>
      <c r="O30" s="108">
        <f t="shared" si="76"/>
        <v>4657.8616993561554</v>
      </c>
      <c r="P30" s="108">
        <f t="shared" si="76"/>
        <v>4738.3763158769834</v>
      </c>
      <c r="Q30" s="108">
        <f t="shared" si="76"/>
        <v>4845.024195418503</v>
      </c>
      <c r="R30" s="108">
        <f t="shared" si="76"/>
        <v>4963.2109735979693</v>
      </c>
      <c r="S30" s="108">
        <f t="shared" si="76"/>
        <v>5093.7396668574656</v>
      </c>
      <c r="T30" s="108">
        <f t="shared" si="76"/>
        <v>5246.2647859911149</v>
      </c>
      <c r="U30" s="108">
        <f t="shared" si="76"/>
        <v>5427.0615886027217</v>
      </c>
      <c r="V30" s="108">
        <f t="shared" si="76"/>
        <v>5615.0762740577657</v>
      </c>
      <c r="W30" s="108">
        <f t="shared" si="76"/>
        <v>5814.7968551307031</v>
      </c>
      <c r="X30" s="108">
        <f t="shared" si="76"/>
        <v>6018.1353373241354</v>
      </c>
      <c r="Y30" s="108">
        <f t="shared" si="76"/>
        <v>6234.1434840843949</v>
      </c>
      <c r="Z30" s="108">
        <f t="shared" si="76"/>
        <v>6464.3803586065915</v>
      </c>
      <c r="AA30" s="108">
        <f t="shared" si="76"/>
        <v>6703.1993845788902</v>
      </c>
      <c r="AB30" s="108">
        <f t="shared" si="76"/>
        <v>6949.484489384201</v>
      </c>
      <c r="AC30" s="108">
        <f t="shared" si="76"/>
        <v>7209.5023272743801</v>
      </c>
      <c r="AD30" s="108">
        <f t="shared" si="76"/>
        <v>7479.5591267406162</v>
      </c>
      <c r="AE30" s="108">
        <f t="shared" si="76"/>
        <v>7753.1717496587144</v>
      </c>
      <c r="AF30" s="108">
        <f t="shared" si="76"/>
        <v>9174.8403758953209</v>
      </c>
      <c r="AG30" s="108">
        <f t="shared" si="76"/>
        <v>10690.065920265894</v>
      </c>
      <c r="AH30" s="108">
        <f t="shared" ref="AH30:AK30" si="77">SUM(AH7:AH29)</f>
        <v>12385.027615571933</v>
      </c>
      <c r="AI30" s="108">
        <f t="shared" si="77"/>
        <v>13829.456787669416</v>
      </c>
      <c r="AJ30" s="108">
        <f t="shared" si="77"/>
        <v>14769.366091416017</v>
      </c>
      <c r="AK30" s="108">
        <f t="shared" si="77"/>
        <v>15080.97880675914</v>
      </c>
      <c r="AL30" s="108"/>
      <c r="AM30" s="108"/>
    </row>
    <row r="31" spans="1:39" s="25" customFormat="1">
      <c r="A31" s="204" t="s">
        <v>263</v>
      </c>
      <c r="B31">
        <f t="shared" si="9"/>
        <v>25</v>
      </c>
      <c r="C31" s="259"/>
      <c r="D31" s="205">
        <v>2.6436281887547874E-2</v>
      </c>
      <c r="E31" s="205">
        <v>2.0165921894981231E-2</v>
      </c>
      <c r="F31" s="205">
        <v>1.407744097509589E-2</v>
      </c>
      <c r="G31" s="205">
        <v>8.9337784405372211E-3</v>
      </c>
      <c r="H31" s="205">
        <v>1.4827464040109817E-2</v>
      </c>
      <c r="I31" s="205">
        <v>1.2732896737821964E-2</v>
      </c>
      <c r="J31" s="205">
        <v>7.2531087632679014E-3</v>
      </c>
      <c r="K31" s="205">
        <v>-7.2462496857853442E-2</v>
      </c>
      <c r="L31" s="205">
        <f>L30/K30-1</f>
        <v>5.3032085821942854E-2</v>
      </c>
      <c r="M31" s="205">
        <f>M30/L30-1</f>
        <v>3.2555700202889559E-2</v>
      </c>
      <c r="N31" s="205">
        <f t="shared" ref="N31:AE31" si="78">N30/M30-1</f>
        <v>1.2365236322734674E-2</v>
      </c>
      <c r="O31" s="205">
        <f t="shared" si="78"/>
        <v>1.5098570433185632E-2</v>
      </c>
      <c r="P31" s="205">
        <f t="shared" si="78"/>
        <v>1.7285746490059539E-2</v>
      </c>
      <c r="Q31" s="205">
        <f t="shared" si="78"/>
        <v>2.2507262494996905E-2</v>
      </c>
      <c r="R31" s="205">
        <f t="shared" si="78"/>
        <v>2.4393434049560625E-2</v>
      </c>
      <c r="S31" s="205">
        <f t="shared" si="78"/>
        <v>2.6299243363590685E-2</v>
      </c>
      <c r="T31" s="205">
        <f t="shared" si="78"/>
        <v>2.9943642413855054E-2</v>
      </c>
      <c r="U31" s="205">
        <f t="shared" si="78"/>
        <v>3.4462004871424146E-2</v>
      </c>
      <c r="V31" s="205">
        <f t="shared" si="78"/>
        <v>3.464391962123492E-2</v>
      </c>
      <c r="W31" s="205">
        <f t="shared" si="78"/>
        <v>3.5568631898317715E-2</v>
      </c>
      <c r="X31" s="205">
        <f t="shared" si="78"/>
        <v>3.4969146344986379E-2</v>
      </c>
      <c r="Y31" s="205">
        <f t="shared" si="78"/>
        <v>3.5892869577157649E-2</v>
      </c>
      <c r="Z31" s="205">
        <f t="shared" si="78"/>
        <v>3.6931596956339741E-2</v>
      </c>
      <c r="AA31" s="205">
        <f t="shared" si="78"/>
        <v>3.6943838809598839E-2</v>
      </c>
      <c r="AB31" s="205">
        <f t="shared" si="78"/>
        <v>3.6741426097499641E-2</v>
      </c>
      <c r="AC31" s="205">
        <f t="shared" si="78"/>
        <v>3.7415413803336683E-2</v>
      </c>
      <c r="AD31" s="205">
        <f t="shared" si="78"/>
        <v>3.7458452360099814E-2</v>
      </c>
      <c r="AE31" s="205">
        <f t="shared" si="78"/>
        <v>3.65813837796789E-2</v>
      </c>
      <c r="AF31" s="205">
        <f>(AF30/AE30)^(1/5)-1</f>
        <v>3.4245934703705183E-2</v>
      </c>
      <c r="AG31" s="205">
        <f>(AG30/AF30)^(1/5)-1</f>
        <v>3.1042038915531256E-2</v>
      </c>
      <c r="AH31" s="205">
        <f t="shared" ref="AH31:AK31" si="79">(AH30/AG30)^(1/5)-1</f>
        <v>2.9872162260942581E-2</v>
      </c>
      <c r="AI31" s="205">
        <f t="shared" si="79"/>
        <v>2.2307691911655159E-2</v>
      </c>
      <c r="AJ31" s="205">
        <f t="shared" si="79"/>
        <v>1.3237714874796858E-2</v>
      </c>
      <c r="AK31" s="205">
        <f t="shared" si="79"/>
        <v>4.1845491014476099E-3</v>
      </c>
      <c r="AL31" s="204"/>
      <c r="AM31" s="204"/>
    </row>
    <row r="32" spans="1:39">
      <c r="A32" t="s">
        <v>589</v>
      </c>
      <c r="B32">
        <f t="shared" si="9"/>
        <v>26</v>
      </c>
      <c r="C32" s="258">
        <v>52.325432882070082</v>
      </c>
      <c r="D32" s="257">
        <v>53.104386458423342</v>
      </c>
      <c r="E32" s="257">
        <v>53.912365691429272</v>
      </c>
      <c r="F32" s="257">
        <v>54.750491457321111</v>
      </c>
      <c r="G32" s="257">
        <v>55.619940469824826</v>
      </c>
      <c r="H32" s="257">
        <v>56.521948041648095</v>
      </c>
      <c r="I32" s="257">
        <v>57.436000617299655</v>
      </c>
      <c r="J32" s="257">
        <v>58.364834921819444</v>
      </c>
      <c r="K32" s="257">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43">
      <c r="A33" t="s">
        <v>380</v>
      </c>
      <c r="B33">
        <f t="shared" si="9"/>
        <v>27</v>
      </c>
      <c r="C33" s="260">
        <v>0.5</v>
      </c>
      <c r="D33" s="260">
        <v>0.5</v>
      </c>
      <c r="E33" s="260">
        <v>0.5</v>
      </c>
      <c r="F33" s="260">
        <v>0.5</v>
      </c>
      <c r="G33" s="260">
        <v>0.5</v>
      </c>
      <c r="H33" s="260">
        <v>0.5</v>
      </c>
      <c r="I33" s="260">
        <v>0.5</v>
      </c>
      <c r="J33" s="260">
        <v>0.50152754832852431</v>
      </c>
      <c r="K33" s="260">
        <v>0.51748350868667314</v>
      </c>
      <c r="L33" s="18">
        <f>L85/SUM(L$85:L$87)</f>
        <v>0.48947211509097449</v>
      </c>
      <c r="M33" s="18">
        <f t="shared" ref="M33:AG35" si="80">M85/SUM(M$85:M$87)</f>
        <v>0.46061780505666355</v>
      </c>
      <c r="N33" s="18">
        <f t="shared" si="80"/>
        <v>0.44783547304107746</v>
      </c>
      <c r="O33" s="18">
        <f t="shared" si="80"/>
        <v>0.4373450444929311</v>
      </c>
      <c r="P33" s="18">
        <f t="shared" si="80"/>
        <v>0.42847018132309483</v>
      </c>
      <c r="Q33" s="18">
        <f t="shared" si="80"/>
        <v>0.42283459382689914</v>
      </c>
      <c r="R33" s="18">
        <f t="shared" si="80"/>
        <v>0.41133888034482868</v>
      </c>
      <c r="S33" s="18">
        <f t="shared" si="80"/>
        <v>0.39667878483899643</v>
      </c>
      <c r="T33" s="18">
        <f t="shared" si="80"/>
        <v>0.38256993533227351</v>
      </c>
      <c r="U33" s="18">
        <f t="shared" si="80"/>
        <v>0.3681314630913507</v>
      </c>
      <c r="V33" s="18">
        <f t="shared" si="80"/>
        <v>0.35408430112257766</v>
      </c>
      <c r="W33" s="18">
        <f t="shared" si="80"/>
        <v>0.34075368376324844</v>
      </c>
      <c r="X33" s="18">
        <f t="shared" si="80"/>
        <v>0.32791372667188529</v>
      </c>
      <c r="Y33" s="18">
        <f t="shared" si="80"/>
        <v>0.31543762454488994</v>
      </c>
      <c r="Z33" s="18">
        <f t="shared" si="80"/>
        <v>0.30324459681030075</v>
      </c>
      <c r="AA33" s="18">
        <f t="shared" si="80"/>
        <v>0.29154182974196224</v>
      </c>
      <c r="AB33" s="18">
        <f t="shared" si="80"/>
        <v>0.28046722445348193</v>
      </c>
      <c r="AC33" s="18">
        <f t="shared" si="80"/>
        <v>0.26982400445783228</v>
      </c>
      <c r="AD33" s="18">
        <f t="shared" si="80"/>
        <v>0.25972185449361057</v>
      </c>
      <c r="AE33" s="18">
        <f t="shared" si="80"/>
        <v>0.25016713258411949</v>
      </c>
      <c r="AF33" s="18">
        <f t="shared" si="80"/>
        <v>0.21014696677205005</v>
      </c>
      <c r="AG33" s="18">
        <f t="shared" si="80"/>
        <v>0.18072458479062245</v>
      </c>
      <c r="AH33" s="18">
        <f t="shared" ref="AH33:AK33" si="81">AH85/SUM(AH$85:AH$87)</f>
        <v>0.15418593312694764</v>
      </c>
      <c r="AI33" s="18">
        <f t="shared" si="81"/>
        <v>0.13306234639780212</v>
      </c>
      <c r="AJ33" s="18">
        <f t="shared" si="81"/>
        <v>0.11190269909741618</v>
      </c>
      <c r="AK33" s="18">
        <f t="shared" si="81"/>
        <v>9.0746627855547463E-2</v>
      </c>
      <c r="AL33" s="107"/>
      <c r="AM33" s="107"/>
    </row>
    <row r="34" spans="1:43">
      <c r="A34" t="s">
        <v>381</v>
      </c>
      <c r="B34">
        <f t="shared" si="9"/>
        <v>28</v>
      </c>
      <c r="C34" s="260">
        <v>0.3</v>
      </c>
      <c r="D34" s="260">
        <v>0.3</v>
      </c>
      <c r="E34" s="260">
        <v>0.3</v>
      </c>
      <c r="F34" s="260">
        <v>0.3</v>
      </c>
      <c r="G34" s="260">
        <v>0.3</v>
      </c>
      <c r="H34" s="260">
        <v>0.3</v>
      </c>
      <c r="I34" s="260">
        <v>0.3</v>
      </c>
      <c r="J34" s="260">
        <v>0.29852364948703553</v>
      </c>
      <c r="K34" s="260">
        <v>0.28256768912888669</v>
      </c>
      <c r="L34" s="18">
        <f>L86/SUM(L$85:L$87)</f>
        <v>0.29340566839946647</v>
      </c>
      <c r="M34" s="18">
        <f t="shared" ref="M34:AA34" si="82">M86/SUM(M$85:M$87)</f>
        <v>0.30702568611369818</v>
      </c>
      <c r="N34" s="18">
        <f t="shared" si="82"/>
        <v>0.31192284361497863</v>
      </c>
      <c r="O34" s="18">
        <f t="shared" si="82"/>
        <v>0.31468116873783775</v>
      </c>
      <c r="P34" s="18">
        <f t="shared" si="82"/>
        <v>0.31810023619141692</v>
      </c>
      <c r="Q34" s="18">
        <f t="shared" si="82"/>
        <v>0.32002715947280552</v>
      </c>
      <c r="R34" s="18">
        <f t="shared" si="82"/>
        <v>0.32056182787230064</v>
      </c>
      <c r="S34" s="18">
        <f t="shared" si="82"/>
        <v>0.32405011507682857</v>
      </c>
      <c r="T34" s="18">
        <f t="shared" si="82"/>
        <v>0.32739290265745641</v>
      </c>
      <c r="U34" s="18">
        <f t="shared" si="82"/>
        <v>0.3301611284366166</v>
      </c>
      <c r="V34" s="18">
        <f t="shared" si="82"/>
        <v>0.33359646163824991</v>
      </c>
      <c r="W34" s="18">
        <f t="shared" si="82"/>
        <v>0.33654052852471189</v>
      </c>
      <c r="X34" s="18">
        <f t="shared" si="82"/>
        <v>0.33966241959979315</v>
      </c>
      <c r="Y34" s="18">
        <f t="shared" si="82"/>
        <v>0.34245066314010097</v>
      </c>
      <c r="Z34" s="18">
        <f t="shared" si="82"/>
        <v>0.34518504524092181</v>
      </c>
      <c r="AA34" s="18">
        <f t="shared" si="82"/>
        <v>0.34770931437923785</v>
      </c>
      <c r="AB34" s="18">
        <f t="shared" si="80"/>
        <v>0.35009843702544496</v>
      </c>
      <c r="AC34" s="18">
        <f t="shared" si="80"/>
        <v>0.35237148498989329</v>
      </c>
      <c r="AD34" s="18">
        <f t="shared" si="80"/>
        <v>0.35460235350222802</v>
      </c>
      <c r="AE34" s="18">
        <f t="shared" si="80"/>
        <v>0.35664814779018028</v>
      </c>
      <c r="AF34" s="18">
        <f t="shared" si="80"/>
        <v>0.36564029649579988</v>
      </c>
      <c r="AG34" s="18">
        <f t="shared" si="80"/>
        <v>0.37346403644390003</v>
      </c>
      <c r="AH34" s="18">
        <f t="shared" ref="AH34:AK34" si="83">AH86/SUM(AH$85:AH$87)</f>
        <v>0.37772506321390975</v>
      </c>
      <c r="AI34" s="18">
        <f t="shared" si="83"/>
        <v>0.3926161287985398</v>
      </c>
      <c r="AJ34" s="18">
        <f t="shared" si="83"/>
        <v>0.40762315533419935</v>
      </c>
      <c r="AK34" s="18">
        <f t="shared" si="83"/>
        <v>0.42261710998374313</v>
      </c>
      <c r="AL34" s="107"/>
      <c r="AM34" s="107"/>
    </row>
    <row r="35" spans="1:43">
      <c r="A35" t="s">
        <v>382</v>
      </c>
      <c r="B35">
        <f t="shared" si="9"/>
        <v>29</v>
      </c>
      <c r="C35" s="260">
        <v>0.19999999999999996</v>
      </c>
      <c r="D35" s="260">
        <v>0.19999999999999996</v>
      </c>
      <c r="E35" s="260">
        <v>0.19999999999999996</v>
      </c>
      <c r="F35" s="260">
        <v>0.19999999999999996</v>
      </c>
      <c r="G35" s="260">
        <v>0.19999999999999996</v>
      </c>
      <c r="H35" s="260">
        <v>0.19999999999999996</v>
      </c>
      <c r="I35" s="260">
        <v>0.19999999999999996</v>
      </c>
      <c r="J35" s="260">
        <v>0.19994880218444017</v>
      </c>
      <c r="K35" s="260">
        <v>0.19994880218444014</v>
      </c>
      <c r="L35" s="18">
        <f>L87/SUM(L$85:L$87)</f>
        <v>0.21712221650955904</v>
      </c>
      <c r="M35" s="18">
        <f t="shared" si="80"/>
        <v>0.23235650882963838</v>
      </c>
      <c r="N35" s="18">
        <f t="shared" si="80"/>
        <v>0.24024168334394391</v>
      </c>
      <c r="O35" s="18">
        <f t="shared" si="80"/>
        <v>0.24797378676923107</v>
      </c>
      <c r="P35" s="18">
        <f t="shared" si="80"/>
        <v>0.25342958248548819</v>
      </c>
      <c r="Q35" s="18">
        <f t="shared" si="80"/>
        <v>0.25713824670029534</v>
      </c>
      <c r="R35" s="18">
        <f t="shared" si="80"/>
        <v>0.26809929178287062</v>
      </c>
      <c r="S35" s="18">
        <f t="shared" si="80"/>
        <v>0.27927110008417494</v>
      </c>
      <c r="T35" s="18">
        <f t="shared" si="80"/>
        <v>0.29003716201027002</v>
      </c>
      <c r="U35" s="18">
        <f t="shared" si="80"/>
        <v>0.30170740847203276</v>
      </c>
      <c r="V35" s="18">
        <f t="shared" si="80"/>
        <v>0.31231923723917249</v>
      </c>
      <c r="W35" s="18">
        <f t="shared" si="80"/>
        <v>0.32270578771203962</v>
      </c>
      <c r="X35" s="18">
        <f t="shared" si="80"/>
        <v>0.33242385372832167</v>
      </c>
      <c r="Y35" s="18">
        <f t="shared" si="80"/>
        <v>0.34211171231500898</v>
      </c>
      <c r="Z35" s="18">
        <f t="shared" si="80"/>
        <v>0.35157035794877739</v>
      </c>
      <c r="AA35" s="18">
        <f t="shared" si="80"/>
        <v>0.36074885587879979</v>
      </c>
      <c r="AB35" s="18">
        <f t="shared" si="80"/>
        <v>0.36943433852107305</v>
      </c>
      <c r="AC35" s="18">
        <f t="shared" si="80"/>
        <v>0.37780451055227443</v>
      </c>
      <c r="AD35" s="18">
        <f t="shared" si="80"/>
        <v>0.38567579200416152</v>
      </c>
      <c r="AE35" s="18">
        <f t="shared" si="80"/>
        <v>0.39318471962570017</v>
      </c>
      <c r="AF35" s="18">
        <f t="shared" si="80"/>
        <v>0.42421273673215015</v>
      </c>
      <c r="AG35" s="18">
        <f t="shared" si="80"/>
        <v>0.44581137876547755</v>
      </c>
      <c r="AH35" s="18">
        <f t="shared" ref="AH35:AK35" si="84">AH87/SUM(AH$85:AH$87)</f>
        <v>0.46808900365914269</v>
      </c>
      <c r="AI35" s="18">
        <f t="shared" si="84"/>
        <v>0.47432152480365808</v>
      </c>
      <c r="AJ35" s="18">
        <f t="shared" si="84"/>
        <v>0.48047414556838458</v>
      </c>
      <c r="AK35" s="18">
        <f t="shared" si="84"/>
        <v>0.48663626216070938</v>
      </c>
      <c r="AL35" s="107"/>
      <c r="AM35" s="107"/>
    </row>
    <row r="36" spans="1:43">
      <c r="A36" t="s">
        <v>383</v>
      </c>
      <c r="B36">
        <f t="shared" si="9"/>
        <v>30</v>
      </c>
      <c r="C36" s="257">
        <v>26.162716441035041</v>
      </c>
      <c r="D36" s="257">
        <v>26.124793740612695</v>
      </c>
      <c r="E36" s="257">
        <v>25.810272238913001</v>
      </c>
      <c r="F36" s="257">
        <v>25.676476665132281</v>
      </c>
      <c r="G36" s="257">
        <v>25.758415053648385</v>
      </c>
      <c r="H36" s="257">
        <v>25.755361891142741</v>
      </c>
      <c r="I36" s="257">
        <v>25.706039736299225</v>
      </c>
      <c r="J36" s="257">
        <v>25.946710085536886</v>
      </c>
      <c r="K36" s="257">
        <v>26.998265626975765</v>
      </c>
      <c r="L36" s="8">
        <f>L33*L$32</f>
        <v>29.070852674872505</v>
      </c>
      <c r="M36" s="8">
        <f t="shared" ref="M36:AG36" si="85">M33*M$32</f>
        <v>27.588189845016228</v>
      </c>
      <c r="N36" s="8">
        <f t="shared" si="85"/>
        <v>27.055753946862811</v>
      </c>
      <c r="O36" s="8">
        <f t="shared" si="85"/>
        <v>26.68689126821349</v>
      </c>
      <c r="P36" s="8">
        <f t="shared" si="85"/>
        <v>26.425076198823913</v>
      </c>
      <c r="Q36" s="8">
        <f t="shared" si="85"/>
        <v>26.344725858934108</v>
      </c>
      <c r="R36" s="8">
        <f t="shared" si="85"/>
        <v>25.880996459950325</v>
      </c>
      <c r="S36" s="8">
        <f t="shared" si="85"/>
        <v>25.194855473014009</v>
      </c>
      <c r="T36" s="8">
        <f t="shared" si="85"/>
        <v>24.52033490644407</v>
      </c>
      <c r="U36" s="8">
        <f t="shared" si="85"/>
        <v>23.803114612570383</v>
      </c>
      <c r="V36" s="8">
        <f t="shared" si="85"/>
        <v>23.090377608846801</v>
      </c>
      <c r="W36" s="8">
        <f t="shared" si="85"/>
        <v>22.405551071204908</v>
      </c>
      <c r="X36" s="8">
        <f t="shared" si="85"/>
        <v>21.735495434413586</v>
      </c>
      <c r="Y36" s="8">
        <f t="shared" si="85"/>
        <v>21.072547748180128</v>
      </c>
      <c r="Z36" s="8">
        <f t="shared" si="85"/>
        <v>20.412647121219958</v>
      </c>
      <c r="AA36" s="8">
        <f t="shared" si="85"/>
        <v>19.77118119247832</v>
      </c>
      <c r="AB36" s="8">
        <f t="shared" si="85"/>
        <v>19.158224162905658</v>
      </c>
      <c r="AC36" s="8">
        <f t="shared" si="85"/>
        <v>18.560787181527573</v>
      </c>
      <c r="AD36" s="8">
        <f t="shared" si="85"/>
        <v>17.987510505895742</v>
      </c>
      <c r="AE36" s="8">
        <f t="shared" si="85"/>
        <v>17.440135720439955</v>
      </c>
      <c r="AF36" s="8">
        <f t="shared" si="85"/>
        <v>15.091956805241869</v>
      </c>
      <c r="AG36" s="8">
        <f t="shared" si="85"/>
        <v>13.288634080682025</v>
      </c>
      <c r="AH36" s="8">
        <f t="shared" ref="AH36:AK36" si="86">AH33*AH$32</f>
        <v>11.532961321259215</v>
      </c>
      <c r="AI36" s="8">
        <f t="shared" si="86"/>
        <v>10.067922661841489</v>
      </c>
      <c r="AJ36" s="8">
        <f t="shared" si="86"/>
        <v>8.5278859284373514</v>
      </c>
      <c r="AK36" s="8">
        <f t="shared" si="86"/>
        <v>6.9423125899324098</v>
      </c>
      <c r="AL36" s="8"/>
      <c r="AM36" s="8"/>
    </row>
    <row r="37" spans="1:43">
      <c r="A37" t="s">
        <v>384</v>
      </c>
      <c r="B37">
        <f t="shared" si="9"/>
        <v>31</v>
      </c>
      <c r="C37" s="257">
        <v>15.697629864621025</v>
      </c>
      <c r="D37" s="257">
        <v>15.706931206012538</v>
      </c>
      <c r="E37" s="257">
        <v>16.206450010480257</v>
      </c>
      <c r="F37" s="257">
        <v>16.65350655721161</v>
      </c>
      <c r="G37" s="257">
        <v>17.096293177200256</v>
      </c>
      <c r="H37" s="257">
        <v>17.422744808714206</v>
      </c>
      <c r="I37" s="257">
        <v>17.892835083270921</v>
      </c>
      <c r="J37" s="257">
        <v>18.376375848815535</v>
      </c>
      <c r="K37" s="257">
        <v>19.311259441517389</v>
      </c>
      <c r="L37" s="8">
        <f>L34*L$32</f>
        <v>17.426024276026553</v>
      </c>
      <c r="M37" s="8">
        <f t="shared" ref="M37:AG37" si="87">M34*M$32</f>
        <v>18.388961136139937</v>
      </c>
      <c r="N37" s="8">
        <f t="shared" si="87"/>
        <v>18.844661075962907</v>
      </c>
      <c r="O37" s="8">
        <f t="shared" si="87"/>
        <v>19.201914460921149</v>
      </c>
      <c r="P37" s="8">
        <f t="shared" si="87"/>
        <v>19.618221632752388</v>
      </c>
      <c r="Q37" s="8">
        <f t="shared" si="87"/>
        <v>19.939304652012364</v>
      </c>
      <c r="R37" s="8">
        <f t="shared" si="87"/>
        <v>20.16940272070374</v>
      </c>
      <c r="S37" s="8">
        <f t="shared" si="87"/>
        <v>20.581881682147458</v>
      </c>
      <c r="T37" s="8">
        <f t="shared" si="87"/>
        <v>20.983832961629101</v>
      </c>
      <c r="U37" s="8">
        <f t="shared" si="87"/>
        <v>21.347980188376898</v>
      </c>
      <c r="V37" s="8">
        <f t="shared" si="87"/>
        <v>21.754334331630734</v>
      </c>
      <c r="W37" s="8">
        <f t="shared" si="87"/>
        <v>22.128523795005211</v>
      </c>
      <c r="X37" s="8">
        <f t="shared" si="87"/>
        <v>22.514248016949992</v>
      </c>
      <c r="Y37" s="8">
        <f t="shared" si="87"/>
        <v>22.877131289672054</v>
      </c>
      <c r="Z37" s="8">
        <f t="shared" si="87"/>
        <v>23.235832044958428</v>
      </c>
      <c r="AA37" s="8">
        <f t="shared" si="87"/>
        <v>23.58023156741833</v>
      </c>
      <c r="AB37" s="8">
        <f t="shared" si="87"/>
        <v>23.914610160549604</v>
      </c>
      <c r="AC37" s="8">
        <f t="shared" si="87"/>
        <v>24.23910413336985</v>
      </c>
      <c r="AD37" s="8">
        <f t="shared" si="87"/>
        <v>24.558632431887236</v>
      </c>
      <c r="AE37" s="8">
        <f t="shared" si="87"/>
        <v>24.863346506211318</v>
      </c>
      <c r="AF37" s="8">
        <f t="shared" si="87"/>
        <v>26.258897026841961</v>
      </c>
      <c r="AG37" s="8">
        <f t="shared" si="87"/>
        <v>27.460718354102966</v>
      </c>
      <c r="AH37" s="8">
        <f t="shared" ref="AH37:AK37" si="88">AH34*AH$32</f>
        <v>28.253475889590398</v>
      </c>
      <c r="AI37" s="8">
        <f t="shared" si="88"/>
        <v>29.706591891277423</v>
      </c>
      <c r="AJ37" s="8">
        <f t="shared" si="88"/>
        <v>31.064163764750653</v>
      </c>
      <c r="AK37" s="8">
        <f t="shared" si="88"/>
        <v>32.331119653628363</v>
      </c>
      <c r="AL37" s="8"/>
      <c r="AM37" s="8"/>
    </row>
    <row r="38" spans="1:43">
      <c r="A38" t="s">
        <v>385</v>
      </c>
      <c r="B38">
        <f t="shared" si="9"/>
        <v>32</v>
      </c>
      <c r="C38" s="257">
        <v>10.465086576414015</v>
      </c>
      <c r="D38" s="257">
        <v>11.272661511798107</v>
      </c>
      <c r="E38" s="257">
        <v>11.895643442036015</v>
      </c>
      <c r="F38" s="257">
        <v>12.420508234977223</v>
      </c>
      <c r="G38" s="257">
        <v>12.765232238976191</v>
      </c>
      <c r="H38" s="257">
        <v>13.343841341791148</v>
      </c>
      <c r="I38" s="257">
        <v>13.837125797729508</v>
      </c>
      <c r="J38" s="257">
        <v>14.041748987467024</v>
      </c>
      <c r="K38" s="5">
        <f t="shared" ref="K38:AG38" si="89">K35*K$32</f>
        <v>11.858701524628284</v>
      </c>
      <c r="L38" s="8">
        <f>L35*L$32</f>
        <v>12.895378049100939</v>
      </c>
      <c r="M38" s="8">
        <f t="shared" si="89"/>
        <v>13.916734018843847</v>
      </c>
      <c r="N38" s="8">
        <f t="shared" si="89"/>
        <v>14.514079977174283</v>
      </c>
      <c r="O38" s="8">
        <f t="shared" si="89"/>
        <v>15.131415270865356</v>
      </c>
      <c r="P38" s="8">
        <f t="shared" si="89"/>
        <v>15.629783168423694</v>
      </c>
      <c r="Q38" s="8">
        <f t="shared" si="89"/>
        <v>16.021008489053521</v>
      </c>
      <c r="R38" s="8">
        <f t="shared" si="89"/>
        <v>16.868516819345924</v>
      </c>
      <c r="S38" s="8">
        <f t="shared" si="89"/>
        <v>17.73776484483853</v>
      </c>
      <c r="T38" s="8">
        <f t="shared" si="89"/>
        <v>18.589564131926828</v>
      </c>
      <c r="U38" s="8">
        <f t="shared" si="89"/>
        <v>19.50818319905272</v>
      </c>
      <c r="V38" s="8">
        <f t="shared" si="89"/>
        <v>20.366814059522461</v>
      </c>
      <c r="W38" s="8">
        <f t="shared" si="89"/>
        <v>21.218849133789874</v>
      </c>
      <c r="X38" s="8">
        <f t="shared" si="89"/>
        <v>22.034445548636427</v>
      </c>
      <c r="Y38" s="8">
        <f t="shared" si="89"/>
        <v>22.854487962147818</v>
      </c>
      <c r="Z38" s="8">
        <f t="shared" si="89"/>
        <v>23.665653833821608</v>
      </c>
      <c r="AA38" s="8">
        <f t="shared" si="89"/>
        <v>24.464520240103344</v>
      </c>
      <c r="AB38" s="8">
        <f t="shared" si="89"/>
        <v>25.235411676544732</v>
      </c>
      <c r="AC38" s="8">
        <f t="shared" si="89"/>
        <v>25.988603685102575</v>
      </c>
      <c r="AD38" s="8">
        <f t="shared" si="89"/>
        <v>26.71068006221703</v>
      </c>
      <c r="AE38" s="8">
        <f t="shared" si="89"/>
        <v>27.410454773348725</v>
      </c>
      <c r="AF38" s="8">
        <f t="shared" si="89"/>
        <v>30.465347167916182</v>
      </c>
      <c r="AG38" s="8">
        <f t="shared" si="89"/>
        <v>32.780400565215011</v>
      </c>
      <c r="AH38" s="8">
        <f t="shared" ref="AH38:AK38" si="90">AH35*AH$32</f>
        <v>35.012612789150403</v>
      </c>
      <c r="AI38" s="8">
        <f t="shared" si="90"/>
        <v>35.888683446881096</v>
      </c>
      <c r="AJ38" s="8">
        <f t="shared" si="90"/>
        <v>36.615995306812003</v>
      </c>
      <c r="AK38" s="8">
        <f t="shared" si="90"/>
        <v>37.228722756439225</v>
      </c>
      <c r="AL38" s="8"/>
      <c r="AM38" s="8"/>
    </row>
    <row r="39" spans="1:43">
      <c r="A39" t="s">
        <v>386</v>
      </c>
      <c r="B39">
        <f t="shared" si="9"/>
        <v>33</v>
      </c>
      <c r="C39" s="261">
        <v>0.33936777226430637</v>
      </c>
      <c r="D39" s="260">
        <v>0.34922378908645002</v>
      </c>
      <c r="E39" s="260">
        <v>0.35473666462293074</v>
      </c>
      <c r="F39" s="260">
        <v>0.35856192519926422</v>
      </c>
      <c r="G39" s="260">
        <v>0.35979950950337214</v>
      </c>
      <c r="H39" s="260">
        <v>0.36519987737584303</v>
      </c>
      <c r="I39" s="260">
        <v>0.36857510729613735</v>
      </c>
      <c r="J39" s="260">
        <v>0.36699999999999999</v>
      </c>
      <c r="K39" s="260">
        <v>0.33910000000000001</v>
      </c>
      <c r="L39" s="18">
        <f>L79/K79*K39</f>
        <v>0.39241395951937891</v>
      </c>
      <c r="M39" s="18">
        <f>M79/L79*L39</f>
        <v>0.4457279190387578</v>
      </c>
      <c r="N39" s="5">
        <f t="shared" ref="N39:AG39" si="91">N79/M79*M39</f>
        <v>0.45418039551729478</v>
      </c>
      <c r="O39" s="5">
        <f t="shared" si="91"/>
        <v>0.46361269227037616</v>
      </c>
      <c r="P39" s="5">
        <f t="shared" si="91"/>
        <v>0.46916242414636894</v>
      </c>
      <c r="Q39" s="5">
        <f t="shared" si="91"/>
        <v>0.47471215602236166</v>
      </c>
      <c r="R39" s="5">
        <f t="shared" si="91"/>
        <v>0.49092618035327923</v>
      </c>
      <c r="S39" s="5">
        <f t="shared" si="91"/>
        <v>0.50676308410104021</v>
      </c>
      <c r="T39" s="5">
        <f t="shared" si="91"/>
        <v>0.52340776908674846</v>
      </c>
      <c r="U39" s="5">
        <f t="shared" si="91"/>
        <v>0.59778001047159834</v>
      </c>
      <c r="V39" s="5">
        <f t="shared" si="91"/>
        <v>0.61899308300523137</v>
      </c>
      <c r="W39" s="5">
        <f t="shared" si="91"/>
        <v>0.64165423704562896</v>
      </c>
      <c r="X39" s="5">
        <f t="shared" si="91"/>
        <v>0.66404514672710724</v>
      </c>
      <c r="Y39" s="5">
        <f t="shared" si="91"/>
        <v>0.68826975278090674</v>
      </c>
      <c r="Z39" s="5">
        <f t="shared" si="91"/>
        <v>0.71371679655244202</v>
      </c>
      <c r="AA39" s="5">
        <f t="shared" si="91"/>
        <v>0.74053615914612236</v>
      </c>
      <c r="AB39" s="5">
        <f t="shared" si="91"/>
        <v>0.76793572380984709</v>
      </c>
      <c r="AC39" s="5">
        <f t="shared" si="91"/>
        <v>0.79625684228568272</v>
      </c>
      <c r="AD39" s="5">
        <f t="shared" si="91"/>
        <v>0.82473408422122096</v>
      </c>
      <c r="AE39" s="5">
        <f t="shared" si="91"/>
        <v>0.85405132751801627</v>
      </c>
      <c r="AF39" s="5">
        <f t="shared" si="91"/>
        <v>1.0764964273111983</v>
      </c>
      <c r="AG39" s="5">
        <f t="shared" si="91"/>
        <v>1.217145146482147</v>
      </c>
      <c r="AH39" s="5">
        <f t="shared" ref="AH39" si="92">AH79/AG79*AG39</f>
        <v>1.418969182900687</v>
      </c>
      <c r="AI39" s="5">
        <f t="shared" ref="AI39" si="93">AI79/AH79*AH39</f>
        <v>1.5482837507780089</v>
      </c>
      <c r="AJ39" s="5">
        <f t="shared" ref="AJ39" si="94">AJ79/AI79*AI39</f>
        <v>1.6307856921652342</v>
      </c>
      <c r="AK39" s="5">
        <f t="shared" ref="AK39" si="95">AK79/AJ79*AJ39</f>
        <v>1.657688632832188</v>
      </c>
      <c r="AL39" s="107"/>
      <c r="AM39" s="107"/>
    </row>
    <row r="40" spans="1:43">
      <c r="A40" t="s">
        <v>263</v>
      </c>
      <c r="C40" s="46"/>
      <c r="D40" s="266">
        <f>(D39/C39)^(1/(D$5-C$5))-1</f>
        <v>2.9042288713459818E-2</v>
      </c>
      <c r="E40" s="266">
        <f t="shared" ref="E40:K40" si="96">(E39/D39)^(1/(E$5-D$5))-1</f>
        <v>1.5786082474226859E-2</v>
      </c>
      <c r="F40" s="266">
        <f t="shared" si="96"/>
        <v>1.0783380907072537E-2</v>
      </c>
      <c r="G40" s="266">
        <f t="shared" si="96"/>
        <v>3.4515218073423171E-3</v>
      </c>
      <c r="H40" s="266">
        <f t="shared" si="96"/>
        <v>1.5009380863039379E-2</v>
      </c>
      <c r="I40" s="266">
        <f t="shared" si="96"/>
        <v>9.2421441774492852E-3</v>
      </c>
      <c r="J40" s="266">
        <f t="shared" si="96"/>
        <v>-4.2735042735043693E-3</v>
      </c>
      <c r="K40" s="266">
        <f t="shared" si="96"/>
        <v>-7.6021798365122573E-2</v>
      </c>
      <c r="L40" s="46">
        <f>(L39/K39)^(1/(L$5-K$5))-1</f>
        <v>0.15722193901320813</v>
      </c>
      <c r="M40" s="46">
        <f>(M39/L39)^(1/(M$5-L$5))-1</f>
        <v>0.13586152639594373</v>
      </c>
      <c r="N40" s="46">
        <f t="shared" ref="N40" si="97">(N39/M39)^(1/(N$5-M$5))-1</f>
        <v>1.896330949330105E-2</v>
      </c>
      <c r="O40" s="46">
        <f t="shared" ref="O40" si="98">(O39/N39)^(1/(O$5-N$5))-1</f>
        <v>2.0767732042547449E-2</v>
      </c>
      <c r="P40" s="46">
        <f t="shared" ref="P40" si="99">(P39/O39)^(1/(P$5-O$5))-1</f>
        <v>1.1970621099295142E-2</v>
      </c>
      <c r="Q40" s="46">
        <f t="shared" ref="Q40" si="100">(Q39/P39)^(1/(Q$5-P$5))-1</f>
        <v>1.1829020378369748E-2</v>
      </c>
      <c r="R40" s="46">
        <f t="shared" ref="R40" si="101">(R39/Q39)^(1/(R$5-Q$5))-1</f>
        <v>3.4155485856472989E-2</v>
      </c>
      <c r="S40" s="46">
        <f t="shared" ref="S40" si="102">(S39/R39)^(1/(S$5-R$5))-1</f>
        <v>3.2259236483099141E-2</v>
      </c>
      <c r="T40" s="46">
        <f t="shared" ref="T40" si="103">(T39/S39)^(1/(T$5-S$5))-1</f>
        <v>3.2845101602526405E-2</v>
      </c>
      <c r="U40" s="46">
        <f t="shared" ref="U40" si="104">(U39/T39)^(1/(U$5-T$5))-1</f>
        <v>0.1420923528028939</v>
      </c>
      <c r="V40" s="46">
        <f t="shared" ref="V40" si="105">(V39/U39)^(1/(V$5-U$5))-1</f>
        <v>3.5486420024145149E-2</v>
      </c>
      <c r="W40" s="46">
        <f t="shared" ref="W40" si="106">(W39/V39)^(1/(W$5-V$5))-1</f>
        <v>3.6609704797308851E-2</v>
      </c>
      <c r="X40" s="46">
        <f t="shared" ref="X40" si="107">(X39/W39)^(1/(X$5-W$5))-1</f>
        <v>3.4895600135943727E-2</v>
      </c>
      <c r="Y40" s="46">
        <f t="shared" ref="Y40" si="108">(Y39/X39)^(1/(Y$5-X$5))-1</f>
        <v>3.6480360067678852E-2</v>
      </c>
      <c r="Z40" s="46">
        <f t="shared" ref="Z40" si="109">(Z39/Y39)^(1/(Z$5-Y$5))-1</f>
        <v>3.6972485960218737E-2</v>
      </c>
      <c r="AA40" s="46">
        <f t="shared" ref="AA40" si="110">(AA39/Z39)^(1/(AA$5-Z$5))-1</f>
        <v>3.7577037171087069E-2</v>
      </c>
      <c r="AB40" s="46">
        <f t="shared" ref="AB40" si="111">(AB39/AA39)^(1/(AB$5-AA$5))-1</f>
        <v>3.6999631044779546E-2</v>
      </c>
      <c r="AC40" s="46">
        <f t="shared" ref="AC40" si="112">(AC39/AB39)^(1/(AC$5-AB$5))-1</f>
        <v>3.6879542906703477E-2</v>
      </c>
      <c r="AD40" s="46">
        <f t="shared" ref="AD40" si="113">(AD39/AC39)^(1/(AD$5-AC$5))-1</f>
        <v>3.5763889769277579E-2</v>
      </c>
      <c r="AE40" s="46">
        <f t="shared" ref="AE40" si="114">(AE39/AD39)^(1/(AE$5-AD$5))-1</f>
        <v>3.5547510231105584E-2</v>
      </c>
      <c r="AF40" s="46">
        <f t="shared" ref="AF40" si="115">(AF39/AE39)^(1/(AF$5-AE$5))-1</f>
        <v>4.7383490847811016E-2</v>
      </c>
      <c r="AG40" s="46">
        <f t="shared" ref="AG40" si="116">(AG39/AF39)^(1/(AG$5-AF$5))-1</f>
        <v>2.4863333711240276E-2</v>
      </c>
      <c r="AH40" s="46">
        <f t="shared" ref="AH40" si="117">(AH39/AG39)^(1/(AH$5-AG$5))-1</f>
        <v>3.1160143767180459E-2</v>
      </c>
      <c r="AI40" s="46">
        <f t="shared" ref="AI40" si="118">(AI39/AH39)^(1/(AI$5-AH$5))-1</f>
        <v>1.7596298267333221E-2</v>
      </c>
      <c r="AJ40" s="46">
        <f t="shared" ref="AJ40" si="119">(AJ39/AI39)^(1/(AJ$5-AI$5))-1</f>
        <v>1.0437061796241043E-2</v>
      </c>
      <c r="AK40" s="46">
        <f t="shared" ref="AK40" si="120">(AK39/AJ39)^(1/(AK$5-AJ$5))-1</f>
        <v>3.2778251214204968E-3</v>
      </c>
      <c r="AL40" s="46"/>
      <c r="AM40" s="46"/>
    </row>
    <row r="41" spans="1:43">
      <c r="L41" s="8"/>
      <c r="Y41" s="46"/>
      <c r="Z41" s="46"/>
      <c r="AA41" s="46"/>
    </row>
    <row r="42" spans="1:43">
      <c r="A42" s="177" t="s">
        <v>634</v>
      </c>
    </row>
    <row r="43" spans="1:43">
      <c r="C43" s="27" t="s">
        <v>533</v>
      </c>
      <c r="D43" s="27" t="s">
        <v>542</v>
      </c>
      <c r="E43" s="27" t="s">
        <v>543</v>
      </c>
      <c r="F43" s="27" t="s">
        <v>534</v>
      </c>
      <c r="G43" s="27" t="s">
        <v>544</v>
      </c>
      <c r="H43" s="27" t="s">
        <v>545</v>
      </c>
      <c r="I43" s="27" t="s">
        <v>546</v>
      </c>
      <c r="J43" s="27" t="s">
        <v>547</v>
      </c>
      <c r="K43" s="27" t="s">
        <v>535</v>
      </c>
      <c r="L43" s="27" t="s">
        <v>548</v>
      </c>
      <c r="M43" s="27" t="s">
        <v>549</v>
      </c>
      <c r="N43" s="27" t="s">
        <v>550</v>
      </c>
      <c r="O43" s="27" t="s">
        <v>551</v>
      </c>
      <c r="P43" s="27" t="s">
        <v>536</v>
      </c>
      <c r="Q43" s="27" t="s">
        <v>552</v>
      </c>
      <c r="R43" s="27" t="s">
        <v>553</v>
      </c>
      <c r="S43" s="27" t="s">
        <v>554</v>
      </c>
      <c r="T43" s="27" t="s">
        <v>555</v>
      </c>
      <c r="U43" s="27" t="s">
        <v>537</v>
      </c>
      <c r="V43" s="27" t="s">
        <v>556</v>
      </c>
      <c r="W43" s="27" t="s">
        <v>557</v>
      </c>
      <c r="X43" s="27" t="s">
        <v>558</v>
      </c>
      <c r="Y43" s="27" t="s">
        <v>559</v>
      </c>
      <c r="Z43" s="27" t="s">
        <v>538</v>
      </c>
      <c r="AA43" s="27" t="s">
        <v>560</v>
      </c>
      <c r="AB43" s="27" t="s">
        <v>561</v>
      </c>
      <c r="AC43" s="27" t="s">
        <v>562</v>
      </c>
      <c r="AD43" s="27" t="s">
        <v>563</v>
      </c>
      <c r="AE43" s="27" t="s">
        <v>539</v>
      </c>
      <c r="AF43" s="27" t="s">
        <v>540</v>
      </c>
      <c r="AG43" s="27" t="s">
        <v>541</v>
      </c>
      <c r="AH43" s="27" t="s">
        <v>699</v>
      </c>
      <c r="AI43" s="27" t="s">
        <v>704</v>
      </c>
      <c r="AJ43" s="27" t="s">
        <v>709</v>
      </c>
      <c r="AK43" s="27" t="s">
        <v>714</v>
      </c>
      <c r="AL43" s="27"/>
      <c r="AM43" s="27"/>
      <c r="AN43" s="27" t="s">
        <v>775</v>
      </c>
      <c r="AO43" s="27"/>
    </row>
    <row r="44" spans="1:43">
      <c r="AF44" s="46"/>
    </row>
    <row r="45" spans="1:43">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c r="A46" t="s">
        <v>588</v>
      </c>
      <c r="C46">
        <v>0</v>
      </c>
      <c r="D46">
        <f>C46+1</f>
        <v>1</v>
      </c>
      <c r="E46">
        <f t="shared" ref="E46" si="121">D46+1</f>
        <v>2</v>
      </c>
      <c r="F46">
        <f t="shared" ref="F46" si="122">E46+1</f>
        <v>3</v>
      </c>
      <c r="G46">
        <f t="shared" ref="G46" si="123">F46+1</f>
        <v>4</v>
      </c>
      <c r="H46">
        <f t="shared" ref="H46" si="124">G46+1</f>
        <v>5</v>
      </c>
      <c r="I46">
        <f t="shared" ref="I46" si="125">H46+1</f>
        <v>6</v>
      </c>
      <c r="J46">
        <f t="shared" ref="J46" si="126">I46+1</f>
        <v>7</v>
      </c>
      <c r="K46">
        <f t="shared" ref="K46" si="127">J46+1</f>
        <v>8</v>
      </c>
      <c r="L46">
        <f>K46+1</f>
        <v>9</v>
      </c>
      <c r="M46">
        <f>L46+1</f>
        <v>10</v>
      </c>
      <c r="N46">
        <f t="shared" ref="N46" si="128">M46+1</f>
        <v>11</v>
      </c>
      <c r="O46">
        <f t="shared" ref="O46" si="129">N46+1</f>
        <v>12</v>
      </c>
      <c r="P46">
        <f t="shared" ref="P46" si="130">O46+1</f>
        <v>13</v>
      </c>
      <c r="Q46">
        <f t="shared" ref="Q46" si="131">P46+1</f>
        <v>14</v>
      </c>
      <c r="R46">
        <f t="shared" ref="R46" si="132">Q46+1</f>
        <v>15</v>
      </c>
      <c r="S46">
        <f t="shared" ref="S46" si="133">R46+1</f>
        <v>16</v>
      </c>
      <c r="T46">
        <f t="shared" ref="T46" si="134">S46+1</f>
        <v>17</v>
      </c>
      <c r="U46">
        <f t="shared" ref="U46" si="135">T46+1</f>
        <v>18</v>
      </c>
      <c r="V46">
        <f t="shared" ref="V46" si="136">U46+1</f>
        <v>19</v>
      </c>
      <c r="W46">
        <f t="shared" ref="W46" si="137">V46+1</f>
        <v>20</v>
      </c>
      <c r="X46">
        <f t="shared" ref="X46" si="138">W46+1</f>
        <v>21</v>
      </c>
      <c r="Y46">
        <f t="shared" ref="Y46" si="139">X46+1</f>
        <v>22</v>
      </c>
      <c r="Z46">
        <f t="shared" ref="Z46" si="140">Y46+1</f>
        <v>23</v>
      </c>
      <c r="AA46">
        <f t="shared" ref="AA46" si="141">Z46+1</f>
        <v>24</v>
      </c>
      <c r="AB46">
        <f t="shared" ref="AB46" si="142">AA46+1</f>
        <v>25</v>
      </c>
      <c r="AC46">
        <f t="shared" ref="AC46" si="143">AB46+1</f>
        <v>26</v>
      </c>
      <c r="AD46">
        <f t="shared" ref="AD46" si="144">AC46+1</f>
        <v>27</v>
      </c>
      <c r="AE46">
        <f t="shared" ref="AE46" si="145">AD46+1</f>
        <v>28</v>
      </c>
      <c r="AF46">
        <f t="shared" ref="AF46" si="146">AE46+1</f>
        <v>29</v>
      </c>
      <c r="AG46">
        <f t="shared" ref="AG46" si="147">AF46+1</f>
        <v>30</v>
      </c>
      <c r="AH46">
        <f t="shared" ref="AH46" si="148">AG46+1</f>
        <v>31</v>
      </c>
      <c r="AI46">
        <f t="shared" ref="AI46" si="149">AH46+1</f>
        <v>32</v>
      </c>
      <c r="AJ46">
        <f t="shared" ref="AJ46" si="150">AI46+1</f>
        <v>33</v>
      </c>
      <c r="AK46">
        <f t="shared" ref="AK46" si="151">AJ46+1</f>
        <v>34</v>
      </c>
      <c r="AN46">
        <v>31</v>
      </c>
      <c r="AO46">
        <v>32</v>
      </c>
      <c r="AP46">
        <v>33</v>
      </c>
      <c r="AQ46">
        <v>34</v>
      </c>
    </row>
    <row r="47" spans="1:43">
      <c r="A47" s="115" t="s">
        <v>126</v>
      </c>
      <c r="B47">
        <v>1</v>
      </c>
      <c r="C47" s="257">
        <v>96.797279590965346</v>
      </c>
      <c r="D47" s="257">
        <v>101.32801029182565</v>
      </c>
      <c r="E47" s="257">
        <v>105.4512845971946</v>
      </c>
      <c r="F47" s="257">
        <v>104.03295587682055</v>
      </c>
      <c r="G47" s="257">
        <v>102.86973222443167</v>
      </c>
      <c r="H47" s="257">
        <v>106.45368114150588</v>
      </c>
      <c r="I47" s="257">
        <v>104.83293209544796</v>
      </c>
      <c r="J47" s="8">
        <f>INDEX(DriversGams!$A$5:$BA$26,MATCH(Drivers!$A47,DriversGams!$A$5:$A$26,0),MATCH(Drivers!J$3,DriversGams!$A$5:$BA$5,0))</f>
        <v>102.81301388133373</v>
      </c>
      <c r="K47" s="8">
        <f>INDEX(DriversGams!$A$5:$BA$26,MATCH(Drivers!$A47,DriversGams!$A$5:$A$26,0),MATCH(Drivers!K$3,DriversGams!$A$5:$BA$5,0))</f>
        <v>106.58234879918679</v>
      </c>
      <c r="L47" s="8">
        <f>INDEX(DriversGams!$A$5:$BA$26,MATCH(Drivers!$A47,DriversGams!$A$5:$A$26,0),MATCH(Drivers!L$3,DriversGams!$A$5:$BA$5,0))</f>
        <v>114.20617974210768</v>
      </c>
      <c r="M47" s="8">
        <f>INDEX(DriversGams!$A$5:$BA$26,MATCH(Drivers!$A47,DriversGams!$A$5:$A$26,0),MATCH(Drivers!M$3,DriversGams!$A$5:$BA$5,0))</f>
        <v>110.70324483889449</v>
      </c>
      <c r="N47" s="8">
        <f>INDEX(DriversGams!$A$5:$BA$26,MATCH(Drivers!$A47,DriversGams!$A$5:$A$26,0),MATCH(Drivers!N$3,DriversGams!$A$5:$BA$5,0))</f>
        <v>108.33663129458782</v>
      </c>
      <c r="O47" s="8">
        <f>INDEX(DriversGams!$A$5:$BA$26,MATCH(Drivers!$A47,DriversGams!$A$5:$A$26,0),MATCH(Drivers!O$3,DriversGams!$A$5:$BA$5,0))</f>
        <v>107.57227281991533</v>
      </c>
      <c r="P47" s="8">
        <f>INDEX(DriversGams!$A$5:$BA$26,MATCH(Drivers!$A47,DriversGams!$A$5:$A$26,0),MATCH(Drivers!P$3,DriversGams!$A$5:$BA$5,0))</f>
        <v>109.95139063321953</v>
      </c>
      <c r="Q47" s="8">
        <f>INDEX(DriversGams!$A$5:$BA$26,MATCH(Drivers!$A47,DriversGams!$A$5:$A$26,0),MATCH(Drivers!Q$3,DriversGams!$A$5:$BA$5,0))</f>
        <v>111.33488364955244</v>
      </c>
      <c r="R47" s="8">
        <f>INDEX(DriversGams!$A$5:$BA$26,MATCH(Drivers!$A47,DriversGams!$A$5:$A$26,0),MATCH(Drivers!R$3,DriversGams!$A$5:$BA$5,0))</f>
        <v>113.07794729813953</v>
      </c>
      <c r="S47" s="8">
        <f>INDEX(DriversGams!$A$5:$BA$26,MATCH(Drivers!$A47,DriversGams!$A$5:$A$26,0),MATCH(Drivers!S$3,DriversGams!$A$5:$BA$5,0))</f>
        <v>114.96884914012409</v>
      </c>
      <c r="T47" s="8">
        <f>INDEX(DriversGams!$A$5:$BA$26,MATCH(Drivers!$A47,DriversGams!$A$5:$A$26,0),MATCH(Drivers!T$3,DriversGams!$A$5:$BA$5,0))</f>
        <v>116.82712518135403</v>
      </c>
      <c r="U47" s="8">
        <f>INDEX(DriversGams!$A$5:$BA$26,MATCH(Drivers!$A47,DriversGams!$A$5:$A$26,0),MATCH(Drivers!U$3,DriversGams!$A$5:$BA$5,0))</f>
        <v>119.74425561278014</v>
      </c>
      <c r="V47" s="8">
        <f>INDEX(DriversGams!$A$5:$BA$26,MATCH(Drivers!$A47,DriversGams!$A$5:$A$26,0),MATCH(Drivers!V$3,DriversGams!$A$5:$BA$5,0))</f>
        <v>122.52975327664002</v>
      </c>
      <c r="W47" s="8">
        <f>INDEX(DriversGams!$A$5:$BA$26,MATCH(Drivers!$A47,DriversGams!$A$5:$A$26,0),MATCH(Drivers!W$3,DriversGams!$A$5:$BA$5,0))</f>
        <v>125.17738030036439</v>
      </c>
      <c r="X47" s="8">
        <f>INDEX(DriversGams!$A$5:$BA$26,MATCH(Drivers!$A47,DriversGams!$A$5:$A$26,0),MATCH(Drivers!X$3,DriversGams!$A$5:$BA$5,0))</f>
        <v>127.8902874544183</v>
      </c>
      <c r="Y47" s="8">
        <f>INDEX(DriversGams!$A$5:$BA$26,MATCH(Drivers!$A47,DriversGams!$A$5:$A$26,0),MATCH(Drivers!Y$3,DriversGams!$A$5:$BA$5,0))</f>
        <v>130.67355050237211</v>
      </c>
      <c r="Z47" s="8">
        <f>INDEX(DriversGams!$A$5:$BA$26,MATCH(Drivers!$A47,DriversGams!$A$5:$A$26,0),MATCH(Drivers!Z$3,DriversGams!$A$5:$BA$5,0))</f>
        <v>134.67440026557202</v>
      </c>
      <c r="AA47" s="8">
        <f>INDEX(DriversGams!$A$5:$BA$26,MATCH(Drivers!$A47,DriversGams!$A$5:$A$26,0),MATCH(Drivers!AA$3,DriversGams!$A$5:$BA$5,0))</f>
        <v>137.80618528860202</v>
      </c>
      <c r="AB47" s="8">
        <f>INDEX(DriversGams!$A$5:$BA$26,MATCH(Drivers!$A47,DriversGams!$A$5:$A$26,0),MATCH(Drivers!AB$3,DriversGams!$A$5:$BA$5,0))</f>
        <v>140.89428289165568</v>
      </c>
      <c r="AC47" s="8">
        <f>INDEX(DriversGams!$A$5:$BA$26,MATCH(Drivers!$A47,DriversGams!$A$5:$A$26,0),MATCH(Drivers!AC$3,DriversGams!$A$5:$BA$5,0))</f>
        <v>144.13666445034789</v>
      </c>
      <c r="AD47" s="8">
        <f>INDEX(DriversGams!$A$5:$BA$26,MATCH(Drivers!$A47,DriversGams!$A$5:$A$26,0),MATCH(Drivers!AD$3,DriversGams!$A$5:$BA$5,0))</f>
        <v>147.54265455783869</v>
      </c>
      <c r="AE47" s="8">
        <f>INDEX(DriversGams!$A$5:$BA$26,MATCH(Drivers!$A47,DriversGams!$A$5:$A$26,0),MATCH(Drivers!AE$3,DriversGams!$A$5:$BA$5,0))</f>
        <v>150.92798120601532</v>
      </c>
      <c r="AF47" s="8">
        <f>INDEX(DriversGams!$A$5:$BA$26,MATCH(Drivers!$A47,DriversGams!$A$5:$A$26,0),MATCH(Drivers!AF$3,DriversGams!$A$5:$BA$5,0))</f>
        <v>169.43143484811893</v>
      </c>
      <c r="AG47" s="8">
        <f>INDEX(DriversGams!$A$5:$BA$26,MATCH(Drivers!$A47,DriversGams!$A$5:$A$26,0),MATCH(Drivers!AG$3,DriversGams!$A$5:$BA$5,0))</f>
        <v>189.10117172942572</v>
      </c>
      <c r="AH47" s="8">
        <f>INDEX(DriversGams!$A$5:$BA$26,MATCH(Drivers!$A47,DriversGams!$A$5:$A$26,0),MATCH(Drivers!AH$3,DriversGams!$A$5:$BA$5,0))</f>
        <v>212.95786275919406</v>
      </c>
      <c r="AI47" s="8">
        <f>AO47/AN47*AH47</f>
        <v>237.6000657112065</v>
      </c>
      <c r="AJ47" s="8">
        <f t="shared" ref="AJ47:AK47" si="152">AP47/AO47*AI47</f>
        <v>253.61617655658597</v>
      </c>
      <c r="AK47" s="8">
        <f t="shared" si="152"/>
        <v>258.88874988456388</v>
      </c>
      <c r="AL47" s="107"/>
      <c r="AM47" s="107"/>
      <c r="AN47" s="8">
        <v>282.02525190600596</v>
      </c>
      <c r="AO47" s="8">
        <v>314.65951769462703</v>
      </c>
      <c r="AP47" s="8">
        <v>335.87004092771502</v>
      </c>
      <c r="AQ47" s="8">
        <v>342.85263739891133</v>
      </c>
    </row>
    <row r="48" spans="1:43">
      <c r="A48" s="115" t="s">
        <v>4</v>
      </c>
      <c r="B48">
        <f>B47+1</f>
        <v>2</v>
      </c>
      <c r="C48" s="257">
        <v>2420.5059603282948</v>
      </c>
      <c r="D48" s="257">
        <v>2489.1047071827661</v>
      </c>
      <c r="E48" s="257">
        <v>2551.5982527371866</v>
      </c>
      <c r="F48" s="257">
        <v>2595.1630396206046</v>
      </c>
      <c r="G48" s="257">
        <v>2628.6516711665686</v>
      </c>
      <c r="H48" s="257">
        <v>2667.1308637985835</v>
      </c>
      <c r="I48" s="257">
        <v>2710.4237502366891</v>
      </c>
      <c r="J48" s="8">
        <f>INDEX(DriversGams!$A$5:$BA$26,MATCH(Drivers!$A48,DriversGams!$A$5:$A$26,0),MATCH(Drivers!J$3,DriversGams!$A$5:$BA$5,0))</f>
        <v>2742.3903804389329</v>
      </c>
      <c r="K48" s="8">
        <f>INDEX(DriversGams!$A$5:$BA$26,MATCH(Drivers!$A48,DriversGams!$A$5:$A$26,0),MATCH(Drivers!K$3,DriversGams!$A$5:$BA$5,0))</f>
        <v>2644.4609232565481</v>
      </c>
      <c r="L48" s="8">
        <f>INDEX(DriversGams!$A$5:$BA$26,MATCH(Drivers!$A48,DriversGams!$A$5:$A$26,0),MATCH(Drivers!L$3,DriversGams!$A$5:$BA$5,0))</f>
        <v>2739.4602538850727</v>
      </c>
      <c r="M48" s="8">
        <f>INDEX(DriversGams!$A$5:$BA$26,MATCH(Drivers!$A48,DriversGams!$A$5:$A$26,0),MATCH(Drivers!M$3,DriversGams!$A$5:$BA$5,0))</f>
        <v>2847.4319810086022</v>
      </c>
      <c r="N48" s="8">
        <f>INDEX(DriversGams!$A$5:$BA$26,MATCH(Drivers!$A48,DriversGams!$A$5:$A$26,0),MATCH(Drivers!N$3,DriversGams!$A$5:$BA$5,0))</f>
        <v>2889.6403880694602</v>
      </c>
      <c r="O48" s="8">
        <f>INDEX(DriversGams!$A$5:$BA$26,MATCH(Drivers!$A48,DriversGams!$A$5:$A$26,0),MATCH(Drivers!O$3,DriversGams!$A$5:$BA$5,0))</f>
        <v>2946.7609589265303</v>
      </c>
      <c r="P48" s="8">
        <f>INDEX(DriversGams!$A$5:$BA$26,MATCH(Drivers!$A48,DriversGams!$A$5:$A$26,0),MATCH(Drivers!P$3,DriversGams!$A$5:$BA$5,0))</f>
        <v>3004.6198030405658</v>
      </c>
      <c r="Q48" s="8">
        <f>INDEX(DriversGams!$A$5:$BA$26,MATCH(Drivers!$A48,DriversGams!$A$5:$A$26,0),MATCH(Drivers!Q$3,DriversGams!$A$5:$BA$5,0))</f>
        <v>3071.8658330198105</v>
      </c>
      <c r="R48" s="8">
        <f>INDEX(DriversGams!$A$5:$BA$26,MATCH(Drivers!$A48,DriversGams!$A$5:$A$26,0),MATCH(Drivers!R$3,DriversGams!$A$5:$BA$5,0))</f>
        <v>3159.6511800357093</v>
      </c>
      <c r="S48" s="8">
        <f>INDEX(DriversGams!$A$5:$BA$26,MATCH(Drivers!$A48,DriversGams!$A$5:$A$26,0),MATCH(Drivers!S$3,DriversGams!$A$5:$BA$5,0))</f>
        <v>3258.4949933490402</v>
      </c>
      <c r="T48" s="8">
        <f>INDEX(DriversGams!$A$5:$BA$26,MATCH(Drivers!$A48,DriversGams!$A$5:$A$26,0),MATCH(Drivers!T$3,DriversGams!$A$5:$BA$5,0))</f>
        <v>3368.0258813865312</v>
      </c>
      <c r="U48" s="8">
        <f>INDEX(DriversGams!$A$5:$BA$26,MATCH(Drivers!$A48,DriversGams!$A$5:$A$26,0),MATCH(Drivers!U$3,DriversGams!$A$5:$BA$5,0))</f>
        <v>3495.6766560133342</v>
      </c>
      <c r="V48" s="8">
        <f>INDEX(DriversGams!$A$5:$BA$26,MATCH(Drivers!$A48,DriversGams!$A$5:$A$26,0),MATCH(Drivers!V$3,DriversGams!$A$5:$BA$5,0))</f>
        <v>3630.5965702350059</v>
      </c>
      <c r="W48" s="8">
        <f>INDEX(DriversGams!$A$5:$BA$26,MATCH(Drivers!$A48,DriversGams!$A$5:$A$26,0),MATCH(Drivers!W$3,DriversGams!$A$5:$BA$5,0))</f>
        <v>3774.0046845233796</v>
      </c>
      <c r="X48" s="8">
        <f>INDEX(DriversGams!$A$5:$BA$26,MATCH(Drivers!$A48,DriversGams!$A$5:$A$26,0),MATCH(Drivers!X$3,DriversGams!$A$5:$BA$5,0))</f>
        <v>3921.08119974084</v>
      </c>
      <c r="Y48" s="8">
        <f>INDEX(DriversGams!$A$5:$BA$26,MATCH(Drivers!$A48,DriversGams!$A$5:$A$26,0),MATCH(Drivers!Y$3,DriversGams!$A$5:$BA$5,0))</f>
        <v>4076.1200737910494</v>
      </c>
      <c r="Z48" s="8">
        <f>INDEX(DriversGams!$A$5:$BA$26,MATCH(Drivers!$A48,DriversGams!$A$5:$A$26,0),MATCH(Drivers!Z$3,DriversGams!$A$5:$BA$5,0))</f>
        <v>4242.3577777886876</v>
      </c>
      <c r="AA48" s="8">
        <f>INDEX(DriversGams!$A$5:$BA$26,MATCH(Drivers!$A48,DriversGams!$A$5:$A$26,0),MATCH(Drivers!AA$3,DriversGams!$A$5:$BA$5,0))</f>
        <v>4412.3613364699986</v>
      </c>
      <c r="AB48" s="8">
        <f>INDEX(DriversGams!$A$5:$BA$26,MATCH(Drivers!$A48,DriversGams!$A$5:$A$26,0),MATCH(Drivers!AB$3,DriversGams!$A$5:$BA$5,0))</f>
        <v>4590.1079398096954</v>
      </c>
      <c r="AC48" s="8">
        <f>INDEX(DriversGams!$A$5:$BA$26,MATCH(Drivers!$A48,DriversGams!$A$5:$A$26,0),MATCH(Drivers!AC$3,DriversGams!$A$5:$BA$5,0))</f>
        <v>4777.5358276627494</v>
      </c>
      <c r="AD48" s="8">
        <f>INDEX(DriversGams!$A$5:$BA$26,MATCH(Drivers!$A48,DriversGams!$A$5:$A$26,0),MATCH(Drivers!AD$3,DriversGams!$A$5:$BA$5,0))</f>
        <v>4972.8204001231352</v>
      </c>
      <c r="AE48" s="8">
        <f>INDEX(DriversGams!$A$5:$BA$26,MATCH(Drivers!$A48,DriversGams!$A$5:$A$26,0),MATCH(Drivers!AE$3,DriversGams!$A$5:$BA$5,0))</f>
        <v>5173.2231915077</v>
      </c>
      <c r="AF48" s="8">
        <f>INDEX(DriversGams!$A$5:$BA$26,MATCH(Drivers!$A48,DriversGams!$A$5:$A$26,0),MATCH(Drivers!AF$3,DriversGams!$A$5:$BA$5,0))</f>
        <v>6224.8537986327819</v>
      </c>
      <c r="AG48" s="8">
        <f>INDEX(DriversGams!$A$5:$BA$26,MATCH(Drivers!$A48,DriversGams!$A$5:$A$26,0),MATCH(Drivers!AG$3,DriversGams!$A$5:$BA$5,0))</f>
        <v>7301.8610719989301</v>
      </c>
      <c r="AH48" s="8">
        <f>INDEX(DriversGams!$A$5:$BA$26,MATCH(Drivers!$A48,DriversGams!$A$5:$A$26,0),MATCH(Drivers!AH$3,DriversGams!$A$5:$BA$5,0))</f>
        <v>8481.8443778476758</v>
      </c>
      <c r="AI48" s="8">
        <f t="shared" ref="AI48:AI69" si="153">AO48/AN48*AH48</f>
        <v>9463.3123915582182</v>
      </c>
      <c r="AJ48" s="8">
        <f t="shared" ref="AJ48:AJ69" si="154">AP48/AO48*AI48</f>
        <v>10101.213983773559</v>
      </c>
      <c r="AK48" s="8">
        <f t="shared" ref="AK48:AK69" si="155">AQ48/AP48*AJ48</f>
        <v>10311.213961512198</v>
      </c>
      <c r="AL48" s="107"/>
      <c r="AM48" s="107"/>
      <c r="AN48" s="8">
        <v>7135.8357778147301</v>
      </c>
      <c r="AO48" s="8">
        <v>7961.5517724759829</v>
      </c>
      <c r="AP48" s="8">
        <v>8498.2229022061783</v>
      </c>
      <c r="AQ48" s="8">
        <v>8674.8973715470001</v>
      </c>
    </row>
    <row r="49" spans="1:43">
      <c r="A49" s="115" t="s">
        <v>505</v>
      </c>
      <c r="B49">
        <f t="shared" ref="B49:B79" si="156">B48+1</f>
        <v>3</v>
      </c>
      <c r="C49" s="257">
        <v>70.962100386128554</v>
      </c>
      <c r="D49" s="257">
        <v>73.086209474587847</v>
      </c>
      <c r="E49" s="257">
        <v>74.596549410412479</v>
      </c>
      <c r="F49" s="257">
        <v>75.426967631355183</v>
      </c>
      <c r="G49" s="257">
        <v>76.235886351432072</v>
      </c>
      <c r="H49" s="257">
        <v>76.890277409035789</v>
      </c>
      <c r="I49" s="257">
        <v>77.76100719410195</v>
      </c>
      <c r="J49" s="8">
        <f>IF(ISNA(INDEX(DriversGams!$A$5:$BA$26,MATCH(Drivers!$A51,DriversGams!$A$5:$A$26,0),MATCH(Drivers!J$3,DriversGams!$A$5:$BA$5,0))),0.9841,1)*INDEX(DriversGams!$A$5:$BA$26,MATCH(Drivers!$A49,DriversGams!$A$5:$A$26,0),MATCH(Drivers!J$3,DriversGams!$A$5:$BA$5,0))</f>
        <v>77.475392073965608</v>
      </c>
      <c r="K49" s="8">
        <f>IF(ISNA(INDEX(DriversGams!$A$5:$BA$26,MATCH(Drivers!$A51,DriversGams!$A$5:$A$26,0),MATCH(Drivers!K$3,DriversGams!$A$5:$BA$5,0))),0.9841,1)*INDEX(DriversGams!$A$5:$BA$26,MATCH(Drivers!$A49,DriversGams!$A$5:$A$26,0),MATCH(Drivers!K$3,DriversGams!$A$5:$BA$5,0))</f>
        <v>71.606812932646122</v>
      </c>
      <c r="L49" s="8">
        <f>IF(ISNA(INDEX(DriversGams!$A$5:$BA$26,MATCH(Drivers!$A51,DriversGams!$A$5:$A$26,0),MATCH(Drivers!L$3,DriversGams!$A$5:$BA$5,0))),0.9841,1)*INDEX(DriversGams!$A$5:$BA$26,MATCH(Drivers!$A49,DriversGams!$A$5:$A$26,0),MATCH(Drivers!L$3,DriversGams!$A$5:$BA$5,0))</f>
        <v>74.08809391387814</v>
      </c>
      <c r="M49" s="8">
        <f>IF(ISNA(INDEX(DriversGams!$A$5:$BA$26,MATCH(Drivers!$A51,DriversGams!$A$5:$A$26,0),MATCH(Drivers!M$3,DriversGams!$A$5:$BA$5,0))),0.9841,1)*INDEX(DriversGams!$A$5:$BA$26,MATCH(Drivers!$A49,DriversGams!$A$5:$A$26,0),MATCH(Drivers!M$3,DriversGams!$A$5:$BA$5,0))</f>
        <v>81.149319552050315</v>
      </c>
      <c r="N49" s="8">
        <f>IF(ISNA(INDEX(DriversGams!$A$5:$BA$26,MATCH(Drivers!$A51,DriversGams!$A$5:$A$26,0),MATCH(Drivers!N$3,DriversGams!$A$5:$BA$5,0))),0.9841,1)*INDEX(DriversGams!$A$5:$BA$26,MATCH(Drivers!$A49,DriversGams!$A$5:$A$26,0),MATCH(Drivers!N$3,DriversGams!$A$5:$BA$5,0))</f>
        <v>80.639392245846295</v>
      </c>
      <c r="O49" s="8">
        <f>IF(ISNA(INDEX(DriversGams!$A$5:$BA$26,MATCH(Drivers!$A51,DriversGams!$A$5:$A$26,0),MATCH(Drivers!O$3,DriversGams!$A$5:$BA$5,0))),0.9841,1)*INDEX(DriversGams!$A$5:$BA$26,MATCH(Drivers!$A49,DriversGams!$A$5:$A$26,0),MATCH(Drivers!O$3,DriversGams!$A$5:$BA$5,0))</f>
        <v>81.505305085557595</v>
      </c>
      <c r="P49" s="8">
        <f>IF(ISNA(INDEX(DriversGams!$A$5:$BA$26,MATCH(Drivers!$A51,DriversGams!$A$5:$A$26,0),MATCH(Drivers!P$3,DriversGams!$A$5:$BA$5,0))),0.9841,1)*INDEX(DriversGams!$A$5:$BA$26,MATCH(Drivers!$A49,DriversGams!$A$5:$A$26,0),MATCH(Drivers!P$3,DriversGams!$A$5:$BA$5,0))</f>
        <v>83.078578282077004</v>
      </c>
      <c r="Q49" s="8">
        <f>IF(ISNA(INDEX(DriversGams!$A$5:$BA$26,MATCH(Drivers!$A51,DriversGams!$A$5:$A$26,0),MATCH(Drivers!Q$3,DriversGams!$A$5:$BA$5,0))),0.9841,1)*INDEX(DriversGams!$A$5:$BA$26,MATCH(Drivers!$A49,DriversGams!$A$5:$A$26,0),MATCH(Drivers!Q$3,DriversGams!$A$5:$BA$5,0))</f>
        <v>84.390188387163136</v>
      </c>
      <c r="R49" s="8">
        <f>IF(ISNA(INDEX(DriversGams!$A$5:$BA$26,MATCH(Drivers!$A51,DriversGams!$A$5:$A$26,0),MATCH(Drivers!R$3,DriversGams!$A$5:$BA$5,0))),0.9841,1)*INDEX(DriversGams!$A$5:$BA$26,MATCH(Drivers!$A49,DriversGams!$A$5:$A$26,0),MATCH(Drivers!R$3,DriversGams!$A$5:$BA$5,0))</f>
        <v>86.10959612793944</v>
      </c>
      <c r="S49" s="8">
        <f>IF(ISNA(INDEX(DriversGams!$A$5:$BA$26,MATCH(Drivers!$A51,DriversGams!$A$5:$A$26,0),MATCH(Drivers!S$3,DriversGams!$A$5:$BA$5,0))),0.9841,1)*INDEX(DriversGams!$A$5:$BA$26,MATCH(Drivers!$A49,DriversGams!$A$5:$A$26,0),MATCH(Drivers!S$3,DriversGams!$A$5:$BA$5,0))</f>
        <v>87.99914965203692</v>
      </c>
      <c r="T49" s="8">
        <f>IF(ISNA(INDEX(DriversGams!$A$5:$BA$26,MATCH(Drivers!$A51,DriversGams!$A$5:$A$26,0),MATCH(Drivers!T$3,DriversGams!$A$5:$BA$5,0))),0.9841,1)*INDEX(DriversGams!$A$5:$BA$26,MATCH(Drivers!$A49,DriversGams!$A$5:$A$26,0),MATCH(Drivers!T$3,DriversGams!$A$5:$BA$5,0))</f>
        <v>90.354986172755375</v>
      </c>
      <c r="U49" s="8">
        <f>IF(ISNA(INDEX(DriversGams!$A$5:$BA$26,MATCH(Drivers!$A51,DriversGams!$A$5:$A$26,0),MATCH(Drivers!U$3,DriversGams!$A$5:$BA$5,0))),0.9841,1)*INDEX(DriversGams!$A$5:$BA$26,MATCH(Drivers!$A49,DriversGams!$A$5:$A$26,0),MATCH(Drivers!U$3,DriversGams!$A$5:$BA$5,0))</f>
        <v>93.436026239199762</v>
      </c>
      <c r="V49" s="8">
        <f>IF(ISNA(INDEX(DriversGams!$A$5:$BA$26,MATCH(Drivers!$A51,DriversGams!$A$5:$A$26,0),MATCH(Drivers!V$3,DriversGams!$A$5:$BA$5,0))),0.9841,1)*INDEX(DriversGams!$A$5:$BA$26,MATCH(Drivers!$A49,DriversGams!$A$5:$A$26,0),MATCH(Drivers!V$3,DriversGams!$A$5:$BA$5,0))</f>
        <v>96.381061948307149</v>
      </c>
      <c r="W49" s="8">
        <f>IF(ISNA(INDEX(DriversGams!$A$5:$BA$26,MATCH(Drivers!$A51,DriversGams!$A$5:$A$26,0),MATCH(Drivers!W$3,DriversGams!$A$5:$BA$5,0))),0.9841,1)*INDEX(DriversGams!$A$5:$BA$26,MATCH(Drivers!$A49,DriversGams!$A$5:$A$26,0),MATCH(Drivers!W$3,DriversGams!$A$5:$BA$5,0))</f>
        <v>99.488823339186183</v>
      </c>
      <c r="X49" s="8">
        <f>IF(ISNA(INDEX(DriversGams!$A$5:$BA$26,MATCH(Drivers!$A51,DriversGams!$A$5:$A$26,0),MATCH(Drivers!X$3,DriversGams!$A$5:$BA$5,0))),0.9841,1)*INDEX(DriversGams!$A$5:$BA$26,MATCH(Drivers!$A49,DriversGams!$A$5:$A$26,0),MATCH(Drivers!X$3,DriversGams!$A$5:$BA$5,0))</f>
        <v>102.74980040739248</v>
      </c>
      <c r="Y49" s="8">
        <f>IF(ISNA(INDEX(DriversGams!$A$5:$BA$26,MATCH(Drivers!$A51,DriversGams!$A$5:$A$26,0),MATCH(Drivers!Y$3,DriversGams!$A$5:$BA$5,0))),0.9841,1)*INDEX(DriversGams!$A$5:$BA$26,MATCH(Drivers!$A49,DriversGams!$A$5:$A$26,0),MATCH(Drivers!Y$3,DriversGams!$A$5:$BA$5,0))</f>
        <v>106.11631929661371</v>
      </c>
      <c r="Z49" s="8">
        <f>IF(ISNA(INDEX(DriversGams!$A$5:$BA$26,MATCH(Drivers!$A51,DriversGams!$A$5:$A$26,0),MATCH(Drivers!Z$3,DriversGams!$A$5:$BA$5,0))),0.9841,1)*INDEX(DriversGams!$A$5:$BA$26,MATCH(Drivers!$A49,DriversGams!$A$5:$A$26,0),MATCH(Drivers!Z$3,DriversGams!$A$5:$BA$5,0))</f>
        <v>110.49582934098036</v>
      </c>
      <c r="AA49" s="8">
        <f>IF(ISNA(INDEX(DriversGams!$A$5:$BA$26,MATCH(Drivers!$A51,DriversGams!$A$5:$A$26,0),MATCH(Drivers!AA$3,DriversGams!$A$5:$BA$5,0))),0.9841,1)*INDEX(DriversGams!$A$5:$BA$26,MATCH(Drivers!$A49,DriversGams!$A$5:$A$26,0),MATCH(Drivers!AA$3,DriversGams!$A$5:$BA$5,0))</f>
        <v>113.69325647050101</v>
      </c>
      <c r="AB49" s="8">
        <f>IF(ISNA(INDEX(DriversGams!$A$5:$BA$26,MATCH(Drivers!$A51,DriversGams!$A$5:$A$26,0),MATCH(Drivers!AB$3,DriversGams!$A$5:$BA$5,0))),0.9841,1)*INDEX(DriversGams!$A$5:$BA$26,MATCH(Drivers!$A49,DriversGams!$A$5:$A$26,0),MATCH(Drivers!AB$3,DriversGams!$A$5:$BA$5,0))</f>
        <v>117.27985356650156</v>
      </c>
      <c r="AC49" s="8">
        <f>IF(ISNA(INDEX(DriversGams!$A$5:$BA$26,MATCH(Drivers!$A51,DriversGams!$A$5:$A$26,0),MATCH(Drivers!AC$3,DriversGams!$A$5:$BA$5,0))),0.9841,1)*INDEX(DriversGams!$A$5:$BA$26,MATCH(Drivers!$A49,DriversGams!$A$5:$A$26,0),MATCH(Drivers!AC$3,DriversGams!$A$5:$BA$5,0))</f>
        <v>121.17858386954452</v>
      </c>
      <c r="AD49" s="8">
        <f>IF(ISNA(INDEX(DriversGams!$A$5:$BA$26,MATCH(Drivers!$A51,DriversGams!$A$5:$A$26,0),MATCH(Drivers!AD$3,DriversGams!$A$5:$BA$5,0))),0.9841,1)*INDEX(DriversGams!$A$5:$BA$26,MATCH(Drivers!$A49,DriversGams!$A$5:$A$26,0),MATCH(Drivers!AD$3,DriversGams!$A$5:$BA$5,0))</f>
        <v>125.41509027441083</v>
      </c>
      <c r="AE49" s="8">
        <f>IF(ISNA(INDEX(DriversGams!$A$5:$BA$26,MATCH(Drivers!$A51,DriversGams!$A$5:$A$26,0),MATCH(Drivers!AE$3,DriversGams!$A$5:$BA$5,0))),0.9841,1)*INDEX(DriversGams!$A$5:$BA$26,MATCH(Drivers!$A49,DriversGams!$A$5:$A$26,0),MATCH(Drivers!AE$3,DriversGams!$A$5:$BA$5,0))</f>
        <v>129.65183728707805</v>
      </c>
      <c r="AF49" s="8">
        <f>IF(ISNA(INDEX(DriversGams!$A$5:$BA$26,MATCH(Drivers!$A51,DriversGams!$A$5:$A$26,0),MATCH(Drivers!AF$3,DriversGams!$A$5:$BA$5,0))),0.9841,1)*INDEX(DriversGams!$A$5:$BA$26,MATCH(Drivers!$A49,DriversGams!$A$5:$A$26,0),MATCH(Drivers!AF$3,DriversGams!$A$5:$BA$5,0))</f>
        <v>153.10482257274745</v>
      </c>
      <c r="AG49" s="8">
        <f>IF(ISNA(INDEX(DriversGams!$A$5:$BA$26,MATCH(Drivers!$A51,DriversGams!$A$5:$A$26,0),MATCH(Drivers!AG$3,DriversGams!$A$5:$BA$5,0))),0.9841,1)*INDEX(DriversGams!$A$5:$BA$26,MATCH(Drivers!$A49,DriversGams!$A$5:$A$26,0),MATCH(Drivers!AG$3,DriversGams!$A$5:$BA$5,0))</f>
        <v>175.00909615643704</v>
      </c>
      <c r="AH49" s="8">
        <f>IF(ISNA(INDEX(DriversGams!$A$5:$BA$26,MATCH(Drivers!$A51,DriversGams!$A$5:$A$26,0),MATCH(Drivers!AH$3,DriversGams!$A$5:$BA$5,0))),0.9841,1)*INDEX(DriversGams!$A$5:$BA$26,MATCH(Drivers!$A49,DriversGams!$A$5:$A$26,0),MATCH(Drivers!AH$3,DriversGams!$A$5:$BA$5,0))</f>
        <v>203.36782284341862</v>
      </c>
      <c r="AI49" s="8">
        <f t="shared" si="153"/>
        <v>227.72735047798972</v>
      </c>
      <c r="AJ49" s="8">
        <f t="shared" si="154"/>
        <v>243.64075447328403</v>
      </c>
      <c r="AK49" s="8">
        <f t="shared" si="155"/>
        <v>249.03971666384248</v>
      </c>
      <c r="AL49" s="107"/>
      <c r="AM49" s="107"/>
      <c r="AN49" s="8">
        <v>213.46298674732751</v>
      </c>
      <c r="AO49" s="8">
        <v>239.03171955828549</v>
      </c>
      <c r="AP49" s="8">
        <v>255.73506376809107</v>
      </c>
      <c r="AQ49" s="8">
        <v>261.40203004829675</v>
      </c>
    </row>
    <row r="50" spans="1:43">
      <c r="A50" s="115" t="s">
        <v>685</v>
      </c>
      <c r="B50">
        <f t="shared" si="156"/>
        <v>4</v>
      </c>
      <c r="C50" s="257">
        <v>2.4554419284149018</v>
      </c>
      <c r="D50" s="257">
        <v>2.4807404210106916</v>
      </c>
      <c r="E50" s="257">
        <v>2.5000863271133542</v>
      </c>
      <c r="F50" s="257">
        <v>2.4936376917457999</v>
      </c>
      <c r="G50" s="257">
        <v>2.4903306992496184</v>
      </c>
      <c r="H50" s="257">
        <v>2.5025665714854908</v>
      </c>
      <c r="I50" s="257">
        <v>2.5113301016003717</v>
      </c>
      <c r="J50" s="8">
        <f>INDEX(DriversGams!$A$5:$BA$26,MATCH(Drivers!$A50,DriversGams!$A$5:$A$26,0),MATCH(Drivers!J$3,DriversGams!$A$5:$BA$5,0))</f>
        <v>2.4822992718580812</v>
      </c>
      <c r="K50" s="8">
        <f>INDEX(DriversGams!$A$5:$BA$26,MATCH(Drivers!$A50,DriversGams!$A$5:$A$26,0),MATCH(Drivers!K$3,DriversGams!$A$5:$BA$5,0))</f>
        <v>2.1916461428360452</v>
      </c>
      <c r="L50" s="8">
        <f>INDEX(DriversGams!$A$5:$BA$26,MATCH(Drivers!$A50,DriversGams!$A$5:$A$26,0),MATCH(Drivers!L$3,DriversGams!$A$5:$BA$5,0))</f>
        <v>2.2609720535768423</v>
      </c>
      <c r="M50" s="8">
        <f>INDEX(DriversGams!$A$5:$BA$26,MATCH(Drivers!$A50,DriversGams!$A$5:$A$26,0),MATCH(Drivers!M$3,DriversGams!$A$5:$BA$5,0))</f>
        <v>2.4133311323623698</v>
      </c>
      <c r="N50" s="8">
        <f>INDEX(DriversGams!$A$5:$BA$26,MATCH(Drivers!$A50,DriversGams!$A$5:$A$26,0),MATCH(Drivers!N$3,DriversGams!$A$5:$BA$5,0))</f>
        <v>2.4324127786102898</v>
      </c>
      <c r="O50" s="8">
        <f>INDEX(DriversGams!$A$5:$BA$26,MATCH(Drivers!$A50,DriversGams!$A$5:$A$26,0),MATCH(Drivers!O$3,DriversGams!$A$5:$BA$5,0))</f>
        <v>2.4597389366185451</v>
      </c>
      <c r="P50" s="8">
        <f>INDEX(DriversGams!$A$5:$BA$26,MATCH(Drivers!$A50,DriversGams!$A$5:$A$26,0),MATCH(Drivers!P$3,DriversGams!$A$5:$BA$5,0))</f>
        <v>2.5042675770803484</v>
      </c>
      <c r="Q50" s="8">
        <f>INDEX(DriversGams!$A$5:$BA$26,MATCH(Drivers!$A50,DriversGams!$A$5:$A$26,0),MATCH(Drivers!Q$3,DriversGams!$A$5:$BA$5,0))</f>
        <v>2.5495064965347591</v>
      </c>
      <c r="R50" s="8">
        <f>INDEX(DriversGams!$A$5:$BA$26,MATCH(Drivers!$A50,DriversGams!$A$5:$A$26,0),MATCH(Drivers!R$3,DriversGams!$A$5:$BA$5,0))</f>
        <v>2.6017350522869536</v>
      </c>
      <c r="S50" s="8">
        <f>INDEX(DriversGams!$A$5:$BA$26,MATCH(Drivers!$A50,DriversGams!$A$5:$A$26,0),MATCH(Drivers!S$3,DriversGams!$A$5:$BA$5,0))</f>
        <v>2.6602711742051519</v>
      </c>
      <c r="T50" s="8">
        <f>INDEX(DriversGams!$A$5:$BA$26,MATCH(Drivers!$A50,DriversGams!$A$5:$A$26,0),MATCH(Drivers!T$3,DriversGams!$A$5:$BA$5,0))</f>
        <v>2.7307008968955242</v>
      </c>
      <c r="U50" s="8">
        <f>INDEX(DriversGams!$A$5:$BA$26,MATCH(Drivers!$A50,DriversGams!$A$5:$A$26,0),MATCH(Drivers!U$3,DriversGams!$A$5:$BA$5,0))</f>
        <v>2.8268249053615135</v>
      </c>
      <c r="V50" s="8">
        <f>INDEX(DriversGams!$A$5:$BA$26,MATCH(Drivers!$A50,DriversGams!$A$5:$A$26,0),MATCH(Drivers!V$3,DriversGams!$A$5:$BA$5,0))</f>
        <v>2.9180049393040344</v>
      </c>
      <c r="W50" s="8">
        <f>INDEX(DriversGams!$A$5:$BA$26,MATCH(Drivers!$A50,DriversGams!$A$5:$A$26,0),MATCH(Drivers!W$3,DriversGams!$A$5:$BA$5,0))</f>
        <v>3.0157744096276531</v>
      </c>
      <c r="X50" s="8">
        <f>INDEX(DriversGams!$A$5:$BA$26,MATCH(Drivers!$A50,DriversGams!$A$5:$A$26,0),MATCH(Drivers!X$3,DriversGams!$A$5:$BA$5,0))</f>
        <v>3.1146733827815227</v>
      </c>
      <c r="Y50" s="8">
        <f>INDEX(DriversGams!$A$5:$BA$26,MATCH(Drivers!$A50,DriversGams!$A$5:$A$26,0),MATCH(Drivers!Y$3,DriversGams!$A$5:$BA$5,0))</f>
        <v>3.2176526898980184</v>
      </c>
      <c r="Z50" s="8">
        <f>INDEX(DriversGams!$A$5:$BA$26,MATCH(Drivers!$A50,DriversGams!$A$5:$A$26,0),MATCH(Drivers!Z$3,DriversGams!$A$5:$BA$5,0))</f>
        <v>3.2830332503179047</v>
      </c>
      <c r="AA50" s="8">
        <f>INDEX(DriversGams!$A$5:$BA$26,MATCH(Drivers!$A50,DriversGams!$A$5:$A$26,0),MATCH(Drivers!AA$3,DriversGams!$A$5:$BA$5,0))</f>
        <v>3.3862455333488146</v>
      </c>
      <c r="AB50" s="8">
        <f>INDEX(DriversGams!$A$5:$BA$26,MATCH(Drivers!$A50,DriversGams!$A$5:$A$26,0),MATCH(Drivers!AB$3,DriversGams!$A$5:$BA$5,0))</f>
        <v>3.4996573671901166</v>
      </c>
      <c r="AC50" s="8">
        <f>INDEX(DriversGams!$A$5:$BA$26,MATCH(Drivers!$A50,DriversGams!$A$5:$A$26,0),MATCH(Drivers!AC$3,DriversGams!$A$5:$BA$5,0))</f>
        <v>3.6219334817323441</v>
      </c>
      <c r="AD50" s="8">
        <f>INDEX(DriversGams!$A$5:$BA$26,MATCH(Drivers!$A50,DriversGams!$A$5:$A$26,0),MATCH(Drivers!AD$3,DriversGams!$A$5:$BA$5,0))</f>
        <v>3.7531972465876704</v>
      </c>
      <c r="AE50" s="8">
        <f>INDEX(DriversGams!$A$5:$BA$26,MATCH(Drivers!$A50,DriversGams!$A$5:$A$26,0),MATCH(Drivers!AE$3,DriversGams!$A$5:$BA$5,0))</f>
        <v>3.8858751552295074</v>
      </c>
      <c r="AF50" s="8">
        <f>INDEX(DriversGams!$A$5:$BA$26,MATCH(Drivers!$A50,DriversGams!$A$5:$A$26,0),MATCH(Drivers!AF$3,DriversGams!$A$5:$BA$5,0))</f>
        <v>4.6106747270699149</v>
      </c>
      <c r="AG50" s="8">
        <f>INDEX(DriversGams!$A$5:$BA$26,MATCH(Drivers!$A50,DriversGams!$A$5:$A$26,0),MATCH(Drivers!AG$3,DriversGams!$A$5:$BA$5,0))</f>
        <v>5.2605734815715808</v>
      </c>
      <c r="AH50" s="8">
        <f>INDEX(DriversGams!$A$5:$BA$26,MATCH(Drivers!$A50,DriversGams!$A$5:$A$26,0),MATCH(Drivers!AH$3,DriversGams!$A$5:$BA$5,0))</f>
        <v>6.1465491478824212</v>
      </c>
      <c r="AI50" s="8">
        <f t="shared" si="153"/>
        <v>6.8827867283003048</v>
      </c>
      <c r="AJ50" s="8">
        <f t="shared" si="154"/>
        <v>7.363750326177315</v>
      </c>
      <c r="AK50" s="8">
        <f t="shared" si="155"/>
        <v>7.5269274993792772</v>
      </c>
      <c r="AL50" s="107"/>
      <c r="AM50" s="107"/>
      <c r="AN50" s="8">
        <v>6.740936423599817</v>
      </c>
      <c r="AO50" s="8">
        <v>7.5483700913142799</v>
      </c>
      <c r="AP50" s="8">
        <v>8.0758441189923502</v>
      </c>
      <c r="AQ50" s="8">
        <v>8.2548009488935836</v>
      </c>
    </row>
    <row r="51" spans="1:43">
      <c r="A51" s="115" t="s">
        <v>797</v>
      </c>
      <c r="B51">
        <f t="shared" si="156"/>
        <v>5</v>
      </c>
      <c r="C51" s="257">
        <v>1.1457944489290657</v>
      </c>
      <c r="D51" s="257">
        <v>1.1800915228492761</v>
      </c>
      <c r="E51" s="257">
        <v>1.2044783308079934</v>
      </c>
      <c r="F51" s="257">
        <v>1.2178867358956154</v>
      </c>
      <c r="G51" s="257">
        <v>1.230947997809448</v>
      </c>
      <c r="H51" s="257">
        <v>1.2415141681616677</v>
      </c>
      <c r="I51" s="257">
        <v>1.2555734667001452</v>
      </c>
      <c r="J51" s="8">
        <f>IFERROR(INDEX(DriversGams!$A$5:$BA$26,MATCH(Drivers!$A51,DriversGams!$A$5:$A$26,0),MATCH(Drivers!J$3,DriversGams!$A$5:$BA$5,0)),J49*0.01615)</f>
        <v>1.2512275819945446</v>
      </c>
      <c r="K51" s="8">
        <f>IFERROR(INDEX(DriversGams!$A$5:$BA$26,MATCH(Drivers!$A51,DriversGams!$A$5:$A$26,0),MATCH(Drivers!K$3,DriversGams!$A$5:$BA$5,0)),K49*0.01615)</f>
        <v>1.156450028862235</v>
      </c>
      <c r="L51" s="8">
        <f>IFERROR(INDEX(DriversGams!$A$5:$BA$26,MATCH(Drivers!$A51,DriversGams!$A$5:$A$26,0),MATCH(Drivers!L$3,DriversGams!$A$5:$BA$5,0)),L49*0.01615)</f>
        <v>1.1965227167091321</v>
      </c>
      <c r="M51" s="8">
        <f>IFERROR(INDEX(DriversGams!$A$5:$BA$26,MATCH(Drivers!$A51,DriversGams!$A$5:$A$26,0),MATCH(Drivers!M$3,DriversGams!$A$5:$BA$5,0)),M49*0.01615)</f>
        <v>1.3105615107656128</v>
      </c>
      <c r="N51" s="8">
        <f>IFERROR(INDEX(DriversGams!$A$5:$BA$26,MATCH(Drivers!$A51,DriversGams!$A$5:$A$26,0),MATCH(Drivers!N$3,DriversGams!$A$5:$BA$5,0)),N49*0.01615)</f>
        <v>1.3023261847704177</v>
      </c>
      <c r="O51" s="8">
        <f>IFERROR(INDEX(DriversGams!$A$5:$BA$26,MATCH(Drivers!$A51,DriversGams!$A$5:$A$26,0),MATCH(Drivers!O$3,DriversGams!$A$5:$BA$5,0)),O49*0.01615)</f>
        <v>1.3163106771317552</v>
      </c>
      <c r="P51" s="8">
        <f>IFERROR(INDEX(DriversGams!$A$5:$BA$26,MATCH(Drivers!$A51,DriversGams!$A$5:$A$26,0),MATCH(Drivers!P$3,DriversGams!$A$5:$BA$5,0)),P49*0.01615)</f>
        <v>1.3417190392555438</v>
      </c>
      <c r="Q51" s="8">
        <f>IFERROR(INDEX(DriversGams!$A$5:$BA$26,MATCH(Drivers!$A51,DriversGams!$A$5:$A$26,0),MATCH(Drivers!Q$3,DriversGams!$A$5:$BA$5,0)),Q49*0.01615)</f>
        <v>1.3629015424526847</v>
      </c>
      <c r="R51" s="8">
        <f>IFERROR(INDEX(DriversGams!$A$5:$BA$26,MATCH(Drivers!$A51,DriversGams!$A$5:$A$26,0),MATCH(Drivers!R$3,DriversGams!$A$5:$BA$5,0)),R49*0.01615)</f>
        <v>1.3906699774662221</v>
      </c>
      <c r="S51" s="8">
        <f>IFERROR(INDEX(DriversGams!$A$5:$BA$26,MATCH(Drivers!$A51,DriversGams!$A$5:$A$26,0),MATCH(Drivers!S$3,DriversGams!$A$5:$BA$5,0)),S49*0.01615)</f>
        <v>1.4211862668803963</v>
      </c>
      <c r="T51" s="8">
        <f>IFERROR(INDEX(DriversGams!$A$5:$BA$26,MATCH(Drivers!$A51,DriversGams!$A$5:$A$26,0),MATCH(Drivers!T$3,DriversGams!$A$5:$BA$5,0)),T49*0.01615)</f>
        <v>1.4592330266899993</v>
      </c>
      <c r="U51" s="8">
        <f>IFERROR(INDEX(DriversGams!$A$5:$BA$26,MATCH(Drivers!$A51,DriversGams!$A$5:$A$26,0),MATCH(Drivers!U$3,DriversGams!$A$5:$BA$5,0)),U49*0.01615)</f>
        <v>1.5089918237630762</v>
      </c>
      <c r="V51" s="8">
        <f>IFERROR(INDEX(DriversGams!$A$5:$BA$26,MATCH(Drivers!$A51,DriversGams!$A$5:$A$26,0),MATCH(Drivers!V$3,DriversGams!$A$5:$BA$5,0)),V49*0.01615)</f>
        <v>1.5565541504651605</v>
      </c>
      <c r="W51" s="8">
        <f>IFERROR(INDEX(DriversGams!$A$5:$BA$26,MATCH(Drivers!$A51,DriversGams!$A$5:$A$26,0),MATCH(Drivers!W$3,DriversGams!$A$5:$BA$5,0)),W49*0.01615)</f>
        <v>1.606744496927857</v>
      </c>
      <c r="X51" s="8">
        <f>IFERROR(INDEX(DriversGams!$A$5:$BA$26,MATCH(Drivers!$A51,DriversGams!$A$5:$A$26,0),MATCH(Drivers!X$3,DriversGams!$A$5:$BA$5,0)),X49*0.01615)</f>
        <v>1.6594092765793886</v>
      </c>
      <c r="Y51" s="8">
        <f>IFERROR(INDEX(DriversGams!$A$5:$BA$26,MATCH(Drivers!$A51,DriversGams!$A$5:$A$26,0),MATCH(Drivers!Y$3,DriversGams!$A$5:$BA$5,0)),Y49*0.01615)</f>
        <v>1.7137785566403116</v>
      </c>
      <c r="Z51" s="8">
        <f>IFERROR(INDEX(DriversGams!$A$5:$BA$26,MATCH(Drivers!$A51,DriversGams!$A$5:$A$26,0),MATCH(Drivers!Z$3,DriversGams!$A$5:$BA$5,0)),Z49*0.01615)</f>
        <v>1.784507643856833</v>
      </c>
      <c r="AA51" s="8">
        <f>IFERROR(INDEX(DriversGams!$A$5:$BA$26,MATCH(Drivers!$A51,DriversGams!$A$5:$A$26,0),MATCH(Drivers!AA$3,DriversGams!$A$5:$BA$5,0)),AA49*0.01615)</f>
        <v>1.8361460919985915</v>
      </c>
      <c r="AB51" s="8">
        <f>IFERROR(INDEX(DriversGams!$A$5:$BA$26,MATCH(Drivers!$A51,DriversGams!$A$5:$A$26,0),MATCH(Drivers!AB$3,DriversGams!$A$5:$BA$5,0)),AB49*0.01615)</f>
        <v>1.8940696350990003</v>
      </c>
      <c r="AC51" s="8">
        <f>IFERROR(INDEX(DriversGams!$A$5:$BA$26,MATCH(Drivers!$A51,DriversGams!$A$5:$A$26,0),MATCH(Drivers!AC$3,DriversGams!$A$5:$BA$5,0)),AC49*0.01615)</f>
        <v>1.9570341294931441</v>
      </c>
      <c r="AD51" s="8">
        <f>IFERROR(INDEX(DriversGams!$A$5:$BA$26,MATCH(Drivers!$A51,DriversGams!$A$5:$A$26,0),MATCH(Drivers!AD$3,DriversGams!$A$5:$BA$5,0)),AD49*0.01615)</f>
        <v>2.0254537079317352</v>
      </c>
      <c r="AE51" s="8">
        <f>IFERROR(INDEX(DriversGams!$A$5:$BA$26,MATCH(Drivers!$A51,DriversGams!$A$5:$A$26,0),MATCH(Drivers!AE$3,DriversGams!$A$5:$BA$5,0)),AE49*0.01615)</f>
        <v>2.0938771721863105</v>
      </c>
      <c r="AF51" s="8">
        <f>IFERROR(INDEX(DriversGams!$A$5:$BA$26,MATCH(Drivers!$A51,DriversGams!$A$5:$A$26,0),MATCH(Drivers!AF$3,DriversGams!$A$5:$BA$5,0)),AF49*0.01615)</f>
        <v>2.4726428845498716</v>
      </c>
      <c r="AG51" s="8">
        <f>IFERROR(INDEX(DriversGams!$A$5:$BA$26,MATCH(Drivers!$A51,DriversGams!$A$5:$A$26,0),MATCH(Drivers!AG$3,DriversGams!$A$5:$BA$5,0)),AG49*0.01615)</f>
        <v>2.8263969029264584</v>
      </c>
      <c r="AH51" s="8">
        <f>IFERROR(INDEX(DriversGams!$A$5:$BA$26,MATCH(Drivers!$A51,DriversGams!$A$5:$A$26,0),MATCH(Drivers!AH$3,DriversGams!$A$5:$BA$5,0)),AH49*0.01615)</f>
        <v>3.2843903389212108</v>
      </c>
      <c r="AI51" s="8">
        <f t="shared" ref="AI51" si="157">AO51/AN51*AH51</f>
        <v>3.6777967102195341</v>
      </c>
      <c r="AJ51" s="8">
        <f t="shared" ref="AJ51" si="158">AP51/AO51*AI51</f>
        <v>3.9347981847435372</v>
      </c>
      <c r="AK51" s="8">
        <f t="shared" ref="AK51" si="159">AQ51/AP51*AJ51</f>
        <v>4.0219914241210564</v>
      </c>
      <c r="AL51" s="107"/>
      <c r="AM51" s="107"/>
      <c r="AN51" s="8">
        <v>6.740936423599817</v>
      </c>
      <c r="AO51" s="8">
        <v>7.5483700913142799</v>
      </c>
      <c r="AP51" s="8">
        <v>8.0758441189923502</v>
      </c>
      <c r="AQ51" s="8">
        <v>8.2548009488935836</v>
      </c>
    </row>
    <row r="52" spans="1:43">
      <c r="A52" s="115" t="s">
        <v>502</v>
      </c>
      <c r="B52">
        <f t="shared" si="156"/>
        <v>6</v>
      </c>
      <c r="C52" s="257">
        <v>138.08343097582718</v>
      </c>
      <c r="D52" s="257">
        <v>143.16360238477418</v>
      </c>
      <c r="E52" s="257">
        <v>146.98438355117329</v>
      </c>
      <c r="F52" s="257">
        <v>148.78204922418408</v>
      </c>
      <c r="G52" s="257">
        <v>151.86270236184362</v>
      </c>
      <c r="H52" s="257">
        <v>153.55950890468549</v>
      </c>
      <c r="I52" s="257">
        <v>155.74281242834212</v>
      </c>
      <c r="J52" s="8">
        <f>INDEX(DriversGams!$A$5:$BA$26,MATCH(Drivers!$A52,DriversGams!$A$5:$A$26,0),MATCH(Drivers!J$3,DriversGams!$A$5:$BA$5,0))</f>
        <v>155.24978901659622</v>
      </c>
      <c r="K52" s="8">
        <f>INDEX(DriversGams!$A$5:$BA$26,MATCH(Drivers!$A52,DriversGams!$A$5:$A$26,0),MATCH(Drivers!K$3,DriversGams!$A$5:$BA$5,0))</f>
        <v>146.5278930534634</v>
      </c>
      <c r="L52" s="8">
        <f>INDEX(DriversGams!$A$5:$BA$26,MATCH(Drivers!$A52,DriversGams!$A$5:$A$26,0),MATCH(Drivers!L$3,DriversGams!$A$5:$BA$5,0))</f>
        <v>155.41847970347516</v>
      </c>
      <c r="M52" s="8">
        <f>INDEX(DriversGams!$A$5:$BA$26,MATCH(Drivers!$A52,DriversGams!$A$5:$A$26,0),MATCH(Drivers!M$3,DriversGams!$A$5:$BA$5,0))</f>
        <v>164.12452302541752</v>
      </c>
      <c r="N52" s="8">
        <f>INDEX(DriversGams!$A$5:$BA$26,MATCH(Drivers!$A52,DriversGams!$A$5:$A$26,0),MATCH(Drivers!N$3,DriversGams!$A$5:$BA$5,0))</f>
        <v>166.96254505120936</v>
      </c>
      <c r="O52" s="8">
        <f>INDEX(DriversGams!$A$5:$BA$26,MATCH(Drivers!$A52,DriversGams!$A$5:$A$26,0),MATCH(Drivers!O$3,DriversGams!$A$5:$BA$5,0))</f>
        <v>170.11433541928085</v>
      </c>
      <c r="P52" s="8">
        <f>INDEX(DriversGams!$A$5:$BA$26,MATCH(Drivers!$A52,DriversGams!$A$5:$A$26,0),MATCH(Drivers!P$3,DriversGams!$A$5:$BA$5,0))</f>
        <v>171.40083253538168</v>
      </c>
      <c r="Q52" s="8">
        <f>INDEX(DriversGams!$A$5:$BA$26,MATCH(Drivers!$A52,DriversGams!$A$5:$A$26,0),MATCH(Drivers!Q$3,DriversGams!$A$5:$BA$5,0))</f>
        <v>171.4620938892692</v>
      </c>
      <c r="R52" s="8">
        <f>INDEX(DriversGams!$A$5:$BA$26,MATCH(Drivers!$A52,DriversGams!$A$5:$A$26,0),MATCH(Drivers!R$3,DriversGams!$A$5:$BA$5,0))</f>
        <v>174.32182713229741</v>
      </c>
      <c r="S52" s="8">
        <f>INDEX(DriversGams!$A$5:$BA$26,MATCH(Drivers!$A52,DriversGams!$A$5:$A$26,0),MATCH(Drivers!S$3,DriversGams!$A$5:$BA$5,0))</f>
        <v>177.40621695051775</v>
      </c>
      <c r="T52" s="8">
        <f>INDEX(DriversGams!$A$5:$BA$26,MATCH(Drivers!$A52,DriversGams!$A$5:$A$26,0),MATCH(Drivers!T$3,DriversGams!$A$5:$BA$5,0))</f>
        <v>181.05624971823505</v>
      </c>
      <c r="U52" s="8">
        <f>INDEX(DriversGams!$A$5:$BA$26,MATCH(Drivers!$A52,DriversGams!$A$5:$A$26,0),MATCH(Drivers!U$3,DriversGams!$A$5:$BA$5,0))</f>
        <v>186.46386870151645</v>
      </c>
      <c r="V52" s="8">
        <f>INDEX(DriversGams!$A$5:$BA$26,MATCH(Drivers!$A52,DriversGams!$A$5:$A$26,0),MATCH(Drivers!V$3,DriversGams!$A$5:$BA$5,0))</f>
        <v>191.77909745889514</v>
      </c>
      <c r="W52" s="8">
        <f>INDEX(DriversGams!$A$5:$BA$26,MATCH(Drivers!$A52,DriversGams!$A$5:$A$26,0),MATCH(Drivers!W$3,DriversGams!$A$5:$BA$5,0))</f>
        <v>196.99055901020679</v>
      </c>
      <c r="X52" s="8">
        <f>INDEX(DriversGams!$A$5:$BA$26,MATCH(Drivers!$A52,DriversGams!$A$5:$A$26,0),MATCH(Drivers!X$3,DriversGams!$A$5:$BA$5,0))</f>
        <v>202.38456610391057</v>
      </c>
      <c r="Y52" s="8">
        <f>INDEX(DriversGams!$A$5:$BA$26,MATCH(Drivers!$A52,DriversGams!$A$5:$A$26,0),MATCH(Drivers!Y$3,DriversGams!$A$5:$BA$5,0))</f>
        <v>207.87834218358489</v>
      </c>
      <c r="Z52" s="8">
        <f>INDEX(DriversGams!$A$5:$BA$26,MATCH(Drivers!$A52,DriversGams!$A$5:$A$26,0),MATCH(Drivers!Z$3,DriversGams!$A$5:$BA$5,0))</f>
        <v>215.83653437947578</v>
      </c>
      <c r="AA52" s="8">
        <f>INDEX(DriversGams!$A$5:$BA$26,MATCH(Drivers!$A52,DriversGams!$A$5:$A$26,0),MATCH(Drivers!AA$3,DriversGams!$A$5:$BA$5,0))</f>
        <v>221.11895242153054</v>
      </c>
      <c r="AB52" s="8">
        <f>INDEX(DriversGams!$A$5:$BA$26,MATCH(Drivers!$A52,DriversGams!$A$5:$A$26,0),MATCH(Drivers!AB$3,DriversGams!$A$5:$BA$5,0))</f>
        <v>226.45027353094082</v>
      </c>
      <c r="AC52" s="8">
        <f>INDEX(DriversGams!$A$5:$BA$26,MATCH(Drivers!$A52,DriversGams!$A$5:$A$26,0),MATCH(Drivers!AC$3,DriversGams!$A$5:$BA$5,0))</f>
        <v>232.14444853509369</v>
      </c>
      <c r="AD52" s="8">
        <f>INDEX(DriversGams!$A$5:$BA$26,MATCH(Drivers!$A52,DriversGams!$A$5:$A$26,0),MATCH(Drivers!AD$3,DriversGams!$A$5:$BA$5,0))</f>
        <v>238.23742615471591</v>
      </c>
      <c r="AE52" s="8">
        <f>INDEX(DriversGams!$A$5:$BA$26,MATCH(Drivers!$A52,DriversGams!$A$5:$A$26,0),MATCH(Drivers!AE$3,DriversGams!$A$5:$BA$5,0))</f>
        <v>244.20915434250634</v>
      </c>
      <c r="AF52" s="8">
        <f>INDEX(DriversGams!$A$5:$BA$26,MATCH(Drivers!$A52,DriversGams!$A$5:$A$26,0),MATCH(Drivers!AF$3,DriversGams!$A$5:$BA$5,0))</f>
        <v>276.38700769529987</v>
      </c>
      <c r="AG52" s="8">
        <f>INDEX(DriversGams!$A$5:$BA$26,MATCH(Drivers!$A52,DriversGams!$A$5:$A$26,0),MATCH(Drivers!AG$3,DriversGams!$A$5:$BA$5,0))</f>
        <v>313.86434857773315</v>
      </c>
      <c r="AH52" s="8">
        <f>INDEX(DriversGams!$A$5:$BA$26,MATCH(Drivers!$A52,DriversGams!$A$5:$A$26,0),MATCH(Drivers!AH$3,DriversGams!$A$5:$BA$5,0))</f>
        <v>354.12490358307764</v>
      </c>
      <c r="AI52" s="8">
        <f t="shared" si="153"/>
        <v>396.54221058037763</v>
      </c>
      <c r="AJ52" s="8">
        <f t="shared" si="154"/>
        <v>424.25226115141135</v>
      </c>
      <c r="AK52" s="8">
        <f t="shared" si="155"/>
        <v>433.65348765051317</v>
      </c>
      <c r="AL52" s="107"/>
      <c r="AM52" s="107"/>
      <c r="AN52" s="8">
        <v>420.26625317254434</v>
      </c>
      <c r="AO52" s="8">
        <v>470.60601324322437</v>
      </c>
      <c r="AP52" s="8">
        <v>503.49158274392465</v>
      </c>
      <c r="AQ52" s="8">
        <v>514.64871458081916</v>
      </c>
    </row>
    <row r="53" spans="1:43">
      <c r="A53" s="115" t="s">
        <v>577</v>
      </c>
      <c r="B53">
        <f t="shared" si="156"/>
        <v>7</v>
      </c>
      <c r="C53" s="257">
        <v>0.14875454246747444</v>
      </c>
      <c r="D53" s="257">
        <v>0.12</v>
      </c>
      <c r="E53" s="257">
        <v>0.12</v>
      </c>
      <c r="F53" s="257">
        <v>0.12</v>
      </c>
      <c r="G53" s="257">
        <v>0.12</v>
      </c>
      <c r="H53" s="257">
        <v>0.12</v>
      </c>
      <c r="I53" s="257">
        <v>0.12</v>
      </c>
      <c r="J53" s="8">
        <f>INDEX(DriversGams!$A$5:$BA$26,MATCH(Drivers!$A53,DriversGams!$A$5:$A$26,0),MATCH(Drivers!J$3,DriversGams!$A$5:$BA$5,0))</f>
        <v>0.12038694518980531</v>
      </c>
      <c r="K53" s="8">
        <f>INDEX(DriversGams!$A$5:$BA$26,MATCH(Drivers!$A53,DriversGams!$A$5:$A$26,0),MATCH(Drivers!K$3,DriversGams!$A$5:$BA$5,0))</f>
        <v>0.12023131397402477</v>
      </c>
      <c r="L53" s="8">
        <f>INDEX(DriversGams!$A$5:$BA$26,MATCH(Drivers!$A53,DriversGams!$A$5:$A$26,0),MATCH(Drivers!L$3,DriversGams!$A$5:$BA$5,0))</f>
        <v>0.12007336850336391</v>
      </c>
      <c r="M53" s="8">
        <f>INDEX(DriversGams!$A$5:$BA$26,MATCH(Drivers!$A53,DriversGams!$A$5:$A$26,0),MATCH(Drivers!M$3,DriversGams!$A$5:$BA$5,0))</f>
        <v>0.11998315499995697</v>
      </c>
      <c r="N53" s="8">
        <f>INDEX(DriversGams!$A$5:$BA$26,MATCH(Drivers!$A53,DriversGams!$A$5:$A$26,0),MATCH(Drivers!N$3,DriversGams!$A$5:$BA$5,0))</f>
        <v>0.11998315499995701</v>
      </c>
      <c r="O53" s="8">
        <f>INDEX(DriversGams!$A$5:$BA$26,MATCH(Drivers!$A53,DriversGams!$A$5:$A$26,0),MATCH(Drivers!O$3,DriversGams!$A$5:$BA$5,0))</f>
        <v>0.11998315499995699</v>
      </c>
      <c r="P53" s="8">
        <f>INDEX(DriversGams!$A$5:$BA$26,MATCH(Drivers!$A53,DriversGams!$A$5:$A$26,0),MATCH(Drivers!P$3,DriversGams!$A$5:$BA$5,0))</f>
        <v>0.11998315499995695</v>
      </c>
      <c r="Q53" s="8">
        <f>INDEX(DriversGams!$A$5:$BA$26,MATCH(Drivers!$A53,DriversGams!$A$5:$A$26,0),MATCH(Drivers!Q$3,DriversGams!$A$5:$BA$5,0))</f>
        <v>0.11993552530359924</v>
      </c>
      <c r="R53" s="8">
        <f>INDEX(DriversGams!$A$5:$BA$26,MATCH(Drivers!$A53,DriversGams!$A$5:$A$26,0),MATCH(Drivers!R$3,DriversGams!$A$5:$BA$5,0))</f>
        <v>0.11993355239839114</v>
      </c>
      <c r="S53" s="8">
        <f>INDEX(DriversGams!$A$5:$BA$26,MATCH(Drivers!$A53,DriversGams!$A$5:$A$26,0),MATCH(Drivers!S$3,DriversGams!$A$5:$BA$5,0))</f>
        <v>0.1199335523983911</v>
      </c>
      <c r="T53" s="8">
        <f>INDEX(DriversGams!$A$5:$BA$26,MATCH(Drivers!$A53,DriversGams!$A$5:$A$26,0),MATCH(Drivers!T$3,DriversGams!$A$5:$BA$5,0))</f>
        <v>0.11993355239839106</v>
      </c>
      <c r="U53" s="8">
        <f>INDEX(DriversGams!$A$5:$BA$26,MATCH(Drivers!$A53,DriversGams!$A$5:$A$26,0),MATCH(Drivers!U$3,DriversGams!$A$5:$BA$5,0))</f>
        <v>0.11993355239839106</v>
      </c>
      <c r="V53" s="8">
        <f>INDEX(DriversGams!$A$5:$BA$26,MATCH(Drivers!$A53,DriversGams!$A$5:$A$26,0),MATCH(Drivers!V$3,DriversGams!$A$5:$BA$5,0))</f>
        <v>0.11993355239839103</v>
      </c>
      <c r="W53" s="8">
        <f>INDEX(DriversGams!$A$5:$BA$26,MATCH(Drivers!$A53,DriversGams!$A$5:$A$26,0),MATCH(Drivers!W$3,DriversGams!$A$5:$BA$5,0))</f>
        <v>0.11993355239839103</v>
      </c>
      <c r="X53" s="8">
        <f>INDEX(DriversGams!$A$5:$BA$26,MATCH(Drivers!$A53,DriversGams!$A$5:$A$26,0),MATCH(Drivers!X$3,DriversGams!$A$5:$BA$5,0))</f>
        <v>0.11993355239839101</v>
      </c>
      <c r="Y53" s="8">
        <f>INDEX(DriversGams!$A$5:$BA$26,MATCH(Drivers!$A53,DriversGams!$A$5:$A$26,0),MATCH(Drivers!Y$3,DriversGams!$A$5:$BA$5,0))</f>
        <v>0.11993355239839101</v>
      </c>
      <c r="Z53" s="8">
        <f>INDEX(DriversGams!$A$5:$BA$26,MATCH(Drivers!$A53,DriversGams!$A$5:$A$26,0),MATCH(Drivers!Z$3,DriversGams!$A$5:$BA$5,0))</f>
        <v>0.11993355239839106</v>
      </c>
      <c r="AA53" s="8">
        <f>INDEX(DriversGams!$A$5:$BA$26,MATCH(Drivers!$A53,DriversGams!$A$5:$A$26,0),MATCH(Drivers!AA$3,DriversGams!$A$5:$BA$5,0))</f>
        <v>0.11018576569103632</v>
      </c>
      <c r="AB53" s="8">
        <f>INDEX(DriversGams!$A$5:$BA$26,MATCH(Drivers!$A53,DriversGams!$A$5:$A$26,0),MATCH(Drivers!AB$3,DriversGams!$A$5:$BA$5,0))</f>
        <v>0.10043797898368148</v>
      </c>
      <c r="AC53" s="8">
        <f>INDEX(DriversGams!$A$5:$BA$26,MATCH(Drivers!$A53,DriversGams!$A$5:$A$26,0),MATCH(Drivers!AC$3,DriversGams!$A$5:$BA$5,0))</f>
        <v>9.0690192276326714E-2</v>
      </c>
      <c r="AD53" s="8">
        <f>INDEX(DriversGams!$A$5:$BA$26,MATCH(Drivers!$A53,DriversGams!$A$5:$A$26,0),MATCH(Drivers!AD$3,DriversGams!$A$5:$BA$5,0))</f>
        <v>8.0881587992628096E-2</v>
      </c>
      <c r="AE53" s="8">
        <f>INDEX(DriversGams!$A$5:$BA$26,MATCH(Drivers!$A53,DriversGams!$A$5:$A$26,0),MATCH(Drivers!AE$3,DriversGams!$A$5:$BA$5,0))</f>
        <v>7.430781065894787E-2</v>
      </c>
      <c r="AF53" s="8">
        <f>INDEX(DriversGams!$A$5:$BA$26,MATCH(Drivers!$A53,DriversGams!$A$5:$A$26,0),MATCH(Drivers!AF$3,DriversGams!$A$5:$BA$5,0))</f>
        <v>2.6561231586720049</v>
      </c>
      <c r="AG53" s="8">
        <f>INDEX(DriversGams!$A$5:$BA$26,MATCH(Drivers!$A53,DriversGams!$A$5:$A$26,0),MATCH(Drivers!AG$3,DriversGams!$A$5:$BA$5,0))</f>
        <v>10.141716747892225</v>
      </c>
      <c r="AH53" s="8">
        <f>INDEX(DriversGams!$A$5:$BA$26,MATCH(Drivers!$A53,DriversGams!$A$5:$A$26,0),MATCH(Drivers!AH$3,DriversGams!$A$5:$BA$5,0))</f>
        <v>14.680154647786059</v>
      </c>
      <c r="AI53" s="8">
        <f t="shared" si="153"/>
        <v>16.438552942180223</v>
      </c>
      <c r="AJ53" s="8">
        <f t="shared" si="154"/>
        <v>17.587265793394078</v>
      </c>
      <c r="AK53" s="8">
        <f t="shared" si="155"/>
        <v>17.976991162859097</v>
      </c>
      <c r="AL53" s="107"/>
      <c r="AM53" s="107"/>
      <c r="AN53" s="8">
        <v>0.32486440595661764</v>
      </c>
      <c r="AO53" s="8">
        <v>0.36377687187056762</v>
      </c>
      <c r="AP53" s="8">
        <v>0.38919730693939036</v>
      </c>
      <c r="AQ53" s="8">
        <v>0.39782173247679914</v>
      </c>
    </row>
    <row r="54" spans="1:43">
      <c r="A54" s="115" t="s">
        <v>693</v>
      </c>
      <c r="B54">
        <f t="shared" si="156"/>
        <v>8</v>
      </c>
      <c r="C54" s="257">
        <v>0.28999999999999998</v>
      </c>
      <c r="D54" s="257">
        <v>0.28999999999999998</v>
      </c>
      <c r="E54" s="257">
        <v>0.28999999999999998</v>
      </c>
      <c r="F54" s="257">
        <v>0.28999999999999998</v>
      </c>
      <c r="G54" s="257">
        <v>0.28999999999999998</v>
      </c>
      <c r="H54" s="257">
        <v>0.28999999999999998</v>
      </c>
      <c r="I54" s="257">
        <v>0.28999999999999998</v>
      </c>
      <c r="J54" s="8">
        <f>INDEX(DriversGams!$A$5:$BA$26,MATCH(Drivers!$A54,DriversGams!$A$5:$A$26,0),MATCH(Drivers!J$3,DriversGams!$A$5:$BA$5,0))</f>
        <v>0.28999999999999998</v>
      </c>
      <c r="K54" s="8">
        <f>INDEX(DriversGams!$A$5:$BA$26,MATCH(Drivers!$A54,DriversGams!$A$5:$A$26,0),MATCH(Drivers!K$3,DriversGams!$A$5:$BA$5,0))</f>
        <v>0.28962510010944126</v>
      </c>
      <c r="L54" s="8">
        <f>INDEX(DriversGams!$A$5:$BA$26,MATCH(Drivers!$A54,DriversGams!$A$5:$A$26,0),MATCH(Drivers!L$3,DriversGams!$A$5:$BA$5,0))</f>
        <v>0.28924462541245949</v>
      </c>
      <c r="M54" s="8">
        <f>INDEX(DriversGams!$A$5:$BA$26,MATCH(Drivers!$A54,DriversGams!$A$5:$A$26,0),MATCH(Drivers!M$3,DriversGams!$A$5:$BA$5,0))</f>
        <v>0.2890273101882318</v>
      </c>
      <c r="N54" s="8">
        <f>INDEX(DriversGams!$A$5:$BA$26,MATCH(Drivers!$A54,DriversGams!$A$5:$A$26,0),MATCH(Drivers!N$3,DriversGams!$A$5:$BA$5,0))</f>
        <v>0.28902731018823186</v>
      </c>
      <c r="O54" s="8">
        <f>INDEX(DriversGams!$A$5:$BA$26,MATCH(Drivers!$A54,DriversGams!$A$5:$A$26,0),MATCH(Drivers!O$3,DriversGams!$A$5:$BA$5,0))</f>
        <v>0.2890273101882318</v>
      </c>
      <c r="P54" s="8">
        <f>INDEX(DriversGams!$A$5:$BA$26,MATCH(Drivers!$A54,DriversGams!$A$5:$A$26,0),MATCH(Drivers!P$3,DriversGams!$A$5:$BA$5,0))</f>
        <v>0.28902731018823175</v>
      </c>
      <c r="Q54" s="8">
        <f>INDEX(DriversGams!$A$5:$BA$26,MATCH(Drivers!$A54,DriversGams!$A$5:$A$26,0),MATCH(Drivers!Q$3,DriversGams!$A$5:$BA$5,0))</f>
        <v>0.28891257505709311</v>
      </c>
      <c r="R54" s="8">
        <f>INDEX(DriversGams!$A$5:$BA$26,MATCH(Drivers!$A54,DriversGams!$A$5:$A$26,0),MATCH(Drivers!R$3,DriversGams!$A$5:$BA$5,0))</f>
        <v>0.28890782252757718</v>
      </c>
      <c r="S54" s="8">
        <f>INDEX(DriversGams!$A$5:$BA$26,MATCH(Drivers!$A54,DriversGams!$A$5:$A$26,0),MATCH(Drivers!S$3,DriversGams!$A$5:$BA$5,0))</f>
        <v>0.28890782252757713</v>
      </c>
      <c r="T54" s="8">
        <f>INDEX(DriversGams!$A$5:$BA$26,MATCH(Drivers!$A54,DriversGams!$A$5:$A$26,0),MATCH(Drivers!T$3,DriversGams!$A$5:$BA$5,0))</f>
        <v>0.28890782252757707</v>
      </c>
      <c r="U54" s="8">
        <f>INDEX(DriversGams!$A$5:$BA$26,MATCH(Drivers!$A54,DriversGams!$A$5:$A$26,0),MATCH(Drivers!U$3,DriversGams!$A$5:$BA$5,0))</f>
        <v>0.28890782252757702</v>
      </c>
      <c r="V54" s="8">
        <f>INDEX(DriversGams!$A$5:$BA$26,MATCH(Drivers!$A54,DriversGams!$A$5:$A$26,0),MATCH(Drivers!V$3,DriversGams!$A$5:$BA$5,0))</f>
        <v>0.28890782252757702</v>
      </c>
      <c r="W54" s="8">
        <f>INDEX(DriversGams!$A$5:$BA$26,MATCH(Drivers!$A54,DriversGams!$A$5:$A$26,0),MATCH(Drivers!W$3,DriversGams!$A$5:$BA$5,0))</f>
        <v>0.28890782252757702</v>
      </c>
      <c r="X54" s="8">
        <f>INDEX(DriversGams!$A$5:$BA$26,MATCH(Drivers!$A54,DriversGams!$A$5:$A$26,0),MATCH(Drivers!X$3,DriversGams!$A$5:$BA$5,0))</f>
        <v>0.28890782252757702</v>
      </c>
      <c r="Y54" s="8">
        <f>INDEX(DriversGams!$A$5:$BA$26,MATCH(Drivers!$A54,DriversGams!$A$5:$A$26,0),MATCH(Drivers!Y$3,DriversGams!$A$5:$BA$5,0))</f>
        <v>0.28890782252757702</v>
      </c>
      <c r="Z54" s="8">
        <f>INDEX(DriversGams!$A$5:$BA$26,MATCH(Drivers!$A54,DriversGams!$A$5:$A$26,0),MATCH(Drivers!Z$3,DriversGams!$A$5:$BA$5,0))</f>
        <v>0.28890782252757707</v>
      </c>
      <c r="AA54" s="8">
        <f>INDEX(DriversGams!$A$5:$BA$26,MATCH(Drivers!$A54,DriversGams!$A$5:$A$26,0),MATCH(Drivers!AA$3,DriversGams!$A$5:$BA$5,0))</f>
        <v>0.28890782252757707</v>
      </c>
      <c r="AB54" s="8">
        <f>INDEX(DriversGams!$A$5:$BA$26,MATCH(Drivers!$A54,DriversGams!$A$5:$A$26,0),MATCH(Drivers!AB$3,DriversGams!$A$5:$BA$5,0))</f>
        <v>0.28890782252757696</v>
      </c>
      <c r="AC54" s="8">
        <f>INDEX(DriversGams!$A$5:$BA$26,MATCH(Drivers!$A54,DriversGams!$A$5:$A$26,0),MATCH(Drivers!AC$3,DriversGams!$A$5:$BA$5,0))</f>
        <v>0.28890782252757702</v>
      </c>
      <c r="AD54" s="8">
        <f>INDEX(DriversGams!$A$5:$BA$26,MATCH(Drivers!$A54,DriversGams!$A$5:$A$26,0),MATCH(Drivers!AD$3,DriversGams!$A$5:$BA$5,0))</f>
        <v>0.28890782252757691</v>
      </c>
      <c r="AE54" s="8">
        <f>INDEX(DriversGams!$A$5:$BA$26,MATCH(Drivers!$A54,DriversGams!$A$5:$A$26,0),MATCH(Drivers!AE$3,DriversGams!$A$5:$BA$5,0))</f>
        <v>0.28890782252757691</v>
      </c>
      <c r="AF54" s="8">
        <f>INDEX(DriversGams!$A$5:$BA$26,MATCH(Drivers!$A54,DriversGams!$A$5:$A$26,0),MATCH(Drivers!AF$3,DriversGams!$A$5:$BA$5,0))</f>
        <v>0.28890782252757707</v>
      </c>
      <c r="AG54" s="8">
        <f>INDEX(DriversGams!$A$5:$BA$26,MATCH(Drivers!$A54,DriversGams!$A$5:$A$26,0),MATCH(Drivers!AG$3,DriversGams!$A$5:$BA$5,0))</f>
        <v>0.28890782252757691</v>
      </c>
      <c r="AH54" s="8">
        <f>INDEX(DriversGams!$A$5:$BA$26,MATCH(Drivers!$A54,DriversGams!$A$5:$A$26,0),MATCH(Drivers!AH$3,DriversGams!$A$5:$BA$5,0))</f>
        <v>0.28890782252757702</v>
      </c>
      <c r="AI54" s="8">
        <f t="shared" si="153"/>
        <v>0.32351338592647744</v>
      </c>
      <c r="AJ54" s="8">
        <f t="shared" si="154"/>
        <v>0.34612024099824534</v>
      </c>
      <c r="AK54" s="8">
        <f t="shared" si="155"/>
        <v>0.35379009942803202</v>
      </c>
      <c r="AL54" s="107"/>
      <c r="AM54" s="107"/>
      <c r="AN54" s="8">
        <v>0.7850889810618259</v>
      </c>
      <c r="AO54" s="8">
        <v>0.87912744035387169</v>
      </c>
      <c r="AP54" s="8">
        <v>0.94056015843685992</v>
      </c>
      <c r="AQ54" s="8">
        <v>0.96140252015226446</v>
      </c>
    </row>
    <row r="55" spans="1:43">
      <c r="A55" s="115" t="s">
        <v>694</v>
      </c>
      <c r="B55">
        <f t="shared" si="156"/>
        <v>9</v>
      </c>
      <c r="C55" s="257">
        <v>0.08</v>
      </c>
      <c r="D55" s="257">
        <v>0.08</v>
      </c>
      <c r="E55" s="257">
        <v>0.08</v>
      </c>
      <c r="F55" s="257">
        <v>0.08</v>
      </c>
      <c r="G55" s="257">
        <v>0.08</v>
      </c>
      <c r="H55" s="257">
        <v>0.08</v>
      </c>
      <c r="I55" s="257">
        <v>0.08</v>
      </c>
      <c r="J55" s="8">
        <f>INDEX(DriversGams!$A$5:$BA$26,MATCH(Drivers!$A55,DriversGams!$A$5:$A$26,0),MATCH(Drivers!J$3,DriversGams!$A$5:$BA$5,0))</f>
        <v>7.816978240367306E-2</v>
      </c>
      <c r="K55" s="8">
        <f>INDEX(DriversGams!$A$5:$BA$26,MATCH(Drivers!$A55,DriversGams!$A$5:$A$26,0),MATCH(Drivers!K$3,DriversGams!$A$5:$BA$5,0))</f>
        <v>7.8068727773093288E-2</v>
      </c>
      <c r="L55" s="8">
        <f>INDEX(DriversGams!$A$5:$BA$26,MATCH(Drivers!$A55,DriversGams!$A$5:$A$26,0),MATCH(Drivers!L$3,DriversGams!$A$5:$BA$5,0))</f>
        <v>7.7966170448013392E-2</v>
      </c>
      <c r="M55" s="8">
        <f>INDEX(DriversGams!$A$5:$BA$26,MATCH(Drivers!$A55,DriversGams!$A$5:$A$26,0),MATCH(Drivers!M$3,DriversGams!$A$5:$BA$5,0))</f>
        <v>7.7907592917700011E-2</v>
      </c>
      <c r="N55" s="8">
        <f>INDEX(DriversGams!$A$5:$BA$26,MATCH(Drivers!$A55,DriversGams!$A$5:$A$26,0),MATCH(Drivers!N$3,DriversGams!$A$5:$BA$5,0))</f>
        <v>7.7907592917700025E-2</v>
      </c>
      <c r="O55" s="8">
        <f>INDEX(DriversGams!$A$5:$BA$26,MATCH(Drivers!$A55,DriversGams!$A$5:$A$26,0),MATCH(Drivers!O$3,DriversGams!$A$5:$BA$5,0))</f>
        <v>7.7907592917700011E-2</v>
      </c>
      <c r="P55" s="8">
        <f>INDEX(DriversGams!$A$5:$BA$26,MATCH(Drivers!$A55,DriversGams!$A$5:$A$26,0),MATCH(Drivers!P$3,DriversGams!$A$5:$BA$5,0))</f>
        <v>7.7907592917699983E-2</v>
      </c>
      <c r="Q55" s="8">
        <f>INDEX(DriversGams!$A$5:$BA$26,MATCH(Drivers!$A55,DriversGams!$A$5:$A$26,0),MATCH(Drivers!Q$3,DriversGams!$A$5:$BA$5,0))</f>
        <v>7.7876665951371826E-2</v>
      </c>
      <c r="R55" s="8">
        <f>INDEX(DriversGams!$A$5:$BA$26,MATCH(Drivers!$A55,DriversGams!$A$5:$A$26,0),MATCH(Drivers!R$3,DriversGams!$A$5:$BA$5,0))</f>
        <v>7.7875384902412761E-2</v>
      </c>
      <c r="S55" s="8">
        <f>INDEX(DriversGams!$A$5:$BA$26,MATCH(Drivers!$A55,DriversGams!$A$5:$A$26,0),MATCH(Drivers!S$3,DriversGams!$A$5:$BA$5,0))</f>
        <v>7.7875384902412734E-2</v>
      </c>
      <c r="T55" s="8">
        <f>INDEX(DriversGams!$A$5:$BA$26,MATCH(Drivers!$A55,DriversGams!$A$5:$A$26,0),MATCH(Drivers!T$3,DriversGams!$A$5:$BA$5,0))</f>
        <v>7.787538490241272E-2</v>
      </c>
      <c r="U55" s="8">
        <f>INDEX(DriversGams!$A$5:$BA$26,MATCH(Drivers!$A55,DriversGams!$A$5:$A$26,0),MATCH(Drivers!U$3,DriversGams!$A$5:$BA$5,0))</f>
        <v>7.7875384902412706E-2</v>
      </c>
      <c r="V55" s="8">
        <f>INDEX(DriversGams!$A$5:$BA$26,MATCH(Drivers!$A55,DriversGams!$A$5:$A$26,0),MATCH(Drivers!V$3,DriversGams!$A$5:$BA$5,0))</f>
        <v>7.7875384902412706E-2</v>
      </c>
      <c r="W55" s="8">
        <f>INDEX(DriversGams!$A$5:$BA$26,MATCH(Drivers!$A55,DriversGams!$A$5:$A$26,0),MATCH(Drivers!W$3,DriversGams!$A$5:$BA$5,0))</f>
        <v>7.7875384902412706E-2</v>
      </c>
      <c r="X55" s="8">
        <f>INDEX(DriversGams!$A$5:$BA$26,MATCH(Drivers!$A55,DriversGams!$A$5:$A$26,0),MATCH(Drivers!X$3,DriversGams!$A$5:$BA$5,0))</f>
        <v>0.10463784600766005</v>
      </c>
      <c r="Y55" s="8">
        <f>INDEX(DriversGams!$A$5:$BA$26,MATCH(Drivers!$A55,DriversGams!$A$5:$A$26,0),MATCH(Drivers!Y$3,DriversGams!$A$5:$BA$5,0))</f>
        <v>0.54406890647617456</v>
      </c>
      <c r="Z55" s="8">
        <f>INDEX(DriversGams!$A$5:$BA$26,MATCH(Drivers!$A55,DriversGams!$A$5:$A$26,0),MATCH(Drivers!Z$3,DriversGams!$A$5:$BA$5,0))</f>
        <v>5.4406890647617459E-2</v>
      </c>
      <c r="AA55" s="8">
        <f>INDEX(DriversGams!$A$5:$BA$26,MATCH(Drivers!$A55,DriversGams!$A$5:$A$26,0),MATCH(Drivers!AA$3,DriversGams!$A$5:$BA$5,0))</f>
        <v>0.56234099203348464</v>
      </c>
      <c r="AB55" s="8">
        <f>INDEX(DriversGams!$A$5:$BA$26,MATCH(Drivers!$A55,DriversGams!$A$5:$A$26,0),MATCH(Drivers!AB$3,DriversGams!$A$5:$BA$5,0))</f>
        <v>2.821024482164602</v>
      </c>
      <c r="AC55" s="8">
        <f>INDEX(DriversGams!$A$5:$BA$26,MATCH(Drivers!$A55,DriversGams!$A$5:$A$26,0),MATCH(Drivers!AC$3,DriversGams!$A$5:$BA$5,0))</f>
        <v>2.0659152549534543</v>
      </c>
      <c r="AD55" s="8">
        <f>INDEX(DriversGams!$A$5:$BA$26,MATCH(Drivers!$A55,DriversGams!$A$5:$A$26,0),MATCH(Drivers!AD$3,DriversGams!$A$5:$BA$5,0))</f>
        <v>0.20659152549534529</v>
      </c>
      <c r="AE55" s="8">
        <f>INDEX(DriversGams!$A$5:$BA$26,MATCH(Drivers!$A55,DriversGams!$A$5:$A$26,0),MATCH(Drivers!AE$3,DriversGams!$A$5:$BA$5,0))</f>
        <v>0.13488547202630427</v>
      </c>
      <c r="AF55" s="8">
        <f>INDEX(DriversGams!$A$5:$BA$26,MATCH(Drivers!$A55,DriversGams!$A$5:$A$26,0),MATCH(Drivers!AF$3,DriversGams!$A$5:$BA$5,0))</f>
        <v>1.0343853386815742</v>
      </c>
      <c r="AG55" s="8">
        <f>INDEX(DriversGams!$A$5:$BA$26,MATCH(Drivers!$A55,DriversGams!$A$5:$A$26,0),MATCH(Drivers!AG$3,DriversGams!$A$5:$BA$5,0))</f>
        <v>1.6033517672309732</v>
      </c>
      <c r="AH55" s="8">
        <f>INDEX(DriversGams!$A$5:$BA$26,MATCH(Drivers!$A55,DriversGams!$A$5:$A$26,0),MATCH(Drivers!AH$3,DriversGams!$A$5:$BA$5,0))</f>
        <v>8.8445805668801517E-2</v>
      </c>
      <c r="AI55" s="8">
        <f t="shared" si="153"/>
        <v>9.9039900728814592E-2</v>
      </c>
      <c r="AJ55" s="8">
        <f t="shared" si="154"/>
        <v>0.10596072929263613</v>
      </c>
      <c r="AK55" s="8">
        <f t="shared" si="155"/>
        <v>0.10830876820087089</v>
      </c>
      <c r="AL55" s="107"/>
      <c r="AM55" s="107"/>
      <c r="AN55" s="8">
        <v>0.21657627063774509</v>
      </c>
      <c r="AO55" s="8">
        <v>0.24251791458037844</v>
      </c>
      <c r="AP55" s="8">
        <v>0.25946487129292689</v>
      </c>
      <c r="AQ55" s="8">
        <v>0.26521448831786609</v>
      </c>
    </row>
    <row r="56" spans="1:43">
      <c r="A56" s="115" t="s">
        <v>372</v>
      </c>
      <c r="B56">
        <f t="shared" si="156"/>
        <v>10</v>
      </c>
      <c r="C56" s="257">
        <v>14.50864017337797</v>
      </c>
      <c r="D56" s="257">
        <v>14.950424082313688</v>
      </c>
      <c r="E56" s="257">
        <v>15.23525618743048</v>
      </c>
      <c r="F56" s="257">
        <v>15.616844236651836</v>
      </c>
      <c r="G56" s="257">
        <v>15.665765781423806</v>
      </c>
      <c r="H56" s="257">
        <v>15.777741761679646</v>
      </c>
      <c r="I56" s="257">
        <v>15.787526070634039</v>
      </c>
      <c r="J56" s="8">
        <f>IF(ISNA(INDEX(DriversGams!$A$5:$BA$26,MATCH(Drivers!$A57,DriversGams!$A$5:$A$26,0),MATCH(Drivers!J$3,DriversGams!$A$5:$BA$5,0))),0.75,1)*INDEX(DriversGams!$A$5:$BA$26,MATCH(Drivers!$A56,DriversGams!$A$5:$A$26,0),MATCH(Drivers!J$3,DriversGams!$A$5:$BA$5,0))</f>
        <v>15.616512303716529</v>
      </c>
      <c r="K56" s="8">
        <f>IF(ISNA(INDEX(DriversGams!$A$5:$BA$26,MATCH(Drivers!$A57,DriversGams!$A$5:$A$26,0),MATCH(Drivers!K$3,DriversGams!$A$5:$BA$5,0))),0.75,1)*INDEX(DriversGams!$A$5:$BA$26,MATCH(Drivers!$A56,DriversGams!$A$5:$A$26,0),MATCH(Drivers!K$3,DriversGams!$A$5:$BA$5,0))</f>
        <v>12.932241590329824</v>
      </c>
      <c r="L56" s="8">
        <f>IF(ISNA(INDEX(DriversGams!$A$5:$BA$26,MATCH(Drivers!$A57,DriversGams!$A$5:$A$26,0),MATCH(Drivers!L$3,DriversGams!$A$5:$BA$5,0))),0.75,1)*INDEX(DriversGams!$A$5:$BA$26,MATCH(Drivers!$A56,DriversGams!$A$5:$A$26,0),MATCH(Drivers!L$3,DriversGams!$A$5:$BA$5,0))</f>
        <v>12.877118705320022</v>
      </c>
      <c r="M56" s="8">
        <f>IF(ISNA(INDEX(DriversGams!$A$5:$BA$26,MATCH(Drivers!$A57,DriversGams!$A$5:$A$26,0),MATCH(Drivers!M$3,DriversGams!$A$5:$BA$5,0))),0.75,1)*INDEX(DriversGams!$A$5:$BA$26,MATCH(Drivers!$A56,DriversGams!$A$5:$A$26,0),MATCH(Drivers!M$3,DriversGams!$A$5:$BA$5,0))</f>
        <v>14.219373965587163</v>
      </c>
      <c r="N56" s="8">
        <f>IF(ISNA(INDEX(DriversGams!$A$5:$BA$26,MATCH(Drivers!$A57,DriversGams!$A$5:$A$26,0),MATCH(Drivers!N$3,DriversGams!$A$5:$BA$5,0))),0.75,1)*INDEX(DriversGams!$A$5:$BA$26,MATCH(Drivers!$A56,DriversGams!$A$5:$A$26,0),MATCH(Drivers!N$3,DriversGams!$A$5:$BA$5,0))</f>
        <v>13.711159645583869</v>
      </c>
      <c r="O56" s="8">
        <f>IF(ISNA(INDEX(DriversGams!$A$5:$BA$26,MATCH(Drivers!$A57,DriversGams!$A$5:$A$26,0),MATCH(Drivers!O$3,DriversGams!$A$5:$BA$5,0))),0.75,1)*INDEX(DriversGams!$A$5:$BA$26,MATCH(Drivers!$A56,DriversGams!$A$5:$A$26,0),MATCH(Drivers!O$3,DriversGams!$A$5:$BA$5,0))</f>
        <v>13.736746580548804</v>
      </c>
      <c r="P56" s="8">
        <f>IF(ISNA(INDEX(DriversGams!$A$5:$BA$26,MATCH(Drivers!$A57,DriversGams!$A$5:$A$26,0),MATCH(Drivers!P$3,DriversGams!$A$5:$BA$5,0))),0.75,1)*INDEX(DriversGams!$A$5:$BA$26,MATCH(Drivers!$A56,DriversGams!$A$5:$A$26,0),MATCH(Drivers!P$3,DriversGams!$A$5:$BA$5,0))</f>
        <v>13.906459320938904</v>
      </c>
      <c r="Q56" s="8">
        <f>IF(ISNA(INDEX(DriversGams!$A$5:$BA$26,MATCH(Drivers!$A57,DriversGams!$A$5:$A$26,0),MATCH(Drivers!Q$3,DriversGams!$A$5:$BA$5,0))),0.75,1)*INDEX(DriversGams!$A$5:$BA$26,MATCH(Drivers!$A56,DriversGams!$A$5:$A$26,0),MATCH(Drivers!Q$3,DriversGams!$A$5:$BA$5,0))</f>
        <v>14.546020075266576</v>
      </c>
      <c r="R56" s="8">
        <f>IF(ISNA(INDEX(DriversGams!$A$5:$BA$26,MATCH(Drivers!$A57,DriversGams!$A$5:$A$26,0),MATCH(Drivers!R$3,DriversGams!$A$5:$BA$5,0))),0.75,1)*INDEX(DriversGams!$A$5:$BA$26,MATCH(Drivers!$A56,DriversGams!$A$5:$A$26,0),MATCH(Drivers!R$3,DriversGams!$A$5:$BA$5,0))</f>
        <v>14.82267218296662</v>
      </c>
      <c r="S56" s="8">
        <f>IF(ISNA(INDEX(DriversGams!$A$5:$BA$26,MATCH(Drivers!$A57,DriversGams!$A$5:$A$26,0),MATCH(Drivers!S$3,DriversGams!$A$5:$BA$5,0))),0.75,1)*INDEX(DriversGams!$A$5:$BA$26,MATCH(Drivers!$A56,DriversGams!$A$5:$A$26,0),MATCH(Drivers!S$3,DriversGams!$A$5:$BA$5,0))</f>
        <v>15.247986754691158</v>
      </c>
      <c r="T56" s="8">
        <f>IF(ISNA(INDEX(DriversGams!$A$5:$BA$26,MATCH(Drivers!$A57,DriversGams!$A$5:$A$26,0),MATCH(Drivers!T$3,DriversGams!$A$5:$BA$5,0))),0.75,1)*INDEX(DriversGams!$A$5:$BA$26,MATCH(Drivers!$A56,DriversGams!$A$5:$A$26,0),MATCH(Drivers!T$3,DriversGams!$A$5:$BA$5,0))</f>
        <v>15.589262309383916</v>
      </c>
      <c r="U56" s="8">
        <f>IF(ISNA(INDEX(DriversGams!$A$5:$BA$26,MATCH(Drivers!$A57,DriversGams!$A$5:$A$26,0),MATCH(Drivers!U$3,DriversGams!$A$5:$BA$5,0))),0.75,1)*INDEX(DriversGams!$A$5:$BA$26,MATCH(Drivers!$A56,DriversGams!$A$5:$A$26,0),MATCH(Drivers!U$3,DriversGams!$A$5:$BA$5,0))</f>
        <v>16.146844750202064</v>
      </c>
      <c r="V56" s="8">
        <f>IF(ISNA(INDEX(DriversGams!$A$5:$BA$26,MATCH(Drivers!$A57,DriversGams!$A$5:$A$26,0),MATCH(Drivers!V$3,DriversGams!$A$5:$BA$5,0))),0.75,1)*INDEX(DriversGams!$A$5:$BA$26,MATCH(Drivers!$A56,DriversGams!$A$5:$A$26,0),MATCH(Drivers!V$3,DriversGams!$A$5:$BA$5,0))</f>
        <v>16.654910372860314</v>
      </c>
      <c r="W56" s="8">
        <f>IF(ISNA(INDEX(DriversGams!$A$5:$BA$26,MATCH(Drivers!$A57,DriversGams!$A$5:$A$26,0),MATCH(Drivers!W$3,DriversGams!$A$5:$BA$5,0))),0.75,1)*INDEX(DriversGams!$A$5:$BA$26,MATCH(Drivers!$A56,DriversGams!$A$5:$A$26,0),MATCH(Drivers!W$3,DriversGams!$A$5:$BA$5,0))</f>
        <v>17.243962113433088</v>
      </c>
      <c r="X56" s="8">
        <f>IF(ISNA(INDEX(DriversGams!$A$5:$BA$26,MATCH(Drivers!$A57,DriversGams!$A$5:$A$26,0),MATCH(Drivers!X$3,DriversGams!$A$5:$BA$5,0))),0.75,1)*INDEX(DriversGams!$A$5:$BA$26,MATCH(Drivers!$A56,DriversGams!$A$5:$A$26,0),MATCH(Drivers!X$3,DriversGams!$A$5:$BA$5,0))</f>
        <v>17.698232763323862</v>
      </c>
      <c r="Y56" s="8">
        <f>IF(ISNA(INDEX(DriversGams!$A$5:$BA$26,MATCH(Drivers!$A57,DriversGams!$A$5:$A$26,0),MATCH(Drivers!Y$3,DriversGams!$A$5:$BA$5,0))),0.75,1)*INDEX(DriversGams!$A$5:$BA$26,MATCH(Drivers!$A56,DriversGams!$A$5:$A$26,0),MATCH(Drivers!Y$3,DriversGams!$A$5:$BA$5,0))</f>
        <v>18.129823852125384</v>
      </c>
      <c r="Z56" s="8">
        <f>IF(ISNA(INDEX(DriversGams!$A$5:$BA$26,MATCH(Drivers!$A57,DriversGams!$A$5:$A$26,0),MATCH(Drivers!Z$3,DriversGams!$A$5:$BA$5,0))),0.75,1)*INDEX(DriversGams!$A$5:$BA$26,MATCH(Drivers!$A56,DriversGams!$A$5:$A$26,0),MATCH(Drivers!Z$3,DriversGams!$A$5:$BA$5,0))</f>
        <v>18.700022758687709</v>
      </c>
      <c r="AA56" s="8">
        <f>IF(ISNA(INDEX(DriversGams!$A$5:$BA$26,MATCH(Drivers!$A57,DriversGams!$A$5:$A$26,0),MATCH(Drivers!AA$3,DriversGams!$A$5:$BA$5,0))),0.75,1)*INDEX(DriversGams!$A$5:$BA$26,MATCH(Drivers!$A56,DriversGams!$A$5:$A$26,0),MATCH(Drivers!AA$3,DriversGams!$A$5:$BA$5,0))</f>
        <v>19.364840590927724</v>
      </c>
      <c r="AB56" s="8">
        <f>IF(ISNA(INDEX(DriversGams!$A$5:$BA$26,MATCH(Drivers!$A57,DriversGams!$A$5:$A$26,0),MATCH(Drivers!AB$3,DriversGams!$A$5:$BA$5,0))),0.75,1)*INDEX(DriversGams!$A$5:$BA$26,MATCH(Drivers!$A56,DriversGams!$A$5:$A$26,0),MATCH(Drivers!AB$3,DriversGams!$A$5:$BA$5,0))</f>
        <v>19.882431297732932</v>
      </c>
      <c r="AC56" s="8">
        <f>IF(ISNA(INDEX(DriversGams!$A$5:$BA$26,MATCH(Drivers!$A57,DriversGams!$A$5:$A$26,0),MATCH(Drivers!AC$3,DriversGams!$A$5:$BA$5,0))),0.75,1)*INDEX(DriversGams!$A$5:$BA$26,MATCH(Drivers!$A56,DriversGams!$A$5:$A$26,0),MATCH(Drivers!AC$3,DriversGams!$A$5:$BA$5,0))</f>
        <v>20.498436729946157</v>
      </c>
      <c r="AD56" s="8">
        <f>IF(ISNA(INDEX(DriversGams!$A$5:$BA$26,MATCH(Drivers!$A57,DriversGams!$A$5:$A$26,0),MATCH(Drivers!AD$3,DriversGams!$A$5:$BA$5,0))),0.75,1)*INDEX(DriversGams!$A$5:$BA$26,MATCH(Drivers!$A56,DriversGams!$A$5:$A$26,0),MATCH(Drivers!AD$3,DriversGams!$A$5:$BA$5,0))</f>
        <v>21.002046736870106</v>
      </c>
      <c r="AE56" s="8">
        <f>IF(ISNA(INDEX(DriversGams!$A$5:$BA$26,MATCH(Drivers!$A57,DriversGams!$A$5:$A$26,0),MATCH(Drivers!AE$3,DriversGams!$A$5:$BA$5,0))),0.75,1)*INDEX(DriversGams!$A$5:$BA$26,MATCH(Drivers!$A56,DriversGams!$A$5:$A$26,0),MATCH(Drivers!AE$3,DriversGams!$A$5:$BA$5,0))</f>
        <v>21.69653436016819</v>
      </c>
      <c r="AF56" s="8">
        <f>IF(ISNA(INDEX(DriversGams!$A$5:$BA$26,MATCH(Drivers!$A57,DriversGams!$A$5:$A$26,0),MATCH(Drivers!AF$3,DriversGams!$A$5:$BA$5,0))),0.75,1)*INDEX(DriversGams!$A$5:$BA$26,MATCH(Drivers!$A56,DriversGams!$A$5:$A$26,0),MATCH(Drivers!AF$3,DriversGams!$A$5:$BA$5,0))</f>
        <v>25.327932365494483</v>
      </c>
      <c r="AG56" s="8">
        <f>IF(ISNA(INDEX(DriversGams!$A$5:$BA$26,MATCH(Drivers!$A57,DriversGams!$A$5:$A$26,0),MATCH(Drivers!AG$3,DriversGams!$A$5:$BA$5,0))),0.75,1)*INDEX(DriversGams!$A$5:$BA$26,MATCH(Drivers!$A56,DriversGams!$A$5:$A$26,0),MATCH(Drivers!AG$3,DriversGams!$A$5:$BA$5,0))</f>
        <v>28.930929551670701</v>
      </c>
      <c r="AH56" s="8">
        <f>IF(ISNA(INDEX(DriversGams!$A$5:$BA$26,MATCH(Drivers!$A57,DriversGams!$A$5:$A$26,0),MATCH(Drivers!AH$3,DriversGams!$A$5:$BA$5,0))),0.75,1)*INDEX(DriversGams!$A$5:$BA$26,MATCH(Drivers!$A56,DriversGams!$A$5:$A$26,0),MATCH(Drivers!AH$3,DriversGams!$A$5:$BA$5,0))</f>
        <v>32.961257069168013</v>
      </c>
      <c r="AI56" s="8">
        <f t="shared" si="153"/>
        <v>36.909377480845933</v>
      </c>
      <c r="AJ56" s="8">
        <f t="shared" si="154"/>
        <v>39.488575077597879</v>
      </c>
      <c r="AK56" s="8">
        <f t="shared" si="155"/>
        <v>40.363622949879677</v>
      </c>
      <c r="AL56" s="107"/>
      <c r="AM56" s="107"/>
      <c r="AN56" s="8">
        <v>56.445190534962315</v>
      </c>
      <c r="AO56" s="8">
        <v>63.206231487511133</v>
      </c>
      <c r="AP56" s="8">
        <v>67.623032080719071</v>
      </c>
      <c r="AQ56" s="8">
        <v>69.121526017843848</v>
      </c>
    </row>
    <row r="57" spans="1:43">
      <c r="A57" s="115" t="s">
        <v>796</v>
      </c>
      <c r="B57">
        <f t="shared" si="156"/>
        <v>11</v>
      </c>
      <c r="C57" s="257">
        <v>4.8362133911259901</v>
      </c>
      <c r="D57" s="257">
        <v>4.9834746941045625</v>
      </c>
      <c r="E57" s="257">
        <v>5.0784187291434932</v>
      </c>
      <c r="F57" s="257">
        <v>5.2056147455506121</v>
      </c>
      <c r="G57" s="257">
        <v>5.2219219271412687</v>
      </c>
      <c r="H57" s="257">
        <v>5.2592472538932151</v>
      </c>
      <c r="I57" s="257">
        <v>5.2625086902113463</v>
      </c>
      <c r="J57" s="8">
        <f>IFERROR(INDEX(DriversGams!$A$5:$BA$26,MATCH(Drivers!$A57,DriversGams!$A$5:$A$26,0),MATCH(Drivers!J$3,DriversGams!$A$5:$BA$5,0)),J56/3)</f>
        <v>5.2055041012388434</v>
      </c>
      <c r="K57" s="8">
        <f>IFERROR(INDEX(DriversGams!$A$5:$BA$26,MATCH(Drivers!$A57,DriversGams!$A$5:$A$26,0),MATCH(Drivers!K$3,DriversGams!$A$5:$BA$5,0)),K56/3)</f>
        <v>4.3107471967766076</v>
      </c>
      <c r="L57" s="8">
        <f>IFERROR(INDEX(DriversGams!$A$5:$BA$26,MATCH(Drivers!$A57,DriversGams!$A$5:$A$26,0),MATCH(Drivers!L$3,DriversGams!$A$5:$BA$5,0)),L56/3)</f>
        <v>4.2923729017733407</v>
      </c>
      <c r="M57" s="8">
        <f>IFERROR(INDEX(DriversGams!$A$5:$BA$26,MATCH(Drivers!$A57,DriversGams!$A$5:$A$26,0),MATCH(Drivers!M$3,DriversGams!$A$5:$BA$5,0)),M56/3)</f>
        <v>4.7397913218623877</v>
      </c>
      <c r="N57" s="8">
        <f>IFERROR(INDEX(DriversGams!$A$5:$BA$26,MATCH(Drivers!$A57,DriversGams!$A$5:$A$26,0),MATCH(Drivers!N$3,DriversGams!$A$5:$BA$5,0)),N56/3)</f>
        <v>4.5703865485279564</v>
      </c>
      <c r="O57" s="8">
        <f>IFERROR(INDEX(DriversGams!$A$5:$BA$26,MATCH(Drivers!$A57,DriversGams!$A$5:$A$26,0),MATCH(Drivers!O$3,DriversGams!$A$5:$BA$5,0)),O56/3)</f>
        <v>4.5789155268496016</v>
      </c>
      <c r="P57" s="171">
        <f>O57</f>
        <v>4.5789155268496016</v>
      </c>
      <c r="Q57" s="8">
        <f>P57</f>
        <v>4.5789155268496016</v>
      </c>
      <c r="R57" s="8">
        <f t="shared" ref="R57:Z57" si="160">Q57</f>
        <v>4.5789155268496016</v>
      </c>
      <c r="S57" s="8">
        <f t="shared" si="160"/>
        <v>4.5789155268496016</v>
      </c>
      <c r="T57" s="8">
        <f t="shared" si="160"/>
        <v>4.5789155268496016</v>
      </c>
      <c r="U57" s="8">
        <f t="shared" si="160"/>
        <v>4.5789155268496016</v>
      </c>
      <c r="V57" s="8">
        <f t="shared" si="160"/>
        <v>4.5789155268496016</v>
      </c>
      <c r="W57" s="8">
        <f t="shared" si="160"/>
        <v>4.5789155268496016</v>
      </c>
      <c r="X57" s="8">
        <f t="shared" si="160"/>
        <v>4.5789155268496016</v>
      </c>
      <c r="Y57" s="8">
        <f t="shared" si="160"/>
        <v>4.5789155268496016</v>
      </c>
      <c r="Z57" s="8">
        <f t="shared" si="160"/>
        <v>4.5789155268496016</v>
      </c>
      <c r="AA57" s="171">
        <f>Z57*(AA56/Z56)</f>
        <v>4.7417038150700552</v>
      </c>
      <c r="AB57" s="8">
        <f t="shared" ref="AB57:AK57" si="161">AA57*(AB56/AA56)</f>
        <v>4.8684418492707016</v>
      </c>
      <c r="AC57" s="8">
        <f t="shared" si="161"/>
        <v>5.0192778602522612</v>
      </c>
      <c r="AD57" s="8">
        <f t="shared" si="161"/>
        <v>5.1425925593806125</v>
      </c>
      <c r="AE57" s="8">
        <f t="shared" si="161"/>
        <v>5.3126458369921119</v>
      </c>
      <c r="AF57" s="8">
        <f t="shared" si="161"/>
        <v>6.2018353810547904</v>
      </c>
      <c r="AG57" s="8">
        <f t="shared" si="161"/>
        <v>7.0840706580847668</v>
      </c>
      <c r="AH57" s="8">
        <f t="shared" si="161"/>
        <v>8.0709426788465599</v>
      </c>
      <c r="AI57" s="8">
        <f t="shared" si="161"/>
        <v>9.0376853447882421</v>
      </c>
      <c r="AJ57" s="8">
        <f t="shared" si="161"/>
        <v>9.6692315239015265</v>
      </c>
      <c r="AK57" s="8">
        <f t="shared" si="161"/>
        <v>9.8834970539938016</v>
      </c>
      <c r="AL57" s="107"/>
      <c r="AM57" s="107"/>
      <c r="AN57" s="8">
        <v>56.445190534962315</v>
      </c>
      <c r="AO57" s="8">
        <v>63.206231487511133</v>
      </c>
      <c r="AP57" s="8">
        <v>67.623032080719071</v>
      </c>
      <c r="AQ57" s="8">
        <v>69.121526017843848</v>
      </c>
    </row>
    <row r="58" spans="1:43">
      <c r="A58" s="115" t="s">
        <v>371</v>
      </c>
      <c r="B58">
        <f t="shared" si="156"/>
        <v>12</v>
      </c>
      <c r="C58" s="257">
        <v>186.51301855651582</v>
      </c>
      <c r="D58" s="257">
        <v>191.20040429598868</v>
      </c>
      <c r="E58" s="257">
        <v>192.19084947996168</v>
      </c>
      <c r="F58" s="257">
        <v>198.3568473622208</v>
      </c>
      <c r="G58" s="257">
        <v>195.64424405359443</v>
      </c>
      <c r="H58" s="257">
        <v>201.78663829260577</v>
      </c>
      <c r="I58" s="257">
        <v>200.62824410860065</v>
      </c>
      <c r="J58" s="8">
        <f>INDEX(DriversGams!$A$5:$BA$26,MATCH(Drivers!$A58,DriversGams!$A$5:$A$26,0),MATCH(Drivers!J$3,DriversGams!$A$5:$BA$5,0))</f>
        <v>195.00072986244942</v>
      </c>
      <c r="K58" s="8">
        <f>INDEX(DriversGams!$A$5:$BA$26,MATCH(Drivers!$A58,DriversGams!$A$5:$A$26,0),MATCH(Drivers!K$3,DriversGams!$A$5:$BA$5,0))</f>
        <v>176.28724468908553</v>
      </c>
      <c r="L58" s="8">
        <f>INDEX(DriversGams!$A$5:$BA$26,MATCH(Drivers!$A58,DriversGams!$A$5:$A$26,0),MATCH(Drivers!L$3,DriversGams!$A$5:$BA$5,0))</f>
        <v>194.48766319405988</v>
      </c>
      <c r="M58" s="8">
        <f>INDEX(DriversGams!$A$5:$BA$26,MATCH(Drivers!$A58,DriversGams!$A$5:$A$26,0),MATCH(Drivers!M$3,DriversGams!$A$5:$BA$5,0))</f>
        <v>183.45825269742934</v>
      </c>
      <c r="N58" s="8">
        <f>INDEX(DriversGams!$A$5:$BA$26,MATCH(Drivers!$A58,DriversGams!$A$5:$A$26,0),MATCH(Drivers!N$3,DriversGams!$A$5:$BA$5,0))</f>
        <v>185.68354633989219</v>
      </c>
      <c r="O58" s="8">
        <f>INDEX(DriversGams!$A$5:$BA$26,MATCH(Drivers!$A58,DriversGams!$A$5:$A$26,0),MATCH(Drivers!O$3,DriversGams!$A$5:$BA$5,0))</f>
        <v>186.22171671672959</v>
      </c>
      <c r="P58" s="8">
        <f>INDEX(DriversGams!$A$5:$BA$26,MATCH(Drivers!$A58,DriversGams!$A$5:$A$26,0),MATCH(Drivers!P$3,DriversGams!$A$5:$BA$5,0))</f>
        <v>188.04142343512845</v>
      </c>
      <c r="Q58" s="8">
        <f>INDEX(DriversGams!$A$5:$BA$26,MATCH(Drivers!$A58,DriversGams!$A$5:$A$26,0),MATCH(Drivers!Q$3,DriversGams!$A$5:$BA$5,0))</f>
        <v>192.09407211833644</v>
      </c>
      <c r="R58" s="8">
        <f>INDEX(DriversGams!$A$5:$BA$26,MATCH(Drivers!$A58,DriversGams!$A$5:$A$26,0),MATCH(Drivers!R$3,DriversGams!$A$5:$BA$5,0))</f>
        <v>195.23369152731115</v>
      </c>
      <c r="S58" s="8">
        <f>INDEX(DriversGams!$A$5:$BA$26,MATCH(Drivers!$A58,DriversGams!$A$5:$A$26,0),MATCH(Drivers!S$3,DriversGams!$A$5:$BA$5,0))</f>
        <v>198.57073584002859</v>
      </c>
      <c r="T58" s="8">
        <f>INDEX(DriversGams!$A$5:$BA$26,MATCH(Drivers!$A58,DriversGams!$A$5:$A$26,0),MATCH(Drivers!T$3,DriversGams!$A$5:$BA$5,0))</f>
        <v>203.28619342954855</v>
      </c>
      <c r="U58" s="8">
        <f>INDEX(DriversGams!$A$5:$BA$26,MATCH(Drivers!$A58,DriversGams!$A$5:$A$26,0),MATCH(Drivers!U$3,DriversGams!$A$5:$BA$5,0))</f>
        <v>208.92195841090376</v>
      </c>
      <c r="V58" s="8">
        <f>INDEX(DriversGams!$A$5:$BA$26,MATCH(Drivers!$A58,DriversGams!$A$5:$A$26,0),MATCH(Drivers!V$3,DriversGams!$A$5:$BA$5,0))</f>
        <v>214.50835361610973</v>
      </c>
      <c r="W58" s="8">
        <f>INDEX(DriversGams!$A$5:$BA$26,MATCH(Drivers!$A58,DriversGams!$A$5:$A$26,0),MATCH(Drivers!W$3,DriversGams!$A$5:$BA$5,0))</f>
        <v>220.66008330306278</v>
      </c>
      <c r="X58" s="8">
        <f>INDEX(DriversGams!$A$5:$BA$26,MATCH(Drivers!$A58,DriversGams!$A$5:$A$26,0),MATCH(Drivers!X$3,DriversGams!$A$5:$BA$5,0))</f>
        <v>226.96645678807545</v>
      </c>
      <c r="Y58" s="8">
        <f>INDEX(DriversGams!$A$5:$BA$26,MATCH(Drivers!$A58,DriversGams!$A$5:$A$26,0),MATCH(Drivers!Y$3,DriversGams!$A$5:$BA$5,0))</f>
        <v>233.67023059021818</v>
      </c>
      <c r="Z58" s="8">
        <f>INDEX(DriversGams!$A$5:$BA$26,MATCH(Drivers!$A58,DriversGams!$A$5:$A$26,0),MATCH(Drivers!Z$3,DriversGams!$A$5:$BA$5,0))</f>
        <v>241.66646086885476</v>
      </c>
      <c r="AA58" s="8">
        <f>INDEX(DriversGams!$A$5:$BA$26,MATCH(Drivers!$A58,DriversGams!$A$5:$A$26,0),MATCH(Drivers!AA$3,DriversGams!$A$5:$BA$5,0))</f>
        <v>249.18837603949612</v>
      </c>
      <c r="AB58" s="8">
        <f>INDEX(DriversGams!$A$5:$BA$26,MATCH(Drivers!$A58,DriversGams!$A$5:$A$26,0),MATCH(Drivers!AB$3,DriversGams!$A$5:$BA$5,0))</f>
        <v>256.59791873863816</v>
      </c>
      <c r="AC58" s="8">
        <f>INDEX(DriversGams!$A$5:$BA$26,MATCH(Drivers!$A58,DriversGams!$A$5:$A$26,0),MATCH(Drivers!AC$3,DriversGams!$A$5:$BA$5,0))</f>
        <v>264.70224020313543</v>
      </c>
      <c r="AD58" s="8">
        <f>INDEX(DriversGams!$A$5:$BA$26,MATCH(Drivers!$A58,DriversGams!$A$5:$A$26,0),MATCH(Drivers!AD$3,DriversGams!$A$5:$BA$5,0))</f>
        <v>273.00889312154743</v>
      </c>
      <c r="AE58" s="8">
        <f>INDEX(DriversGams!$A$5:$BA$26,MATCH(Drivers!$A58,DriversGams!$A$5:$A$26,0),MATCH(Drivers!AE$3,DriversGams!$A$5:$BA$5,0))</f>
        <v>281.53314331203126</v>
      </c>
      <c r="AF58" s="8">
        <f>INDEX(DriversGams!$A$5:$BA$26,MATCH(Drivers!$A58,DriversGams!$A$5:$A$26,0),MATCH(Drivers!AF$3,DriversGams!$A$5:$BA$5,0))</f>
        <v>330.91068845015894</v>
      </c>
      <c r="AG58" s="8">
        <f>INDEX(DriversGams!$A$5:$BA$26,MATCH(Drivers!$A58,DriversGams!$A$5:$A$26,0),MATCH(Drivers!AG$3,DriversGams!$A$5:$BA$5,0))</f>
        <v>383.29237113891782</v>
      </c>
      <c r="AH58" s="8">
        <f>INDEX(DriversGams!$A$5:$BA$26,MATCH(Drivers!$A58,DriversGams!$A$5:$A$26,0),MATCH(Drivers!AH$3,DriversGams!$A$5:$BA$5,0))</f>
        <v>443.28881322805933</v>
      </c>
      <c r="AI58" s="8">
        <f t="shared" si="153"/>
        <v>494.58352834395362</v>
      </c>
      <c r="AJ58" s="8">
        <f t="shared" si="154"/>
        <v>527.9223432493485</v>
      </c>
      <c r="AK58" s="8">
        <f t="shared" si="155"/>
        <v>538.89762607259945</v>
      </c>
      <c r="AL58" s="107"/>
      <c r="AM58" s="107"/>
      <c r="AN58" s="8">
        <v>525.77604326701203</v>
      </c>
      <c r="AO58" s="8">
        <v>586.61568448815979</v>
      </c>
      <c r="AP58" s="8">
        <v>626.15818965657195</v>
      </c>
      <c r="AQ58" s="8">
        <v>639.17575428790974</v>
      </c>
    </row>
    <row r="59" spans="1:43">
      <c r="A59" s="115" t="s">
        <v>691</v>
      </c>
      <c r="B59">
        <f t="shared" si="156"/>
        <v>13</v>
      </c>
      <c r="C59" s="257">
        <v>91.99927686334776</v>
      </c>
      <c r="D59" s="257">
        <v>94.311373368720652</v>
      </c>
      <c r="E59" s="257">
        <v>94.799919645026264</v>
      </c>
      <c r="F59" s="257">
        <v>97.841355308332979</v>
      </c>
      <c r="G59" s="257">
        <v>96.503338558927737</v>
      </c>
      <c r="H59" s="257">
        <v>99.533131506208818</v>
      </c>
      <c r="I59" s="257">
        <v>98.961742827413289</v>
      </c>
      <c r="J59" s="8">
        <f>INDEX(DriversGams!$A$5:$BA$26,MATCH(Drivers!$A59,DriversGams!$A$5:$A$26,0),MATCH(Drivers!J$3,DriversGams!$A$5:$BA$5,0))</f>
        <v>97.59940397132965</v>
      </c>
      <c r="K59" s="8">
        <f>INDEX(DriversGams!$A$5:$BA$26,MATCH(Drivers!$A59,DriversGams!$A$5:$A$26,0),MATCH(Drivers!K$3,DriversGams!$A$5:$BA$5,0))</f>
        <v>86.884046722195407</v>
      </c>
      <c r="L59" s="8">
        <f>INDEX(DriversGams!$A$5:$BA$26,MATCH(Drivers!$A59,DriversGams!$A$5:$A$26,0),MATCH(Drivers!L$3,DriversGams!$A$5:$BA$5,0))</f>
        <v>129.68024943260448</v>
      </c>
      <c r="M59" s="8">
        <f>INDEX(DriversGams!$A$5:$BA$26,MATCH(Drivers!$A59,DriversGams!$A$5:$A$26,0),MATCH(Drivers!M$3,DriversGams!$A$5:$BA$5,0))</f>
        <v>100.62332967912559</v>
      </c>
      <c r="N59" s="8">
        <f>INDEX(DriversGams!$A$5:$BA$26,MATCH(Drivers!$A59,DriversGams!$A$5:$A$26,0),MATCH(Drivers!N$3,DriversGams!$A$5:$BA$5,0))</f>
        <v>106.71021865775819</v>
      </c>
      <c r="O59" s="8">
        <f>INDEX(DriversGams!$A$5:$BA$26,MATCH(Drivers!$A59,DriversGams!$A$5:$A$26,0),MATCH(Drivers!O$3,DriversGams!$A$5:$BA$5,0))</f>
        <v>108.35625586276512</v>
      </c>
      <c r="P59" s="8">
        <f>INDEX(DriversGams!$A$5:$BA$26,MATCH(Drivers!$A59,DriversGams!$A$5:$A$26,0),MATCH(Drivers!P$3,DriversGams!$A$5:$BA$5,0))</f>
        <v>109.68541353165772</v>
      </c>
      <c r="Q59" s="8">
        <f>INDEX(DriversGams!$A$5:$BA$26,MATCH(Drivers!$A59,DriversGams!$A$5:$A$26,0),MATCH(Drivers!Q$3,DriversGams!$A$5:$BA$5,0))</f>
        <v>110.84890220910657</v>
      </c>
      <c r="R59" s="8">
        <f>INDEX(DriversGams!$A$5:$BA$26,MATCH(Drivers!$A59,DriversGams!$A$5:$A$26,0),MATCH(Drivers!R$3,DriversGams!$A$5:$BA$5,0))</f>
        <v>113.43035657380651</v>
      </c>
      <c r="S59" s="8">
        <f>INDEX(DriversGams!$A$5:$BA$26,MATCH(Drivers!$A59,DriversGams!$A$5:$A$26,0),MATCH(Drivers!S$3,DriversGams!$A$5:$BA$5,0))</f>
        <v>115.55904080602052</v>
      </c>
      <c r="T59" s="8">
        <f>INDEX(DriversGams!$A$5:$BA$26,MATCH(Drivers!$A59,DriversGams!$A$5:$A$26,0),MATCH(Drivers!T$3,DriversGams!$A$5:$BA$5,0))</f>
        <v>118.97181530387022</v>
      </c>
      <c r="U59" s="8">
        <f>INDEX(DriversGams!$A$5:$BA$26,MATCH(Drivers!$A59,DriversGams!$A$5:$A$26,0),MATCH(Drivers!U$3,DriversGams!$A$5:$BA$5,0))</f>
        <v>122.25449739432558</v>
      </c>
      <c r="V59" s="8">
        <f>INDEX(DriversGams!$A$5:$BA$26,MATCH(Drivers!$A59,DriversGams!$A$5:$A$26,0),MATCH(Drivers!V$3,DriversGams!$A$5:$BA$5,0))</f>
        <v>125.42909388353142</v>
      </c>
      <c r="W59" s="8">
        <f>INDEX(DriversGams!$A$5:$BA$26,MATCH(Drivers!$A59,DriversGams!$A$5:$A$26,0),MATCH(Drivers!W$3,DriversGams!$A$5:$BA$5,0))</f>
        <v>128.60224455456421</v>
      </c>
      <c r="X59" s="8">
        <f>INDEX(DriversGams!$A$5:$BA$26,MATCH(Drivers!$A59,DriversGams!$A$5:$A$26,0),MATCH(Drivers!X$3,DriversGams!$A$5:$BA$5,0))</f>
        <v>131.74950930611618</v>
      </c>
      <c r="Y59" s="8">
        <f>INDEX(DriversGams!$A$5:$BA$26,MATCH(Drivers!$A59,DriversGams!$A$5:$A$26,0),MATCH(Drivers!Y$3,DriversGams!$A$5:$BA$5,0))</f>
        <v>134.87655187624037</v>
      </c>
      <c r="Z59" s="8">
        <f>INDEX(DriversGams!$A$5:$BA$26,MATCH(Drivers!$A59,DriversGams!$A$5:$A$26,0),MATCH(Drivers!Z$3,DriversGams!$A$5:$BA$5,0))</f>
        <v>140.86581055355495</v>
      </c>
      <c r="AA59" s="8">
        <f>INDEX(DriversGams!$A$5:$BA$26,MATCH(Drivers!$A59,DriversGams!$A$5:$A$26,0),MATCH(Drivers!AA$3,DriversGams!$A$5:$BA$5,0))</f>
        <v>145.2481266556243</v>
      </c>
      <c r="AB59" s="8">
        <f>INDEX(DriversGams!$A$5:$BA$26,MATCH(Drivers!$A59,DriversGams!$A$5:$A$26,0),MATCH(Drivers!AB$3,DriversGams!$A$5:$BA$5,0))</f>
        <v>149.50650264964929</v>
      </c>
      <c r="AC59" s="8">
        <f>INDEX(DriversGams!$A$5:$BA$26,MATCH(Drivers!$A59,DriversGams!$A$5:$A$26,0),MATCH(Drivers!AC$3,DriversGams!$A$5:$BA$5,0))</f>
        <v>154.0628694290414</v>
      </c>
      <c r="AD59" s="8">
        <f>INDEX(DriversGams!$A$5:$BA$26,MATCH(Drivers!$A59,DriversGams!$A$5:$A$26,0),MATCH(Drivers!AD$3,DriversGams!$A$5:$BA$5,0))</f>
        <v>159.12788741835848</v>
      </c>
      <c r="AE59" s="8">
        <f>INDEX(DriversGams!$A$5:$BA$26,MATCH(Drivers!$A59,DriversGams!$A$5:$A$26,0),MATCH(Drivers!AE$3,DriversGams!$A$5:$BA$5,0))</f>
        <v>163.74811960847313</v>
      </c>
      <c r="AF59" s="8">
        <f>INDEX(DriversGams!$A$5:$BA$26,MATCH(Drivers!$A59,DriversGams!$A$5:$A$26,0),MATCH(Drivers!AF$3,DriversGams!$A$5:$BA$5,0))</f>
        <v>187.17582584973914</v>
      </c>
      <c r="AG59" s="8">
        <f>INDEX(DriversGams!$A$5:$BA$26,MATCH(Drivers!$A59,DriversGams!$A$5:$A$26,0),MATCH(Drivers!AG$3,DriversGams!$A$5:$BA$5,0))</f>
        <v>222.39573309591924</v>
      </c>
      <c r="AH59" s="8">
        <f>INDEX(DriversGams!$A$5:$BA$26,MATCH(Drivers!$A59,DriversGams!$A$5:$A$26,0),MATCH(Drivers!AH$3,DriversGams!$A$5:$BA$5,0))</f>
        <v>273.15916243353405</v>
      </c>
      <c r="AI59" s="8">
        <f t="shared" si="153"/>
        <v>305.8783412736359</v>
      </c>
      <c r="AJ59" s="8">
        <f t="shared" si="154"/>
        <v>327.25287361628631</v>
      </c>
      <c r="AK59" s="8">
        <f t="shared" si="155"/>
        <v>334.50464023975434</v>
      </c>
      <c r="AL59" s="107"/>
      <c r="AM59" s="107"/>
      <c r="AN59" s="8">
        <v>264.46669848251645</v>
      </c>
      <c r="AO59" s="8">
        <v>296.1446884419646</v>
      </c>
      <c r="AP59" s="8">
        <v>316.83904095757532</v>
      </c>
      <c r="AQ59" s="8">
        <v>323.8600420471542</v>
      </c>
    </row>
    <row r="60" spans="1:43">
      <c r="A60" s="115" t="s">
        <v>507</v>
      </c>
      <c r="B60">
        <f t="shared" si="156"/>
        <v>14</v>
      </c>
      <c r="C60" s="257">
        <v>18.748363502594032</v>
      </c>
      <c r="D60" s="257">
        <v>15.909210489014884</v>
      </c>
      <c r="E60" s="257">
        <v>14.603991495393339</v>
      </c>
      <c r="F60" s="257">
        <v>14.80978596739901</v>
      </c>
      <c r="G60" s="257">
        <v>14.414883061658401</v>
      </c>
      <c r="H60" s="257">
        <v>13.877221828490436</v>
      </c>
      <c r="I60" s="257">
        <v>13.621369241672575</v>
      </c>
      <c r="J60" s="8">
        <f>INDEX(DriversGams!$A$5:$BA$26,MATCH(Drivers!$A60,DriversGams!$A$5:$A$26,0),MATCH(Drivers!J$3,DriversGams!$A$5:$BA$5,0))</f>
        <v>13.081394956063088</v>
      </c>
      <c r="K60" s="8">
        <f>INDEX(DriversGams!$A$5:$BA$26,MATCH(Drivers!$A60,DriversGams!$A$5:$A$26,0),MATCH(Drivers!K$3,DriversGams!$A$5:$BA$5,0))</f>
        <v>10.456476308000456</v>
      </c>
      <c r="L60" s="8">
        <f>INDEX(DriversGams!$A$5:$BA$26,MATCH(Drivers!$A60,DriversGams!$A$5:$A$26,0),MATCH(Drivers!L$3,DriversGams!$A$5:$BA$5,0))</f>
        <v>9.9223075466126947</v>
      </c>
      <c r="M60" s="8">
        <f>INDEX(DriversGams!$A$5:$BA$26,MATCH(Drivers!$A60,DriversGams!$A$5:$A$26,0),MATCH(Drivers!M$3,DriversGams!$A$5:$BA$5,0))</f>
        <v>11.362429276473316</v>
      </c>
      <c r="N60" s="8">
        <f>INDEX(DriversGams!$A$5:$BA$26,MATCH(Drivers!$A60,DriversGams!$A$5:$A$26,0),MATCH(Drivers!N$3,DriversGams!$A$5:$BA$5,0))</f>
        <v>10.745400664904842</v>
      </c>
      <c r="O60" s="8">
        <f>INDEX(DriversGams!$A$5:$BA$26,MATCH(Drivers!$A60,DriversGams!$A$5:$A$26,0),MATCH(Drivers!O$3,DriversGams!$A$5:$BA$5,0))</f>
        <v>10.683971823329749</v>
      </c>
      <c r="P60" s="8">
        <f>INDEX(DriversGams!$A$5:$BA$26,MATCH(Drivers!$A60,DriversGams!$A$5:$A$26,0),MATCH(Drivers!P$3,DriversGams!$A$5:$BA$5,0))</f>
        <v>10.677819412330672</v>
      </c>
      <c r="Q60" s="8">
        <f>INDEX(DriversGams!$A$5:$BA$26,MATCH(Drivers!$A60,DriversGams!$A$5:$A$26,0),MATCH(Drivers!Q$3,DriversGams!$A$5:$BA$5,0))</f>
        <v>10.973175871470305</v>
      </c>
      <c r="R60" s="8">
        <f>INDEX(DriversGams!$A$5:$BA$26,MATCH(Drivers!$A60,DriversGams!$A$5:$A$26,0),MATCH(Drivers!R$3,DriversGams!$A$5:$BA$5,0))</f>
        <v>11.038639494628224</v>
      </c>
      <c r="S60" s="8">
        <f>INDEX(DriversGams!$A$5:$BA$26,MATCH(Drivers!$A60,DriversGams!$A$5:$A$26,0),MATCH(Drivers!S$3,DriversGams!$A$5:$BA$5,0))</f>
        <v>11.173932577779132</v>
      </c>
      <c r="T60" s="8">
        <f>INDEX(DriversGams!$A$5:$BA$26,MATCH(Drivers!$A60,DriversGams!$A$5:$A$26,0),MATCH(Drivers!T$3,DriversGams!$A$5:$BA$5,0))</f>
        <v>11.34441983417341</v>
      </c>
      <c r="U60" s="8">
        <f>INDEX(DriversGams!$A$5:$BA$26,MATCH(Drivers!$A60,DriversGams!$A$5:$A$26,0),MATCH(Drivers!U$3,DriversGams!$A$5:$BA$5,0))</f>
        <v>11.708477496625724</v>
      </c>
      <c r="V60" s="8">
        <f>INDEX(DriversGams!$A$5:$BA$26,MATCH(Drivers!$A60,DriversGams!$A$5:$A$26,0),MATCH(Drivers!V$3,DriversGams!$A$5:$BA$5,0))</f>
        <v>11.978185126248027</v>
      </c>
      <c r="W60" s="8">
        <f>INDEX(DriversGams!$A$5:$BA$26,MATCH(Drivers!$A60,DriversGams!$A$5:$A$26,0),MATCH(Drivers!W$3,DriversGams!$A$5:$BA$5,0))</f>
        <v>12.321626099703515</v>
      </c>
      <c r="X60" s="8">
        <f>INDEX(DriversGams!$A$5:$BA$26,MATCH(Drivers!$A60,DriversGams!$A$5:$A$26,0),MATCH(Drivers!X$3,DriversGams!$A$5:$BA$5,0))</f>
        <v>12.621685238582051</v>
      </c>
      <c r="Y60" s="8">
        <f>INDEX(DriversGams!$A$5:$BA$26,MATCH(Drivers!$A60,DriversGams!$A$5:$A$26,0),MATCH(Drivers!Y$3,DriversGams!$A$5:$BA$5,0))</f>
        <v>12.989619997599158</v>
      </c>
      <c r="Z60" s="8">
        <f>INDEX(DriversGams!$A$5:$BA$26,MATCH(Drivers!$A60,DriversGams!$A$5:$A$26,0),MATCH(Drivers!Z$3,DriversGams!$A$5:$BA$5,0))</f>
        <v>13.67428468627744</v>
      </c>
      <c r="AA60" s="8">
        <f>INDEX(DriversGams!$A$5:$BA$26,MATCH(Drivers!$A60,DriversGams!$A$5:$A$26,0),MATCH(Drivers!AA$3,DriversGams!$A$5:$BA$5,0))</f>
        <v>14.092762321399224</v>
      </c>
      <c r="AB60" s="8">
        <f>INDEX(DriversGams!$A$5:$BA$26,MATCH(Drivers!$A60,DriversGams!$A$5:$A$26,0),MATCH(Drivers!AB$3,DriversGams!$A$5:$BA$5,0))</f>
        <v>14.533093255042772</v>
      </c>
      <c r="AC60" s="8">
        <f>INDEX(DriversGams!$A$5:$BA$26,MATCH(Drivers!$A60,DriversGams!$A$5:$A$26,0),MATCH(Drivers!AC$3,DriversGams!$A$5:$BA$5,0))</f>
        <v>14.99427040200395</v>
      </c>
      <c r="AD60" s="8">
        <f>INDEX(DriversGams!$A$5:$BA$26,MATCH(Drivers!$A60,DriversGams!$A$5:$A$26,0),MATCH(Drivers!AD$3,DriversGams!$A$5:$BA$5,0))</f>
        <v>15.456759516253793</v>
      </c>
      <c r="AE60" s="8">
        <f>INDEX(DriversGams!$A$5:$BA$26,MATCH(Drivers!$A60,DriversGams!$A$5:$A$26,0),MATCH(Drivers!AE$3,DriversGams!$A$5:$BA$5,0))</f>
        <v>15.970064244155559</v>
      </c>
      <c r="AF60" s="8">
        <f>INDEX(DriversGams!$A$5:$BA$26,MATCH(Drivers!$A60,DriversGams!$A$5:$A$26,0),MATCH(Drivers!AF$3,DriversGams!$A$5:$BA$5,0))</f>
        <v>18.851464457801701</v>
      </c>
      <c r="AG60" s="8">
        <f>INDEX(DriversGams!$A$5:$BA$26,MATCH(Drivers!$A60,DriversGams!$A$5:$A$26,0),MATCH(Drivers!AG$3,DriversGams!$A$5:$BA$5,0))</f>
        <v>22.055495266828022</v>
      </c>
      <c r="AH60" s="8">
        <f>INDEX(DriversGams!$A$5:$BA$26,MATCH(Drivers!$A60,DriversGams!$A$5:$A$26,0),MATCH(Drivers!AH$3,DriversGams!$A$5:$BA$5,0))</f>
        <v>25.882750292504721</v>
      </c>
      <c r="AI60" s="8">
        <f t="shared" si="153"/>
        <v>28.983002644099262</v>
      </c>
      <c r="AJ60" s="8">
        <f t="shared" si="154"/>
        <v>31.008311545749237</v>
      </c>
      <c r="AK60" s="8">
        <f t="shared" si="155"/>
        <v>31.695440848030703</v>
      </c>
      <c r="AL60" s="107"/>
      <c r="AM60" s="107"/>
      <c r="AN60" s="8">
        <v>35.410220249271326</v>
      </c>
      <c r="AO60" s="8">
        <v>39.651679033891874</v>
      </c>
      <c r="AP60" s="8">
        <v>42.422506456393549</v>
      </c>
      <c r="AQ60" s="8">
        <v>43.362568839971111</v>
      </c>
    </row>
    <row r="61" spans="1:43">
      <c r="A61" s="115" t="s">
        <v>506</v>
      </c>
      <c r="B61">
        <f t="shared" si="156"/>
        <v>15</v>
      </c>
      <c r="C61" s="257">
        <v>16.099074173411047</v>
      </c>
      <c r="D61" s="257">
        <v>16.518849146566016</v>
      </c>
      <c r="E61" s="257">
        <v>16.808536607755151</v>
      </c>
      <c r="F61" s="257">
        <v>17.0461507724374</v>
      </c>
      <c r="G61" s="257">
        <v>17.232929214387152</v>
      </c>
      <c r="H61" s="257">
        <v>17.424562753451802</v>
      </c>
      <c r="I61" s="257">
        <v>17.64894439854638</v>
      </c>
      <c r="J61" s="8">
        <f>INDEX(DriversGams!$A$5:$BA$26,MATCH(Drivers!$A61,DriversGams!$A$5:$A$26,0),MATCH(Drivers!J$3,DriversGams!$A$5:$BA$5,0))</f>
        <v>9.7246298269513503</v>
      </c>
      <c r="K61" s="8">
        <f>INDEX(DriversGams!$A$5:$BA$26,MATCH(Drivers!$A61,DriversGams!$A$5:$A$26,0),MATCH(Drivers!K$3,DriversGams!$A$5:$BA$5,0))</f>
        <v>8.6529168129793703</v>
      </c>
      <c r="L61" s="8">
        <f>INDEX(DriversGams!$A$5:$BA$26,MATCH(Drivers!$A61,DriversGams!$A$5:$A$26,0),MATCH(Drivers!L$3,DriversGams!$A$5:$BA$5,0))</f>
        <v>9.2132212413661811</v>
      </c>
      <c r="M61" s="8">
        <f>INDEX(DriversGams!$A$5:$BA$26,MATCH(Drivers!$A61,DriversGams!$A$5:$A$26,0),MATCH(Drivers!M$3,DriversGams!$A$5:$BA$5,0))</f>
        <v>9.5769318380909247</v>
      </c>
      <c r="N61" s="8">
        <f>INDEX(DriversGams!$A$5:$BA$26,MATCH(Drivers!$A61,DriversGams!$A$5:$A$26,0),MATCH(Drivers!N$3,DriversGams!$A$5:$BA$5,0))</f>
        <v>9.6008286674818919</v>
      </c>
      <c r="O61" s="8">
        <f>INDEX(DriversGams!$A$5:$BA$26,MATCH(Drivers!$A61,DriversGams!$A$5:$A$26,0),MATCH(Drivers!O$3,DriversGams!$A$5:$BA$5,0))</f>
        <v>9.67916629131531</v>
      </c>
      <c r="P61" s="8">
        <f>INDEX(DriversGams!$A$5:$BA$26,MATCH(Drivers!$A61,DriversGams!$A$5:$A$26,0),MATCH(Drivers!P$3,DriversGams!$A$5:$BA$5,0))</f>
        <v>9.9267196929819441</v>
      </c>
      <c r="Q61" s="8">
        <f>INDEX(DriversGams!$A$5:$BA$26,MATCH(Drivers!$A61,DriversGams!$A$5:$A$26,0),MATCH(Drivers!Q$3,DriversGams!$A$5:$BA$5,0))</f>
        <v>10.345970252616064</v>
      </c>
      <c r="R61" s="8">
        <f>INDEX(DriversGams!$A$5:$BA$26,MATCH(Drivers!$A61,DriversGams!$A$5:$A$26,0),MATCH(Drivers!R$3,DriversGams!$A$5:$BA$5,0))</f>
        <v>10.527469607869088</v>
      </c>
      <c r="S61" s="8">
        <f>INDEX(DriversGams!$A$5:$BA$26,MATCH(Drivers!$A61,DriversGams!$A$5:$A$26,0),MATCH(Drivers!S$3,DriversGams!$A$5:$BA$5,0))</f>
        <v>10.734585612767502</v>
      </c>
      <c r="T61" s="8">
        <f>INDEX(DriversGams!$A$5:$BA$26,MATCH(Drivers!$A61,DriversGams!$A$5:$A$26,0),MATCH(Drivers!T$3,DriversGams!$A$5:$BA$5,0))</f>
        <v>11.047726120398135</v>
      </c>
      <c r="U61" s="8">
        <f>INDEX(DriversGams!$A$5:$BA$26,MATCH(Drivers!$A61,DriversGams!$A$5:$A$26,0),MATCH(Drivers!U$3,DriversGams!$A$5:$BA$5,0))</f>
        <v>11.434296394514895</v>
      </c>
      <c r="V61" s="8">
        <f>INDEX(DriversGams!$A$5:$BA$26,MATCH(Drivers!$A61,DriversGams!$A$5:$A$26,0),MATCH(Drivers!V$3,DriversGams!$A$5:$BA$5,0))</f>
        <v>11.839831200632908</v>
      </c>
      <c r="W61" s="8">
        <f>INDEX(DriversGams!$A$5:$BA$26,MATCH(Drivers!$A61,DriversGams!$A$5:$A$26,0),MATCH(Drivers!W$3,DriversGams!$A$5:$BA$5,0))</f>
        <v>12.255772726732964</v>
      </c>
      <c r="X61" s="8">
        <f>INDEX(DriversGams!$A$5:$BA$26,MATCH(Drivers!$A61,DriversGams!$A$5:$A$26,0),MATCH(Drivers!X$3,DriversGams!$A$5:$BA$5,0))</f>
        <v>12.72982341577934</v>
      </c>
      <c r="Y61" s="8">
        <f>INDEX(DriversGams!$A$5:$BA$26,MATCH(Drivers!$A61,DriversGams!$A$5:$A$26,0),MATCH(Drivers!Y$3,DriversGams!$A$5:$BA$5,0))</f>
        <v>13.250847229880016</v>
      </c>
      <c r="Z61" s="8">
        <f>INDEX(DriversGams!$A$5:$BA$26,MATCH(Drivers!$A61,DriversGams!$A$5:$A$26,0),MATCH(Drivers!Z$3,DriversGams!$A$5:$BA$5,0))</f>
        <v>13.890884068767898</v>
      </c>
      <c r="AA61" s="8">
        <f>INDEX(DriversGams!$A$5:$BA$26,MATCH(Drivers!$A61,DriversGams!$A$5:$A$26,0),MATCH(Drivers!AA$3,DriversGams!$A$5:$BA$5,0))</f>
        <v>14.412752589244031</v>
      </c>
      <c r="AB61" s="8">
        <f>INDEX(DriversGams!$A$5:$BA$26,MATCH(Drivers!$A61,DriversGams!$A$5:$A$26,0),MATCH(Drivers!AB$3,DriversGams!$A$5:$BA$5,0))</f>
        <v>14.946978173481288</v>
      </c>
      <c r="AC61" s="8">
        <f>INDEX(DriversGams!$A$5:$BA$26,MATCH(Drivers!$A61,DriversGams!$A$5:$A$26,0),MATCH(Drivers!AC$3,DriversGams!$A$5:$BA$5,0))</f>
        <v>15.492384469262189</v>
      </c>
      <c r="AD61" s="8">
        <f>INDEX(DriversGams!$A$5:$BA$26,MATCH(Drivers!$A61,DriversGams!$A$5:$A$26,0),MATCH(Drivers!AD$3,DriversGams!$A$5:$BA$5,0))</f>
        <v>16.028846026313005</v>
      </c>
      <c r="AE61" s="8">
        <f>INDEX(DriversGams!$A$5:$BA$26,MATCH(Drivers!$A61,DriversGams!$A$5:$A$26,0),MATCH(Drivers!AE$3,DriversGams!$A$5:$BA$5,0))</f>
        <v>16.571713803179737</v>
      </c>
      <c r="AF61" s="8">
        <f>INDEX(DriversGams!$A$5:$BA$26,MATCH(Drivers!$A61,DriversGams!$A$5:$A$26,0),MATCH(Drivers!AF$3,DriversGams!$A$5:$BA$5,0))</f>
        <v>19.368844149929359</v>
      </c>
      <c r="AG61" s="8">
        <f>INDEX(DriversGams!$A$5:$BA$26,MATCH(Drivers!$A61,DriversGams!$A$5:$A$26,0),MATCH(Drivers!AG$3,DriversGams!$A$5:$BA$5,0))</f>
        <v>19.170012454992264</v>
      </c>
      <c r="AH61" s="8">
        <f>INDEX(DriversGams!$A$5:$BA$26,MATCH(Drivers!$A61,DriversGams!$A$5:$A$26,0),MATCH(Drivers!AH$3,DriversGams!$A$5:$BA$5,0))</f>
        <v>22.730111626645243</v>
      </c>
      <c r="AI61" s="8">
        <f t="shared" si="153"/>
        <v>25.452738906440942</v>
      </c>
      <c r="AJ61" s="8">
        <f t="shared" si="154"/>
        <v>27.231355818967174</v>
      </c>
      <c r="AK61" s="8">
        <f t="shared" si="155"/>
        <v>27.83478959498747</v>
      </c>
      <c r="AL61" s="107"/>
      <c r="AM61" s="107"/>
      <c r="AN61" s="8">
        <v>47.727995641793072</v>
      </c>
      <c r="AO61" s="8">
        <v>53.444885425650895</v>
      </c>
      <c r="AP61" s="8">
        <v>57.179571011178766</v>
      </c>
      <c r="AQ61" s="8">
        <v>58.446642863049739</v>
      </c>
    </row>
    <row r="62" spans="1:43">
      <c r="A62" s="115" t="s">
        <v>503</v>
      </c>
      <c r="B62">
        <f t="shared" si="156"/>
        <v>16</v>
      </c>
      <c r="C62" s="257">
        <v>335.77331305186084</v>
      </c>
      <c r="D62" s="257">
        <v>345.12368336779264</v>
      </c>
      <c r="E62" s="257">
        <v>351.73654833895557</v>
      </c>
      <c r="F62" s="257">
        <v>356.62847152051233</v>
      </c>
      <c r="G62" s="257">
        <v>360.31274126727499</v>
      </c>
      <c r="H62" s="257">
        <v>363.08022098030375</v>
      </c>
      <c r="I62" s="257">
        <v>367.26352107202263</v>
      </c>
      <c r="J62" s="8">
        <f>INDEX(DriversGams!$A$5:$BA$26,MATCH(Drivers!$A62,DriversGams!$A$5:$A$26,0),MATCH(Drivers!J$3,DriversGams!$A$5:$BA$5,0))</f>
        <v>361.1759782392063</v>
      </c>
      <c r="K62" s="8">
        <f>INDEX(DriversGams!$A$5:$BA$26,MATCH(Drivers!$A62,DriversGams!$A$5:$A$26,0),MATCH(Drivers!K$3,DriversGams!$A$5:$BA$5,0))</f>
        <v>313.54033499337623</v>
      </c>
      <c r="L62" s="8">
        <f>INDEX(DriversGams!$A$5:$BA$26,MATCH(Drivers!$A62,DriversGams!$A$5:$A$26,0),MATCH(Drivers!L$3,DriversGams!$A$5:$BA$5,0))</f>
        <v>332.11385070733201</v>
      </c>
      <c r="M62" s="8">
        <f>INDEX(DriversGams!$A$5:$BA$26,MATCH(Drivers!$A62,DriversGams!$A$5:$A$26,0),MATCH(Drivers!M$3,DriversGams!$A$5:$BA$5,0))</f>
        <v>346.17339874492876</v>
      </c>
      <c r="N62" s="8">
        <f>INDEX(DriversGams!$A$5:$BA$26,MATCH(Drivers!$A62,DriversGams!$A$5:$A$26,0),MATCH(Drivers!N$3,DriversGams!$A$5:$BA$5,0))</f>
        <v>347.02212231983833</v>
      </c>
      <c r="O62" s="8">
        <f>INDEX(DriversGams!$A$5:$BA$26,MATCH(Drivers!$A62,DriversGams!$A$5:$A$26,0),MATCH(Drivers!O$3,DriversGams!$A$5:$BA$5,0))</f>
        <v>350.27719151606743</v>
      </c>
      <c r="P62" s="8">
        <f>INDEX(DriversGams!$A$5:$BA$26,MATCH(Drivers!$A62,DriversGams!$A$5:$A$26,0),MATCH(Drivers!P$3,DriversGams!$A$5:$BA$5,0))</f>
        <v>363.13283203913079</v>
      </c>
      <c r="Q62" s="8">
        <f>INDEX(DriversGams!$A$5:$BA$26,MATCH(Drivers!$A62,DriversGams!$A$5:$A$26,0),MATCH(Drivers!Q$3,DriversGams!$A$5:$BA$5,0))</f>
        <v>382.9491163896389</v>
      </c>
      <c r="R62" s="8">
        <f>INDEX(DriversGams!$A$5:$BA$26,MATCH(Drivers!$A62,DriversGams!$A$5:$A$26,0),MATCH(Drivers!R$3,DriversGams!$A$5:$BA$5,0))</f>
        <v>387.70907321195261</v>
      </c>
      <c r="S62" s="8">
        <f>INDEX(DriversGams!$A$5:$BA$26,MATCH(Drivers!$A62,DriversGams!$A$5:$A$26,0),MATCH(Drivers!S$3,DriversGams!$A$5:$BA$5,0))</f>
        <v>393.90918176217292</v>
      </c>
      <c r="T62" s="8">
        <f>INDEX(DriversGams!$A$5:$BA$26,MATCH(Drivers!$A62,DriversGams!$A$5:$A$26,0),MATCH(Drivers!T$3,DriversGams!$A$5:$BA$5,0))</f>
        <v>405.30644489666474</v>
      </c>
      <c r="U62" s="8">
        <f>INDEX(DriversGams!$A$5:$BA$26,MATCH(Drivers!$A62,DriversGams!$A$5:$A$26,0),MATCH(Drivers!U$3,DriversGams!$A$5:$BA$5,0))</f>
        <v>419.61598857112733</v>
      </c>
      <c r="V62" s="8">
        <f>INDEX(DriversGams!$A$5:$BA$26,MATCH(Drivers!$A62,DriversGams!$A$5:$A$26,0),MATCH(Drivers!V$3,DriversGams!$A$5:$BA$5,0))</f>
        <v>434.18369021861247</v>
      </c>
      <c r="W62" s="8">
        <f>INDEX(DriversGams!$A$5:$BA$26,MATCH(Drivers!$A62,DriversGams!$A$5:$A$26,0),MATCH(Drivers!W$3,DriversGams!$A$5:$BA$5,0))</f>
        <v>448.95531842155538</v>
      </c>
      <c r="X62" s="8">
        <f>INDEX(DriversGams!$A$5:$BA$26,MATCH(Drivers!$A62,DriversGams!$A$5:$A$26,0),MATCH(Drivers!X$3,DriversGams!$A$5:$BA$5,0))</f>
        <v>465.96875241802081</v>
      </c>
      <c r="Y62" s="8">
        <f>INDEX(DriversGams!$A$5:$BA$26,MATCH(Drivers!$A62,DriversGams!$A$5:$A$26,0),MATCH(Drivers!Y$3,DriversGams!$A$5:$BA$5,0))</f>
        <v>485.36460086593445</v>
      </c>
      <c r="Z62" s="8">
        <f>INDEX(DriversGams!$A$5:$BA$26,MATCH(Drivers!$A62,DriversGams!$A$5:$A$26,0),MATCH(Drivers!Z$3,DriversGams!$A$5:$BA$5,0))</f>
        <v>507.4660016767067</v>
      </c>
      <c r="AA62" s="8">
        <f>INDEX(DriversGams!$A$5:$BA$26,MATCH(Drivers!$A62,DriversGams!$A$5:$A$26,0),MATCH(Drivers!AA$3,DriversGams!$A$5:$BA$5,0))</f>
        <v>526.31468679650106</v>
      </c>
      <c r="AB62" s="8">
        <f>INDEX(DriversGams!$A$5:$BA$26,MATCH(Drivers!$A62,DriversGams!$A$5:$A$26,0),MATCH(Drivers!AB$3,DriversGams!$A$5:$BA$5,0))</f>
        <v>545.0770429466728</v>
      </c>
      <c r="AC62" s="8">
        <f>INDEX(DriversGams!$A$5:$BA$26,MATCH(Drivers!$A62,DriversGams!$A$5:$A$26,0),MATCH(Drivers!AC$3,DriversGams!$A$5:$BA$5,0))</f>
        <v>563.4614484882826</v>
      </c>
      <c r="AD62" s="8">
        <f>INDEX(DriversGams!$A$5:$BA$26,MATCH(Drivers!$A62,DriversGams!$A$5:$A$26,0),MATCH(Drivers!AD$3,DriversGams!$A$5:$BA$5,0))</f>
        <v>580.27440142021089</v>
      </c>
      <c r="AE62" s="8">
        <f>INDEX(DriversGams!$A$5:$BA$26,MATCH(Drivers!$A62,DriversGams!$A$5:$A$26,0),MATCH(Drivers!AE$3,DriversGams!$A$5:$BA$5,0))</f>
        <v>597.37799016412009</v>
      </c>
      <c r="AF62" s="8">
        <f>INDEX(DriversGams!$A$5:$BA$26,MATCH(Drivers!$A62,DriversGams!$A$5:$A$26,0),MATCH(Drivers!AF$3,DriversGams!$A$5:$BA$5,0))</f>
        <v>691.98483288765658</v>
      </c>
      <c r="AG62" s="8">
        <f>INDEX(DriversGams!$A$5:$BA$26,MATCH(Drivers!$A62,DriversGams!$A$5:$A$26,0),MATCH(Drivers!AG$3,DriversGams!$A$5:$BA$5,0))</f>
        <v>808.15955569375251</v>
      </c>
      <c r="AH62" s="8">
        <f>INDEX(DriversGams!$A$5:$BA$26,MATCH(Drivers!$A62,DriversGams!$A$5:$A$26,0),MATCH(Drivers!AH$3,DriversGams!$A$5:$BA$5,0))</f>
        <v>962.85739536025176</v>
      </c>
      <c r="AI62" s="8">
        <f t="shared" si="153"/>
        <v>1078.1890687906546</v>
      </c>
      <c r="AJ62" s="8">
        <f t="shared" si="154"/>
        <v>1153.5320532804963</v>
      </c>
      <c r="AK62" s="8">
        <f t="shared" si="155"/>
        <v>1179.0937699757283</v>
      </c>
      <c r="AL62" s="107"/>
      <c r="AM62" s="107"/>
      <c r="AN62" s="8">
        <v>993.19170511086941</v>
      </c>
      <c r="AO62" s="8">
        <v>1112.156841526293</v>
      </c>
      <c r="AP62" s="8">
        <v>1189.8734666404512</v>
      </c>
      <c r="AQ62" s="8">
        <v>1216.2404916146943</v>
      </c>
    </row>
    <row r="63" spans="1:43">
      <c r="A63" s="115" t="s">
        <v>509</v>
      </c>
      <c r="B63">
        <f t="shared" si="156"/>
        <v>17</v>
      </c>
      <c r="C63" s="257">
        <v>49.680584563226056</v>
      </c>
      <c r="D63" s="257">
        <v>48.564231533814059</v>
      </c>
      <c r="E63" s="257">
        <v>47.459267978951466</v>
      </c>
      <c r="F63" s="257">
        <v>46.356109920093544</v>
      </c>
      <c r="G63" s="257">
        <v>46.356109920093544</v>
      </c>
      <c r="H63" s="257">
        <v>46.356109920093544</v>
      </c>
      <c r="I63" s="257">
        <v>46.327221984018706</v>
      </c>
      <c r="J63" s="8">
        <f>INDEX(DriversGams!$A$5:$BA$26,MATCH(Drivers!$A63,DriversGams!$A$5:$A$26,0),MATCH(Drivers!J$3,DriversGams!$A$5:$BA$5,0))</f>
        <v>46.84347202985203</v>
      </c>
      <c r="K63" s="8">
        <f>INDEX(DriversGams!$A$5:$BA$26,MATCH(Drivers!$A63,DriversGams!$A$5:$A$26,0),MATCH(Drivers!K$3,DriversGams!$A$5:$BA$5,0))</f>
        <v>30.490805982415402</v>
      </c>
      <c r="L63" s="8">
        <f>INDEX(DriversGams!$A$5:$BA$26,MATCH(Drivers!$A63,DriversGams!$A$5:$A$26,0),MATCH(Drivers!L$3,DriversGams!$A$5:$BA$5,0))</f>
        <v>29.498204755986869</v>
      </c>
      <c r="M63" s="8">
        <f>INDEX(DriversGams!$A$5:$BA$26,MATCH(Drivers!$A63,DriversGams!$A$5:$A$26,0),MATCH(Drivers!M$3,DriversGams!$A$5:$BA$5,0))</f>
        <v>17.58247155648386</v>
      </c>
      <c r="N63" s="8">
        <f>INDEX(DriversGams!$A$5:$BA$26,MATCH(Drivers!$A63,DriversGams!$A$5:$A$26,0),MATCH(Drivers!N$3,DriversGams!$A$5:$BA$5,0))</f>
        <v>24.947539493855427</v>
      </c>
      <c r="O63" s="8">
        <f>INDEX(DriversGams!$A$5:$BA$26,MATCH(Drivers!$A63,DriversGams!$A$5:$A$26,0),MATCH(Drivers!O$3,DriversGams!$A$5:$BA$5,0))</f>
        <v>24.94753949385542</v>
      </c>
      <c r="P63" s="8">
        <f>INDEX(DriversGams!$A$5:$BA$26,MATCH(Drivers!$A63,DriversGams!$A$5:$A$26,0),MATCH(Drivers!P$3,DriversGams!$A$5:$BA$5,0))</f>
        <v>24.94753949385542</v>
      </c>
      <c r="Q63" s="8">
        <f>INDEX(DriversGams!$A$5:$BA$26,MATCH(Drivers!$A63,DriversGams!$A$5:$A$26,0),MATCH(Drivers!Q$3,DriversGams!$A$5:$BA$5,0))</f>
        <v>24.937636072571287</v>
      </c>
      <c r="R63" s="8">
        <f>INDEX(DriversGams!$A$5:$BA$26,MATCH(Drivers!$A63,DriversGams!$A$5:$A$26,0),MATCH(Drivers!R$3,DriversGams!$A$5:$BA$5,0))</f>
        <v>24.93722585556544</v>
      </c>
      <c r="S63" s="8">
        <f>INDEX(DriversGams!$A$5:$BA$26,MATCH(Drivers!$A63,DriversGams!$A$5:$A$26,0),MATCH(Drivers!S$3,DriversGams!$A$5:$BA$5,0))</f>
        <v>24.937225855565433</v>
      </c>
      <c r="T63" s="8">
        <f>INDEX(DriversGams!$A$5:$BA$26,MATCH(Drivers!$A63,DriversGams!$A$5:$A$26,0),MATCH(Drivers!T$3,DriversGams!$A$5:$BA$5,0))</f>
        <v>24.93722585556543</v>
      </c>
      <c r="U63" s="8">
        <f>INDEX(DriversGams!$A$5:$BA$26,MATCH(Drivers!$A63,DriversGams!$A$5:$A$26,0),MATCH(Drivers!U$3,DriversGams!$A$5:$BA$5,0))</f>
        <v>24.937225855565423</v>
      </c>
      <c r="V63" s="8">
        <f>INDEX(DriversGams!$A$5:$BA$26,MATCH(Drivers!$A63,DriversGams!$A$5:$A$26,0),MATCH(Drivers!V$3,DriversGams!$A$5:$BA$5,0))</f>
        <v>24.937225855565423</v>
      </c>
      <c r="W63" s="8">
        <f>INDEX(DriversGams!$A$5:$BA$26,MATCH(Drivers!$A63,DriversGams!$A$5:$A$26,0),MATCH(Drivers!W$3,DriversGams!$A$5:$BA$5,0))</f>
        <v>24.937225855565426</v>
      </c>
      <c r="X63" s="8">
        <f>INDEX(DriversGams!$A$5:$BA$26,MATCH(Drivers!$A63,DriversGams!$A$5:$A$26,0),MATCH(Drivers!X$3,DriversGams!$A$5:$BA$5,0))</f>
        <v>24.937225855565426</v>
      </c>
      <c r="Y63" s="8">
        <f>INDEX(DriversGams!$A$5:$BA$26,MATCH(Drivers!$A63,DriversGams!$A$5:$A$26,0),MATCH(Drivers!Y$3,DriversGams!$A$5:$BA$5,0))</f>
        <v>24.937225855565426</v>
      </c>
      <c r="Z63" s="8">
        <f>INDEX(DriversGams!$A$5:$BA$26,MATCH(Drivers!$A63,DriversGams!$A$5:$A$26,0),MATCH(Drivers!Z$3,DriversGams!$A$5:$BA$5,0))</f>
        <v>9.6101493904690365</v>
      </c>
      <c r="AA63" s="8">
        <f>INDEX(DriversGams!$A$5:$BA$26,MATCH(Drivers!$A63,DriversGams!$A$5:$A$26,0),MATCH(Drivers!AA$3,DriversGams!$A$5:$BA$5,0))</f>
        <v>9.6101493904690383</v>
      </c>
      <c r="AB63" s="8">
        <f>INDEX(DriversGams!$A$5:$BA$26,MATCH(Drivers!$A63,DriversGams!$A$5:$A$26,0),MATCH(Drivers!AB$3,DriversGams!$A$5:$BA$5,0))</f>
        <v>9.6101493904690347</v>
      </c>
      <c r="AC63" s="8">
        <f>INDEX(DriversGams!$A$5:$BA$26,MATCH(Drivers!$A63,DriversGams!$A$5:$A$26,0),MATCH(Drivers!AC$3,DriversGams!$A$5:$BA$5,0))</f>
        <v>9.6101493904690365</v>
      </c>
      <c r="AD63" s="8">
        <f>INDEX(DriversGams!$A$5:$BA$26,MATCH(Drivers!$A63,DriversGams!$A$5:$A$26,0),MATCH(Drivers!AD$3,DriversGams!$A$5:$BA$5,0))</f>
        <v>9.6101493904690329</v>
      </c>
      <c r="AE63" s="8">
        <f>INDEX(DriversGams!$A$5:$BA$26,MATCH(Drivers!$A63,DriversGams!$A$5:$A$26,0),MATCH(Drivers!AE$3,DriversGams!$A$5:$BA$5,0))</f>
        <v>9.6101493904690329</v>
      </c>
      <c r="AF63" s="8">
        <f>INDEX(DriversGams!$A$5:$BA$26,MATCH(Drivers!$A63,DriversGams!$A$5:$A$26,0),MATCH(Drivers!AF$3,DriversGams!$A$5:$BA$5,0))</f>
        <v>9.6101493904688251</v>
      </c>
      <c r="AG63" s="8">
        <f>INDEX(DriversGams!$A$5:$BA$26,MATCH(Drivers!$A63,DriversGams!$A$5:$A$26,0),MATCH(Drivers!AG$3,DriversGams!$A$5:$BA$5,0))</f>
        <v>0.19220298780937636</v>
      </c>
      <c r="AH63" s="8">
        <f>INDEX(DriversGams!$A$5:$BA$26,MATCH(Drivers!$A63,DriversGams!$A$5:$A$26,0),MATCH(Drivers!AH$3,DriversGams!$A$5:$BA$5,0))</f>
        <v>0.19220298780937642</v>
      </c>
      <c r="AI63" s="8">
        <f t="shared" si="153"/>
        <v>0.21522518437679744</v>
      </c>
      <c r="AJ63" s="8">
        <f t="shared" si="154"/>
        <v>0.2302649470656481</v>
      </c>
      <c r="AK63" s="8">
        <f t="shared" si="155"/>
        <v>0.23536750778339821</v>
      </c>
      <c r="AL63" s="107"/>
      <c r="AM63" s="107"/>
      <c r="AN63" s="8">
        <v>125.3976606992544</v>
      </c>
      <c r="AO63" s="8">
        <v>140.41787254203911</v>
      </c>
      <c r="AP63" s="8">
        <v>150.23016047860466</v>
      </c>
      <c r="AQ63" s="8">
        <v>153.55918873604446</v>
      </c>
    </row>
    <row r="64" spans="1:43">
      <c r="A64" s="115" t="s">
        <v>504</v>
      </c>
      <c r="B64">
        <f t="shared" si="156"/>
        <v>18</v>
      </c>
      <c r="C64" s="257">
        <v>21.771602125906632</v>
      </c>
      <c r="D64" s="257">
        <v>22.321967288291042</v>
      </c>
      <c r="E64" s="257">
        <v>22.799481809844082</v>
      </c>
      <c r="F64" s="257">
        <v>23.061502598593702</v>
      </c>
      <c r="G64" s="257">
        <v>23.492490064200549</v>
      </c>
      <c r="H64" s="257">
        <v>23.649212778966675</v>
      </c>
      <c r="I64" s="257">
        <v>24.045917150718431</v>
      </c>
      <c r="J64" s="8">
        <f>INDEX(DriversGams!$A$5:$BA$26,MATCH(Drivers!$A64,DriversGams!$A$5:$A$26,0),MATCH(Drivers!J$3,DriversGams!$A$5:$BA$5,0))</f>
        <v>24.014738063745142</v>
      </c>
      <c r="K64" s="8">
        <f>INDEX(DriversGams!$A$5:$BA$26,MATCH(Drivers!$A64,DriversGams!$A$5:$A$26,0),MATCH(Drivers!K$3,DriversGams!$A$5:$BA$5,0))</f>
        <v>22.437179515829303</v>
      </c>
      <c r="L64" s="8">
        <f>INDEX(DriversGams!$A$5:$BA$26,MATCH(Drivers!$A64,DriversGams!$A$5:$A$26,0),MATCH(Drivers!L$3,DriversGams!$A$5:$BA$5,0))</f>
        <v>23.174255435947646</v>
      </c>
      <c r="M64" s="8">
        <f>INDEX(DriversGams!$A$5:$BA$26,MATCH(Drivers!$A64,DriversGams!$A$5:$A$26,0),MATCH(Drivers!M$3,DriversGams!$A$5:$BA$5,0))</f>
        <v>25.198606632212815</v>
      </c>
      <c r="N64" s="8">
        <f>INDEX(DriversGams!$A$5:$BA$26,MATCH(Drivers!$A64,DriversGams!$A$5:$A$26,0),MATCH(Drivers!N$3,DriversGams!$A$5:$BA$5,0))</f>
        <v>25.369737536797192</v>
      </c>
      <c r="O64" s="8">
        <f>INDEX(DriversGams!$A$5:$BA$26,MATCH(Drivers!$A64,DriversGams!$A$5:$A$26,0),MATCH(Drivers!O$3,DriversGams!$A$5:$BA$5,0))</f>
        <v>25.796475011756581</v>
      </c>
      <c r="P64" s="8">
        <f>INDEX(DriversGams!$A$5:$BA$26,MATCH(Drivers!$A64,DriversGams!$A$5:$A$26,0),MATCH(Drivers!P$3,DriversGams!$A$5:$BA$5,0))</f>
        <v>26.194430750390332</v>
      </c>
      <c r="Q64" s="8">
        <f>INDEX(DriversGams!$A$5:$BA$26,MATCH(Drivers!$A64,DriversGams!$A$5:$A$26,0),MATCH(Drivers!Q$3,DriversGams!$A$5:$BA$5,0))</f>
        <v>26.622001611104523</v>
      </c>
      <c r="R64" s="8">
        <f>INDEX(DriversGams!$A$5:$BA$26,MATCH(Drivers!$A64,DriversGams!$A$5:$A$26,0),MATCH(Drivers!R$3,DriversGams!$A$5:$BA$5,0))</f>
        <v>27.171616799258338</v>
      </c>
      <c r="S64" s="8">
        <f>INDEX(DriversGams!$A$5:$BA$26,MATCH(Drivers!$A64,DriversGams!$A$5:$A$26,0),MATCH(Drivers!S$3,DriversGams!$A$5:$BA$5,0))</f>
        <v>27.802410128390367</v>
      </c>
      <c r="T64" s="8">
        <f>INDEX(DriversGams!$A$5:$BA$26,MATCH(Drivers!$A64,DriversGams!$A$5:$A$26,0),MATCH(Drivers!T$3,DriversGams!$A$5:$BA$5,0))</f>
        <v>28.53538487531258</v>
      </c>
      <c r="U64" s="8">
        <f>INDEX(DriversGams!$A$5:$BA$26,MATCH(Drivers!$A64,DriversGams!$A$5:$A$26,0),MATCH(Drivers!U$3,DriversGams!$A$5:$BA$5,0))</f>
        <v>29.504257717015619</v>
      </c>
      <c r="V64" s="8">
        <f>INDEX(DriversGams!$A$5:$BA$26,MATCH(Drivers!$A64,DriversGams!$A$5:$A$26,0),MATCH(Drivers!V$3,DriversGams!$A$5:$BA$5,0))</f>
        <v>30.529913675282273</v>
      </c>
      <c r="W64" s="8">
        <f>INDEX(DriversGams!$A$5:$BA$26,MATCH(Drivers!$A64,DriversGams!$A$5:$A$26,0),MATCH(Drivers!W$3,DriversGams!$A$5:$BA$5,0))</f>
        <v>31.591765393848537</v>
      </c>
      <c r="X64" s="8">
        <f>INDEX(DriversGams!$A$5:$BA$26,MATCH(Drivers!$A64,DriversGams!$A$5:$A$26,0),MATCH(Drivers!X$3,DriversGams!$A$5:$BA$5,0))</f>
        <v>32.678430755250446</v>
      </c>
      <c r="Y64" s="8">
        <f>INDEX(DriversGams!$A$5:$BA$26,MATCH(Drivers!$A64,DriversGams!$A$5:$A$26,0),MATCH(Drivers!Y$3,DriversGams!$A$5:$BA$5,0))</f>
        <v>33.793831176308601</v>
      </c>
      <c r="Z64" s="8">
        <f>INDEX(DriversGams!$A$5:$BA$26,MATCH(Drivers!$A64,DriversGams!$A$5:$A$26,0),MATCH(Drivers!Z$3,DriversGams!$A$5:$BA$5,0))</f>
        <v>35.277703174764454</v>
      </c>
      <c r="AA64" s="8">
        <f>INDEX(DriversGams!$A$5:$BA$26,MATCH(Drivers!$A64,DriversGams!$A$5:$A$26,0),MATCH(Drivers!AA$3,DriversGams!$A$5:$BA$5,0))</f>
        <v>36.435288917101559</v>
      </c>
      <c r="AB64" s="8">
        <f>INDEX(DriversGams!$A$5:$BA$26,MATCH(Drivers!$A64,DriversGams!$A$5:$A$26,0),MATCH(Drivers!AB$3,DriversGams!$A$5:$BA$5,0))</f>
        <v>37.649033216448878</v>
      </c>
      <c r="AC64" s="8">
        <f>INDEX(DriversGams!$A$5:$BA$26,MATCH(Drivers!$A64,DriversGams!$A$5:$A$26,0),MATCH(Drivers!AC$3,DriversGams!$A$5:$BA$5,0))</f>
        <v>38.965913777062568</v>
      </c>
      <c r="AD64" s="8">
        <f>INDEX(DriversGams!$A$5:$BA$26,MATCH(Drivers!$A64,DriversGams!$A$5:$A$26,0),MATCH(Drivers!AD$3,DriversGams!$A$5:$BA$5,0))</f>
        <v>40.393167020467217</v>
      </c>
      <c r="AE64" s="8">
        <f>INDEX(DriversGams!$A$5:$BA$26,MATCH(Drivers!$A64,DriversGams!$A$5:$A$26,0),MATCH(Drivers!AE$3,DriversGams!$A$5:$BA$5,0))</f>
        <v>41.801584146701835</v>
      </c>
      <c r="AF64" s="8">
        <f>INDEX(DriversGams!$A$5:$BA$26,MATCH(Drivers!$A64,DriversGams!$A$5:$A$26,0),MATCH(Drivers!AF$3,DriversGams!$A$5:$BA$5,0))</f>
        <v>49.419435598819085</v>
      </c>
      <c r="AG64" s="8">
        <f>INDEX(DriversGams!$A$5:$BA$26,MATCH(Drivers!$A64,DriversGams!$A$5:$A$26,0),MATCH(Drivers!AG$3,DriversGams!$A$5:$BA$5,0))</f>
        <v>58.174003019984269</v>
      </c>
      <c r="AH64" s="8">
        <f>INDEX(DriversGams!$A$5:$BA$26,MATCH(Drivers!$A64,DriversGams!$A$5:$A$26,0),MATCH(Drivers!AH$3,DriversGams!$A$5:$BA$5,0))</f>
        <v>67.082316509877344</v>
      </c>
      <c r="AI64" s="8">
        <f t="shared" si="153"/>
        <v>75.117479201625088</v>
      </c>
      <c r="AJ64" s="8">
        <f t="shared" si="154"/>
        <v>80.366628199909826</v>
      </c>
      <c r="AK64" s="8">
        <f t="shared" si="155"/>
        <v>82.147514111103149</v>
      </c>
      <c r="AL64" s="107"/>
      <c r="AM64" s="107"/>
      <c r="AN64" s="8">
        <v>65.054097292812685</v>
      </c>
      <c r="AO64" s="8">
        <v>72.846318592081175</v>
      </c>
      <c r="AP64" s="8">
        <v>77.936760714612916</v>
      </c>
      <c r="AQ64" s="8">
        <v>79.663801928479032</v>
      </c>
    </row>
    <row r="65" spans="1:43">
      <c r="A65" s="115" t="s">
        <v>574</v>
      </c>
      <c r="B65">
        <f t="shared" si="156"/>
        <v>19</v>
      </c>
      <c r="C65" s="257">
        <v>234.64829421512601</v>
      </c>
      <c r="D65" s="257">
        <v>241.75157173268613</v>
      </c>
      <c r="E65" s="257">
        <v>247.49716491255998</v>
      </c>
      <c r="F65" s="257">
        <v>250.49509082227485</v>
      </c>
      <c r="G65" s="257">
        <v>252.5592931181983</v>
      </c>
      <c r="H65" s="257">
        <v>256.25966914032193</v>
      </c>
      <c r="I65" s="257">
        <v>259.56135726080817</v>
      </c>
      <c r="J65" s="8">
        <f>INDEX(DriversGams!$A$5:$BA$26,MATCH(Drivers!$A65,DriversGams!$A$5:$A$26,0),MATCH(Drivers!J$3,DriversGams!$A$5:$BA$5,0))</f>
        <v>227.80708143759773</v>
      </c>
      <c r="K65" s="8">
        <f>INDEX(DriversGams!$A$5:$BA$26,MATCH(Drivers!$A65,DriversGams!$A$5:$A$26,0),MATCH(Drivers!K$3,DriversGams!$A$5:$BA$5,0))</f>
        <v>204.60680693922785</v>
      </c>
      <c r="L65" s="8">
        <f>INDEX(DriversGams!$A$5:$BA$26,MATCH(Drivers!$A65,DriversGams!$A$5:$A$26,0),MATCH(Drivers!L$3,DriversGams!$A$5:$BA$5,0))</f>
        <v>219.69172458724992</v>
      </c>
      <c r="M65" s="8">
        <f>INDEX(DriversGams!$A$5:$BA$26,MATCH(Drivers!$A65,DriversGams!$A$5:$A$26,0),MATCH(Drivers!M$3,DriversGams!$A$5:$BA$5,0))</f>
        <v>248.6518556015333</v>
      </c>
      <c r="N65" s="8">
        <f>INDEX(DriversGams!$A$5:$BA$26,MATCH(Drivers!$A65,DriversGams!$A$5:$A$26,0),MATCH(Drivers!N$3,DriversGams!$A$5:$BA$5,0))</f>
        <v>252.71439151465239</v>
      </c>
      <c r="O65" s="8">
        <f>INDEX(DriversGams!$A$5:$BA$26,MATCH(Drivers!$A65,DriversGams!$A$5:$A$26,0),MATCH(Drivers!O$3,DriversGams!$A$5:$BA$5,0))</f>
        <v>256.83229231662244</v>
      </c>
      <c r="P65" s="8">
        <f>INDEX(DriversGams!$A$5:$BA$26,MATCH(Drivers!$A65,DriversGams!$A$5:$A$26,0),MATCH(Drivers!P$3,DriversGams!$A$5:$BA$5,0))</f>
        <v>262.4484648450125</v>
      </c>
      <c r="Q65" s="8">
        <f>INDEX(DriversGams!$A$5:$BA$26,MATCH(Drivers!$A65,DriversGams!$A$5:$A$26,0),MATCH(Drivers!Q$3,DriversGams!$A$5:$BA$5,0))</f>
        <v>269.50388733690914</v>
      </c>
      <c r="R65" s="8">
        <f>INDEX(DriversGams!$A$5:$BA$26,MATCH(Drivers!$A65,DriversGams!$A$5:$A$26,0),MATCH(Drivers!R$3,DriversGams!$A$5:$BA$5,0))</f>
        <v>281.56580301565879</v>
      </c>
      <c r="S65" s="8">
        <f>INDEX(DriversGams!$A$5:$BA$26,MATCH(Drivers!$A65,DriversGams!$A$5:$A$26,0),MATCH(Drivers!S$3,DriversGams!$A$5:$BA$5,0))</f>
        <v>295.06096485260599</v>
      </c>
      <c r="T65" s="8">
        <f>INDEX(DriversGams!$A$5:$BA$26,MATCH(Drivers!$A65,DriversGams!$A$5:$A$26,0),MATCH(Drivers!T$3,DriversGams!$A$5:$BA$5,0))</f>
        <v>307.79420547874241</v>
      </c>
      <c r="U65" s="8">
        <f>INDEX(DriversGams!$A$5:$BA$26,MATCH(Drivers!$A65,DriversGams!$A$5:$A$26,0),MATCH(Drivers!U$3,DriversGams!$A$5:$BA$5,0))</f>
        <v>320.30428602088062</v>
      </c>
      <c r="V65" s="8">
        <f>INDEX(DriversGams!$A$5:$BA$26,MATCH(Drivers!$A65,DriversGams!$A$5:$A$26,0),MATCH(Drivers!V$3,DriversGams!$A$5:$BA$5,0))</f>
        <v>333.5173364201475</v>
      </c>
      <c r="W65" s="8">
        <f>INDEX(DriversGams!$A$5:$BA$26,MATCH(Drivers!$A65,DriversGams!$A$5:$A$26,0),MATCH(Drivers!W$3,DriversGams!$A$5:$BA$5,0))</f>
        <v>348.07822315704504</v>
      </c>
      <c r="X65" s="8">
        <f>INDEX(DriversGams!$A$5:$BA$26,MATCH(Drivers!$A65,DriversGams!$A$5:$A$26,0),MATCH(Drivers!X$3,DriversGams!$A$5:$BA$5,0))</f>
        <v>361.25060384723889</v>
      </c>
      <c r="Y65" s="8">
        <f>INDEX(DriversGams!$A$5:$BA$26,MATCH(Drivers!$A65,DriversGams!$A$5:$A$26,0),MATCH(Drivers!Y$3,DriversGams!$A$5:$BA$5,0))</f>
        <v>374.12196738095366</v>
      </c>
      <c r="Z65" s="8">
        <f>INDEX(DriversGams!$A$5:$BA$26,MATCH(Drivers!$A65,DriversGams!$A$5:$A$26,0),MATCH(Drivers!Z$3,DriversGams!$A$5:$BA$5,0))</f>
        <v>389.7711508466727</v>
      </c>
      <c r="AA65" s="8">
        <f>INDEX(DriversGams!$A$5:$BA$26,MATCH(Drivers!$A65,DriversGams!$A$5:$A$26,0),MATCH(Drivers!AA$3,DriversGams!$A$5:$BA$5,0))</f>
        <v>405.58816756675259</v>
      </c>
      <c r="AB65" s="8">
        <f>INDEX(DriversGams!$A$5:$BA$26,MATCH(Drivers!$A65,DriversGams!$A$5:$A$26,0),MATCH(Drivers!AB$3,DriversGams!$A$5:$BA$5,0))</f>
        <v>422.14128025097148</v>
      </c>
      <c r="AC65" s="8">
        <f>INDEX(DriversGams!$A$5:$BA$26,MATCH(Drivers!$A65,DriversGams!$A$5:$A$26,0),MATCH(Drivers!AC$3,DriversGams!$A$5:$BA$5,0))</f>
        <v>440.51622210813167</v>
      </c>
      <c r="AD65" s="8">
        <f>INDEX(DriversGams!$A$5:$BA$26,MATCH(Drivers!$A65,DriversGams!$A$5:$A$26,0),MATCH(Drivers!AD$3,DriversGams!$A$5:$BA$5,0))</f>
        <v>460.21752317172138</v>
      </c>
      <c r="AE65" s="8">
        <f>INDEX(DriversGams!$A$5:$BA$26,MATCH(Drivers!$A65,DriversGams!$A$5:$A$26,0),MATCH(Drivers!AE$3,DriversGams!$A$5:$BA$5,0))</f>
        <v>478.92081847182146</v>
      </c>
      <c r="AF65" s="8">
        <f>INDEX(DriversGams!$A$5:$BA$26,MATCH(Drivers!$A65,DriversGams!$A$5:$A$26,0),MATCH(Drivers!AF$3,DriversGams!$A$5:$BA$5,0))</f>
        <v>555.64331678140718</v>
      </c>
      <c r="AG65" s="8">
        <f>INDEX(DriversGams!$A$5:$BA$26,MATCH(Drivers!$A65,DriversGams!$A$5:$A$26,0),MATCH(Drivers!AG$3,DriversGams!$A$5:$BA$5,0))</f>
        <v>634.9410838203213</v>
      </c>
      <c r="AH65" s="8">
        <f>INDEX(DriversGams!$A$5:$BA$26,MATCH(Drivers!$A65,DriversGams!$A$5:$A$26,0),MATCH(Drivers!AH$3,DriversGams!$A$5:$BA$5,0))</f>
        <v>715.9795316216223</v>
      </c>
      <c r="AI65" s="8">
        <f t="shared" si="153"/>
        <v>801.74001694555989</v>
      </c>
      <c r="AJ65" s="8">
        <f t="shared" si="154"/>
        <v>857.76496415576321</v>
      </c>
      <c r="AK65" s="8">
        <f t="shared" si="155"/>
        <v>876.77262410113769</v>
      </c>
      <c r="AL65" s="107"/>
      <c r="AM65" s="107"/>
      <c r="AN65" s="8">
        <v>704.5496804184146</v>
      </c>
      <c r="AO65" s="8">
        <v>788.94109086929359</v>
      </c>
      <c r="AP65" s="8">
        <v>844.07165942480287</v>
      </c>
      <c r="AQ65" s="8">
        <v>862.77588230905815</v>
      </c>
    </row>
    <row r="66" spans="1:43">
      <c r="A66" s="115" t="s">
        <v>573</v>
      </c>
      <c r="B66">
        <f t="shared" si="156"/>
        <v>20</v>
      </c>
      <c r="C66" s="257">
        <v>40.911909200944407</v>
      </c>
      <c r="D66" s="257">
        <v>43.472466890059046</v>
      </c>
      <c r="E66" s="257">
        <v>46.683336524652951</v>
      </c>
      <c r="F66" s="257">
        <v>48.977367480453168</v>
      </c>
      <c r="G66" s="257">
        <v>50.507366203925315</v>
      </c>
      <c r="H66" s="257">
        <v>54.114758895803412</v>
      </c>
      <c r="I66" s="257">
        <v>58.020027445348646</v>
      </c>
      <c r="J66" s="8">
        <f>INDEX(DriversGams!$A$5:$BA$26,MATCH(Drivers!$A66,DriversGams!$A$5:$A$26,0),MATCH(Drivers!J$3,DriversGams!$A$5:$BA$5,0))</f>
        <v>65.034909150272796</v>
      </c>
      <c r="K66" s="8">
        <f>INDEX(DriversGams!$A$5:$BA$26,MATCH(Drivers!$A66,DriversGams!$A$5:$A$26,0),MATCH(Drivers!K$3,DriversGams!$A$5:$BA$5,0))</f>
        <v>54.042800735045766</v>
      </c>
      <c r="L66" s="8">
        <f>INDEX(DriversGams!$A$5:$BA$26,MATCH(Drivers!$A66,DriversGams!$A$5:$A$26,0),MATCH(Drivers!L$3,DriversGams!$A$5:$BA$5,0))</f>
        <v>57.226501475304325</v>
      </c>
      <c r="M66" s="8">
        <f>INDEX(DriversGams!$A$5:$BA$26,MATCH(Drivers!$A66,DriversGams!$A$5:$A$26,0),MATCH(Drivers!M$3,DriversGams!$A$5:$BA$5,0))</f>
        <v>68.210515235358358</v>
      </c>
      <c r="N66" s="8">
        <f>INDEX(DriversGams!$A$5:$BA$26,MATCH(Drivers!$A66,DriversGams!$A$5:$A$26,0),MATCH(Drivers!N$3,DriversGams!$A$5:$BA$5,0))</f>
        <v>72.466883564551367</v>
      </c>
      <c r="O66" s="8">
        <f>INDEX(DriversGams!$A$5:$BA$26,MATCH(Drivers!$A66,DriversGams!$A$5:$A$26,0),MATCH(Drivers!O$3,DriversGams!$A$5:$BA$5,0))</f>
        <v>74.228404932772534</v>
      </c>
      <c r="P66" s="8">
        <f>INDEX(DriversGams!$A$5:$BA$26,MATCH(Drivers!$A66,DriversGams!$A$5:$A$26,0),MATCH(Drivers!P$3,DriversGams!$A$5:$BA$5,0))</f>
        <v>75.51802702093444</v>
      </c>
      <c r="Q66" s="8">
        <f>INDEX(DriversGams!$A$5:$BA$26,MATCH(Drivers!$A66,DriversGams!$A$5:$A$26,0),MATCH(Drivers!Q$3,DriversGams!$A$5:$BA$5,0))</f>
        <v>76.37808480948911</v>
      </c>
      <c r="R66" s="8">
        <f>INDEX(DriversGams!$A$5:$BA$26,MATCH(Drivers!$A66,DriversGams!$A$5:$A$26,0),MATCH(Drivers!R$3,DriversGams!$A$5:$BA$5,0))</f>
        <v>79.190838139536297</v>
      </c>
      <c r="S66" s="8">
        <f>INDEX(DriversGams!$A$5:$BA$26,MATCH(Drivers!$A66,DriversGams!$A$5:$A$26,0),MATCH(Drivers!S$3,DriversGams!$A$5:$BA$5,0))</f>
        <v>82.032420150023626</v>
      </c>
      <c r="T66" s="8">
        <f>INDEX(DriversGams!$A$5:$BA$26,MATCH(Drivers!$A66,DriversGams!$A$5:$A$26,0),MATCH(Drivers!T$3,DriversGams!$A$5:$BA$5,0))</f>
        <v>84.862515499021413</v>
      </c>
      <c r="U66" s="8">
        <f>INDEX(DriversGams!$A$5:$BA$26,MATCH(Drivers!$A66,DriversGams!$A$5:$A$26,0),MATCH(Drivers!U$3,DriversGams!$A$5:$BA$5,0))</f>
        <v>87.655637151373512</v>
      </c>
      <c r="V66" s="8">
        <f>INDEX(DriversGams!$A$5:$BA$26,MATCH(Drivers!$A66,DriversGams!$A$5:$A$26,0),MATCH(Drivers!V$3,DriversGams!$A$5:$BA$5,0))</f>
        <v>90.345262303108555</v>
      </c>
      <c r="W66" s="8">
        <f>INDEX(DriversGams!$A$5:$BA$26,MATCH(Drivers!$A66,DriversGams!$A$5:$A$26,0),MATCH(Drivers!W$3,DriversGams!$A$5:$BA$5,0))</f>
        <v>93.049962484060146</v>
      </c>
      <c r="X66" s="8">
        <f>INDEX(DriversGams!$A$5:$BA$26,MATCH(Drivers!$A66,DriversGams!$A$5:$A$26,0),MATCH(Drivers!X$3,DriversGams!$A$5:$BA$5,0))</f>
        <v>95.703063812375021</v>
      </c>
      <c r="Y66" s="8">
        <f>INDEX(DriversGams!$A$5:$BA$26,MATCH(Drivers!$A66,DriversGams!$A$5:$A$26,0),MATCH(Drivers!Y$3,DriversGams!$A$5:$BA$5,0))</f>
        <v>98.410479701169621</v>
      </c>
      <c r="Z66" s="8">
        <f>INDEX(DriversGams!$A$5:$BA$26,MATCH(Drivers!$A66,DriversGams!$A$5:$A$26,0),MATCH(Drivers!Z$3,DriversGams!$A$5:$BA$5,0))</f>
        <v>101.50064253716876</v>
      </c>
      <c r="AA66" s="8">
        <f>INDEX(DriversGams!$A$5:$BA$26,MATCH(Drivers!$A66,DriversGams!$A$5:$A$26,0),MATCH(Drivers!AA$3,DriversGams!$A$5:$BA$5,0))</f>
        <v>104.02390045403702</v>
      </c>
      <c r="AB66" s="8">
        <f>INDEX(DriversGams!$A$5:$BA$26,MATCH(Drivers!$A66,DriversGams!$A$5:$A$26,0),MATCH(Drivers!AB$3,DriversGams!$A$5:$BA$5,0))</f>
        <v>106.39571928727908</v>
      </c>
      <c r="AC66" s="8">
        <f>INDEX(DriversGams!$A$5:$BA$26,MATCH(Drivers!$A66,DriversGams!$A$5:$A$26,0),MATCH(Drivers!AC$3,DriversGams!$A$5:$BA$5,0))</f>
        <v>108.77929277908659</v>
      </c>
      <c r="AD66" s="8">
        <f>INDEX(DriversGams!$A$5:$BA$26,MATCH(Drivers!$A66,DriversGams!$A$5:$A$26,0),MATCH(Drivers!AD$3,DriversGams!$A$5:$BA$5,0))</f>
        <v>111.14326308604088</v>
      </c>
      <c r="AE66" s="8">
        <f>INDEX(DriversGams!$A$5:$BA$26,MATCH(Drivers!$A66,DriversGams!$A$5:$A$26,0),MATCH(Drivers!AE$3,DriversGams!$A$5:$BA$5,0))</f>
        <v>113.31904366724586</v>
      </c>
      <c r="AF66" s="8">
        <f>INDEX(DriversGams!$A$5:$BA$26,MATCH(Drivers!$A66,DriversGams!$A$5:$A$26,0),MATCH(Drivers!AF$3,DriversGams!$A$5:$BA$5,0))</f>
        <v>123.33344139687395</v>
      </c>
      <c r="AG66" s="8">
        <f>INDEX(DriversGams!$A$5:$BA$26,MATCH(Drivers!$A66,DriversGams!$A$5:$A$26,0),MATCH(Drivers!AG$3,DriversGams!$A$5:$BA$5,0))</f>
        <v>132.97650907168932</v>
      </c>
      <c r="AH66" s="8">
        <f>INDEX(DriversGams!$A$5:$BA$26,MATCH(Drivers!$A66,DriversGams!$A$5:$A$26,0),MATCH(Drivers!AH$3,DriversGams!$A$5:$BA$5,0))</f>
        <v>143.39042266170239</v>
      </c>
      <c r="AI66" s="8">
        <f t="shared" si="153"/>
        <v>160.56581901754532</v>
      </c>
      <c r="AJ66" s="8">
        <f t="shared" si="154"/>
        <v>171.78602924042093</v>
      </c>
      <c r="AK66" s="8">
        <f t="shared" si="155"/>
        <v>175.5927252044859</v>
      </c>
      <c r="AL66" s="107"/>
      <c r="AM66" s="107"/>
      <c r="AN66" s="8">
        <v>164.08359704192165</v>
      </c>
      <c r="AO66" s="8">
        <v>183.73763503395921</v>
      </c>
      <c r="AP66" s="8">
        <v>196.57707311330375</v>
      </c>
      <c r="AQ66" s="8">
        <v>200.93312671182329</v>
      </c>
    </row>
    <row r="67" spans="1:43">
      <c r="A67" s="115" t="s">
        <v>794</v>
      </c>
      <c r="B67">
        <f t="shared" si="156"/>
        <v>21</v>
      </c>
      <c r="C67" s="257">
        <v>6.4158612357306808</v>
      </c>
      <c r="D67" s="257">
        <v>6.604363287904599</v>
      </c>
      <c r="E67" s="257">
        <v>6.7999637989778527</v>
      </c>
      <c r="F67" s="257">
        <v>6.9251895229982949</v>
      </c>
      <c r="G67" s="257">
        <v>6.9893547700170355</v>
      </c>
      <c r="H67" s="257">
        <v>7.0969867972742753</v>
      </c>
      <c r="I67" s="257">
        <v>7.234631601362862</v>
      </c>
      <c r="J67" s="8">
        <f>INDEX(DriversGams!$A$5:$BA$26,MATCH(Drivers!$A67,DriversGams!$A$5:$A$26,0),MATCH(Drivers!J$3,DriversGams!$A$5:$BA$5,0))</f>
        <v>21.48466864889863</v>
      </c>
      <c r="K67" s="8">
        <f>INDEX(DriversGams!$A$5:$BA$26,MATCH(Drivers!$A67,DriversGams!$A$5:$A$26,0),MATCH(Drivers!K$3,DriversGams!$A$5:$BA$5,0))</f>
        <v>18.307779220259423</v>
      </c>
      <c r="L67" s="8">
        <f>INDEX(DriversGams!$A$5:$BA$26,MATCH(Drivers!$A67,DriversGams!$A$5:$A$26,0),MATCH(Drivers!L$3,DriversGams!$A$5:$BA$5,0))</f>
        <v>19.330451272365316</v>
      </c>
      <c r="M67" s="8">
        <f>INDEX(DriversGams!$A$5:$BA$26,MATCH(Drivers!$A67,DriversGams!$A$5:$A$26,0),MATCH(Drivers!M$3,DriversGams!$A$5:$BA$5,0))</f>
        <v>22.071758289823141</v>
      </c>
      <c r="N67" s="8">
        <f>INDEX(DriversGams!$A$5:$BA$26,MATCH(Drivers!$A67,DriversGams!$A$5:$A$26,0),MATCH(Drivers!N$3,DriversGams!$A$5:$BA$5,0))</f>
        <v>22.698490339406487</v>
      </c>
      <c r="O67" s="8">
        <f>INDEX(DriversGams!$A$5:$BA$26,MATCH(Drivers!$A67,DriversGams!$A$5:$A$26,0),MATCH(Drivers!O$3,DriversGams!$A$5:$BA$5,0))</f>
        <v>23.049561801496186</v>
      </c>
      <c r="P67" s="8">
        <f>INDEX(DriversGams!$A$5:$BA$26,MATCH(Drivers!$A67,DriversGams!$A$5:$A$26,0),MATCH(Drivers!P$3,DriversGams!$A$5:$BA$5,0))</f>
        <v>23.420273119110355</v>
      </c>
      <c r="Q67" s="8">
        <f>INDEX(DriversGams!$A$5:$BA$26,MATCH(Drivers!$A67,DriversGams!$A$5:$A$26,0),MATCH(Drivers!Q$3,DriversGams!$A$5:$BA$5,0))</f>
        <v>23.812368744242441</v>
      </c>
      <c r="R67" s="8">
        <f>INDEX(DriversGams!$A$5:$BA$26,MATCH(Drivers!$A67,DriversGams!$A$5:$A$26,0),MATCH(Drivers!R$3,DriversGams!$A$5:$BA$5,0))</f>
        <v>24.731137388300873</v>
      </c>
      <c r="S67" s="8">
        <f>INDEX(DriversGams!$A$5:$BA$26,MATCH(Drivers!$A67,DriversGams!$A$5:$A$26,0),MATCH(Drivers!S$3,DriversGams!$A$5:$BA$5,0))</f>
        <v>25.722047765130682</v>
      </c>
      <c r="T67" s="8">
        <f>INDEX(DriversGams!$A$5:$BA$26,MATCH(Drivers!$A67,DriversGams!$A$5:$A$26,0),MATCH(Drivers!T$3,DriversGams!$A$5:$BA$5,0))</f>
        <v>26.713304586034695</v>
      </c>
      <c r="U67" s="8">
        <f>INDEX(DriversGams!$A$5:$BA$26,MATCH(Drivers!$A67,DriversGams!$A$5:$A$26,0),MATCH(Drivers!U$3,DriversGams!$A$5:$BA$5,0))</f>
        <v>27.747962233905362</v>
      </c>
      <c r="V67" s="8">
        <f>INDEX(DriversGams!$A$5:$BA$26,MATCH(Drivers!$A67,DriversGams!$A$5:$A$26,0),MATCH(Drivers!V$3,DriversGams!$A$5:$BA$5,0))</f>
        <v>28.748440875904258</v>
      </c>
      <c r="W67" s="8">
        <f>INDEX(DriversGams!$A$5:$BA$26,MATCH(Drivers!$A67,DriversGams!$A$5:$A$26,0),MATCH(Drivers!W$3,DriversGams!$A$5:$BA$5,0))</f>
        <v>29.782957335392474</v>
      </c>
      <c r="X67" s="8">
        <f>INDEX(DriversGams!$A$5:$BA$26,MATCH(Drivers!$A67,DriversGams!$A$5:$A$26,0),MATCH(Drivers!X$3,DriversGams!$A$5:$BA$5,0))</f>
        <v>30.748655814943174</v>
      </c>
      <c r="Y67" s="8">
        <f>INDEX(DriversGams!$A$5:$BA$26,MATCH(Drivers!$A67,DriversGams!$A$5:$A$26,0),MATCH(Drivers!Y$3,DriversGams!$A$5:$BA$5,0))</f>
        <v>31.713259218499566</v>
      </c>
      <c r="Z67" s="8">
        <f>INDEX(DriversGams!$A$5:$BA$26,MATCH(Drivers!$A67,DriversGams!$A$5:$A$26,0),MATCH(Drivers!Z$3,DriversGams!$A$5:$BA$5,0))</f>
        <v>32.808996936589608</v>
      </c>
      <c r="AA67" s="8">
        <f>INDEX(DriversGams!$A$5:$BA$26,MATCH(Drivers!$A67,DriversGams!$A$5:$A$26,0),MATCH(Drivers!AA$3,DriversGams!$A$5:$BA$5,0))</f>
        <v>33.813670380514104</v>
      </c>
      <c r="AB67" s="8">
        <f>INDEX(DriversGams!$A$5:$BA$26,MATCH(Drivers!$A67,DriversGams!$A$5:$A$26,0),MATCH(Drivers!AB$3,DriversGams!$A$5:$BA$5,0))</f>
        <v>34.814099999933653</v>
      </c>
      <c r="AC67" s="8">
        <f>INDEX(DriversGams!$A$5:$BA$26,MATCH(Drivers!$A67,DriversGams!$A$5:$A$26,0),MATCH(Drivers!AC$3,DriversGams!$A$5:$BA$5,0))</f>
        <v>35.870915980631409</v>
      </c>
      <c r="AD67" s="8">
        <f>INDEX(DriversGams!$A$5:$BA$26,MATCH(Drivers!$A67,DriversGams!$A$5:$A$26,0),MATCH(Drivers!AD$3,DriversGams!$A$5:$BA$5,0))</f>
        <v>36.95695254983039</v>
      </c>
      <c r="AE67" s="8">
        <f>INDEX(DriversGams!$A$5:$BA$26,MATCH(Drivers!$A67,DriversGams!$A$5:$A$26,0),MATCH(Drivers!AE$3,DriversGams!$A$5:$BA$5,0))</f>
        <v>37.990844364443547</v>
      </c>
      <c r="AF67" s="8">
        <f>INDEX(DriversGams!$A$5:$BA$26,MATCH(Drivers!$A67,DriversGams!$A$5:$A$26,0),MATCH(Drivers!AF$3,DriversGams!$A$5:$BA$5,0))</f>
        <v>42.805142471234674</v>
      </c>
      <c r="AG67" s="8">
        <f>INDEX(DriversGams!$A$5:$BA$26,MATCH(Drivers!$A67,DriversGams!$A$5:$A$26,0),MATCH(Drivers!AG$3,DriversGams!$A$5:$BA$5,0))</f>
        <v>47.799611370220177</v>
      </c>
      <c r="AH67" s="8">
        <f>INDEX(DriversGams!$A$5:$BA$26,MATCH(Drivers!$A67,DriversGams!$A$5:$A$26,0),MATCH(Drivers!AH$3,DriversGams!$A$5:$BA$5,0))</f>
        <v>52.977405333209596</v>
      </c>
      <c r="AI67" s="8">
        <f t="shared" si="153"/>
        <v>59.323072760724948</v>
      </c>
      <c r="AJ67" s="8">
        <f t="shared" si="154"/>
        <v>63.468521346949544</v>
      </c>
      <c r="AK67" s="8">
        <f t="shared" si="155"/>
        <v>64.874953320055283</v>
      </c>
      <c r="AL67" s="107"/>
      <c r="AM67" s="107"/>
      <c r="AN67" s="8">
        <v>19.735512661864522</v>
      </c>
      <c r="AO67" s="8">
        <v>22.099444966136986</v>
      </c>
      <c r="AP67" s="8">
        <v>23.643736396567963</v>
      </c>
      <c r="AQ67" s="8">
        <v>24.167670247965546</v>
      </c>
    </row>
    <row r="68" spans="1:43">
      <c r="A68" s="115" t="s">
        <v>578</v>
      </c>
      <c r="B68">
        <f t="shared" si="156"/>
        <v>22</v>
      </c>
      <c r="C68" s="257">
        <v>125.48003402211921</v>
      </c>
      <c r="D68" s="257">
        <v>127.1852732099033</v>
      </c>
      <c r="E68" s="257">
        <v>121.33259319855085</v>
      </c>
      <c r="F68" s="257">
        <v>115.48558072755804</v>
      </c>
      <c r="G68" s="257">
        <v>115.29855189569106</v>
      </c>
      <c r="H68" s="257">
        <v>115.15875256682079</v>
      </c>
      <c r="I68" s="257">
        <v>113.64929765104591</v>
      </c>
      <c r="J68" s="8">
        <f>INDEX(DriversGams!$A$5:$BA$26,MATCH(Drivers!$A68,DriversGams!$A$5:$A$26,0),MATCH(Drivers!J$3,DriversGams!$A$5:$BA$5,0))</f>
        <v>94.108496528502243</v>
      </c>
      <c r="K68" s="8">
        <f>INDEX(DriversGams!$A$5:$BA$26,MATCH(Drivers!$A68,DriversGams!$A$5:$A$26,0),MATCH(Drivers!K$3,DriversGams!$A$5:$BA$5,0))</f>
        <v>89.170292796395046</v>
      </c>
      <c r="L68" s="8">
        <f>INDEX(DriversGams!$A$5:$BA$26,MATCH(Drivers!$A68,DriversGams!$A$5:$A$26,0),MATCH(Drivers!L$3,DriversGams!$A$5:$BA$5,0))</f>
        <v>89.96738031498613</v>
      </c>
      <c r="M68" s="8">
        <f>INDEX(DriversGams!$A$5:$BA$26,MATCH(Drivers!$A68,DriversGams!$A$5:$A$26,0),MATCH(Drivers!M$3,DriversGams!$A$5:$BA$5,0))</f>
        <v>88.806521035222204</v>
      </c>
      <c r="N68" s="8">
        <f>INDEX(DriversGams!$A$5:$BA$26,MATCH(Drivers!$A68,DriversGams!$A$5:$A$26,0),MATCH(Drivers!N$3,DriversGams!$A$5:$BA$5,0))</f>
        <v>84.617045139158805</v>
      </c>
      <c r="O68" s="8">
        <f>INDEX(DriversGams!$A$5:$BA$26,MATCH(Drivers!$A68,DriversGams!$A$5:$A$26,0),MATCH(Drivers!O$3,DriversGams!$A$5:$BA$5,0))</f>
        <v>80.915658386609536</v>
      </c>
      <c r="P68" s="8">
        <f>INDEX(DriversGams!$A$5:$BA$26,MATCH(Drivers!$A68,DriversGams!$A$5:$A$26,0),MATCH(Drivers!P$3,DriversGams!$A$5:$BA$5,0))</f>
        <v>75.877238126919551</v>
      </c>
      <c r="Q68" s="8">
        <f>INDEX(DriversGams!$A$5:$BA$26,MATCH(Drivers!$A68,DriversGams!$A$5:$A$26,0),MATCH(Drivers!Q$3,DriversGams!$A$5:$BA$5,0))</f>
        <v>71.875791793575942</v>
      </c>
      <c r="R68" s="8">
        <f>INDEX(DriversGams!$A$5:$BA$26,MATCH(Drivers!$A68,DriversGams!$A$5:$A$26,0),MATCH(Drivers!R$3,DriversGams!$A$5:$BA$5,0))</f>
        <v>67.672487477651515</v>
      </c>
      <c r="S68" s="8">
        <f>INDEX(DriversGams!$A$5:$BA$26,MATCH(Drivers!$A68,DriversGams!$A$5:$A$26,0),MATCH(Drivers!S$3,DriversGams!$A$5:$BA$5,0))</f>
        <v>63.009821834038966</v>
      </c>
      <c r="T68" s="8">
        <f>INDEX(DriversGams!$A$5:$BA$26,MATCH(Drivers!$A68,DriversGams!$A$5:$A$26,0),MATCH(Drivers!T$3,DriversGams!$A$5:$BA$5,0))</f>
        <v>58.727132707763268</v>
      </c>
      <c r="U68" s="8">
        <f>INDEX(DriversGams!$A$5:$BA$26,MATCH(Drivers!$A68,DriversGams!$A$5:$A$26,0),MATCH(Drivers!U$3,DriversGams!$A$5:$BA$5,0))</f>
        <v>55.600131566361455</v>
      </c>
      <c r="V68" s="8">
        <f>INDEX(DriversGams!$A$5:$BA$26,MATCH(Drivers!$A68,DriversGams!$A$5:$A$26,0),MATCH(Drivers!V$3,DriversGams!$A$5:$BA$5,0))</f>
        <v>53.405626184449716</v>
      </c>
      <c r="W68" s="8">
        <f>INDEX(DriversGams!$A$5:$BA$26,MATCH(Drivers!$A68,DriversGams!$A$5:$A$26,0),MATCH(Drivers!W$3,DriversGams!$A$5:$BA$5,0))</f>
        <v>51.073183466608732</v>
      </c>
      <c r="X68" s="8">
        <f>INDEX(DriversGams!$A$5:$BA$26,MATCH(Drivers!$A68,DriversGams!$A$5:$A$26,0),MATCH(Drivers!X$3,DriversGams!$A$5:$BA$5,0))</f>
        <v>48.012822201833707</v>
      </c>
      <c r="Y68" s="8">
        <f>INDEX(DriversGams!$A$5:$BA$26,MATCH(Drivers!$A68,DriversGams!$A$5:$A$26,0),MATCH(Drivers!Y$3,DriversGams!$A$5:$BA$5,0))</f>
        <v>45.52082019032914</v>
      </c>
      <c r="Z68" s="8">
        <f>INDEX(DriversGams!$A$5:$BA$26,MATCH(Drivers!$A68,DriversGams!$A$5:$A$26,0),MATCH(Drivers!Z$3,DriversGams!$A$5:$BA$5,0))</f>
        <v>44.727102286028412</v>
      </c>
      <c r="AA68" s="8">
        <f>INDEX(DriversGams!$A$5:$BA$26,MATCH(Drivers!$A68,DriversGams!$A$5:$A$26,0),MATCH(Drivers!AA$3,DriversGams!$A$5:$BA$5,0))</f>
        <v>44.028315895251161</v>
      </c>
      <c r="AB68" s="8">
        <f>INDEX(DriversGams!$A$5:$BA$26,MATCH(Drivers!$A68,DriversGams!$A$5:$A$26,0),MATCH(Drivers!AB$3,DriversGams!$A$5:$BA$5,0))</f>
        <v>43.179634424160412</v>
      </c>
      <c r="AC68" s="8">
        <f>INDEX(DriversGams!$A$5:$BA$26,MATCH(Drivers!$A68,DriversGams!$A$5:$A$26,0),MATCH(Drivers!AC$3,DriversGams!$A$5:$BA$5,0))</f>
        <v>42.091808841452853</v>
      </c>
      <c r="AD68" s="8">
        <f>INDEX(DriversGams!$A$5:$BA$26,MATCH(Drivers!$A68,DriversGams!$A$5:$A$26,0),MATCH(Drivers!AD$3,DriversGams!$A$5:$BA$5,0))</f>
        <v>41.369785254148226</v>
      </c>
      <c r="AE68" s="8">
        <f>INDEX(DriversGams!$A$5:$BA$26,MATCH(Drivers!$A68,DriversGams!$A$5:$A$26,0),MATCH(Drivers!AE$3,DriversGams!$A$5:$BA$5,0))</f>
        <v>40.605239376517197</v>
      </c>
      <c r="AF68" s="8">
        <f>INDEX(DriversGams!$A$5:$BA$26,MATCH(Drivers!$A68,DriversGams!$A$5:$A$26,0),MATCH(Drivers!AF$3,DriversGams!$A$5:$BA$5,0))</f>
        <v>33.764113708096161</v>
      </c>
      <c r="AG68" s="8">
        <f>INDEX(DriversGams!$A$5:$BA$26,MATCH(Drivers!$A68,DriversGams!$A$5:$A$26,0),MATCH(Drivers!AG$3,DriversGams!$A$5:$BA$5,0))</f>
        <v>12.493314859420927</v>
      </c>
      <c r="AH68" s="8">
        <f>INDEX(DriversGams!$A$5:$BA$26,MATCH(Drivers!$A68,DriversGams!$A$5:$A$26,0),MATCH(Drivers!AH$3,DriversGams!$A$5:$BA$5,0))</f>
        <v>12.70953245968064</v>
      </c>
      <c r="AI68" s="8">
        <f t="shared" si="153"/>
        <v>11.965043932682622</v>
      </c>
      <c r="AJ68" s="8">
        <f t="shared" si="154"/>
        <v>11.264165441584039</v>
      </c>
      <c r="AK68" s="8">
        <f t="shared" si="155"/>
        <v>10.604342433611833</v>
      </c>
      <c r="AL68" s="107"/>
      <c r="AM68" s="107"/>
      <c r="AN68" s="8">
        <v>81.728458246781216</v>
      </c>
      <c r="AO68" s="8">
        <v>76.941035917361077</v>
      </c>
      <c r="AP68" s="8">
        <v>72.434047271040967</v>
      </c>
      <c r="AQ68" s="8">
        <v>68.19106529445007</v>
      </c>
    </row>
    <row r="69" spans="1:43">
      <c r="A69" s="115" t="s">
        <v>508</v>
      </c>
      <c r="B69">
        <f t="shared" si="156"/>
        <v>23</v>
      </c>
      <c r="C69" s="257">
        <v>154.18842101590053</v>
      </c>
      <c r="D69" s="257">
        <v>151.87047226763119</v>
      </c>
      <c r="E69" s="257">
        <v>148.71168942836181</v>
      </c>
      <c r="F69" s="257">
        <v>145.49800306349678</v>
      </c>
      <c r="G69" s="257">
        <v>142.32274916654868</v>
      </c>
      <c r="H69" s="257">
        <v>141.64560568420242</v>
      </c>
      <c r="I69" s="257">
        <v>143.22499710383713</v>
      </c>
      <c r="J69" s="8">
        <f>INDEX(DriversGams!$A$5:$BA$26,MATCH(Drivers!$A69,DriversGams!$A$5:$A$26,0),MATCH(Drivers!J$3,DriversGams!$A$5:$BA$5,0))</f>
        <v>142.16546283895707</v>
      </c>
      <c r="K69" s="8">
        <f>INDEX(DriversGams!$A$5:$BA$26,MATCH(Drivers!$A69,DriversGams!$A$5:$A$26,0),MATCH(Drivers!K$3,DriversGams!$A$5:$BA$5,0))</f>
        <v>137.68045233638463</v>
      </c>
      <c r="L69" s="8">
        <f>INDEX(DriversGams!$A$5:$BA$26,MATCH(Drivers!$A69,DriversGams!$A$5:$A$26,0),MATCH(Drivers!L$3,DriversGams!$A$5:$BA$5,0))</f>
        <v>147.69622814047071</v>
      </c>
      <c r="M69" s="8">
        <f>INDEX(DriversGams!$A$5:$BA$26,MATCH(Drivers!$A69,DriversGams!$A$5:$A$26,0),MATCH(Drivers!M$3,DriversGams!$A$5:$BA$5,0))</f>
        <v>151.73563260483036</v>
      </c>
      <c r="N69" s="8">
        <f>INDEX(DriversGams!$A$5:$BA$26,MATCH(Drivers!$A69,DriversGams!$A$5:$A$26,0),MATCH(Drivers!N$3,DriversGams!$A$5:$BA$5,0))</f>
        <v>147.59143731773102</v>
      </c>
      <c r="O69" s="8">
        <f>INDEX(DriversGams!$A$5:$BA$26,MATCH(Drivers!$A69,DriversGams!$A$5:$A$26,0),MATCH(Drivers!O$3,DriversGams!$A$5:$BA$5,0))</f>
        <v>149.24079237734358</v>
      </c>
      <c r="P69" s="8">
        <f>INDEX(DriversGams!$A$5:$BA$26,MATCH(Drivers!$A69,DriversGams!$A$5:$A$26,0),MATCH(Drivers!P$3,DriversGams!$A$5:$BA$5,0))</f>
        <v>147.76924738534973</v>
      </c>
      <c r="Q69" s="8">
        <f>INDEX(DriversGams!$A$5:$BA$26,MATCH(Drivers!$A69,DriversGams!$A$5:$A$26,0),MATCH(Drivers!Q$3,DriversGams!$A$5:$BA$5,0))</f>
        <v>152.29455951470757</v>
      </c>
      <c r="R69" s="8">
        <f>INDEX(DriversGams!$A$5:$BA$26,MATCH(Drivers!$A69,DriversGams!$A$5:$A$26,0),MATCH(Drivers!R$3,DriversGams!$A$5:$BA$5,0))</f>
        <v>153.6173157934123</v>
      </c>
      <c r="S69" s="8">
        <f>INDEX(DriversGams!$A$5:$BA$26,MATCH(Drivers!$A69,DriversGams!$A$5:$A$26,0),MATCH(Drivers!S$3,DriversGams!$A$5:$BA$5,0))</f>
        <v>152.91434705077177</v>
      </c>
      <c r="T69" s="8">
        <f>INDEX(DriversGams!$A$5:$BA$26,MATCH(Drivers!$A69,DriversGams!$A$5:$A$26,0),MATCH(Drivers!T$3,DriversGams!$A$5:$BA$5,0))</f>
        <v>154.78684365321888</v>
      </c>
      <c r="U69" s="8">
        <f>INDEX(DriversGams!$A$5:$BA$26,MATCH(Drivers!$A69,DriversGams!$A$5:$A$26,0),MATCH(Drivers!U$3,DriversGams!$A$5:$BA$5,0))</f>
        <v>157.65650545377429</v>
      </c>
      <c r="V69" s="8">
        <f>INDEX(DriversGams!$A$5:$BA$26,MATCH(Drivers!$A69,DriversGams!$A$5:$A$26,0),MATCH(Drivers!V$3,DriversGams!$A$5:$BA$5,0))</f>
        <v>159.10950057121693</v>
      </c>
      <c r="W69" s="8">
        <f>INDEX(DriversGams!$A$5:$BA$26,MATCH(Drivers!$A69,DriversGams!$A$5:$A$26,0),MATCH(Drivers!W$3,DriversGams!$A$5:$BA$5,0))</f>
        <v>161.52471034805106</v>
      </c>
      <c r="X69" s="8">
        <f>INDEX(DriversGams!$A$5:$BA$26,MATCH(Drivers!$A69,DriversGams!$A$5:$A$26,0),MATCH(Drivers!X$3,DriversGams!$A$5:$BA$5,0))</f>
        <v>163.713466518704</v>
      </c>
      <c r="Y69" s="8">
        <f>INDEX(DriversGams!$A$5:$BA$26,MATCH(Drivers!$A69,DriversGams!$A$5:$A$26,0),MATCH(Drivers!Y$3,DriversGams!$A$5:$BA$5,0))</f>
        <v>167.00625694780743</v>
      </c>
      <c r="Z69" s="8">
        <f>INDEX(DriversGams!$A$5:$BA$26,MATCH(Drivers!$A69,DriversGams!$A$5:$A$26,0),MATCH(Drivers!Z$3,DriversGams!$A$5:$BA$5,0))</f>
        <v>169.65690964342394</v>
      </c>
      <c r="AA69" s="8">
        <f>INDEX(DriversGams!$A$5:$BA$26,MATCH(Drivers!$A69,DriversGams!$A$5:$A$26,0),MATCH(Drivers!AA$3,DriversGams!$A$5:$BA$5,0))</f>
        <v>173.81741913482028</v>
      </c>
      <c r="AB69" s="8">
        <f>INDEX(DriversGams!$A$5:$BA$26,MATCH(Drivers!$A69,DriversGams!$A$5:$A$26,0),MATCH(Drivers!AB$3,DriversGams!$A$5:$BA$5,0))</f>
        <v>177.34735796754123</v>
      </c>
      <c r="AC69" s="8">
        <f>INDEX(DriversGams!$A$5:$BA$26,MATCH(Drivers!$A69,DriversGams!$A$5:$A$26,0),MATCH(Drivers!AC$3,DriversGams!$A$5:$BA$5,0))</f>
        <v>181.49413881591505</v>
      </c>
      <c r="AD69" s="8">
        <f>INDEX(DriversGams!$A$5:$BA$26,MATCH(Drivers!$A69,DriversGams!$A$5:$A$26,0),MATCH(Drivers!AD$3,DriversGams!$A$5:$BA$5,0))</f>
        <v>186.17946851572094</v>
      </c>
      <c r="AE69" s="8">
        <f>INDEX(DriversGams!$A$5:$BA$26,MATCH(Drivers!$A69,DriversGams!$A$5:$A$26,0),MATCH(Drivers!AE$3,DriversGams!$A$5:$BA$5,0))</f>
        <v>190.56616953595835</v>
      </c>
      <c r="AF69" s="8">
        <f>INDEX(DriversGams!$A$5:$BA$26,MATCH(Drivers!$A69,DriversGams!$A$5:$A$26,0),MATCH(Drivers!AF$3,DriversGams!$A$5:$BA$5,0))</f>
        <v>215.17834467503414</v>
      </c>
      <c r="AG69" s="8">
        <f>INDEX(DriversGams!$A$5:$BA$26,MATCH(Drivers!$A69,DriversGams!$A$5:$A$26,0),MATCH(Drivers!AG$3,DriversGams!$A$5:$BA$5,0))</f>
        <v>290.97458096457643</v>
      </c>
      <c r="AH69" s="8">
        <f>INDEX(DriversGams!$A$5:$BA$26,MATCH(Drivers!$A69,DriversGams!$A$5:$A$26,0),MATCH(Drivers!AH$3,DriversGams!$A$5:$BA$5,0))</f>
        <v>324.4268489427551</v>
      </c>
      <c r="AI69" s="8">
        <f t="shared" si="153"/>
        <v>363.2869039982819</v>
      </c>
      <c r="AJ69" s="8">
        <f t="shared" si="154"/>
        <v>388.6731005064749</v>
      </c>
      <c r="AK69" s="8">
        <f t="shared" si="155"/>
        <v>397.28590988090855</v>
      </c>
      <c r="AL69" s="107"/>
      <c r="AM69" s="107"/>
      <c r="AN69" s="8">
        <v>384.91017699093248</v>
      </c>
      <c r="AO69" s="8">
        <v>431.01496368797757</v>
      </c>
      <c r="AP69" s="8">
        <v>461.13394250535436</v>
      </c>
      <c r="AQ69" s="8">
        <v>471.35244936292753</v>
      </c>
    </row>
    <row r="70" spans="1:43">
      <c r="A70" s="4" t="s">
        <v>5</v>
      </c>
      <c r="B70">
        <f t="shared" si="156"/>
        <v>24</v>
      </c>
      <c r="C70" s="280">
        <f>SUM(C47:C69)</f>
        <v>4032.0433682922139</v>
      </c>
      <c r="D70" s="280">
        <f t="shared" ref="D70:I70" si="162">SUM(D47:D69)</f>
        <v>4135.6011269326036</v>
      </c>
      <c r="E70" s="280">
        <f t="shared" si="162"/>
        <v>4214.5620530894539</v>
      </c>
      <c r="F70" s="280">
        <f t="shared" si="162"/>
        <v>4269.9104508291794</v>
      </c>
      <c r="G70" s="280">
        <f t="shared" si="162"/>
        <v>4306.3530098044157</v>
      </c>
      <c r="H70" s="280">
        <f t="shared" si="162"/>
        <v>4369.2882721535752</v>
      </c>
      <c r="I70" s="280">
        <f t="shared" si="162"/>
        <v>4424.2547121291227</v>
      </c>
      <c r="J70" s="108">
        <f t="shared" ref="J70:AK70" si="163">SUM(J47:J69)</f>
        <v>4401.013640951056</v>
      </c>
      <c r="K70" s="108">
        <f t="shared" si="163"/>
        <v>4142.8141251937004</v>
      </c>
      <c r="L70" s="108">
        <f t="shared" si="163"/>
        <v>4366.2893158905626</v>
      </c>
      <c r="M70" s="108">
        <f t="shared" si="163"/>
        <v>4500.0307476051612</v>
      </c>
      <c r="N70" s="108">
        <f t="shared" si="163"/>
        <v>4558.2498014327311</v>
      </c>
      <c r="O70" s="108">
        <f t="shared" si="163"/>
        <v>4628.7605285612017</v>
      </c>
      <c r="P70" s="108">
        <f t="shared" si="163"/>
        <v>4709.5083128662764</v>
      </c>
      <c r="Q70" s="108">
        <f t="shared" si="163"/>
        <v>4815.2126340769792</v>
      </c>
      <c r="R70" s="108">
        <f t="shared" si="163"/>
        <v>4933.8669149784355</v>
      </c>
      <c r="S70" s="108">
        <f t="shared" si="163"/>
        <v>5064.6909998094688</v>
      </c>
      <c r="T70" s="108">
        <f t="shared" si="163"/>
        <v>5217.4222832188361</v>
      </c>
      <c r="U70" s="108">
        <f t="shared" si="163"/>
        <v>5398.2103245992084</v>
      </c>
      <c r="V70" s="108">
        <f t="shared" si="163"/>
        <v>5586.0140445989637</v>
      </c>
      <c r="W70" s="108">
        <f t="shared" si="163"/>
        <v>5785.4266336259943</v>
      </c>
      <c r="X70" s="108">
        <f t="shared" si="163"/>
        <v>5988.7510598495155</v>
      </c>
      <c r="Y70" s="108">
        <f t="shared" si="163"/>
        <v>6205.0370577110416</v>
      </c>
      <c r="Z70" s="108">
        <f t="shared" si="163"/>
        <v>6433.0903658892812</v>
      </c>
      <c r="AA70" s="108">
        <f t="shared" si="163"/>
        <v>6671.8437174034407</v>
      </c>
      <c r="AB70" s="108">
        <f t="shared" si="163"/>
        <v>6919.8861305320497</v>
      </c>
      <c r="AC70" s="108">
        <f t="shared" si="163"/>
        <v>7178.5793746733907</v>
      </c>
      <c r="AD70" s="108">
        <f t="shared" si="163"/>
        <v>7446.2823387879662</v>
      </c>
      <c r="AE70" s="108">
        <f t="shared" si="163"/>
        <v>7719.5140780582069</v>
      </c>
      <c r="AF70" s="108">
        <f t="shared" si="163"/>
        <v>9144.415165244216</v>
      </c>
      <c r="AG70" s="63">
        <f t="shared" si="163"/>
        <v>10668.59610913886</v>
      </c>
      <c r="AH70" s="63">
        <f t="shared" si="163"/>
        <v>12362.492108001819</v>
      </c>
      <c r="AI70" s="63">
        <f t="shared" si="163"/>
        <v>13803.851011820361</v>
      </c>
      <c r="AJ70" s="63">
        <f t="shared" si="163"/>
        <v>14741.719489179963</v>
      </c>
      <c r="AK70" s="63">
        <f t="shared" si="163"/>
        <v>15052.570747959162</v>
      </c>
      <c r="AL70" s="108"/>
      <c r="AM70" s="108"/>
      <c r="AN70" s="63">
        <v>11528.13477236027</v>
      </c>
      <c r="AO70" s="63">
        <v>12862.10118730256</v>
      </c>
      <c r="AP70" s="63">
        <v>13729.107842808744</v>
      </c>
      <c r="AQ70" s="63">
        <v>14014.530203526238</v>
      </c>
    </row>
    <row r="71" spans="1:43" s="25" customFormat="1">
      <c r="A71" s="204" t="s">
        <v>263</v>
      </c>
      <c r="B71">
        <f t="shared" si="156"/>
        <v>25</v>
      </c>
      <c r="C71" s="259"/>
      <c r="D71" s="205">
        <v>2.6436281887547874E-2</v>
      </c>
      <c r="E71" s="205">
        <v>2.0165921894981231E-2</v>
      </c>
      <c r="F71" s="205">
        <v>1.407744097509589E-2</v>
      </c>
      <c r="G71" s="205">
        <v>8.9337784405372211E-3</v>
      </c>
      <c r="H71" s="205">
        <v>1.4827464040109817E-2</v>
      </c>
      <c r="I71" s="205">
        <v>1.2732896737821964E-2</v>
      </c>
      <c r="J71" s="205">
        <v>7.2531087632679014E-3</v>
      </c>
      <c r="K71" s="205">
        <v>-7.2462496857853442E-2</v>
      </c>
      <c r="L71" s="205">
        <f>L70/K70-1</f>
        <v>5.3942847529133031E-2</v>
      </c>
      <c r="M71" s="205">
        <f>M70/L70-1</f>
        <v>3.0630455757446828E-2</v>
      </c>
      <c r="N71" s="205">
        <f t="shared" ref="N71" si="164">N70/M70-1</f>
        <v>1.2937479118015682E-2</v>
      </c>
      <c r="O71" s="205">
        <f t="shared" ref="O71" si="165">O70/N70-1</f>
        <v>1.5468815927180524E-2</v>
      </c>
      <c r="P71" s="205">
        <f t="shared" ref="P71" si="166">P70/O70-1</f>
        <v>1.7444796248764716E-2</v>
      </c>
      <c r="Q71" s="205">
        <f t="shared" ref="Q71" si="167">Q70/P70-1</f>
        <v>2.2444874111787971E-2</v>
      </c>
      <c r="R71" s="205">
        <f t="shared" ref="R71" si="168">R70/Q70-1</f>
        <v>2.4641545434929801E-2</v>
      </c>
      <c r="S71" s="205">
        <f t="shared" ref="S71" si="169">S70/R70-1</f>
        <v>2.6515527695704977E-2</v>
      </c>
      <c r="T71" s="205">
        <f t="shared" ref="T71" si="170">T70/S70-1</f>
        <v>3.0156091144575736E-2</v>
      </c>
      <c r="U71" s="205">
        <f t="shared" ref="U71" si="171">U70/T70-1</f>
        <v>3.4650835521183199E-2</v>
      </c>
      <c r="V71" s="205">
        <f t="shared" ref="V71" si="172">V70/U70-1</f>
        <v>3.478999681504602E-2</v>
      </c>
      <c r="W71" s="205">
        <f t="shared" ref="W71" si="173">W70/V70-1</f>
        <v>3.5698547736348729E-2</v>
      </c>
      <c r="X71" s="205">
        <f t="shared" ref="X71" si="174">X70/W70-1</f>
        <v>3.5144240710228924E-2</v>
      </c>
      <c r="Y71" s="205">
        <f t="shared" ref="Y71" si="175">Y70/X70-1</f>
        <v>3.6115376261266929E-2</v>
      </c>
      <c r="Z71" s="205">
        <f t="shared" ref="Z71" si="176">Z70/Y70-1</f>
        <v>3.6752932505831781E-2</v>
      </c>
      <c r="AA71" s="205">
        <f t="shared" ref="AA71" si="177">AA70/Z70-1</f>
        <v>3.7113321581820458E-2</v>
      </c>
      <c r="AB71" s="205">
        <f t="shared" ref="AB71" si="178">AB70/AA70-1</f>
        <v>3.7177491505322902E-2</v>
      </c>
      <c r="AC71" s="205">
        <f t="shared" ref="AC71" si="179">AC70/AB70-1</f>
        <v>3.7384031942365281E-2</v>
      </c>
      <c r="AD71" s="205">
        <f t="shared" ref="AD71" si="180">AD70/AC70-1</f>
        <v>3.7291913920887154E-2</v>
      </c>
      <c r="AE71" s="205">
        <f t="shared" ref="AE71" si="181">AE70/AD70-1</f>
        <v>3.6693711954348895E-2</v>
      </c>
      <c r="AF71" s="205">
        <f>(AF70/AE70)^(1/5)-1</f>
        <v>3.4458790203394596E-2</v>
      </c>
      <c r="AG71" s="205">
        <f>(AG70/AF70)^(1/5)-1</f>
        <v>3.1312467011646694E-2</v>
      </c>
      <c r="AH71" s="205">
        <f t="shared" ref="AH71:AK71" si="182">(AH70/AG70)^(1/5)-1</f>
        <v>2.9911128091070216E-2</v>
      </c>
      <c r="AI71" s="205">
        <f t="shared" si="182"/>
        <v>2.2301144892878488E-2</v>
      </c>
      <c r="AJ71" s="205">
        <f t="shared" si="182"/>
        <v>1.3233583434325569E-2</v>
      </c>
      <c r="AK71" s="205">
        <f t="shared" si="182"/>
        <v>4.1821721438306536E-3</v>
      </c>
      <c r="AL71" s="204"/>
      <c r="AM71" s="204"/>
      <c r="AN71" s="205">
        <v>3.1148792311749718E-2</v>
      </c>
      <c r="AO71" s="205">
        <v>2.2140450115355259E-2</v>
      </c>
      <c r="AP71" s="205">
        <v>1.3132107425591899E-2</v>
      </c>
      <c r="AQ71" s="205">
        <v>4.1237642291809262E-3</v>
      </c>
    </row>
    <row r="72" spans="1:43">
      <c r="A72" t="s">
        <v>589</v>
      </c>
      <c r="B72">
        <f t="shared" si="156"/>
        <v>26</v>
      </c>
      <c r="C72" s="258">
        <v>52.325432882070082</v>
      </c>
      <c r="D72" s="257">
        <v>53.104386458423342</v>
      </c>
      <c r="E72" s="257">
        <v>53.912365691429272</v>
      </c>
      <c r="F72" s="257">
        <v>54.750491457321111</v>
      </c>
      <c r="G72" s="257">
        <v>55.619940469824826</v>
      </c>
      <c r="H72" s="257">
        <v>56.521948041648095</v>
      </c>
      <c r="I72" s="257">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ref="AI72" si="183">AO72/AN72*AH72</f>
        <v>75.663198000000008</v>
      </c>
      <c r="AJ72" s="8">
        <f t="shared" ref="AJ72" si="184">AP72/AO72*AI72</f>
        <v>76.208045000000013</v>
      </c>
      <c r="AK72" s="8">
        <f t="shared" ref="AK72" si="185">AQ72/AP72*AJ72</f>
        <v>76.50215500000003</v>
      </c>
      <c r="AL72" s="107"/>
      <c r="AM72" s="107"/>
      <c r="AN72" s="107">
        <v>74.799050000000008</v>
      </c>
      <c r="AO72" s="107">
        <v>75.663198000000008</v>
      </c>
      <c r="AP72" s="107">
        <v>76.208044999999998</v>
      </c>
      <c r="AQ72" s="107">
        <v>76.502155000000002</v>
      </c>
    </row>
    <row r="73" spans="1:43">
      <c r="A73" t="s">
        <v>380</v>
      </c>
      <c r="B73">
        <f t="shared" si="156"/>
        <v>27</v>
      </c>
      <c r="C73" s="260">
        <v>0.5</v>
      </c>
      <c r="D73" s="260">
        <v>0.5</v>
      </c>
      <c r="E73" s="260">
        <v>0.5</v>
      </c>
      <c r="F73" s="260">
        <v>0.5</v>
      </c>
      <c r="G73" s="260">
        <v>0.5</v>
      </c>
      <c r="H73" s="260">
        <v>0.5</v>
      </c>
      <c r="I73" s="260">
        <v>0.5</v>
      </c>
      <c r="J73" s="18">
        <f>INDEX(DriversGams!$B62:$AN62,1,MATCH(Drivers!J$3,DriversGams!$B$61:$AN$61,0))</f>
        <v>0.5</v>
      </c>
      <c r="K73" s="18">
        <f>INDEX(DriversGams!$B62:$AN62,1,MATCH(Drivers!K$3,DriversGams!$B$61:$AN$61,0))</f>
        <v>0.50869109967400905</v>
      </c>
      <c r="L73" s="18">
        <f>INDEX(DriversGams!$B62:$AN62,1,MATCH(Drivers!L$3,DriversGams!$B$61:$AN$61,0))</f>
        <v>0.48947211509097449</v>
      </c>
      <c r="M73" s="18">
        <f>INDEX(DriversGams!$B62:$AN62,1,MATCH(Drivers!M$3,DriversGams!$B$61:$AN$61,0))</f>
        <v>0.4606178050566635</v>
      </c>
      <c r="N73" s="18">
        <f>INDEX(DriversGams!$B62:$AN62,1,MATCH(Drivers!N$3,DriversGams!$B$61:$AN$61,0))</f>
        <v>0.44783547304107746</v>
      </c>
      <c r="O73" s="18">
        <f>INDEX(DriversGams!$B62:$AN62,1,MATCH(Drivers!O$3,DriversGams!$B$61:$AN$61,0))</f>
        <v>0.4373450444929311</v>
      </c>
      <c r="P73" s="18">
        <f>INDEX(DriversGams!$B62:$AN62,1,MATCH(Drivers!P$3,DriversGams!$B$61:$AN$61,0))</f>
        <v>0.42847018132309483</v>
      </c>
      <c r="Q73" s="18">
        <f>INDEX(DriversGams!$B62:$AN62,1,MATCH(Drivers!Q$3,DriversGams!$B$61:$AN$61,0))</f>
        <v>0.42283459382689914</v>
      </c>
      <c r="R73" s="18">
        <f>INDEX(DriversGams!$B62:$AN62,1,MATCH(Drivers!R$3,DriversGams!$B$61:$AN$61,0))</f>
        <v>0.41133888034482868</v>
      </c>
      <c r="S73" s="18">
        <f>INDEX(DriversGams!$B62:$AN62,1,MATCH(Drivers!S$3,DriversGams!$B$61:$AN$61,0))</f>
        <v>0.39667878483899643</v>
      </c>
      <c r="T73" s="18">
        <f>INDEX(DriversGams!$B62:$AN62,1,MATCH(Drivers!T$3,DriversGams!$B$61:$AN$61,0))</f>
        <v>0.38256993533227351</v>
      </c>
      <c r="U73" s="18">
        <f>INDEX(DriversGams!$B62:$AN62,1,MATCH(Drivers!U$3,DriversGams!$B$61:$AN$61,0))</f>
        <v>0.36813146309135064</v>
      </c>
      <c r="V73" s="18">
        <f>INDEX(DriversGams!$B62:$AN62,1,MATCH(Drivers!V$3,DriversGams!$B$61:$AN$61,0))</f>
        <v>0.3540843011225776</v>
      </c>
      <c r="W73" s="18">
        <f>INDEX(DriversGams!$B62:$AN62,1,MATCH(Drivers!W$3,DriversGams!$B$61:$AN$61,0))</f>
        <v>0.34075368376324844</v>
      </c>
      <c r="X73" s="18">
        <f>INDEX(DriversGams!$B62:$AN62,1,MATCH(Drivers!X$3,DriversGams!$B$61:$AN$61,0))</f>
        <v>0.32791372667188523</v>
      </c>
      <c r="Y73" s="18">
        <f>INDEX(DriversGams!$B62:$AN62,1,MATCH(Drivers!Y$3,DriversGams!$B$61:$AN$61,0))</f>
        <v>0.31543762454488994</v>
      </c>
      <c r="Z73" s="18">
        <f>INDEX(DriversGams!$B62:$AN62,1,MATCH(Drivers!Z$3,DriversGams!$B$61:$AN$61,0))</f>
        <v>0.30324459681030069</v>
      </c>
      <c r="AA73" s="18">
        <f>INDEX(DriversGams!$B62:$AN62,1,MATCH(Drivers!AA$3,DriversGams!$B$61:$AN$61,0))</f>
        <v>0.29154182974196219</v>
      </c>
      <c r="AB73" s="18">
        <f>INDEX(DriversGams!$B62:$AN62,1,MATCH(Drivers!AB$3,DriversGams!$B$61:$AN$61,0))</f>
        <v>0.28046722445348188</v>
      </c>
      <c r="AC73" s="18">
        <f>INDEX(DriversGams!$B62:$AN62,1,MATCH(Drivers!AC$3,DriversGams!$B$61:$AN$61,0))</f>
        <v>0.26982400445783222</v>
      </c>
      <c r="AD73" s="18">
        <f>INDEX(DriversGams!$B62:$AN62,1,MATCH(Drivers!AD$3,DriversGams!$B$61:$AN$61,0))</f>
        <v>0.25972185449361052</v>
      </c>
      <c r="AE73" s="18">
        <f>INDEX(DriversGams!$B62:$AN62,1,MATCH(Drivers!AE$3,DriversGams!$B$61:$AN$61,0))</f>
        <v>0.25016713258411949</v>
      </c>
      <c r="AF73" s="18">
        <f>INDEX(DriversGams!$B62:$AN62,1,MATCH(Drivers!AF$3,DriversGams!$B$61:$AN$61,0))</f>
        <v>0.21014696677205003</v>
      </c>
      <c r="AG73" s="18">
        <f>INDEX(DriversGams!$B62:$AN62,1,MATCH(Drivers!AG$3,DriversGams!$B$61:$AN$61,0))</f>
        <v>0.18072458479062242</v>
      </c>
      <c r="AH73" s="18">
        <f>INDEX(DriversGams!$B62:$AN62,1,MATCH(Drivers!AH$3,DriversGams!$B$61:$AN$61,0))</f>
        <v>0.15418593312694762</v>
      </c>
      <c r="AI73" s="18">
        <f t="shared" ref="AI73:AI74" si="186">AO73/AN73*AH73</f>
        <v>0.13306234639780209</v>
      </c>
      <c r="AJ73" s="18">
        <f t="shared" ref="AJ73:AJ74" si="187">AP73/AO73*AI73</f>
        <v>0.11190269909741615</v>
      </c>
      <c r="AK73" s="18">
        <f t="shared" ref="AK73:AK74" si="188">AQ73/AP73*AJ73</f>
        <v>9.0746627855547449E-2</v>
      </c>
      <c r="AL73" s="107"/>
      <c r="AM73" s="107"/>
      <c r="AN73" s="18">
        <v>0.24552291570350171</v>
      </c>
      <c r="AO73" s="18">
        <v>0.21188609489452759</v>
      </c>
      <c r="AP73" s="18">
        <v>0.17819185187839537</v>
      </c>
      <c r="AQ73" s="18">
        <v>0.14450330331373529</v>
      </c>
    </row>
    <row r="74" spans="1:43">
      <c r="A74" t="s">
        <v>381</v>
      </c>
      <c r="B74">
        <f t="shared" si="156"/>
        <v>28</v>
      </c>
      <c r="C74" s="260">
        <v>0.3</v>
      </c>
      <c r="D74" s="260">
        <v>0.3</v>
      </c>
      <c r="E74" s="260">
        <v>0.3</v>
      </c>
      <c r="F74" s="260">
        <v>0.3</v>
      </c>
      <c r="G74" s="260">
        <v>0.3</v>
      </c>
      <c r="H74" s="260">
        <v>0.3</v>
      </c>
      <c r="I74" s="260">
        <v>0.3</v>
      </c>
      <c r="J74" s="18">
        <f>INDEX(DriversGams!$B63:$AN63,1,MATCH(Drivers!J$3,DriversGams!$B$61:$AN$61,0))</f>
        <v>0.3</v>
      </c>
      <c r="K74" s="18">
        <f>INDEX(DriversGams!$B63:$AN63,1,MATCH(Drivers!K$3,DriversGams!$B$61:$AN$61,0))</f>
        <v>0.29130890032599099</v>
      </c>
      <c r="L74" s="18">
        <f>INDEX(DriversGams!$B63:$AN63,1,MATCH(Drivers!L$3,DriversGams!$B$61:$AN$61,0))</f>
        <v>0.29340566839946647</v>
      </c>
      <c r="M74" s="18">
        <f>INDEX(DriversGams!$B63:$AN63,1,MATCH(Drivers!M$3,DriversGams!$B$61:$AN$61,0))</f>
        <v>0.30702568611369813</v>
      </c>
      <c r="N74" s="18">
        <f>INDEX(DriversGams!$B63:$AN63,1,MATCH(Drivers!N$3,DriversGams!$B$61:$AN$61,0))</f>
        <v>0.31192284361497868</v>
      </c>
      <c r="O74" s="18">
        <f>INDEX(DriversGams!$B63:$AN63,1,MATCH(Drivers!O$3,DriversGams!$B$61:$AN$61,0))</f>
        <v>0.3146811687378378</v>
      </c>
      <c r="P74" s="18">
        <f>INDEX(DriversGams!$B63:$AN63,1,MATCH(Drivers!P$3,DriversGams!$B$61:$AN$61,0))</f>
        <v>0.31810023619141697</v>
      </c>
      <c r="Q74" s="18">
        <f>INDEX(DriversGams!$B63:$AN63,1,MATCH(Drivers!Q$3,DriversGams!$B$61:$AN$61,0))</f>
        <v>0.32002715947280558</v>
      </c>
      <c r="R74" s="18">
        <f>INDEX(DriversGams!$B63:$AN63,1,MATCH(Drivers!R$3,DriversGams!$B$61:$AN$61,0))</f>
        <v>0.3205618278723007</v>
      </c>
      <c r="S74" s="18">
        <f>INDEX(DriversGams!$B63:$AN63,1,MATCH(Drivers!S$3,DriversGams!$B$61:$AN$61,0))</f>
        <v>0.32405011507682863</v>
      </c>
      <c r="T74" s="18">
        <f>INDEX(DriversGams!$B63:$AN63,1,MATCH(Drivers!T$3,DriversGams!$B$61:$AN$61,0))</f>
        <v>0.32739290265745646</v>
      </c>
      <c r="U74" s="18">
        <f>INDEX(DriversGams!$B63:$AN63,1,MATCH(Drivers!U$3,DriversGams!$B$61:$AN$61,0))</f>
        <v>0.3301611284366166</v>
      </c>
      <c r="V74" s="18">
        <f>INDEX(DriversGams!$B63:$AN63,1,MATCH(Drivers!V$3,DriversGams!$B$61:$AN$61,0))</f>
        <v>0.33359646163824991</v>
      </c>
      <c r="W74" s="18">
        <f>INDEX(DriversGams!$B63:$AN63,1,MATCH(Drivers!W$3,DriversGams!$B$61:$AN$61,0))</f>
        <v>0.33654052852471195</v>
      </c>
      <c r="X74" s="18">
        <f>INDEX(DriversGams!$B63:$AN63,1,MATCH(Drivers!X$3,DriversGams!$B$61:$AN$61,0))</f>
        <v>0.33966241959979315</v>
      </c>
      <c r="Y74" s="18">
        <f>INDEX(DriversGams!$B63:$AN63,1,MATCH(Drivers!Y$3,DriversGams!$B$61:$AN$61,0))</f>
        <v>0.34245066314010103</v>
      </c>
      <c r="Z74" s="18">
        <f>INDEX(DriversGams!$B63:$AN63,1,MATCH(Drivers!Z$3,DriversGams!$B$61:$AN$61,0))</f>
        <v>0.34518504524092186</v>
      </c>
      <c r="AA74" s="18">
        <f>INDEX(DriversGams!$B63:$AN63,1,MATCH(Drivers!AA$3,DriversGams!$B$61:$AN$61,0))</f>
        <v>0.34770931437923797</v>
      </c>
      <c r="AB74" s="18">
        <f>INDEX(DriversGams!$B63:$AN63,1,MATCH(Drivers!AB$3,DriversGams!$B$61:$AN$61,0))</f>
        <v>0.35009843702544508</v>
      </c>
      <c r="AC74" s="18">
        <f>INDEX(DriversGams!$B63:$AN63,1,MATCH(Drivers!AC$3,DriversGams!$B$61:$AN$61,0))</f>
        <v>0.3523714849898934</v>
      </c>
      <c r="AD74" s="18">
        <f>INDEX(DriversGams!$B63:$AN63,1,MATCH(Drivers!AD$3,DriversGams!$B$61:$AN$61,0))</f>
        <v>0.35460235350222807</v>
      </c>
      <c r="AE74" s="18">
        <f>INDEX(DriversGams!$B63:$AN63,1,MATCH(Drivers!AE$3,DriversGams!$B$61:$AN$61,0))</f>
        <v>0.35664814779018039</v>
      </c>
      <c r="AF74" s="18">
        <f>INDEX(DriversGams!$B63:$AN63,1,MATCH(Drivers!AF$3,DriversGams!$B$61:$AN$61,0))</f>
        <v>0.36564029649579993</v>
      </c>
      <c r="AG74" s="18">
        <f>INDEX(DriversGams!$B63:$AN63,1,MATCH(Drivers!AG$3,DriversGams!$B$61:$AN$61,0))</f>
        <v>0.37346403644390014</v>
      </c>
      <c r="AH74" s="18">
        <f>INDEX(DriversGams!$B63:$AN63,1,MATCH(Drivers!AH$3,DriversGams!$B$61:$AN$61,0))</f>
        <v>0.37772506321390981</v>
      </c>
      <c r="AI74" s="18">
        <f t="shared" si="186"/>
        <v>0.39261612879853985</v>
      </c>
      <c r="AJ74" s="18">
        <f t="shared" si="187"/>
        <v>0.40762315533419941</v>
      </c>
      <c r="AK74" s="18">
        <f t="shared" si="188"/>
        <v>0.42261710998374319</v>
      </c>
      <c r="AL74" s="107"/>
      <c r="AM74" s="107"/>
      <c r="AN74" s="18">
        <v>0.39561454073212232</v>
      </c>
      <c r="AO74" s="18">
        <v>0.4112108636823395</v>
      </c>
      <c r="AP74" s="18">
        <v>0.42692863962271321</v>
      </c>
      <c r="AQ74" s="18">
        <v>0.44263272457796088</v>
      </c>
    </row>
    <row r="75" spans="1:43">
      <c r="A75" t="s">
        <v>382</v>
      </c>
      <c r="B75">
        <f t="shared" si="156"/>
        <v>29</v>
      </c>
      <c r="C75" s="260">
        <v>0.19999999999999996</v>
      </c>
      <c r="D75" s="260">
        <v>0.19999999999999996</v>
      </c>
      <c r="E75" s="260">
        <v>0.19999999999999996</v>
      </c>
      <c r="F75" s="260">
        <v>0.19999999999999996</v>
      </c>
      <c r="G75" s="260">
        <v>0.19999999999999996</v>
      </c>
      <c r="H75" s="260">
        <v>0.19999999999999996</v>
      </c>
      <c r="I75" s="260">
        <v>0.19999999999999996</v>
      </c>
      <c r="J75" s="18">
        <f>INDEX(DriversGams!$B64:$AN64,1,MATCH(Drivers!J$3,DriversGams!$B$61:$AN$61,0))</f>
        <v>0.2</v>
      </c>
      <c r="K75" s="18">
        <f>INDEX(DriversGams!$B64:$AN64,1,MATCH(Drivers!K$3,DriversGams!$B$61:$AN$61,0))</f>
        <v>0.2</v>
      </c>
      <c r="L75" s="18">
        <f>INDEX(DriversGams!$B64:$AN64,1,MATCH(Drivers!L$3,DriversGams!$B$61:$AN$61,0))</f>
        <v>0.21712221650955904</v>
      </c>
      <c r="M75" s="18">
        <f>INDEX(DriversGams!$B64:$AN64,1,MATCH(Drivers!M$3,DriversGams!$B$61:$AN$61,0))</f>
        <v>0.23235650882963832</v>
      </c>
      <c r="N75" s="18">
        <f>INDEX(DriversGams!$B64:$AN64,1,MATCH(Drivers!N$3,DriversGams!$B$61:$AN$61,0))</f>
        <v>0.24024168334394388</v>
      </c>
      <c r="O75" s="18">
        <f>INDEX(DriversGams!$B64:$AN64,1,MATCH(Drivers!O$3,DriversGams!$B$61:$AN$61,0))</f>
        <v>0.24797378676923107</v>
      </c>
      <c r="P75" s="18">
        <f>INDEX(DriversGams!$B64:$AN64,1,MATCH(Drivers!P$3,DriversGams!$B$61:$AN$61,0))</f>
        <v>0.25342958248548819</v>
      </c>
      <c r="Q75" s="18">
        <f>INDEX(DriversGams!$B64:$AN64,1,MATCH(Drivers!Q$3,DriversGams!$B$61:$AN$61,0))</f>
        <v>0.25713824670029534</v>
      </c>
      <c r="R75" s="18">
        <f>INDEX(DriversGams!$B64:$AN64,1,MATCH(Drivers!R$3,DriversGams!$B$61:$AN$61,0))</f>
        <v>0.26809929178287062</v>
      </c>
      <c r="S75" s="18">
        <f>INDEX(DriversGams!$B64:$AN64,1,MATCH(Drivers!S$3,DriversGams!$B$61:$AN$61,0))</f>
        <v>0.27927110008417494</v>
      </c>
      <c r="T75" s="18">
        <f>INDEX(DriversGams!$B64:$AN64,1,MATCH(Drivers!T$3,DriversGams!$B$61:$AN$61,0))</f>
        <v>0.29003716201027002</v>
      </c>
      <c r="U75" s="18">
        <f>INDEX(DriversGams!$B64:$AN64,1,MATCH(Drivers!U$3,DriversGams!$B$61:$AN$61,0))</f>
        <v>0.3017074084720327</v>
      </c>
      <c r="V75" s="18">
        <f>INDEX(DriversGams!$B64:$AN64,1,MATCH(Drivers!V$3,DriversGams!$B$61:$AN$61,0))</f>
        <v>0.31231923723917243</v>
      </c>
      <c r="W75" s="18">
        <f>INDEX(DriversGams!$B64:$AN64,1,MATCH(Drivers!W$3,DriversGams!$B$61:$AN$61,0))</f>
        <v>0.32270578771203962</v>
      </c>
      <c r="X75" s="18">
        <f>INDEX(DriversGams!$B64:$AN64,1,MATCH(Drivers!X$3,DriversGams!$B$61:$AN$61,0))</f>
        <v>0.33242385372832162</v>
      </c>
      <c r="Y75" s="18">
        <f>INDEX(DriversGams!$B64:$AN64,1,MATCH(Drivers!Y$3,DriversGams!$B$61:$AN$61,0))</f>
        <v>0.34211171231500903</v>
      </c>
      <c r="Z75" s="18">
        <f>INDEX(DriversGams!$B64:$AN64,1,MATCH(Drivers!Z$3,DriversGams!$B$61:$AN$61,0))</f>
        <v>0.35157035794877739</v>
      </c>
      <c r="AA75" s="18">
        <f>INDEX(DriversGams!$B64:$AN64,1,MATCH(Drivers!AA$3,DriversGams!$B$61:$AN$61,0))</f>
        <v>0.36074885587879985</v>
      </c>
      <c r="AB75" s="18">
        <f>INDEX(DriversGams!$B64:$AN64,1,MATCH(Drivers!AB$3,DriversGams!$B$61:$AN$61,0))</f>
        <v>0.36943433852107305</v>
      </c>
      <c r="AC75" s="18">
        <f>INDEX(DriversGams!$B64:$AN64,1,MATCH(Drivers!AC$3,DriversGams!$B$61:$AN$61,0))</f>
        <v>0.37780451055227438</v>
      </c>
      <c r="AD75" s="18">
        <f>INDEX(DriversGams!$B64:$AN64,1,MATCH(Drivers!AD$3,DriversGams!$B$61:$AN$61,0))</f>
        <v>0.38567579200416147</v>
      </c>
      <c r="AE75" s="18">
        <f>INDEX(DriversGams!$B64:$AN64,1,MATCH(Drivers!AE$3,DriversGams!$B$61:$AN$61,0))</f>
        <v>0.39318471962570017</v>
      </c>
      <c r="AF75" s="18">
        <f>INDEX(DriversGams!$B64:$AN64,1,MATCH(Drivers!AF$3,DriversGams!$B$61:$AN$61,0))</f>
        <v>0.4242127367321501</v>
      </c>
      <c r="AG75" s="18">
        <f>INDEX(DriversGams!$B64:$AN64,1,MATCH(Drivers!AG$3,DriversGams!$B$61:$AN$61,0))</f>
        <v>0.4458113787654775</v>
      </c>
      <c r="AH75" s="18">
        <f>INDEX(DriversGams!$B64:$AN64,1,MATCH(Drivers!AH$3,DriversGams!$B$61:$AN$61,0))</f>
        <v>0.46808900365914258</v>
      </c>
      <c r="AI75" s="18">
        <f>1-AI74-AI73</f>
        <v>0.47432152480365797</v>
      </c>
      <c r="AJ75" s="18">
        <f t="shared" ref="AJ75:AK75" si="189">1-AJ74-AJ73</f>
        <v>0.48047414556838453</v>
      </c>
      <c r="AK75" s="18">
        <f t="shared" si="189"/>
        <v>0.48663626216070932</v>
      </c>
      <c r="AL75" s="107"/>
      <c r="AM75" s="107"/>
      <c r="AN75" s="18">
        <v>0.35886254356437597</v>
      </c>
      <c r="AO75" s="18">
        <v>0.37690304142313291</v>
      </c>
      <c r="AP75" s="18">
        <v>0.39487950849889142</v>
      </c>
      <c r="AQ75" s="18">
        <v>0.41286397210830383</v>
      </c>
    </row>
    <row r="76" spans="1:43">
      <c r="A76" t="s">
        <v>383</v>
      </c>
      <c r="B76">
        <f t="shared" si="156"/>
        <v>30</v>
      </c>
      <c r="C76" s="257">
        <f>C73*C$72</f>
        <v>26.162716441035041</v>
      </c>
      <c r="D76" s="257">
        <f t="shared" ref="D76:I76" si="190">D73*D$72</f>
        <v>26.552193229211671</v>
      </c>
      <c r="E76" s="257">
        <f t="shared" si="190"/>
        <v>26.956182845714636</v>
      </c>
      <c r="F76" s="257">
        <f t="shared" si="190"/>
        <v>27.375245728660555</v>
      </c>
      <c r="G76" s="257">
        <f t="shared" si="190"/>
        <v>27.809970234912413</v>
      </c>
      <c r="H76" s="257">
        <f t="shared" si="190"/>
        <v>28.260974020824047</v>
      </c>
      <c r="I76" s="257">
        <f t="shared" si="190"/>
        <v>28.718000308649827</v>
      </c>
      <c r="J76" s="8">
        <f t="shared" ref="J76:K76" si="191">J73*J$32</f>
        <v>29.182417460909722</v>
      </c>
      <c r="K76" s="8">
        <f t="shared" si="191"/>
        <v>30.169802736324907</v>
      </c>
      <c r="L76" s="8">
        <f>L73*L$32</f>
        <v>29.070852674872505</v>
      </c>
      <c r="M76" s="8">
        <f t="shared" ref="M76:AG76" si="192">M73*M$32</f>
        <v>27.588189845016224</v>
      </c>
      <c r="N76" s="8">
        <f t="shared" si="192"/>
        <v>27.055753946862811</v>
      </c>
      <c r="O76" s="8">
        <f t="shared" si="192"/>
        <v>26.68689126821349</v>
      </c>
      <c r="P76" s="8">
        <f t="shared" si="192"/>
        <v>26.425076198823913</v>
      </c>
      <c r="Q76" s="8">
        <f t="shared" si="192"/>
        <v>26.344725858934108</v>
      </c>
      <c r="R76" s="8">
        <f t="shared" si="192"/>
        <v>25.880996459950325</v>
      </c>
      <c r="S76" s="8">
        <f t="shared" si="192"/>
        <v>25.194855473014009</v>
      </c>
      <c r="T76" s="8">
        <f t="shared" si="192"/>
        <v>24.52033490644407</v>
      </c>
      <c r="U76" s="8">
        <f t="shared" si="192"/>
        <v>23.803114612570379</v>
      </c>
      <c r="V76" s="8">
        <f t="shared" si="192"/>
        <v>23.090377608846797</v>
      </c>
      <c r="W76" s="8">
        <f t="shared" si="192"/>
        <v>22.405551071204908</v>
      </c>
      <c r="X76" s="8">
        <f t="shared" si="192"/>
        <v>21.735495434413579</v>
      </c>
      <c r="Y76" s="8">
        <f t="shared" si="192"/>
        <v>21.072547748180128</v>
      </c>
      <c r="Z76" s="8">
        <f t="shared" si="192"/>
        <v>20.412647121219955</v>
      </c>
      <c r="AA76" s="8">
        <f t="shared" si="192"/>
        <v>19.771181192478316</v>
      </c>
      <c r="AB76" s="8">
        <f t="shared" si="192"/>
        <v>19.158224162905654</v>
      </c>
      <c r="AC76" s="8">
        <f t="shared" si="192"/>
        <v>18.560787181527569</v>
      </c>
      <c r="AD76" s="8">
        <f t="shared" si="192"/>
        <v>17.987510505895738</v>
      </c>
      <c r="AE76" s="8">
        <f t="shared" si="192"/>
        <v>17.440135720439955</v>
      </c>
      <c r="AF76" s="8">
        <f t="shared" si="192"/>
        <v>15.091956805241868</v>
      </c>
      <c r="AG76" s="8">
        <f t="shared" si="192"/>
        <v>13.288634080682023</v>
      </c>
      <c r="AH76" s="8">
        <f t="shared" ref="AH76:AK76" si="193">AH73*AH$32</f>
        <v>11.532961321259213</v>
      </c>
      <c r="AI76" s="8">
        <f t="shared" si="193"/>
        <v>10.067922661841488</v>
      </c>
      <c r="AJ76" s="8">
        <f t="shared" si="193"/>
        <v>8.5278859284373496</v>
      </c>
      <c r="AK76" s="8">
        <f t="shared" si="193"/>
        <v>6.942312589932409</v>
      </c>
      <c r="AL76" s="8"/>
      <c r="AM76" s="8"/>
      <c r="AN76" s="8">
        <v>18.36488084785201</v>
      </c>
      <c r="AO76" s="8">
        <v>16.031979551451432</v>
      </c>
      <c r="AP76" s="8">
        <v>13.579652666582088</v>
      </c>
      <c r="AQ76" s="8">
        <v>11.054814108119391</v>
      </c>
    </row>
    <row r="77" spans="1:43">
      <c r="A77" t="s">
        <v>384</v>
      </c>
      <c r="B77">
        <f t="shared" si="156"/>
        <v>31</v>
      </c>
      <c r="C77" s="257">
        <f t="shared" ref="C77:I78" si="194">C74*C$72</f>
        <v>15.697629864621025</v>
      </c>
      <c r="D77" s="257">
        <f t="shared" si="194"/>
        <v>15.931315937527001</v>
      </c>
      <c r="E77" s="257">
        <f t="shared" si="194"/>
        <v>16.173709707428781</v>
      </c>
      <c r="F77" s="257">
        <f t="shared" si="194"/>
        <v>16.425147437196333</v>
      </c>
      <c r="G77" s="257">
        <f t="shared" si="194"/>
        <v>16.685982140947448</v>
      </c>
      <c r="H77" s="257">
        <f t="shared" si="194"/>
        <v>16.956584412494429</v>
      </c>
      <c r="I77" s="257">
        <f t="shared" si="194"/>
        <v>17.230800185189896</v>
      </c>
      <c r="J77" s="8">
        <f t="shared" ref="J77:K77" si="195">J74*J$32</f>
        <v>17.509450476545833</v>
      </c>
      <c r="K77" s="8">
        <f t="shared" si="195"/>
        <v>17.277149263675099</v>
      </c>
      <c r="L77" s="8">
        <f>L74*L$32</f>
        <v>17.426024276026553</v>
      </c>
      <c r="M77" s="8">
        <f t="shared" ref="M77:AG77" si="196">M74*M$32</f>
        <v>18.388961136139933</v>
      </c>
      <c r="N77" s="8">
        <f t="shared" si="196"/>
        <v>18.844661075962911</v>
      </c>
      <c r="O77" s="8">
        <f t="shared" si="196"/>
        <v>19.201914460921152</v>
      </c>
      <c r="P77" s="8">
        <f t="shared" si="196"/>
        <v>19.618221632752391</v>
      </c>
      <c r="Q77" s="8">
        <f t="shared" si="196"/>
        <v>19.939304652012368</v>
      </c>
      <c r="R77" s="8">
        <f t="shared" si="196"/>
        <v>20.169402720703744</v>
      </c>
      <c r="S77" s="8">
        <f t="shared" si="196"/>
        <v>20.581881682147461</v>
      </c>
      <c r="T77" s="8">
        <f t="shared" si="196"/>
        <v>20.983832961629105</v>
      </c>
      <c r="U77" s="8">
        <f t="shared" si="196"/>
        <v>21.347980188376898</v>
      </c>
      <c r="V77" s="8">
        <f t="shared" si="196"/>
        <v>21.754334331630734</v>
      </c>
      <c r="W77" s="8">
        <f t="shared" si="196"/>
        <v>22.128523795005215</v>
      </c>
      <c r="X77" s="8">
        <f t="shared" si="196"/>
        <v>22.514248016949992</v>
      </c>
      <c r="Y77" s="8">
        <f t="shared" si="196"/>
        <v>22.877131289672057</v>
      </c>
      <c r="Z77" s="8">
        <f t="shared" si="196"/>
        <v>23.235832044958432</v>
      </c>
      <c r="AA77" s="8">
        <f t="shared" si="196"/>
        <v>23.580231567418338</v>
      </c>
      <c r="AB77" s="8">
        <f t="shared" si="196"/>
        <v>23.914610160549611</v>
      </c>
      <c r="AC77" s="8">
        <f t="shared" si="196"/>
        <v>24.239104133369857</v>
      </c>
      <c r="AD77" s="8">
        <f t="shared" si="196"/>
        <v>24.55863243188724</v>
      </c>
      <c r="AE77" s="8">
        <f t="shared" si="196"/>
        <v>24.863346506211325</v>
      </c>
      <c r="AF77" s="8">
        <f t="shared" si="196"/>
        <v>26.258897026841964</v>
      </c>
      <c r="AG77" s="8">
        <f t="shared" si="196"/>
        <v>27.460718354102976</v>
      </c>
      <c r="AH77" s="8">
        <f t="shared" ref="AH77:AK77" si="197">AH74*AH$32</f>
        <v>28.253475889590405</v>
      </c>
      <c r="AI77" s="8">
        <f t="shared" si="197"/>
        <v>29.706591891277426</v>
      </c>
      <c r="AJ77" s="8">
        <f t="shared" si="197"/>
        <v>31.064163764750656</v>
      </c>
      <c r="AK77" s="8">
        <f t="shared" si="197"/>
        <v>32.33111965362837</v>
      </c>
      <c r="AL77" s="8"/>
      <c r="AM77" s="8"/>
      <c r="AN77" s="8">
        <v>29.591591812949058</v>
      </c>
      <c r="AO77" s="8">
        <v>31.113528998547867</v>
      </c>
      <c r="AP77" s="8">
        <v>32.535396980156513</v>
      </c>
      <c r="AQ77" s="8">
        <v>33.862357303735472</v>
      </c>
    </row>
    <row r="78" spans="1:43">
      <c r="A78" t="s">
        <v>385</v>
      </c>
      <c r="B78">
        <f t="shared" si="156"/>
        <v>32</v>
      </c>
      <c r="C78" s="257">
        <f t="shared" si="194"/>
        <v>10.465086576414015</v>
      </c>
      <c r="D78" s="257">
        <f t="shared" si="194"/>
        <v>10.620877291684666</v>
      </c>
      <c r="E78" s="257">
        <f t="shared" si="194"/>
        <v>10.782473138285852</v>
      </c>
      <c r="F78" s="257">
        <f t="shared" si="194"/>
        <v>10.95009829146422</v>
      </c>
      <c r="G78" s="257">
        <f t="shared" si="194"/>
        <v>11.123988093964963</v>
      </c>
      <c r="H78" s="257">
        <f t="shared" si="194"/>
        <v>11.304389608329616</v>
      </c>
      <c r="I78" s="257">
        <f t="shared" si="194"/>
        <v>11.487200123459928</v>
      </c>
      <c r="J78" s="8">
        <f t="shared" ref="J78:K78" si="198">J75*J$32</f>
        <v>11.672966984363889</v>
      </c>
      <c r="K78" s="8">
        <f t="shared" si="198"/>
        <v>11.861738000000003</v>
      </c>
      <c r="L78" s="8">
        <f>L75*L$32</f>
        <v>12.895378049100939</v>
      </c>
      <c r="M78" s="8">
        <f t="shared" ref="M78:AG78" si="199">M75*M$32</f>
        <v>13.916734018843844</v>
      </c>
      <c r="N78" s="8">
        <f t="shared" si="199"/>
        <v>14.514079977174282</v>
      </c>
      <c r="O78" s="8">
        <f t="shared" si="199"/>
        <v>15.131415270865356</v>
      </c>
      <c r="P78" s="8">
        <f t="shared" si="199"/>
        <v>15.629783168423694</v>
      </c>
      <c r="Q78" s="8">
        <f t="shared" si="199"/>
        <v>16.021008489053521</v>
      </c>
      <c r="R78" s="8">
        <f t="shared" si="199"/>
        <v>16.868516819345924</v>
      </c>
      <c r="S78" s="8">
        <f t="shared" si="199"/>
        <v>17.73776484483853</v>
      </c>
      <c r="T78" s="8">
        <f t="shared" si="199"/>
        <v>18.589564131926828</v>
      </c>
      <c r="U78" s="8">
        <f t="shared" si="199"/>
        <v>19.508183199052716</v>
      </c>
      <c r="V78" s="8">
        <f t="shared" si="199"/>
        <v>20.366814059522458</v>
      </c>
      <c r="W78" s="8">
        <f t="shared" si="199"/>
        <v>21.218849133789874</v>
      </c>
      <c r="X78" s="8">
        <f t="shared" si="199"/>
        <v>22.034445548636423</v>
      </c>
      <c r="Y78" s="8">
        <f t="shared" si="199"/>
        <v>22.854487962147822</v>
      </c>
      <c r="Z78" s="8">
        <f t="shared" si="199"/>
        <v>23.665653833821608</v>
      </c>
      <c r="AA78" s="8">
        <f t="shared" si="199"/>
        <v>24.464520240103347</v>
      </c>
      <c r="AB78" s="8">
        <f t="shared" si="199"/>
        <v>25.235411676544732</v>
      </c>
      <c r="AC78" s="8">
        <f t="shared" si="199"/>
        <v>25.988603685102571</v>
      </c>
      <c r="AD78" s="8">
        <f t="shared" si="199"/>
        <v>26.710680062217026</v>
      </c>
      <c r="AE78" s="8">
        <f t="shared" si="199"/>
        <v>27.410454773348725</v>
      </c>
      <c r="AF78" s="8">
        <f t="shared" si="199"/>
        <v>30.465347167916178</v>
      </c>
      <c r="AG78" s="8">
        <f t="shared" si="199"/>
        <v>32.780400565215004</v>
      </c>
      <c r="AH78" s="8">
        <f t="shared" ref="AH78:AK78" si="200">AH75*AH$32</f>
        <v>35.012612789150396</v>
      </c>
      <c r="AI78" s="8">
        <f t="shared" si="200"/>
        <v>35.888683446881089</v>
      </c>
      <c r="AJ78" s="8">
        <f t="shared" si="200"/>
        <v>36.615995306811996</v>
      </c>
      <c r="AK78" s="8">
        <f t="shared" si="200"/>
        <v>37.228722756439218</v>
      </c>
      <c r="AL78" s="8"/>
      <c r="AM78" s="8"/>
      <c r="AN78" s="8">
        <v>26.84257733919894</v>
      </c>
      <c r="AO78" s="8">
        <v>28.517689450000709</v>
      </c>
      <c r="AP78" s="8">
        <v>30.092995353261401</v>
      </c>
      <c r="AQ78" s="8">
        <v>31.584983588145139</v>
      </c>
    </row>
    <row r="79" spans="1:43">
      <c r="A79" t="s">
        <v>386</v>
      </c>
      <c r="B79">
        <f t="shared" si="156"/>
        <v>33</v>
      </c>
      <c r="C79" s="261">
        <v>0.33936777226430637</v>
      </c>
      <c r="D79" s="260">
        <v>0.34922378908645002</v>
      </c>
      <c r="E79" s="260">
        <v>0.35473666462293074</v>
      </c>
      <c r="F79" s="260">
        <v>0.35856192519926422</v>
      </c>
      <c r="G79" s="260">
        <v>0.35979950950337214</v>
      </c>
      <c r="H79" s="260">
        <v>0.36519987737584303</v>
      </c>
      <c r="I79" s="260">
        <v>0.36857510729613735</v>
      </c>
      <c r="J79">
        <f>INDEX(DriversGams!$A72:$AN72,1,MATCH(Drivers!J$3,DriversGams!$A$71:$AN$71,0))</f>
        <v>0.36334628492272741</v>
      </c>
      <c r="K79">
        <f>INDEX(DriversGams!$A72:$AN72,1,MATCH(Drivers!K$3,DriversGams!$A$71:$AN$71,0))</f>
        <v>0.34712263583904623</v>
      </c>
      <c r="L79" s="177">
        <f>(K79+M79)/2</f>
        <v>0.40169792972103685</v>
      </c>
      <c r="M79">
        <f>INDEX(DriversGams!$A72:$AN72,1,MATCH(Drivers!M$3,DriversGams!$A$71:$AN$71,0))</f>
        <v>0.45627322360302747</v>
      </c>
      <c r="N79">
        <f>INDEX(DriversGams!$A72:$AN72,1,MATCH(Drivers!N$3,DriversGams!$A$71:$AN$71,0))</f>
        <v>0.46492567395571788</v>
      </c>
      <c r="O79">
        <f>INDEX(DriversGams!$A72:$AN72,1,MATCH(Drivers!O$3,DriversGams!$A$71:$AN$71,0))</f>
        <v>0.47458112577213096</v>
      </c>
      <c r="P79" s="177">
        <f>(O79+Q79)/2</f>
        <v>0.48026215660962607</v>
      </c>
      <c r="Q79">
        <f>INDEX(DriversGams!$A72:$AN72,1,MATCH(Drivers!Q$3,DriversGams!$A$71:$AN$71,0))</f>
        <v>0.48594318744712117</v>
      </c>
      <c r="R79">
        <f>INDEX(DriversGams!$A72:$AN72,1,MATCH(Drivers!R$3,DriversGams!$A$71:$AN$71,0))</f>
        <v>0.50254081311302068</v>
      </c>
      <c r="S79">
        <f>INDEX(DriversGams!$A72:$AN72,1,MATCH(Drivers!S$3,DriversGams!$A$71:$AN$71,0))</f>
        <v>0.51875239604564249</v>
      </c>
      <c r="T79">
        <f>INDEX(DriversGams!$A72:$AN72,1,MATCH(Drivers!T$3,DriversGams!$A$71:$AN$71,0))</f>
        <v>0.53579087120031565</v>
      </c>
      <c r="U79">
        <f>INDEX(DriversGams!$A72:$AN72,1,MATCH(Drivers!U$3,DriversGams!$A$71:$AN$71,0))</f>
        <v>0.61192265669948076</v>
      </c>
      <c r="V79">
        <f>INDEX(DriversGams!$A72:$AN72,1,MATCH(Drivers!V$3,DriversGams!$A$71:$AN$71,0))</f>
        <v>0.6336376011174093</v>
      </c>
      <c r="W79">
        <f>INDEX(DriversGams!$A72:$AN72,1,MATCH(Drivers!W$3,DriversGams!$A$71:$AN$71,0))</f>
        <v>0.65683488664279255</v>
      </c>
      <c r="X79">
        <f>INDEX(DriversGams!$A72:$AN72,1,MATCH(Drivers!X$3,DriversGams!$A$71:$AN$71,0))</f>
        <v>0.67975553420241741</v>
      </c>
      <c r="Y79">
        <f>INDEX(DriversGams!$A72:$AN72,1,MATCH(Drivers!Y$3,DriversGams!$A$71:$AN$71,0))</f>
        <v>0.70455326084811898</v>
      </c>
      <c r="Z79">
        <f>INDEX(DriversGams!$A72:$AN72,1,MATCH(Drivers!Z$3,DriversGams!$A$71:$AN$71,0))</f>
        <v>0.73060234639305233</v>
      </c>
      <c r="AA79">
        <f>INDEX(DriversGams!$A72:$AN72,1,MATCH(Drivers!AA$3,DriversGams!$A$71:$AN$71,0))</f>
        <v>0.75805621792074751</v>
      </c>
      <c r="AB79">
        <f>INDEX(DriversGams!$A72:$AN72,1,MATCH(Drivers!AB$3,DriversGams!$A$71:$AN$71,0))</f>
        <v>0.78610401829501619</v>
      </c>
      <c r="AC79">
        <f>INDEX(DriversGams!$A72:$AN72,1,MATCH(Drivers!AC$3,DriversGams!$A$71:$AN$71,0))</f>
        <v>0.81509517516685925</v>
      </c>
      <c r="AD79">
        <f>INDEX(DriversGams!$A72:$AN72,1,MATCH(Drivers!AD$3,DriversGams!$A$71:$AN$71,0))</f>
        <v>0.8442461491629969</v>
      </c>
      <c r="AE79">
        <f>INDEX(DriversGams!$A72:$AN72,1,MATCH(Drivers!AE$3,DriversGams!$A$71:$AN$71,0))</f>
        <v>0.87425699778793997</v>
      </c>
      <c r="AF79">
        <f>INDEX(DriversGams!$A72:$AN72,1,MATCH(Drivers!AF$3,DriversGams!$A$71:$AN$71,0))</f>
        <v>1.1019648402228825</v>
      </c>
      <c r="AG79">
        <f>INDEX(DriversGams!$A72:$AN72,1,MATCH(Drivers!AG$3,DriversGams!$A$71:$AN$71,0))</f>
        <v>1.245941113080463</v>
      </c>
      <c r="AH79">
        <f>INDEX(DriversGams!$A72:$AN72,1,MATCH(Drivers!AH$3,DriversGams!$A$71:$AN$71,0))</f>
        <v>1.4525400263723511</v>
      </c>
      <c r="AI79" s="18">
        <f t="shared" ref="AI79" si="201">AO79/AN79*AH79</f>
        <v>1.5849139976314583</v>
      </c>
      <c r="AJ79" s="18">
        <f t="shared" ref="AJ79" si="202">AP79/AO79*AI79</f>
        <v>1.6693678205632545</v>
      </c>
      <c r="AK79" s="18">
        <f t="shared" ref="AK79" si="203">AQ79/AP79*AJ79</f>
        <v>1.6969072475055562</v>
      </c>
      <c r="AL79" s="107"/>
      <c r="AM79" s="107"/>
      <c r="AN79">
        <v>0.75273856178520915</v>
      </c>
      <c r="AO79">
        <v>0.82133769911310128</v>
      </c>
      <c r="AP79">
        <v>0.86510354931807654</v>
      </c>
      <c r="AQ79">
        <v>0.87937509313274809</v>
      </c>
    </row>
    <row r="80" spans="1:43">
      <c r="A80" t="s">
        <v>263</v>
      </c>
      <c r="C80" s="46"/>
      <c r="D80" s="266">
        <f>(D79/C79)^(1/(D$5-C$5))-1</f>
        <v>2.9042288713459818E-2</v>
      </c>
      <c r="E80" s="266">
        <f t="shared" ref="E80" si="204">(E79/D79)^(1/(E$5-D$5))-1</f>
        <v>1.5786082474226859E-2</v>
      </c>
      <c r="F80" s="266">
        <f t="shared" ref="F80" si="205">(F79/E79)^(1/(F$5-E$5))-1</f>
        <v>1.0783380907072537E-2</v>
      </c>
      <c r="G80" s="266">
        <f t="shared" ref="G80" si="206">(G79/F79)^(1/(G$5-F$5))-1</f>
        <v>3.4515218073423171E-3</v>
      </c>
      <c r="H80" s="266">
        <f t="shared" ref="H80" si="207">(H79/G79)^(1/(H$5-G$5))-1</f>
        <v>1.5009380863039379E-2</v>
      </c>
      <c r="I80" s="266">
        <f t="shared" ref="I80" si="208">(I79/H79)^(1/(I$5-H$5))-1</f>
        <v>9.2421441774492852E-3</v>
      </c>
      <c r="J80" s="46">
        <f t="shared" ref="J80" si="209">(J79/I79)^(1/(J$5-I$5))-1</f>
        <v>-1.4186585772893112E-2</v>
      </c>
      <c r="K80" s="46">
        <f t="shared" ref="K80" si="210">(K79/J79)^(1/(K$5-J$5))-1</f>
        <v>-4.4650653541514651E-2</v>
      </c>
      <c r="L80" s="46">
        <f>(L79/K79)^(1/(L$5-K$5))-1</f>
        <v>0.15722193901320813</v>
      </c>
      <c r="M80" s="46">
        <f>(M79/L79)^(1/(M$5-L$5))-1</f>
        <v>0.13586152639594373</v>
      </c>
      <c r="N80" s="46">
        <f t="shared" ref="N80" si="211">(N79/M79)^(1/(N$5-M$5))-1</f>
        <v>1.896330949330105E-2</v>
      </c>
      <c r="O80" s="46">
        <f t="shared" ref="O80" si="212">(O79/N79)^(1/(O$5-N$5))-1</f>
        <v>2.0767732042547449E-2</v>
      </c>
      <c r="P80" s="46">
        <f t="shared" ref="P80" si="213">(P79/O79)^(1/(P$5-O$5))-1</f>
        <v>1.1970621099295142E-2</v>
      </c>
      <c r="Q80" s="46">
        <f t="shared" ref="Q80" si="214">(Q79/P79)^(1/(Q$5-P$5))-1</f>
        <v>1.1829020378369748E-2</v>
      </c>
      <c r="R80" s="46">
        <f t="shared" ref="R80" si="215">(R79/Q79)^(1/(R$5-Q$5))-1</f>
        <v>3.4155485856472989E-2</v>
      </c>
      <c r="S80" s="46">
        <f t="shared" ref="S80" si="216">(S79/R79)^(1/(S$5-R$5))-1</f>
        <v>3.2259236483099141E-2</v>
      </c>
      <c r="T80" s="46">
        <f t="shared" ref="T80" si="217">(T79/S79)^(1/(T$5-S$5))-1</f>
        <v>3.2845101602526405E-2</v>
      </c>
      <c r="U80" s="46">
        <f t="shared" ref="U80" si="218">(U79/T79)^(1/(U$5-T$5))-1</f>
        <v>0.1420923528028939</v>
      </c>
      <c r="V80" s="46">
        <f t="shared" ref="V80" si="219">(V79/U79)^(1/(V$5-U$5))-1</f>
        <v>3.5486420024145149E-2</v>
      </c>
      <c r="W80" s="46">
        <f t="shared" ref="W80" si="220">(W79/V79)^(1/(W$5-V$5))-1</f>
        <v>3.6609704797308851E-2</v>
      </c>
      <c r="X80" s="46">
        <f t="shared" ref="X80" si="221">(X79/W79)^(1/(X$5-W$5))-1</f>
        <v>3.4895600135943727E-2</v>
      </c>
      <c r="Y80" s="46">
        <f t="shared" ref="Y80" si="222">(Y79/X79)^(1/(Y$5-X$5))-1</f>
        <v>3.6480360067678852E-2</v>
      </c>
      <c r="Z80" s="46">
        <f t="shared" ref="Z80" si="223">(Z79/Y79)^(1/(Z$5-Y$5))-1</f>
        <v>3.6972485960218737E-2</v>
      </c>
      <c r="AA80" s="46">
        <f t="shared" ref="AA80" si="224">(AA79/Z79)^(1/(AA$5-Z$5))-1</f>
        <v>3.7577037171087069E-2</v>
      </c>
      <c r="AB80" s="46">
        <f t="shared" ref="AB80" si="225">(AB79/AA79)^(1/(AB$5-AA$5))-1</f>
        <v>3.6999631044779546E-2</v>
      </c>
      <c r="AC80" s="46">
        <f t="shared" ref="AC80" si="226">(AC79/AB79)^(1/(AC$5-AB$5))-1</f>
        <v>3.6879542906703477E-2</v>
      </c>
      <c r="AD80" s="46">
        <f t="shared" ref="AD80" si="227">(AD79/AC79)^(1/(AD$5-AC$5))-1</f>
        <v>3.5763889769277579E-2</v>
      </c>
      <c r="AE80" s="46">
        <f t="shared" ref="AE80" si="228">(AE79/AD79)^(1/(AE$5-AD$5))-1</f>
        <v>3.5547510231105584E-2</v>
      </c>
      <c r="AF80" s="46">
        <f t="shared" ref="AF80" si="229">(AF79/AE79)^(1/(AF$5-AE$5))-1</f>
        <v>4.7383490847811016E-2</v>
      </c>
      <c r="AG80" s="46">
        <f t="shared" ref="AG80" si="230">(AG79/AF79)^(1/(AG$5-AF$5))-1</f>
        <v>2.4863333711240276E-2</v>
      </c>
      <c r="AH80" s="281">
        <f t="shared" ref="AH80" si="231">(AH79/AG79)^(1/(AH$5-AG$5))-1</f>
        <v>3.1160143767180459E-2</v>
      </c>
      <c r="AI80" s="281">
        <f>(AI79/AH79)^(1/(AI$5-AH$5))-1</f>
        <v>1.7596298267333221E-2</v>
      </c>
      <c r="AJ80" s="281">
        <f t="shared" ref="AJ80" si="232">(AJ79/AI79)^(1/(AJ$5-AI$5))-1</f>
        <v>1.0437061796241043E-2</v>
      </c>
      <c r="AK80" s="281">
        <f t="shared" ref="AK80" si="233">(AK79/AJ79)^(1/(AK$5-AJ$5))-1</f>
        <v>3.2778251214204968E-3</v>
      </c>
      <c r="AL80" s="46"/>
      <c r="AM80" s="46"/>
      <c r="AN80" s="281">
        <v>2.4755534538967172E-2</v>
      </c>
      <c r="AO80" s="281">
        <v>1.7596298267333221E-2</v>
      </c>
      <c r="AP80" s="281">
        <v>1.0437061796241043E-2</v>
      </c>
      <c r="AQ80" s="281">
        <v>3.2778251214204968E-3</v>
      </c>
    </row>
    <row r="82" spans="1:43">
      <c r="A82" t="s">
        <v>631</v>
      </c>
      <c r="L82">
        <f t="shared" ref="L82:M84" si="234">L73/K73</f>
        <v>0.96221875201797136</v>
      </c>
      <c r="M82">
        <f t="shared" si="234"/>
        <v>0.94105014536129794</v>
      </c>
      <c r="N82">
        <f t="shared" ref="N82:AG84" si="235">N73/M73</f>
        <v>0.97224959201476457</v>
      </c>
      <c r="O82">
        <f t="shared" si="235"/>
        <v>0.9765752621673538</v>
      </c>
      <c r="P82">
        <f t="shared" si="235"/>
        <v>0.97970741115833149</v>
      </c>
      <c r="Q82">
        <f t="shared" si="235"/>
        <v>0.98684718857495923</v>
      </c>
      <c r="R82">
        <f t="shared" si="235"/>
        <v>0.97281274131799966</v>
      </c>
      <c r="S82">
        <f t="shared" si="235"/>
        <v>0.96436005394495516</v>
      </c>
      <c r="T82">
        <f t="shared" si="235"/>
        <v>0.96443255841763909</v>
      </c>
      <c r="U82">
        <f t="shared" si="235"/>
        <v>0.96225926057576217</v>
      </c>
      <c r="V82">
        <f t="shared" si="235"/>
        <v>0.96184199565336448</v>
      </c>
      <c r="W82">
        <f t="shared" si="235"/>
        <v>0.96235185429835157</v>
      </c>
      <c r="X82">
        <f t="shared" si="235"/>
        <v>0.96231894854500166</v>
      </c>
      <c r="Y82">
        <f t="shared" si="235"/>
        <v>0.96195309585353517</v>
      </c>
      <c r="Z82">
        <f t="shared" si="235"/>
        <v>0.96134567728823972</v>
      </c>
      <c r="AA82">
        <f t="shared" si="235"/>
        <v>0.96140815964592652</v>
      </c>
      <c r="AB82">
        <f t="shared" si="235"/>
        <v>0.96201366610656791</v>
      </c>
      <c r="AC82">
        <f t="shared" si="235"/>
        <v>0.96205182257431676</v>
      </c>
      <c r="AD82">
        <f t="shared" si="235"/>
        <v>0.96256022519375051</v>
      </c>
      <c r="AE82">
        <f t="shared" si="235"/>
        <v>0.96321171382315818</v>
      </c>
      <c r="AF82">
        <f t="shared" si="235"/>
        <v>0.84002628403388457</v>
      </c>
      <c r="AG82">
        <f t="shared" si="235"/>
        <v>0.8599914030006317</v>
      </c>
      <c r="AH82">
        <f t="shared" ref="AH82:AH84" si="236">AH73/AG73</f>
        <v>0.85315416995191318</v>
      </c>
      <c r="AI82">
        <f t="shared" ref="AI82:AI84" si="237">AI73/AH73</f>
        <v>0.86299926134147653</v>
      </c>
      <c r="AJ82">
        <f t="shared" ref="AJ82:AJ84" si="238">AJ73/AI73</f>
        <v>0.84097945156380127</v>
      </c>
      <c r="AK82">
        <f t="shared" ref="AK82:AK84" si="239">AK73/AJ73</f>
        <v>0.8109422613349887</v>
      </c>
      <c r="AN82">
        <v>0.87983384217039851</v>
      </c>
      <c r="AO82">
        <v>0.86299926134147653</v>
      </c>
      <c r="AP82">
        <v>0.84097945156380127</v>
      </c>
      <c r="AQ82">
        <v>0.8109422613349887</v>
      </c>
    </row>
    <row r="83" spans="1:43">
      <c r="A83" t="s">
        <v>632</v>
      </c>
      <c r="L83">
        <f t="shared" si="234"/>
        <v>1.0071977480644398</v>
      </c>
      <c r="M83">
        <f t="shared" si="234"/>
        <v>1.0464204314406369</v>
      </c>
      <c r="N83">
        <f t="shared" ref="N83:AA83" si="240">N74/M74</f>
        <v>1.0159503185654213</v>
      </c>
      <c r="O83">
        <f t="shared" si="240"/>
        <v>1.0088429724828485</v>
      </c>
      <c r="P83">
        <f t="shared" si="240"/>
        <v>1.0108651797223609</v>
      </c>
      <c r="Q83">
        <f t="shared" si="240"/>
        <v>1.0060575977699968</v>
      </c>
      <c r="R83">
        <f t="shared" si="240"/>
        <v>1.0016706969507709</v>
      </c>
      <c r="S83">
        <f t="shared" si="240"/>
        <v>1.0108817922198694</v>
      </c>
      <c r="T83">
        <f t="shared" si="240"/>
        <v>1.0103156500340551</v>
      </c>
      <c r="U83">
        <f t="shared" si="240"/>
        <v>1.0084553628276312</v>
      </c>
      <c r="V83">
        <f t="shared" si="240"/>
        <v>1.010405020172727</v>
      </c>
      <c r="W83">
        <f t="shared" si="240"/>
        <v>1.0088252341526769</v>
      </c>
      <c r="X83">
        <f t="shared" si="240"/>
        <v>1.0092764193625254</v>
      </c>
      <c r="Y83">
        <f t="shared" si="240"/>
        <v>1.0082088667436131</v>
      </c>
      <c r="Z83">
        <f t="shared" si="240"/>
        <v>1.0079847475713666</v>
      </c>
      <c r="AA83">
        <f t="shared" si="240"/>
        <v>1.0073127998246687</v>
      </c>
      <c r="AB83">
        <f t="shared" si="235"/>
        <v>1.0068710343594689</v>
      </c>
      <c r="AC83">
        <f t="shared" si="235"/>
        <v>1.0064925967215419</v>
      </c>
      <c r="AD83">
        <f t="shared" si="235"/>
        <v>1.0063310131703724</v>
      </c>
      <c r="AE83">
        <f t="shared" si="235"/>
        <v>1.0057692631415078</v>
      </c>
      <c r="AF83">
        <f t="shared" si="235"/>
        <v>1.0252129409933448</v>
      </c>
      <c r="AG83">
        <f t="shared" si="235"/>
        <v>1.0213973679134407</v>
      </c>
      <c r="AH83">
        <f t="shared" si="236"/>
        <v>1.011409470134214</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c r="A84" t="s">
        <v>633</v>
      </c>
      <c r="L84">
        <f t="shared" si="234"/>
        <v>1.0856110825477951</v>
      </c>
      <c r="M84">
        <f t="shared" si="234"/>
        <v>1.0701645946922644</v>
      </c>
      <c r="N84">
        <f t="shared" si="235"/>
        <v>1.0339356730483797</v>
      </c>
      <c r="O84">
        <f t="shared" si="235"/>
        <v>1.0321846871769436</v>
      </c>
      <c r="P84">
        <f t="shared" si="235"/>
        <v>1.0220015018012141</v>
      </c>
      <c r="Q84">
        <f t="shared" si="235"/>
        <v>1.0146339041339798</v>
      </c>
      <c r="R84">
        <f t="shared" si="235"/>
        <v>1.0426270507138939</v>
      </c>
      <c r="S84">
        <f t="shared" si="235"/>
        <v>1.0416704133271348</v>
      </c>
      <c r="T84">
        <f t="shared" si="235"/>
        <v>1.0385505765646716</v>
      </c>
      <c r="U84">
        <f t="shared" si="235"/>
        <v>1.0402370730042843</v>
      </c>
      <c r="V84">
        <f t="shared" si="235"/>
        <v>1.0351725826716762</v>
      </c>
      <c r="W84">
        <f t="shared" si="235"/>
        <v>1.0332561982562516</v>
      </c>
      <c r="X84">
        <f t="shared" si="235"/>
        <v>1.0301143220429432</v>
      </c>
      <c r="Y84">
        <f t="shared" si="235"/>
        <v>1.0291430909004651</v>
      </c>
      <c r="Z84">
        <f t="shared" si="235"/>
        <v>1.0276478275758623</v>
      </c>
      <c r="AA84">
        <f t="shared" si="235"/>
        <v>1.0261071439116027</v>
      </c>
      <c r="AB84">
        <f t="shared" si="235"/>
        <v>1.0240762583185885</v>
      </c>
      <c r="AC84">
        <f t="shared" si="235"/>
        <v>1.0226567245067391</v>
      </c>
      <c r="AD84">
        <f t="shared" si="235"/>
        <v>1.0208342707194811</v>
      </c>
      <c r="AE84">
        <f t="shared" si="235"/>
        <v>1.0194695331602708</v>
      </c>
      <c r="AF84">
        <f t="shared" si="235"/>
        <v>1.0789146056743701</v>
      </c>
      <c r="AG84">
        <f t="shared" si="235"/>
        <v>1.0509146476829263</v>
      </c>
      <c r="AH84">
        <f t="shared" si="236"/>
        <v>1.0499709651991282</v>
      </c>
      <c r="AI84">
        <f t="shared" si="237"/>
        <v>1.0133148206768254</v>
      </c>
      <c r="AJ84">
        <f t="shared" si="238"/>
        <v>1.0129714137836636</v>
      </c>
      <c r="AK84">
        <f t="shared" si="239"/>
        <v>1.0128250742504266</v>
      </c>
      <c r="AN84">
        <v>1.0534140468778366</v>
      </c>
      <c r="AO84">
        <v>1.0502713314116625</v>
      </c>
      <c r="AP84">
        <v>1.0476952030099886</v>
      </c>
      <c r="AQ84">
        <v>1.0455441804964232</v>
      </c>
    </row>
    <row r="85" spans="1:43">
      <c r="A85" t="s">
        <v>380</v>
      </c>
      <c r="K85" s="18">
        <f>K73</f>
        <v>0.50869109967400905</v>
      </c>
      <c r="L85">
        <f t="shared" ref="L85:M87" si="241">K85*L82</f>
        <v>0.48947211509097449</v>
      </c>
      <c r="M85">
        <f t="shared" si="241"/>
        <v>0.4606178050566635</v>
      </c>
      <c r="N85">
        <f t="shared" ref="N85:AG87" si="242">M85*N82</f>
        <v>0.44783547304107746</v>
      </c>
      <c r="O85">
        <f t="shared" si="242"/>
        <v>0.4373450444929311</v>
      </c>
      <c r="P85">
        <f t="shared" si="242"/>
        <v>0.42847018132309483</v>
      </c>
      <c r="Q85">
        <f t="shared" si="242"/>
        <v>0.42283459382689914</v>
      </c>
      <c r="R85">
        <f t="shared" si="242"/>
        <v>0.41133888034482868</v>
      </c>
      <c r="S85">
        <f t="shared" si="242"/>
        <v>0.39667878483899643</v>
      </c>
      <c r="T85">
        <f t="shared" si="242"/>
        <v>0.38256993533227351</v>
      </c>
      <c r="U85">
        <f t="shared" si="242"/>
        <v>0.36813146309135064</v>
      </c>
      <c r="V85">
        <f t="shared" si="242"/>
        <v>0.3540843011225776</v>
      </c>
      <c r="W85">
        <f t="shared" si="242"/>
        <v>0.34075368376324844</v>
      </c>
      <c r="X85">
        <f t="shared" si="242"/>
        <v>0.32791372667188523</v>
      </c>
      <c r="Y85">
        <f t="shared" si="242"/>
        <v>0.31543762454488994</v>
      </c>
      <c r="Z85">
        <f t="shared" si="242"/>
        <v>0.30324459681030069</v>
      </c>
      <c r="AA85">
        <f t="shared" si="242"/>
        <v>0.29154182974196219</v>
      </c>
      <c r="AB85">
        <f t="shared" si="242"/>
        <v>0.28046722445348188</v>
      </c>
      <c r="AC85">
        <f t="shared" si="242"/>
        <v>0.26982400445783222</v>
      </c>
      <c r="AD85">
        <f t="shared" si="242"/>
        <v>0.25972185449361052</v>
      </c>
      <c r="AE85">
        <f t="shared" si="242"/>
        <v>0.25016713258411949</v>
      </c>
      <c r="AF85">
        <f t="shared" si="242"/>
        <v>0.21014696677205003</v>
      </c>
      <c r="AG85">
        <f t="shared" si="242"/>
        <v>0.18072458479062242</v>
      </c>
      <c r="AH85">
        <f t="shared" ref="AH85:AH87" si="243">AG85*AH82</f>
        <v>0.15418593312694762</v>
      </c>
      <c r="AI85">
        <f t="shared" ref="AI85:AI87" si="244">AH85*AI82</f>
        <v>0.13306234639780209</v>
      </c>
      <c r="AJ85">
        <f t="shared" ref="AJ85:AJ87" si="245">AI85*AJ82</f>
        <v>0.11190269909741615</v>
      </c>
      <c r="AK85">
        <f t="shared" ref="AK85:AK87" si="246">AJ85*AK82</f>
        <v>9.0746627855547449E-2</v>
      </c>
      <c r="AN85">
        <v>0.24552291570350171</v>
      </c>
      <c r="AO85">
        <v>0.21188609489452759</v>
      </c>
      <c r="AP85">
        <v>0.17819185187839537</v>
      </c>
      <c r="AQ85">
        <v>0.14450330331373529</v>
      </c>
    </row>
    <row r="86" spans="1:43">
      <c r="A86" t="s">
        <v>381</v>
      </c>
      <c r="K86" s="18">
        <f t="shared" ref="K86:K87" si="247">K74</f>
        <v>0.29130890032599099</v>
      </c>
      <c r="L86">
        <f t="shared" si="241"/>
        <v>0.29340566839946647</v>
      </c>
      <c r="M86">
        <f t="shared" si="241"/>
        <v>0.30702568611369813</v>
      </c>
      <c r="N86">
        <f t="shared" ref="N86:AA86" si="248">M86*N83</f>
        <v>0.31192284361497863</v>
      </c>
      <c r="O86">
        <f t="shared" si="248"/>
        <v>0.31468116873783775</v>
      </c>
      <c r="P86">
        <f t="shared" si="248"/>
        <v>0.31810023619141692</v>
      </c>
      <c r="Q86">
        <f t="shared" si="248"/>
        <v>0.32002715947280552</v>
      </c>
      <c r="R86">
        <f t="shared" si="248"/>
        <v>0.32056182787230064</v>
      </c>
      <c r="S86">
        <f t="shared" si="248"/>
        <v>0.32405011507682857</v>
      </c>
      <c r="T86">
        <f t="shared" si="248"/>
        <v>0.32739290265745641</v>
      </c>
      <c r="U86">
        <f t="shared" si="248"/>
        <v>0.33016112843661655</v>
      </c>
      <c r="V86">
        <f t="shared" si="248"/>
        <v>0.33359646163824985</v>
      </c>
      <c r="W86">
        <f t="shared" si="248"/>
        <v>0.33654052852471189</v>
      </c>
      <c r="X86">
        <f t="shared" si="248"/>
        <v>0.3396624195997931</v>
      </c>
      <c r="Y86">
        <f t="shared" si="248"/>
        <v>0.34245066314010097</v>
      </c>
      <c r="Z86">
        <f t="shared" si="248"/>
        <v>0.34518504524092175</v>
      </c>
      <c r="AA86">
        <f t="shared" si="248"/>
        <v>0.3477093143792378</v>
      </c>
      <c r="AB86">
        <f t="shared" si="242"/>
        <v>0.35009843702544491</v>
      </c>
      <c r="AC86">
        <f t="shared" si="242"/>
        <v>0.35237148498989324</v>
      </c>
      <c r="AD86">
        <f t="shared" si="242"/>
        <v>0.35460235350222796</v>
      </c>
      <c r="AE86">
        <f t="shared" si="242"/>
        <v>0.35664814779018028</v>
      </c>
      <c r="AF86">
        <f t="shared" si="242"/>
        <v>0.36564029649579982</v>
      </c>
      <c r="AG86">
        <f t="shared" si="242"/>
        <v>0.37346403644389997</v>
      </c>
      <c r="AH86">
        <f t="shared" si="243"/>
        <v>0.37772506321390964</v>
      </c>
      <c r="AI86">
        <f t="shared" si="244"/>
        <v>0.39261612879853969</v>
      </c>
      <c r="AJ86">
        <f t="shared" si="245"/>
        <v>0.40762315533419924</v>
      </c>
      <c r="AK86">
        <f t="shared" si="246"/>
        <v>0.42261710998374302</v>
      </c>
      <c r="AN86">
        <v>0.39561454073212232</v>
      </c>
      <c r="AO86">
        <v>0.41121086368233944</v>
      </c>
      <c r="AP86">
        <v>0.42692863962271316</v>
      </c>
      <c r="AQ86">
        <v>0.44263272457796082</v>
      </c>
    </row>
    <row r="87" spans="1:43">
      <c r="A87" t="s">
        <v>382</v>
      </c>
      <c r="K87" s="18">
        <f t="shared" si="247"/>
        <v>0.2</v>
      </c>
      <c r="L87">
        <f t="shared" si="241"/>
        <v>0.21712221650955904</v>
      </c>
      <c r="M87">
        <f t="shared" si="241"/>
        <v>0.23235650882963835</v>
      </c>
      <c r="N87">
        <f t="shared" si="242"/>
        <v>0.24024168334394391</v>
      </c>
      <c r="O87">
        <f t="shared" si="242"/>
        <v>0.24797378676923107</v>
      </c>
      <c r="P87">
        <f t="shared" si="242"/>
        <v>0.25342958248548819</v>
      </c>
      <c r="Q87">
        <f t="shared" si="242"/>
        <v>0.25713824670029534</v>
      </c>
      <c r="R87">
        <f t="shared" si="242"/>
        <v>0.26809929178287062</v>
      </c>
      <c r="S87">
        <f t="shared" si="242"/>
        <v>0.27927110008417494</v>
      </c>
      <c r="T87">
        <f t="shared" si="242"/>
        <v>0.29003716201027002</v>
      </c>
      <c r="U87">
        <f t="shared" si="242"/>
        <v>0.3017074084720327</v>
      </c>
      <c r="V87">
        <f t="shared" si="242"/>
        <v>0.31231923723917243</v>
      </c>
      <c r="W87">
        <f t="shared" si="242"/>
        <v>0.32270578771203962</v>
      </c>
      <c r="X87">
        <f t="shared" si="242"/>
        <v>0.33242385372832162</v>
      </c>
      <c r="Y87">
        <f t="shared" si="242"/>
        <v>0.34211171231500898</v>
      </c>
      <c r="Z87">
        <f t="shared" si="242"/>
        <v>0.35157035794877733</v>
      </c>
      <c r="AA87">
        <f t="shared" si="242"/>
        <v>0.36074885587879973</v>
      </c>
      <c r="AB87">
        <f t="shared" si="242"/>
        <v>0.36943433852107299</v>
      </c>
      <c r="AC87">
        <f t="shared" si="242"/>
        <v>0.37780451055227432</v>
      </c>
      <c r="AD87">
        <f t="shared" si="242"/>
        <v>0.38567579200416147</v>
      </c>
      <c r="AE87">
        <f t="shared" si="242"/>
        <v>0.39318471962570017</v>
      </c>
      <c r="AF87">
        <f t="shared" si="242"/>
        <v>0.4242127367321501</v>
      </c>
      <c r="AG87">
        <f t="shared" si="242"/>
        <v>0.4458113787654775</v>
      </c>
      <c r="AH87">
        <f t="shared" si="243"/>
        <v>0.46808900365914258</v>
      </c>
      <c r="AI87">
        <f t="shared" si="244"/>
        <v>0.47432152480365797</v>
      </c>
      <c r="AJ87">
        <f t="shared" si="245"/>
        <v>0.48047414556838447</v>
      </c>
      <c r="AK87">
        <f t="shared" si="246"/>
        <v>0.48663626216070927</v>
      </c>
      <c r="AN87">
        <v>0.35886254356437591</v>
      </c>
      <c r="AO87">
        <v>0.37690304142313286</v>
      </c>
      <c r="AP87">
        <v>0.39487950849889136</v>
      </c>
      <c r="AQ87">
        <v>0.41286397210830372</v>
      </c>
    </row>
    <row r="90" spans="1:43">
      <c r="A90" t="s">
        <v>687</v>
      </c>
    </row>
    <row r="91" spans="1:43">
      <c r="C91">
        <f>C5</f>
        <v>2012</v>
      </c>
      <c r="D91">
        <f>D5</f>
        <v>2013</v>
      </c>
      <c r="E91">
        <f t="shared" ref="E91:AG91" si="249">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ref="AH91:AK91" si="250">AH5</f>
        <v>2055</v>
      </c>
      <c r="AI91">
        <f t="shared" si="250"/>
        <v>2060</v>
      </c>
      <c r="AJ91">
        <f t="shared" si="250"/>
        <v>2065</v>
      </c>
      <c r="AK91">
        <f t="shared" si="250"/>
        <v>2070</v>
      </c>
      <c r="AN91">
        <v>2055</v>
      </c>
      <c r="AO91">
        <v>2060</v>
      </c>
      <c r="AP91">
        <v>2065</v>
      </c>
      <c r="AQ91">
        <v>2070</v>
      </c>
    </row>
    <row r="92" spans="1:43">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118.6298855621762</v>
      </c>
      <c r="K92" s="5">
        <f>INDEX(DriversGams!$A$130:$AN$140,MATCH(Drivers!$A92,DriversGams!$A$130:$A$140,0),MATCH(Drivers!K$3,DriversGams!$A$130:$AN$130,0))</f>
        <v>103.01340323587007</v>
      </c>
      <c r="L92" s="5">
        <f>INDEX(DriversGams!$A$130:$AN$140,MATCH(Drivers!$A92,DriversGams!$A$130:$A$140,0),MATCH(Drivers!L$3,DriversGams!$A$130:$AN$130,0))</f>
        <v>105.08628865644404</v>
      </c>
      <c r="M92" s="5">
        <f>INDEX(DriversGams!$A$130:$AN$140,MATCH(Drivers!$A92,DriversGams!$A$130:$A$140,0),MATCH(Drivers!M$3,DriversGams!$A$130:$AN$130,0))</f>
        <v>112.37294178157305</v>
      </c>
      <c r="N92" s="5">
        <f>INDEX(DriversGams!$A$130:$AN$140,MATCH(Drivers!$A92,DriversGams!$A$130:$A$140,0),MATCH(Drivers!N$3,DriversGams!$A$130:$AN$130,0))</f>
        <v>110.63098276354111</v>
      </c>
      <c r="O92" s="5">
        <f>INDEX(DriversGams!$A$130:$AN$140,MATCH(Drivers!$A92,DriversGams!$A$130:$A$140,0),MATCH(Drivers!O$3,DriversGams!$A$130:$AN$130,0))</f>
        <v>111.70734132371921</v>
      </c>
      <c r="P92" s="5">
        <f>INDEX(DriversGams!$A$130:$AN$140,MATCH(Drivers!$A92,DriversGams!$A$130:$A$140,0),MATCH(Drivers!P$3,DriversGams!$A$130:$AN$130,0))</f>
        <v>114.09436983728534</v>
      </c>
      <c r="Q92" s="5">
        <f>INDEX(DriversGams!$A$130:$AN$140,MATCH(Drivers!$A92,DriversGams!$A$130:$A$140,0),MATCH(Drivers!Q$3,DriversGams!$A$130:$AN$130,0))</f>
        <v>120.0942881294018</v>
      </c>
      <c r="R92" s="5">
        <f>INDEX(DriversGams!$A$130:$AN$140,MATCH(Drivers!$A92,DriversGams!$A$130:$A$140,0),MATCH(Drivers!R$3,DriversGams!$A$130:$AN$130,0))</f>
        <v>122.0392262137738</v>
      </c>
      <c r="S92" s="5">
        <f>INDEX(DriversGams!$A$130:$AN$140,MATCH(Drivers!$A92,DriversGams!$A$130:$A$140,0),MATCH(Drivers!S$3,DriversGams!$A$130:$AN$130,0))</f>
        <v>125.07309796709416</v>
      </c>
      <c r="T92" s="5">
        <f>INDEX(DriversGams!$A$130:$AN$140,MATCH(Drivers!$A92,DriversGams!$A$130:$A$140,0),MATCH(Drivers!T$3,DriversGams!$A$130:$AN$130,0))</f>
        <v>127.73812961776495</v>
      </c>
      <c r="U92" s="5">
        <f>INDEX(DriversGams!$A$130:$AN$140,MATCH(Drivers!$A92,DriversGams!$A$130:$A$140,0),MATCH(Drivers!U$3,DriversGams!$A$130:$AN$130,0))</f>
        <v>132.81639090471981</v>
      </c>
      <c r="V92" s="5">
        <f>INDEX(DriversGams!$A$130:$AN$140,MATCH(Drivers!$A92,DriversGams!$A$130:$A$140,0),MATCH(Drivers!V$3,DriversGams!$A$130:$AN$130,0))</f>
        <v>137.24609083041679</v>
      </c>
      <c r="W92" s="5">
        <f>INDEX(DriversGams!$A$130:$AN$140,MATCH(Drivers!$A92,DriversGams!$A$130:$A$140,0),MATCH(Drivers!W$3,DriversGams!$A$130:$AN$130,0))</f>
        <v>142.42893443084859</v>
      </c>
      <c r="X92" s="5">
        <f>INDEX(DriversGams!$A$130:$AN$140,MATCH(Drivers!$A92,DriversGams!$A$130:$A$140,0),MATCH(Drivers!X$3,DriversGams!$A$130:$AN$130,0))</f>
        <v>146.02843763856137</v>
      </c>
      <c r="Y92" s="5">
        <f>INDEX(DriversGams!$A$130:$AN$140,MATCH(Drivers!$A92,DriversGams!$A$130:$A$140,0),MATCH(Drivers!Y$3,DriversGams!$A$130:$AN$130,0))</f>
        <v>149.97560519541196</v>
      </c>
      <c r="Z92" s="5">
        <f>INDEX(DriversGams!$A$130:$AN$140,MATCH(Drivers!$A92,DriversGams!$A$130:$A$140,0),MATCH(Drivers!Z$3,DriversGams!$A$130:$AN$130,0))</f>
        <v>155.70353655801125</v>
      </c>
      <c r="AA92" s="5">
        <f>INDEX(DriversGams!$A$130:$AN$140,MATCH(Drivers!$A92,DriversGams!$A$130:$A$140,0),MATCH(Drivers!AA$3,DriversGams!$A$130:$AN$130,0))</f>
        <v>161.96653340434426</v>
      </c>
      <c r="AB92" s="5">
        <f>INDEX(DriversGams!$A$130:$AN$140,MATCH(Drivers!$A92,DriversGams!$A$130:$A$140,0),MATCH(Drivers!AB$3,DriversGams!$A$130:$AN$130,0))</f>
        <v>167.64064710917569</v>
      </c>
      <c r="AC92" s="5">
        <f>INDEX(DriversGams!$A$130:$AN$140,MATCH(Drivers!$A92,DriversGams!$A$130:$A$140,0),MATCH(Drivers!AC$3,DriversGams!$A$130:$AN$130,0))</f>
        <v>173.70887454210862</v>
      </c>
      <c r="AD92" s="5">
        <f>INDEX(DriversGams!$A$130:$AN$140,MATCH(Drivers!$A92,DriversGams!$A$130:$A$140,0),MATCH(Drivers!AD$3,DriversGams!$A$130:$AN$130,0))</f>
        <v>179.66376961958719</v>
      </c>
      <c r="AE92" s="5">
        <f>INDEX(DriversGams!$A$130:$AN$140,MATCH(Drivers!$A92,DriversGams!$A$130:$A$140,0),MATCH(Drivers!AE$3,DriversGams!$A$130:$AN$130,0))</f>
        <v>186.22903430354478</v>
      </c>
      <c r="AF92" s="5">
        <f>INDEX(DriversGams!$A$130:$AN$140,MATCH(Drivers!$A92,DriversGams!$A$130:$A$140,0),MATCH(Drivers!AF$3,DriversGams!$A$130:$AN$130,0))</f>
        <v>219.03924575152689</v>
      </c>
      <c r="AG92" s="5">
        <f>INDEX(DriversGams!$A$130:$AN$140,MATCH(Drivers!$A92,DriversGams!$A$130:$A$140,0),MATCH(Drivers!AG$3,DriversGams!$A$130:$AN$130,0))</f>
        <v>249.55328068948489</v>
      </c>
      <c r="AH92" s="5">
        <f>INDEX(DriversGams!$A$130:$BA$140,MATCH(Drivers!$A92,DriversGams!$A$130:$A$140,0),MATCH(Drivers!AH$3,DriversGams!$A$130:$BA$130,0))</f>
        <v>289.70252895062958</v>
      </c>
      <c r="AI92" s="18">
        <f t="shared" ref="AI92:AI93" si="251">AO92/AN92*AH92</f>
        <v>306.2340589455311</v>
      </c>
      <c r="AJ92" s="18">
        <f t="shared" ref="AJ92:AJ93" si="252">AP92/AO92*AI92</f>
        <v>322.76558894043262</v>
      </c>
      <c r="AK92" s="18">
        <f t="shared" ref="AK92:AK93" si="253">AQ92/AP92*AJ92</f>
        <v>339.29711893533414</v>
      </c>
      <c r="AN92" s="5">
        <v>242.96109523809537</v>
      </c>
      <c r="AO92" s="5">
        <v>256.82538095238124</v>
      </c>
      <c r="AP92" s="5">
        <v>270.68966666666711</v>
      </c>
      <c r="AQ92" s="5">
        <v>284.55395238095298</v>
      </c>
    </row>
    <row r="93" spans="1:43">
      <c r="A93" t="s">
        <v>685</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9.51</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51"/>
        <v>26.699601671526349</v>
      </c>
      <c r="AJ93" s="18">
        <f t="shared" si="252"/>
        <v>29.455067410395912</v>
      </c>
      <c r="AK93" s="18">
        <f t="shared" si="253"/>
        <v>32.210533149265473</v>
      </c>
      <c r="AN93" s="5">
        <v>15.492696969696908</v>
      </c>
      <c r="AO93" s="5">
        <v>17.275580086580021</v>
      </c>
      <c r="AP93" s="5">
        <v>19.058463203463134</v>
      </c>
      <c r="AQ93" s="5">
        <v>20.841346320346247</v>
      </c>
    </row>
  </sheetData>
  <sortState xmlns:xlrd2="http://schemas.microsoft.com/office/spreadsheetml/2017/richdata2" ref="A7:A27">
    <sortCondition ref="A7:A2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127" sqref="I127"/>
    </sheetView>
  </sheetViews>
  <sheetFormatPr defaultRowHeight="15"/>
  <sheetData>
    <row r="3" spans="2:9">
      <c r="B3" t="s">
        <v>715</v>
      </c>
    </row>
    <row r="4" spans="2:9">
      <c r="B4" t="s">
        <v>716</v>
      </c>
      <c r="C4" t="s">
        <v>717</v>
      </c>
      <c r="D4" t="s">
        <v>718</v>
      </c>
      <c r="E4" t="s">
        <v>719</v>
      </c>
      <c r="F4" t="s">
        <v>720</v>
      </c>
      <c r="G4" t="s">
        <v>721</v>
      </c>
      <c r="H4" t="s">
        <v>722</v>
      </c>
      <c r="I4" t="s">
        <v>17</v>
      </c>
    </row>
    <row r="5" spans="2:9">
      <c r="B5" t="s">
        <v>97</v>
      </c>
      <c r="C5" t="s">
        <v>723</v>
      </c>
      <c r="F5" t="s">
        <v>272</v>
      </c>
      <c r="G5">
        <v>2017</v>
      </c>
      <c r="H5" t="s">
        <v>289</v>
      </c>
      <c r="I5">
        <v>2.5043970166379799</v>
      </c>
    </row>
    <row r="6" spans="2:9">
      <c r="B6" t="s">
        <v>97</v>
      </c>
      <c r="C6" t="s">
        <v>723</v>
      </c>
      <c r="F6" t="s">
        <v>272</v>
      </c>
      <c r="G6">
        <v>2017</v>
      </c>
      <c r="H6" t="s">
        <v>290</v>
      </c>
      <c r="I6">
        <v>5.7709645233647997</v>
      </c>
    </row>
    <row r="7" spans="2:9">
      <c r="B7" t="s">
        <v>97</v>
      </c>
      <c r="C7" t="s">
        <v>723</v>
      </c>
      <c r="F7" t="s">
        <v>272</v>
      </c>
      <c r="G7">
        <v>2017</v>
      </c>
      <c r="H7" t="s">
        <v>291</v>
      </c>
      <c r="I7">
        <v>10.1217912486754</v>
      </c>
    </row>
    <row r="8" spans="2:9">
      <c r="B8" t="s">
        <v>97</v>
      </c>
      <c r="C8" t="s">
        <v>723</v>
      </c>
      <c r="F8" t="s">
        <v>272</v>
      </c>
      <c r="G8">
        <v>2017</v>
      </c>
      <c r="H8" t="s">
        <v>292</v>
      </c>
      <c r="I8">
        <v>4.6040183871857696</v>
      </c>
    </row>
    <row r="9" spans="2:9">
      <c r="B9" t="s">
        <v>97</v>
      </c>
      <c r="C9" t="s">
        <v>723</v>
      </c>
      <c r="F9" t="s">
        <v>272</v>
      </c>
      <c r="G9">
        <v>2017</v>
      </c>
      <c r="H9" t="s">
        <v>293</v>
      </c>
      <c r="I9">
        <v>7.9249894633578597</v>
      </c>
    </row>
    <row r="10" spans="2:9">
      <c r="B10" t="s">
        <v>97</v>
      </c>
      <c r="C10" t="s">
        <v>723</v>
      </c>
      <c r="F10" t="s">
        <v>272</v>
      </c>
      <c r="G10">
        <v>2017</v>
      </c>
      <c r="H10" t="s">
        <v>294</v>
      </c>
      <c r="I10">
        <v>0.3034425</v>
      </c>
    </row>
    <row r="11" spans="2:9">
      <c r="B11" t="s">
        <v>97</v>
      </c>
      <c r="C11" t="s">
        <v>723</v>
      </c>
      <c r="F11" t="s">
        <v>272</v>
      </c>
      <c r="G11">
        <v>2017</v>
      </c>
      <c r="H11" t="s">
        <v>295</v>
      </c>
      <c r="I11">
        <v>4.0458999999999996</v>
      </c>
    </row>
    <row r="12" spans="2:9">
      <c r="B12" t="s">
        <v>97</v>
      </c>
      <c r="C12" t="s">
        <v>723</v>
      </c>
      <c r="F12" t="s">
        <v>272</v>
      </c>
      <c r="G12">
        <v>2017</v>
      </c>
      <c r="H12" t="s">
        <v>296</v>
      </c>
      <c r="I12">
        <v>2.4599072</v>
      </c>
    </row>
    <row r="13" spans="2:9">
      <c r="B13" t="s">
        <v>97</v>
      </c>
      <c r="C13" t="s">
        <v>723</v>
      </c>
      <c r="F13" t="s">
        <v>272</v>
      </c>
      <c r="G13">
        <v>2017</v>
      </c>
      <c r="H13" t="s">
        <v>297</v>
      </c>
      <c r="I13">
        <v>2.5893760000000001</v>
      </c>
    </row>
    <row r="14" spans="2:9">
      <c r="B14" t="s">
        <v>97</v>
      </c>
      <c r="C14" t="s">
        <v>723</v>
      </c>
      <c r="F14" t="s">
        <v>272</v>
      </c>
      <c r="G14">
        <v>2017</v>
      </c>
      <c r="H14" t="s">
        <v>298</v>
      </c>
      <c r="I14">
        <v>0.72826199999999996</v>
      </c>
    </row>
    <row r="15" spans="2:9">
      <c r="B15" t="s">
        <v>97</v>
      </c>
      <c r="C15" t="s">
        <v>723</v>
      </c>
      <c r="F15" t="s">
        <v>272</v>
      </c>
      <c r="G15">
        <v>2017</v>
      </c>
      <c r="H15" t="s">
        <v>299</v>
      </c>
      <c r="I15">
        <v>0.80918000000000001</v>
      </c>
    </row>
    <row r="16" spans="2:9">
      <c r="B16" t="s">
        <v>97</v>
      </c>
      <c r="C16" t="s">
        <v>723</v>
      </c>
      <c r="F16" t="s">
        <v>272</v>
      </c>
      <c r="G16">
        <v>2017</v>
      </c>
      <c r="H16" t="s">
        <v>300</v>
      </c>
      <c r="I16">
        <v>0.485508</v>
      </c>
    </row>
    <row r="17" spans="2:9">
      <c r="B17" t="s">
        <v>97</v>
      </c>
      <c r="C17" t="s">
        <v>723</v>
      </c>
      <c r="F17" t="s">
        <v>272</v>
      </c>
      <c r="G17">
        <v>2017</v>
      </c>
      <c r="H17" t="s">
        <v>301</v>
      </c>
      <c r="I17">
        <v>6.4734400000000001</v>
      </c>
    </row>
    <row r="18" spans="2:9">
      <c r="B18" t="s">
        <v>97</v>
      </c>
      <c r="C18" t="s">
        <v>723</v>
      </c>
      <c r="F18" t="s">
        <v>272</v>
      </c>
      <c r="G18">
        <v>2017</v>
      </c>
      <c r="H18" t="s">
        <v>302</v>
      </c>
      <c r="I18">
        <v>11.328519999999999</v>
      </c>
    </row>
    <row r="19" spans="2:9">
      <c r="B19" t="s">
        <v>97</v>
      </c>
      <c r="C19" t="s">
        <v>723</v>
      </c>
      <c r="F19" t="s">
        <v>272</v>
      </c>
      <c r="G19">
        <v>2017</v>
      </c>
      <c r="H19" t="s">
        <v>303</v>
      </c>
      <c r="I19">
        <v>19.307168399999998</v>
      </c>
    </row>
    <row r="20" spans="2:9">
      <c r="B20" t="s">
        <v>97</v>
      </c>
      <c r="C20" t="s">
        <v>723</v>
      </c>
      <c r="F20" t="s">
        <v>272</v>
      </c>
      <c r="G20">
        <v>2017</v>
      </c>
      <c r="H20" t="s">
        <v>304</v>
      </c>
      <c r="I20">
        <v>26.6</v>
      </c>
    </row>
    <row r="21" spans="2:9">
      <c r="B21" t="s">
        <v>97</v>
      </c>
      <c r="C21" t="s">
        <v>723</v>
      </c>
      <c r="F21" t="s">
        <v>272</v>
      </c>
      <c r="G21">
        <v>2017</v>
      </c>
      <c r="H21" t="s">
        <v>305</v>
      </c>
      <c r="I21">
        <v>2.9904E-2</v>
      </c>
    </row>
    <row r="22" spans="2:9">
      <c r="B22" t="s">
        <v>97</v>
      </c>
      <c r="C22" t="s">
        <v>723</v>
      </c>
      <c r="F22" t="s">
        <v>272</v>
      </c>
      <c r="G22">
        <v>2017</v>
      </c>
      <c r="H22" t="s">
        <v>306</v>
      </c>
      <c r="I22">
        <v>6.8779199999999996</v>
      </c>
    </row>
    <row r="23" spans="2:9">
      <c r="B23" t="s">
        <v>97</v>
      </c>
      <c r="C23" t="s">
        <v>723</v>
      </c>
      <c r="F23" t="s">
        <v>272</v>
      </c>
      <c r="G23">
        <v>2017</v>
      </c>
      <c r="H23" t="s">
        <v>307</v>
      </c>
      <c r="I23">
        <v>0</v>
      </c>
    </row>
    <row r="24" spans="2:9">
      <c r="B24" t="s">
        <v>97</v>
      </c>
      <c r="C24" t="s">
        <v>723</v>
      </c>
      <c r="F24" t="s">
        <v>272</v>
      </c>
      <c r="G24">
        <v>2017</v>
      </c>
      <c r="H24" t="s">
        <v>308</v>
      </c>
      <c r="I24">
        <v>0.478464</v>
      </c>
    </row>
    <row r="25" spans="2:9">
      <c r="B25" t="s">
        <v>97</v>
      </c>
      <c r="C25" t="s">
        <v>723</v>
      </c>
      <c r="F25" t="s">
        <v>272</v>
      </c>
      <c r="G25">
        <v>2017</v>
      </c>
      <c r="H25" t="s">
        <v>309</v>
      </c>
      <c r="I25">
        <v>0.80740800000000001</v>
      </c>
    </row>
    <row r="26" spans="2:9">
      <c r="B26" t="s">
        <v>97</v>
      </c>
      <c r="C26" t="s">
        <v>723</v>
      </c>
      <c r="F26" t="s">
        <v>272</v>
      </c>
      <c r="G26">
        <v>2017</v>
      </c>
      <c r="H26" t="s">
        <v>310</v>
      </c>
      <c r="I26">
        <v>1.04664</v>
      </c>
    </row>
    <row r="27" spans="2:9">
      <c r="B27" t="s">
        <v>97</v>
      </c>
      <c r="C27" t="s">
        <v>723</v>
      </c>
      <c r="F27" t="s">
        <v>272</v>
      </c>
      <c r="G27">
        <v>2017</v>
      </c>
      <c r="H27" t="s">
        <v>311</v>
      </c>
      <c r="I27">
        <v>0.22428000000000001</v>
      </c>
    </row>
    <row r="28" spans="2:9">
      <c r="B28" t="s">
        <v>97</v>
      </c>
      <c r="C28" t="s">
        <v>723</v>
      </c>
      <c r="F28" t="s">
        <v>272</v>
      </c>
      <c r="G28">
        <v>2017</v>
      </c>
      <c r="H28" t="s">
        <v>312</v>
      </c>
      <c r="I28">
        <v>2.5119359999999999</v>
      </c>
    </row>
    <row r="29" spans="2:9">
      <c r="B29" t="s">
        <v>97</v>
      </c>
      <c r="C29" t="s">
        <v>723</v>
      </c>
      <c r="F29" t="s">
        <v>272</v>
      </c>
      <c r="G29">
        <v>2017</v>
      </c>
      <c r="H29" t="s">
        <v>313</v>
      </c>
      <c r="I29">
        <v>3.3492479999999998</v>
      </c>
    </row>
    <row r="30" spans="2:9">
      <c r="B30" t="s">
        <v>97</v>
      </c>
      <c r="C30" t="s">
        <v>723</v>
      </c>
      <c r="F30" t="s">
        <v>272</v>
      </c>
      <c r="G30">
        <v>2017</v>
      </c>
      <c r="H30" t="s">
        <v>314</v>
      </c>
      <c r="I30">
        <v>40.544747177343801</v>
      </c>
    </row>
    <row r="31" spans="2:9">
      <c r="B31" t="s">
        <v>97</v>
      </c>
      <c r="C31" t="s">
        <v>723</v>
      </c>
      <c r="F31" t="s">
        <v>272</v>
      </c>
      <c r="G31">
        <v>2017</v>
      </c>
      <c r="H31" t="s">
        <v>315</v>
      </c>
      <c r="I31">
        <v>0.71939570019765298</v>
      </c>
    </row>
    <row r="32" spans="2:9">
      <c r="B32" t="s">
        <v>97</v>
      </c>
      <c r="C32" t="s">
        <v>723</v>
      </c>
      <c r="F32" t="s">
        <v>272</v>
      </c>
      <c r="G32">
        <v>2017</v>
      </c>
      <c r="H32" t="s">
        <v>316</v>
      </c>
      <c r="I32">
        <v>12.569563545045501</v>
      </c>
    </row>
    <row r="33" spans="2:9">
      <c r="B33" t="s">
        <v>97</v>
      </c>
      <c r="C33" t="s">
        <v>723</v>
      </c>
      <c r="F33" t="s">
        <v>272</v>
      </c>
      <c r="G33">
        <v>2017</v>
      </c>
      <c r="H33" t="s">
        <v>317</v>
      </c>
      <c r="I33">
        <v>0.13532728977530001</v>
      </c>
    </row>
    <row r="34" spans="2:9">
      <c r="B34" t="s">
        <v>97</v>
      </c>
      <c r="C34" t="s">
        <v>723</v>
      </c>
      <c r="F34" t="s">
        <v>272</v>
      </c>
      <c r="G34">
        <v>2017</v>
      </c>
      <c r="H34" t="s">
        <v>318</v>
      </c>
      <c r="I34">
        <v>4.2655424211891404</v>
      </c>
    </row>
    <row r="35" spans="2:9">
      <c r="B35" t="s">
        <v>97</v>
      </c>
      <c r="C35" t="s">
        <v>723</v>
      </c>
      <c r="F35" t="s">
        <v>272</v>
      </c>
      <c r="G35">
        <v>2017</v>
      </c>
      <c r="H35" t="s">
        <v>319</v>
      </c>
      <c r="I35">
        <v>5.5741217756416299</v>
      </c>
    </row>
    <row r="36" spans="2:9">
      <c r="B36" t="s">
        <v>97</v>
      </c>
      <c r="C36" t="s">
        <v>723</v>
      </c>
      <c r="F36" t="s">
        <v>272</v>
      </c>
      <c r="G36">
        <v>2017</v>
      </c>
      <c r="H36" t="s">
        <v>320</v>
      </c>
      <c r="I36">
        <v>1.54836715990045</v>
      </c>
    </row>
    <row r="37" spans="2:9">
      <c r="B37" t="s">
        <v>97</v>
      </c>
      <c r="C37" t="s">
        <v>723</v>
      </c>
      <c r="F37" t="s">
        <v>272</v>
      </c>
      <c r="G37">
        <v>2017</v>
      </c>
      <c r="H37" t="s">
        <v>321</v>
      </c>
      <c r="I37">
        <v>1.0451478329328101</v>
      </c>
    </row>
    <row r="38" spans="2:9">
      <c r="B38" t="s">
        <v>97</v>
      </c>
      <c r="C38" t="s">
        <v>723</v>
      </c>
      <c r="F38" t="s">
        <v>272</v>
      </c>
      <c r="G38">
        <v>2017</v>
      </c>
      <c r="H38" t="s">
        <v>322</v>
      </c>
      <c r="I38">
        <v>20.9296501227637</v>
      </c>
    </row>
    <row r="39" spans="2:9">
      <c r="B39" t="s">
        <v>97</v>
      </c>
      <c r="C39" t="s">
        <v>723</v>
      </c>
      <c r="F39" t="s">
        <v>272</v>
      </c>
      <c r="G39">
        <v>2017</v>
      </c>
      <c r="H39" t="s">
        <v>323</v>
      </c>
      <c r="I39">
        <v>11.078357924751099</v>
      </c>
    </row>
    <row r="40" spans="2:9">
      <c r="B40" t="s">
        <v>97</v>
      </c>
      <c r="C40" t="s">
        <v>723</v>
      </c>
      <c r="F40" t="s">
        <v>272</v>
      </c>
      <c r="G40">
        <v>2017</v>
      </c>
      <c r="H40" t="s">
        <v>324</v>
      </c>
      <c r="I40">
        <v>25.406351025250501</v>
      </c>
    </row>
    <row r="41" spans="2:9">
      <c r="B41" t="s">
        <v>97</v>
      </c>
      <c r="C41" t="s">
        <v>723</v>
      </c>
      <c r="F41" t="s">
        <v>272</v>
      </c>
      <c r="G41">
        <v>2017</v>
      </c>
      <c r="H41" t="s">
        <v>325</v>
      </c>
      <c r="I41">
        <v>25.233177191199999</v>
      </c>
    </row>
    <row r="42" spans="2:9">
      <c r="B42" t="s">
        <v>97</v>
      </c>
      <c r="C42" t="s">
        <v>723</v>
      </c>
      <c r="F42" t="s">
        <v>272</v>
      </c>
      <c r="G42">
        <v>2017</v>
      </c>
      <c r="H42" t="s">
        <v>326</v>
      </c>
      <c r="I42">
        <v>0</v>
      </c>
    </row>
    <row r="43" spans="2:9">
      <c r="B43" t="s">
        <v>97</v>
      </c>
      <c r="C43" t="s">
        <v>723</v>
      </c>
      <c r="F43" t="s">
        <v>272</v>
      </c>
      <c r="G43">
        <v>2017</v>
      </c>
      <c r="H43" t="s">
        <v>327</v>
      </c>
      <c r="I43">
        <v>0</v>
      </c>
    </row>
    <row r="44" spans="2:9">
      <c r="B44" t="s">
        <v>97</v>
      </c>
      <c r="C44" t="s">
        <v>723</v>
      </c>
      <c r="F44" t="s">
        <v>272</v>
      </c>
      <c r="G44">
        <v>2017</v>
      </c>
      <c r="H44" t="s">
        <v>328</v>
      </c>
      <c r="I44">
        <v>6.8830524422467798</v>
      </c>
    </row>
    <row r="45" spans="2:9">
      <c r="B45" t="s">
        <v>97</v>
      </c>
      <c r="C45" t="s">
        <v>723</v>
      </c>
      <c r="F45" t="s">
        <v>272</v>
      </c>
      <c r="G45">
        <v>2017</v>
      </c>
      <c r="H45" t="s">
        <v>329</v>
      </c>
      <c r="I45">
        <v>0</v>
      </c>
    </row>
    <row r="46" spans="2:9">
      <c r="B46" t="s">
        <v>97</v>
      </c>
      <c r="C46" t="s">
        <v>723</v>
      </c>
      <c r="F46" t="s">
        <v>272</v>
      </c>
      <c r="G46">
        <v>2017</v>
      </c>
      <c r="H46" t="s">
        <v>330</v>
      </c>
      <c r="I46">
        <v>9.0566479503247102E-2</v>
      </c>
    </row>
    <row r="47" spans="2:9">
      <c r="B47" t="s">
        <v>97</v>
      </c>
      <c r="C47" t="s">
        <v>723</v>
      </c>
      <c r="F47" t="s">
        <v>272</v>
      </c>
      <c r="G47">
        <v>2017</v>
      </c>
      <c r="H47" t="s">
        <v>331</v>
      </c>
      <c r="I47">
        <v>0.100629421670275</v>
      </c>
    </row>
    <row r="48" spans="2:9">
      <c r="B48" t="s">
        <v>97</v>
      </c>
      <c r="C48" t="s">
        <v>723</v>
      </c>
      <c r="F48" t="s">
        <v>272</v>
      </c>
      <c r="G48">
        <v>2017</v>
      </c>
      <c r="H48" t="s">
        <v>332</v>
      </c>
      <c r="I48">
        <v>3.01888265010824E-2</v>
      </c>
    </row>
    <row r="49" spans="2:9">
      <c r="B49" t="s">
        <v>97</v>
      </c>
      <c r="C49" t="s">
        <v>723</v>
      </c>
      <c r="F49" t="s">
        <v>272</v>
      </c>
      <c r="G49">
        <v>2017</v>
      </c>
      <c r="H49" t="s">
        <v>333</v>
      </c>
      <c r="I49">
        <v>0.56352476135353802</v>
      </c>
    </row>
    <row r="50" spans="2:9">
      <c r="B50" t="s">
        <v>97</v>
      </c>
      <c r="C50" t="s">
        <v>723</v>
      </c>
      <c r="F50" t="s">
        <v>272</v>
      </c>
      <c r="G50">
        <v>2017</v>
      </c>
      <c r="H50" t="s">
        <v>334</v>
      </c>
      <c r="I50">
        <v>0</v>
      </c>
    </row>
    <row r="51" spans="2:9">
      <c r="B51" t="s">
        <v>97</v>
      </c>
      <c r="C51" t="s">
        <v>723</v>
      </c>
      <c r="F51" t="s">
        <v>272</v>
      </c>
      <c r="G51">
        <v>2017</v>
      </c>
      <c r="H51" t="s">
        <v>335</v>
      </c>
      <c r="I51">
        <v>1.9115200000000001</v>
      </c>
    </row>
    <row r="52" spans="2:9">
      <c r="B52" t="s">
        <v>97</v>
      </c>
      <c r="C52" t="s">
        <v>723</v>
      </c>
      <c r="F52" t="s">
        <v>272</v>
      </c>
      <c r="G52">
        <v>2017</v>
      </c>
      <c r="H52" t="s">
        <v>336</v>
      </c>
      <c r="I52">
        <v>0.12355272</v>
      </c>
    </row>
    <row r="53" spans="2:9">
      <c r="B53" t="s">
        <v>97</v>
      </c>
      <c r="C53" t="s">
        <v>723</v>
      </c>
      <c r="F53" t="s">
        <v>272</v>
      </c>
      <c r="G53">
        <v>2017</v>
      </c>
      <c r="H53" t="s">
        <v>337</v>
      </c>
      <c r="I53">
        <v>2.3241024000000001</v>
      </c>
    </row>
    <row r="54" spans="2:9">
      <c r="B54" t="s">
        <v>97</v>
      </c>
      <c r="C54" t="s">
        <v>723</v>
      </c>
      <c r="F54" t="s">
        <v>272</v>
      </c>
      <c r="G54">
        <v>2017</v>
      </c>
      <c r="H54" t="s">
        <v>338</v>
      </c>
      <c r="I54">
        <v>0.22371068159999999</v>
      </c>
    </row>
    <row r="55" spans="2:9">
      <c r="B55" t="s">
        <v>97</v>
      </c>
      <c r="C55" t="s">
        <v>723</v>
      </c>
      <c r="F55" t="s">
        <v>272</v>
      </c>
      <c r="G55">
        <v>2017</v>
      </c>
      <c r="H55" t="s">
        <v>339</v>
      </c>
      <c r="I55">
        <v>1.0010822399999999</v>
      </c>
    </row>
    <row r="56" spans="2:9">
      <c r="B56" t="s">
        <v>97</v>
      </c>
      <c r="C56" t="s">
        <v>723</v>
      </c>
      <c r="F56" t="s">
        <v>272</v>
      </c>
      <c r="G56">
        <v>2017</v>
      </c>
      <c r="H56" t="s">
        <v>340</v>
      </c>
      <c r="I56">
        <v>1.72747728</v>
      </c>
    </row>
    <row r="57" spans="2:9">
      <c r="B57" t="s">
        <v>97</v>
      </c>
      <c r="C57" t="s">
        <v>723</v>
      </c>
      <c r="F57" t="s">
        <v>272</v>
      </c>
      <c r="G57">
        <v>2017</v>
      </c>
      <c r="H57" t="s">
        <v>341</v>
      </c>
      <c r="I57">
        <v>2.1816719999999998</v>
      </c>
    </row>
    <row r="58" spans="2:9">
      <c r="B58" t="s">
        <v>97</v>
      </c>
      <c r="C58" t="s">
        <v>723</v>
      </c>
      <c r="F58" t="s">
        <v>272</v>
      </c>
      <c r="G58">
        <v>2017</v>
      </c>
      <c r="H58" t="s">
        <v>342</v>
      </c>
      <c r="I58">
        <v>0.54733968</v>
      </c>
    </row>
    <row r="59" spans="2:9">
      <c r="B59" t="s">
        <v>97</v>
      </c>
      <c r="C59" t="s">
        <v>723</v>
      </c>
      <c r="F59" t="s">
        <v>272</v>
      </c>
      <c r="G59">
        <v>2017</v>
      </c>
      <c r="H59" t="s">
        <v>343</v>
      </c>
      <c r="I59">
        <v>6.6708069119999998</v>
      </c>
    </row>
    <row r="60" spans="2:9">
      <c r="B60" t="s">
        <v>97</v>
      </c>
      <c r="C60" t="s">
        <v>723</v>
      </c>
      <c r="F60" t="s">
        <v>272</v>
      </c>
      <c r="G60">
        <v>2017</v>
      </c>
      <c r="H60" t="s">
        <v>344</v>
      </c>
      <c r="I60">
        <v>2.351232</v>
      </c>
    </row>
    <row r="61" spans="2:9">
      <c r="B61" t="s">
        <v>97</v>
      </c>
      <c r="C61" t="s">
        <v>723</v>
      </c>
      <c r="F61" t="s">
        <v>272</v>
      </c>
      <c r="G61">
        <v>2017</v>
      </c>
      <c r="H61" t="s">
        <v>345</v>
      </c>
      <c r="I61">
        <v>68.533420800000002</v>
      </c>
    </row>
    <row r="62" spans="2:9">
      <c r="B62" t="s">
        <v>97</v>
      </c>
      <c r="C62" t="s">
        <v>723</v>
      </c>
      <c r="F62" t="s">
        <v>272</v>
      </c>
      <c r="G62">
        <v>2017</v>
      </c>
      <c r="H62" t="s">
        <v>346</v>
      </c>
      <c r="I62">
        <v>5.1732793164602802</v>
      </c>
    </row>
    <row r="63" spans="2:9">
      <c r="B63" t="s">
        <v>97</v>
      </c>
      <c r="C63" t="s">
        <v>723</v>
      </c>
      <c r="F63" t="s">
        <v>272</v>
      </c>
      <c r="G63">
        <v>2017</v>
      </c>
      <c r="H63" t="s">
        <v>347</v>
      </c>
      <c r="I63">
        <v>7.6194416260697402</v>
      </c>
    </row>
    <row r="64" spans="2:9">
      <c r="B64" t="s">
        <v>97</v>
      </c>
      <c r="C64" t="s">
        <v>723</v>
      </c>
      <c r="F64" t="s">
        <v>272</v>
      </c>
      <c r="G64">
        <v>2017</v>
      </c>
      <c r="H64" t="s">
        <v>348</v>
      </c>
      <c r="I64">
        <v>18.7538979805365</v>
      </c>
    </row>
    <row r="65" spans="2:9">
      <c r="B65" t="s">
        <v>97</v>
      </c>
      <c r="C65" t="s">
        <v>723</v>
      </c>
      <c r="F65" t="s">
        <v>272</v>
      </c>
      <c r="G65">
        <v>2017</v>
      </c>
      <c r="H65" t="s">
        <v>349</v>
      </c>
      <c r="I65">
        <v>14.27502736796</v>
      </c>
    </row>
    <row r="66" spans="2:9">
      <c r="B66" t="s">
        <v>97</v>
      </c>
      <c r="C66" t="s">
        <v>723</v>
      </c>
      <c r="F66" t="s">
        <v>272</v>
      </c>
      <c r="G66">
        <v>2017</v>
      </c>
      <c r="H66" t="s">
        <v>350</v>
      </c>
      <c r="I66">
        <v>8.0408397122186805</v>
      </c>
    </row>
    <row r="67" spans="2:9">
      <c r="B67" t="s">
        <v>97</v>
      </c>
      <c r="C67" t="s">
        <v>723</v>
      </c>
      <c r="F67" t="s">
        <v>272</v>
      </c>
      <c r="G67">
        <v>2017</v>
      </c>
      <c r="H67" t="s">
        <v>501</v>
      </c>
      <c r="I67">
        <v>34.754847546913702</v>
      </c>
    </row>
    <row r="68" spans="2:9">
      <c r="B68" t="s">
        <v>97</v>
      </c>
      <c r="C68" t="s">
        <v>723</v>
      </c>
      <c r="F68" t="s">
        <v>272</v>
      </c>
      <c r="G68">
        <v>2017</v>
      </c>
      <c r="H68" t="s">
        <v>351</v>
      </c>
      <c r="I68">
        <v>9.2994915751840495</v>
      </c>
    </row>
    <row r="69" spans="2:9">
      <c r="B69" t="s">
        <v>97</v>
      </c>
      <c r="C69" t="s">
        <v>723</v>
      </c>
      <c r="F69" t="s">
        <v>272</v>
      </c>
      <c r="G69">
        <v>2017</v>
      </c>
      <c r="H69" t="s">
        <v>352</v>
      </c>
      <c r="I69">
        <v>11.428450394710399</v>
      </c>
    </row>
    <row r="70" spans="2:9">
      <c r="B70" t="s">
        <v>97</v>
      </c>
      <c r="C70" t="s">
        <v>723</v>
      </c>
      <c r="F70" t="s">
        <v>272</v>
      </c>
      <c r="G70">
        <v>2017</v>
      </c>
      <c r="H70" t="s">
        <v>353</v>
      </c>
      <c r="I70">
        <v>15.5426860393993</v>
      </c>
    </row>
    <row r="71" spans="2:9">
      <c r="B71" t="s">
        <v>97</v>
      </c>
      <c r="C71" t="s">
        <v>723</v>
      </c>
      <c r="F71" t="s">
        <v>272</v>
      </c>
      <c r="G71">
        <v>2017</v>
      </c>
      <c r="H71" t="s">
        <v>354</v>
      </c>
      <c r="I71">
        <v>5.7452488569507203</v>
      </c>
    </row>
    <row r="72" spans="2:9">
      <c r="B72" t="s">
        <v>97</v>
      </c>
      <c r="C72" t="s">
        <v>723</v>
      </c>
      <c r="F72" t="s">
        <v>272</v>
      </c>
      <c r="G72">
        <v>2017</v>
      </c>
      <c r="H72" t="s">
        <v>355</v>
      </c>
      <c r="I72">
        <v>4.25340304491049</v>
      </c>
    </row>
    <row r="73" spans="2:9">
      <c r="B73" t="s">
        <v>97</v>
      </c>
      <c r="C73" t="s">
        <v>723</v>
      </c>
      <c r="F73" t="s">
        <v>272</v>
      </c>
      <c r="G73">
        <v>2017</v>
      </c>
      <c r="H73" t="s">
        <v>356</v>
      </c>
      <c r="I73">
        <v>4.5736255741133904</v>
      </c>
    </row>
    <row r="74" spans="2:9">
      <c r="B74" t="s">
        <v>97</v>
      </c>
      <c r="C74" t="s">
        <v>723</v>
      </c>
      <c r="F74" t="s">
        <v>272</v>
      </c>
      <c r="G74">
        <v>2017</v>
      </c>
      <c r="H74" t="s">
        <v>357</v>
      </c>
      <c r="I74">
        <v>3.6541482196776102E-2</v>
      </c>
    </row>
    <row r="75" spans="2:9">
      <c r="B75" t="s">
        <v>97</v>
      </c>
      <c r="C75" t="s">
        <v>723</v>
      </c>
      <c r="F75" t="s">
        <v>272</v>
      </c>
      <c r="G75">
        <v>2017</v>
      </c>
      <c r="H75" t="s">
        <v>358</v>
      </c>
      <c r="I75">
        <v>9.6822001330816203</v>
      </c>
    </row>
    <row r="76" spans="2:9">
      <c r="B76" t="s">
        <v>97</v>
      </c>
      <c r="C76" t="s">
        <v>723</v>
      </c>
      <c r="F76" t="s">
        <v>272</v>
      </c>
      <c r="G76">
        <v>2017</v>
      </c>
      <c r="H76" t="s">
        <v>359</v>
      </c>
      <c r="I76">
        <v>10.2728758528227</v>
      </c>
    </row>
    <row r="77" spans="2:9">
      <c r="B77" t="s">
        <v>97</v>
      </c>
      <c r="C77" t="s">
        <v>723</v>
      </c>
      <c r="F77" t="s">
        <v>272</v>
      </c>
      <c r="G77">
        <v>2017</v>
      </c>
      <c r="H77" t="s">
        <v>360</v>
      </c>
      <c r="I77">
        <v>14.579147778971199</v>
      </c>
    </row>
    <row r="78" spans="2:9">
      <c r="B78" t="s">
        <v>97</v>
      </c>
      <c r="C78" t="s">
        <v>723</v>
      </c>
      <c r="F78" t="s">
        <v>272</v>
      </c>
      <c r="G78">
        <v>2017</v>
      </c>
      <c r="H78" t="s">
        <v>361</v>
      </c>
      <c r="I78">
        <v>7.7618829459684902</v>
      </c>
    </row>
    <row r="79" spans="2:9">
      <c r="B79" t="s">
        <v>97</v>
      </c>
      <c r="C79" t="s">
        <v>723</v>
      </c>
      <c r="F79" t="s">
        <v>272</v>
      </c>
      <c r="G79">
        <v>2017</v>
      </c>
      <c r="H79" t="s">
        <v>362</v>
      </c>
      <c r="I79">
        <v>6.4871161947221303</v>
      </c>
    </row>
    <row r="80" spans="2:9">
      <c r="B80" t="s">
        <v>97</v>
      </c>
      <c r="C80" t="s">
        <v>723</v>
      </c>
      <c r="F80" t="s">
        <v>272</v>
      </c>
      <c r="G80">
        <v>2017</v>
      </c>
      <c r="H80" t="s">
        <v>363</v>
      </c>
      <c r="I80">
        <v>4.3678647382810798</v>
      </c>
    </row>
    <row r="81" spans="2:9">
      <c r="B81" t="s">
        <v>97</v>
      </c>
      <c r="C81" t="s">
        <v>723</v>
      </c>
      <c r="F81" t="s">
        <v>272</v>
      </c>
      <c r="G81">
        <v>2017</v>
      </c>
      <c r="H81" t="s">
        <v>524</v>
      </c>
      <c r="I81">
        <v>7.1740496070211197</v>
      </c>
    </row>
    <row r="82" spans="2:9">
      <c r="B82" t="s">
        <v>97</v>
      </c>
      <c r="C82" t="s">
        <v>723</v>
      </c>
      <c r="F82" t="s">
        <v>272</v>
      </c>
      <c r="G82">
        <v>2017</v>
      </c>
      <c r="H82" t="s">
        <v>364</v>
      </c>
      <c r="I82">
        <v>7.1482186957706306E-2</v>
      </c>
    </row>
    <row r="83" spans="2:9">
      <c r="B83" t="s">
        <v>97</v>
      </c>
      <c r="C83" t="s">
        <v>723</v>
      </c>
      <c r="F83" t="s">
        <v>272</v>
      </c>
      <c r="G83">
        <v>2017</v>
      </c>
      <c r="H83" t="s">
        <v>122</v>
      </c>
      <c r="I83">
        <v>1.641128256</v>
      </c>
    </row>
    <row r="84" spans="2:9">
      <c r="B84" t="s">
        <v>97</v>
      </c>
      <c r="C84" t="s">
        <v>723</v>
      </c>
      <c r="F84" t="s">
        <v>272</v>
      </c>
      <c r="G84">
        <v>2017</v>
      </c>
      <c r="H84" t="s">
        <v>583</v>
      </c>
      <c r="I84">
        <v>68.938999999999993</v>
      </c>
    </row>
    <row r="85" spans="2:9">
      <c r="B85" t="s">
        <v>97</v>
      </c>
      <c r="C85" t="s">
        <v>723</v>
      </c>
      <c r="F85" t="s">
        <v>272</v>
      </c>
      <c r="G85">
        <v>2017</v>
      </c>
      <c r="H85" t="s">
        <v>584</v>
      </c>
      <c r="I85">
        <v>20.483000000000001</v>
      </c>
    </row>
    <row r="86" spans="2:9">
      <c r="B86" t="s">
        <v>97</v>
      </c>
      <c r="C86" t="s">
        <v>723</v>
      </c>
      <c r="F86" t="s">
        <v>272</v>
      </c>
      <c r="G86">
        <v>2017</v>
      </c>
      <c r="H86" t="s">
        <v>365</v>
      </c>
      <c r="I86">
        <v>0.82199999999999995</v>
      </c>
    </row>
    <row r="87" spans="2:9">
      <c r="B87" t="s">
        <v>97</v>
      </c>
      <c r="C87" t="s">
        <v>723</v>
      </c>
      <c r="F87" t="s">
        <v>272</v>
      </c>
      <c r="G87">
        <v>2017</v>
      </c>
      <c r="H87" t="s">
        <v>139</v>
      </c>
      <c r="I87">
        <v>47.584820585749902</v>
      </c>
    </row>
    <row r="88" spans="2:9">
      <c r="B88" t="s">
        <v>97</v>
      </c>
      <c r="C88" t="s">
        <v>723</v>
      </c>
      <c r="F88" t="s">
        <v>272</v>
      </c>
      <c r="G88">
        <v>2017</v>
      </c>
      <c r="H88" t="s">
        <v>396</v>
      </c>
      <c r="I88">
        <v>3.6514783707452798</v>
      </c>
    </row>
    <row r="89" spans="2:9">
      <c r="B89" t="s">
        <v>97</v>
      </c>
      <c r="C89" t="s">
        <v>723</v>
      </c>
      <c r="F89" t="s">
        <v>272</v>
      </c>
      <c r="G89">
        <v>2017</v>
      </c>
      <c r="H89" t="s">
        <v>397</v>
      </c>
      <c r="I89">
        <v>1.0030192144974699</v>
      </c>
    </row>
    <row r="90" spans="2:9">
      <c r="B90" t="s">
        <v>97</v>
      </c>
      <c r="C90" t="s">
        <v>723</v>
      </c>
      <c r="F90" t="s">
        <v>272</v>
      </c>
      <c r="G90">
        <v>2017</v>
      </c>
      <c r="H90" t="s">
        <v>398</v>
      </c>
      <c r="I90">
        <v>3.29935437842208</v>
      </c>
    </row>
    <row r="91" spans="2:9">
      <c r="B91" t="s">
        <v>97</v>
      </c>
      <c r="C91" t="s">
        <v>723</v>
      </c>
      <c r="F91" t="s">
        <v>272</v>
      </c>
      <c r="G91">
        <v>2017</v>
      </c>
      <c r="H91" t="s">
        <v>399</v>
      </c>
      <c r="I91">
        <v>0.59840698910616097</v>
      </c>
    </row>
    <row r="92" spans="2:9">
      <c r="B92" t="s">
        <v>97</v>
      </c>
      <c r="C92" t="s">
        <v>723</v>
      </c>
      <c r="F92" t="s">
        <v>272</v>
      </c>
      <c r="G92">
        <v>2017</v>
      </c>
      <c r="H92" t="s">
        <v>400</v>
      </c>
      <c r="I92">
        <v>0.29798809605332599</v>
      </c>
    </row>
    <row r="93" spans="2:9">
      <c r="B93" t="s">
        <v>97</v>
      </c>
      <c r="C93" t="s">
        <v>723</v>
      </c>
      <c r="F93" t="s">
        <v>272</v>
      </c>
      <c r="G93">
        <v>2017</v>
      </c>
      <c r="H93" t="s">
        <v>401</v>
      </c>
      <c r="I93">
        <v>6.6621877646371201</v>
      </c>
    </row>
    <row r="94" spans="2:9">
      <c r="B94" t="s">
        <v>97</v>
      </c>
      <c r="C94" t="s">
        <v>723</v>
      </c>
      <c r="F94" t="s">
        <v>272</v>
      </c>
      <c r="G94">
        <v>2017</v>
      </c>
      <c r="H94" t="s">
        <v>402</v>
      </c>
      <c r="I94">
        <v>2.2261566306639899</v>
      </c>
    </row>
    <row r="95" spans="2:9">
      <c r="B95" t="s">
        <v>97</v>
      </c>
      <c r="C95" t="s">
        <v>723</v>
      </c>
      <c r="F95" t="s">
        <v>272</v>
      </c>
      <c r="G95">
        <v>2017</v>
      </c>
      <c r="H95" t="s">
        <v>403</v>
      </c>
      <c r="I95">
        <v>0.122213678849837</v>
      </c>
    </row>
    <row r="96" spans="2:9">
      <c r="B96" t="s">
        <v>97</v>
      </c>
      <c r="C96" t="s">
        <v>723</v>
      </c>
      <c r="F96" t="s">
        <v>272</v>
      </c>
      <c r="G96">
        <v>2017</v>
      </c>
      <c r="H96" t="s">
        <v>404</v>
      </c>
      <c r="I96">
        <v>2.9412068148240201E-2</v>
      </c>
    </row>
    <row r="97" spans="2:9">
      <c r="B97" t="s">
        <v>97</v>
      </c>
      <c r="C97" t="s">
        <v>723</v>
      </c>
      <c r="F97" t="s">
        <v>272</v>
      </c>
      <c r="G97">
        <v>2017</v>
      </c>
      <c r="H97" t="s">
        <v>366</v>
      </c>
      <c r="I97">
        <v>22</v>
      </c>
    </row>
    <row r="98" spans="2:9">
      <c r="B98" t="s">
        <v>97</v>
      </c>
      <c r="C98" t="s">
        <v>723</v>
      </c>
      <c r="F98" t="s">
        <v>272</v>
      </c>
      <c r="G98">
        <v>2017</v>
      </c>
      <c r="H98" t="s">
        <v>368</v>
      </c>
      <c r="I98">
        <v>27.142505514316699</v>
      </c>
    </row>
    <row r="99" spans="2:9">
      <c r="B99" t="s">
        <v>97</v>
      </c>
      <c r="C99" t="s">
        <v>723</v>
      </c>
      <c r="F99" t="s">
        <v>272</v>
      </c>
      <c r="G99">
        <v>2017</v>
      </c>
      <c r="H99" t="s">
        <v>367</v>
      </c>
      <c r="I99">
        <v>88.672727178245694</v>
      </c>
    </row>
    <row r="100" spans="2:9">
      <c r="B100" t="s">
        <v>97</v>
      </c>
      <c r="C100" t="s">
        <v>723</v>
      </c>
      <c r="F100" t="s">
        <v>272</v>
      </c>
      <c r="G100">
        <v>2017</v>
      </c>
      <c r="H100" t="s">
        <v>116</v>
      </c>
      <c r="I100">
        <v>81.1386031348502</v>
      </c>
    </row>
    <row r="101" spans="2:9">
      <c r="B101" t="s">
        <v>97</v>
      </c>
      <c r="C101" t="s">
        <v>723</v>
      </c>
      <c r="F101" t="s">
        <v>272</v>
      </c>
      <c r="G101">
        <v>2017</v>
      </c>
      <c r="H101" t="s">
        <v>171</v>
      </c>
      <c r="I101">
        <v>5.9227912022632498</v>
      </c>
    </row>
    <row r="102" spans="2:9">
      <c r="B102" t="s">
        <v>97</v>
      </c>
      <c r="C102" t="s">
        <v>723</v>
      </c>
      <c r="F102" t="s">
        <v>272</v>
      </c>
      <c r="G102">
        <v>2017</v>
      </c>
      <c r="H102" t="s">
        <v>115</v>
      </c>
      <c r="I102">
        <v>17.754191802068</v>
      </c>
    </row>
    <row r="103" spans="2:9">
      <c r="B103" t="s">
        <v>97</v>
      </c>
      <c r="C103" t="s">
        <v>723</v>
      </c>
      <c r="F103" t="s">
        <v>272</v>
      </c>
      <c r="G103">
        <v>2017</v>
      </c>
      <c r="H103" t="s">
        <v>119</v>
      </c>
      <c r="I103">
        <v>7.2799982901224303E-2</v>
      </c>
    </row>
    <row r="104" spans="2:9">
      <c r="B104" t="s">
        <v>97</v>
      </c>
      <c r="C104" t="s">
        <v>723</v>
      </c>
      <c r="F104" t="s">
        <v>272</v>
      </c>
      <c r="G104">
        <v>2017</v>
      </c>
      <c r="H104" t="s">
        <v>117</v>
      </c>
      <c r="I104">
        <v>0.64296697178877804</v>
      </c>
    </row>
    <row r="105" spans="2:9">
      <c r="B105" t="s">
        <v>97</v>
      </c>
      <c r="C105" t="s">
        <v>723</v>
      </c>
      <c r="F105" t="s">
        <v>272</v>
      </c>
      <c r="G105">
        <v>2017</v>
      </c>
      <c r="H105" t="s">
        <v>121</v>
      </c>
      <c r="I105">
        <v>0.64854136839212595</v>
      </c>
    </row>
    <row r="106" spans="2:9">
      <c r="B106" t="s">
        <v>97</v>
      </c>
      <c r="C106" t="s">
        <v>723</v>
      </c>
      <c r="F106" t="s">
        <v>272</v>
      </c>
      <c r="G106">
        <v>2017</v>
      </c>
      <c r="H106" t="s">
        <v>118</v>
      </c>
      <c r="I106">
        <v>7.2130505455454896</v>
      </c>
    </row>
    <row r="107" spans="2:9">
      <c r="B107" t="s">
        <v>97</v>
      </c>
      <c r="C107" t="s">
        <v>723</v>
      </c>
      <c r="F107" t="s">
        <v>272</v>
      </c>
      <c r="G107">
        <v>2017</v>
      </c>
      <c r="H107" t="s">
        <v>120</v>
      </c>
      <c r="I107">
        <v>8.7048317578401608</v>
      </c>
    </row>
    <row r="108" spans="2:9">
      <c r="B108" t="s">
        <v>97</v>
      </c>
      <c r="C108" t="s">
        <v>723</v>
      </c>
      <c r="F108" t="s">
        <v>272</v>
      </c>
      <c r="G108">
        <v>2017</v>
      </c>
      <c r="H108" t="s">
        <v>146</v>
      </c>
      <c r="I108">
        <v>2.77</v>
      </c>
    </row>
    <row r="109" spans="2:9">
      <c r="B109" t="s">
        <v>97</v>
      </c>
      <c r="C109" t="s">
        <v>723</v>
      </c>
      <c r="F109" t="s">
        <v>272</v>
      </c>
      <c r="G109">
        <v>2017</v>
      </c>
      <c r="H109" t="s">
        <v>225</v>
      </c>
      <c r="I109">
        <v>128.41271933541799</v>
      </c>
    </row>
    <row r="110" spans="2:9">
      <c r="B110" t="s">
        <v>97</v>
      </c>
      <c r="C110" t="s">
        <v>723</v>
      </c>
      <c r="F110" t="s">
        <v>272</v>
      </c>
      <c r="G110">
        <v>2017</v>
      </c>
      <c r="H110" t="s">
        <v>231</v>
      </c>
      <c r="I110">
        <v>9.4707173671475093</v>
      </c>
    </row>
    <row r="111" spans="2:9">
      <c r="B111" t="s">
        <v>97</v>
      </c>
      <c r="C111" t="s">
        <v>723</v>
      </c>
      <c r="F111" t="s">
        <v>272</v>
      </c>
      <c r="G111">
        <v>2017</v>
      </c>
      <c r="H111" t="s">
        <v>226</v>
      </c>
      <c r="I111">
        <v>11.992907577983001</v>
      </c>
    </row>
    <row r="112" spans="2:9">
      <c r="B112" t="s">
        <v>97</v>
      </c>
      <c r="C112" t="s">
        <v>723</v>
      </c>
      <c r="F112" t="s">
        <v>272</v>
      </c>
      <c r="G112">
        <v>2017</v>
      </c>
      <c r="H112" t="s">
        <v>227</v>
      </c>
      <c r="I112">
        <v>8.9629891158025892</v>
      </c>
    </row>
    <row r="113" spans="2:9">
      <c r="B113" t="s">
        <v>97</v>
      </c>
      <c r="C113" t="s">
        <v>723</v>
      </c>
      <c r="F113" t="s">
        <v>272</v>
      </c>
      <c r="G113">
        <v>2017</v>
      </c>
      <c r="H113" t="s">
        <v>228</v>
      </c>
      <c r="I113">
        <v>111.748716602955</v>
      </c>
    </row>
    <row r="114" spans="2:9">
      <c r="B114" t="s">
        <v>97</v>
      </c>
      <c r="C114" t="s">
        <v>723</v>
      </c>
      <c r="F114" t="s">
        <v>272</v>
      </c>
      <c r="G114">
        <v>2017</v>
      </c>
      <c r="H114" t="s">
        <v>233</v>
      </c>
      <c r="I114">
        <v>20.198960613823001</v>
      </c>
    </row>
    <row r="115" spans="2:9">
      <c r="B115" t="s">
        <v>97</v>
      </c>
      <c r="C115" t="s">
        <v>723</v>
      </c>
      <c r="F115" t="s">
        <v>272</v>
      </c>
      <c r="G115">
        <v>2017</v>
      </c>
      <c r="H115" t="s">
        <v>229</v>
      </c>
      <c r="I115">
        <v>27.1844560411384</v>
      </c>
    </row>
    <row r="116" spans="2:9">
      <c r="B116" t="s">
        <v>97</v>
      </c>
      <c r="C116" t="s">
        <v>723</v>
      </c>
      <c r="F116" t="s">
        <v>272</v>
      </c>
      <c r="G116">
        <v>2017</v>
      </c>
      <c r="H116" t="s">
        <v>232</v>
      </c>
      <c r="I116">
        <v>3.2726019758762099</v>
      </c>
    </row>
    <row r="117" spans="2:9">
      <c r="B117" t="s">
        <v>97</v>
      </c>
      <c r="C117" t="s">
        <v>723</v>
      </c>
      <c r="F117" t="s">
        <v>272</v>
      </c>
      <c r="G117">
        <v>2017</v>
      </c>
      <c r="H117" t="s">
        <v>230</v>
      </c>
      <c r="I117">
        <v>14.3921338097343</v>
      </c>
    </row>
    <row r="118" spans="2:9">
      <c r="B118" t="s">
        <v>97</v>
      </c>
      <c r="C118" t="s">
        <v>723</v>
      </c>
      <c r="F118" t="s">
        <v>272</v>
      </c>
      <c r="G118">
        <v>2017</v>
      </c>
      <c r="H118" t="s">
        <v>234</v>
      </c>
      <c r="I118">
        <v>0</v>
      </c>
    </row>
    <row r="119" spans="2:9">
      <c r="B119" t="s">
        <v>97</v>
      </c>
      <c r="C119" t="s">
        <v>723</v>
      </c>
      <c r="F119" t="s">
        <v>272</v>
      </c>
      <c r="G119">
        <v>2017</v>
      </c>
      <c r="H119" t="s">
        <v>240</v>
      </c>
      <c r="I119">
        <v>0</v>
      </c>
    </row>
    <row r="120" spans="2:9">
      <c r="B120" t="s">
        <v>97</v>
      </c>
      <c r="C120" t="s">
        <v>723</v>
      </c>
      <c r="F120" t="s">
        <v>272</v>
      </c>
      <c r="G120">
        <v>2017</v>
      </c>
      <c r="H120" t="s">
        <v>235</v>
      </c>
      <c r="I120">
        <v>0</v>
      </c>
    </row>
    <row r="121" spans="2:9">
      <c r="B121" t="s">
        <v>97</v>
      </c>
      <c r="C121" t="s">
        <v>723</v>
      </c>
      <c r="F121" t="s">
        <v>272</v>
      </c>
      <c r="G121">
        <v>2017</v>
      </c>
      <c r="H121" t="s">
        <v>236</v>
      </c>
      <c r="I121">
        <v>0</v>
      </c>
    </row>
    <row r="122" spans="2:9">
      <c r="B122" t="s">
        <v>97</v>
      </c>
      <c r="C122" t="s">
        <v>723</v>
      </c>
      <c r="F122" t="s">
        <v>272</v>
      </c>
      <c r="G122">
        <v>2017</v>
      </c>
      <c r="H122" t="s">
        <v>237</v>
      </c>
      <c r="I122">
        <v>0</v>
      </c>
    </row>
    <row r="123" spans="2:9">
      <c r="B123" t="s">
        <v>97</v>
      </c>
      <c r="C123" t="s">
        <v>723</v>
      </c>
      <c r="F123" t="s">
        <v>272</v>
      </c>
      <c r="G123">
        <v>2017</v>
      </c>
      <c r="H123" t="s">
        <v>242</v>
      </c>
      <c r="I123">
        <v>0</v>
      </c>
    </row>
    <row r="124" spans="2:9">
      <c r="B124" t="s">
        <v>97</v>
      </c>
      <c r="C124" t="s">
        <v>723</v>
      </c>
      <c r="F124" t="s">
        <v>272</v>
      </c>
      <c r="G124">
        <v>2017</v>
      </c>
      <c r="H124" t="s">
        <v>238</v>
      </c>
      <c r="I124">
        <v>0</v>
      </c>
    </row>
    <row r="125" spans="2:9">
      <c r="B125" t="s">
        <v>97</v>
      </c>
      <c r="C125" t="s">
        <v>723</v>
      </c>
      <c r="F125" t="s">
        <v>272</v>
      </c>
      <c r="G125">
        <v>2017</v>
      </c>
      <c r="H125" t="s">
        <v>241</v>
      </c>
      <c r="I125">
        <v>0</v>
      </c>
    </row>
    <row r="126" spans="2:9">
      <c r="B126" t="s">
        <v>97</v>
      </c>
      <c r="C126" t="s">
        <v>723</v>
      </c>
      <c r="F126" t="s">
        <v>272</v>
      </c>
      <c r="G126">
        <v>2017</v>
      </c>
      <c r="H126" t="s">
        <v>239</v>
      </c>
      <c r="I126">
        <v>0</v>
      </c>
    </row>
    <row r="127" spans="2:9">
      <c r="B127" t="s">
        <v>97</v>
      </c>
      <c r="C127" t="s">
        <v>723</v>
      </c>
      <c r="F127" t="s">
        <v>272</v>
      </c>
      <c r="G127">
        <v>2017</v>
      </c>
      <c r="H127" t="s">
        <v>276</v>
      </c>
      <c r="I127">
        <v>6.23</v>
      </c>
    </row>
    <row r="128" spans="2:9">
      <c r="B128" t="s">
        <v>97</v>
      </c>
      <c r="C128" t="s">
        <v>723</v>
      </c>
      <c r="F128" t="s">
        <v>272</v>
      </c>
      <c r="G128">
        <v>2017</v>
      </c>
      <c r="H128" t="s">
        <v>283</v>
      </c>
      <c r="I128">
        <v>9.6111784369999995</v>
      </c>
    </row>
    <row r="129" spans="2:9">
      <c r="B129" t="s">
        <v>97</v>
      </c>
      <c r="C129" t="s">
        <v>723</v>
      </c>
      <c r="F129" t="s">
        <v>272</v>
      </c>
      <c r="G129">
        <v>2017</v>
      </c>
      <c r="H129" t="s">
        <v>277</v>
      </c>
      <c r="I129">
        <v>14.7599608803003</v>
      </c>
    </row>
    <row r="130" spans="2:9">
      <c r="B130" t="s">
        <v>97</v>
      </c>
      <c r="C130" t="s">
        <v>723</v>
      </c>
      <c r="F130" t="s">
        <v>272</v>
      </c>
      <c r="G130">
        <v>2017</v>
      </c>
      <c r="H130" t="s">
        <v>690</v>
      </c>
      <c r="I130">
        <v>8.4021746293245503</v>
      </c>
    </row>
    <row r="131" spans="2:9">
      <c r="B131" t="s">
        <v>97</v>
      </c>
      <c r="C131" t="s">
        <v>723</v>
      </c>
      <c r="F131" t="s">
        <v>272</v>
      </c>
      <c r="G131">
        <v>2017</v>
      </c>
      <c r="H131" t="s">
        <v>282</v>
      </c>
      <c r="I131">
        <v>1.1624356</v>
      </c>
    </row>
    <row r="132" spans="2:9">
      <c r="B132" t="s">
        <v>97</v>
      </c>
      <c r="C132" t="s">
        <v>723</v>
      </c>
      <c r="F132" t="s">
        <v>272</v>
      </c>
      <c r="G132">
        <v>2017</v>
      </c>
      <c r="H132" t="s">
        <v>281</v>
      </c>
      <c r="I132">
        <v>1.3591716472036699</v>
      </c>
    </row>
    <row r="133" spans="2:9">
      <c r="B133" t="s">
        <v>97</v>
      </c>
      <c r="C133" t="s">
        <v>723</v>
      </c>
      <c r="F133" t="s">
        <v>272</v>
      </c>
      <c r="G133">
        <v>2017</v>
      </c>
      <c r="H133" t="s">
        <v>369</v>
      </c>
      <c r="I133">
        <v>4.2</v>
      </c>
    </row>
    <row r="134" spans="2:9">
      <c r="B134" t="s">
        <v>97</v>
      </c>
      <c r="C134" t="s">
        <v>723</v>
      </c>
      <c r="F134" t="s">
        <v>272</v>
      </c>
      <c r="G134">
        <v>2017</v>
      </c>
      <c r="H134" t="s">
        <v>284</v>
      </c>
      <c r="I134">
        <v>2.1800600000000001</v>
      </c>
    </row>
    <row r="135" spans="2:9">
      <c r="B135" t="s">
        <v>97</v>
      </c>
      <c r="C135" t="s">
        <v>723</v>
      </c>
      <c r="F135" t="s">
        <v>272</v>
      </c>
      <c r="G135">
        <v>2017</v>
      </c>
      <c r="H135" t="s">
        <v>285</v>
      </c>
      <c r="I135">
        <v>0.65910719806663898</v>
      </c>
    </row>
    <row r="136" spans="2:9">
      <c r="B136" t="s">
        <v>97</v>
      </c>
      <c r="C136" t="s">
        <v>723</v>
      </c>
      <c r="F136" t="s">
        <v>272</v>
      </c>
      <c r="G136">
        <v>2017</v>
      </c>
      <c r="H136" t="s">
        <v>681</v>
      </c>
      <c r="I136">
        <v>3.484</v>
      </c>
    </row>
    <row r="137" spans="2:9">
      <c r="B137" t="s">
        <v>97</v>
      </c>
      <c r="C137" t="s">
        <v>723</v>
      </c>
      <c r="F137" t="s">
        <v>272</v>
      </c>
      <c r="G137">
        <v>2017</v>
      </c>
      <c r="H137" t="s">
        <v>682</v>
      </c>
      <c r="I137">
        <v>0.4587</v>
      </c>
    </row>
    <row r="138" spans="2:9">
      <c r="B138" t="s">
        <v>97</v>
      </c>
      <c r="C138" t="s">
        <v>723</v>
      </c>
      <c r="F138" t="s">
        <v>272</v>
      </c>
      <c r="G138">
        <v>2017</v>
      </c>
      <c r="H138" t="s">
        <v>684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05" activePane="bottomRight" state="frozen"/>
      <selection pane="topRight" activeCell="G1" sqref="G1"/>
      <selection pane="bottomLeft" activeCell="A5" sqref="A5"/>
      <selection pane="bottomRight" activeCell="R138" sqref="R138"/>
    </sheetView>
  </sheetViews>
  <sheetFormatPr defaultColWidth="8.85546875" defaultRowHeight="15"/>
  <cols>
    <col min="6" max="6" width="11.85546875" customWidth="1"/>
    <col min="10" max="10" width="8.85546875" style="160"/>
    <col min="15" max="15" width="10.140625" style="160" customWidth="1"/>
  </cols>
  <sheetData>
    <row r="2" spans="1:36">
      <c r="B2">
        <v>2006</v>
      </c>
    </row>
    <row r="3" spans="1:36">
      <c r="C3" t="s">
        <v>727</v>
      </c>
    </row>
    <row r="4" spans="1:36">
      <c r="C4" t="s">
        <v>726</v>
      </c>
      <c r="D4" t="s">
        <v>720</v>
      </c>
      <c r="E4" t="s">
        <v>725</v>
      </c>
      <c r="F4" t="s">
        <v>722</v>
      </c>
      <c r="G4">
        <f>AGR!J21</f>
        <v>2017</v>
      </c>
      <c r="H4">
        <f>AGR!K21</f>
        <v>2018</v>
      </c>
      <c r="I4">
        <f>AGR!L21</f>
        <v>2019</v>
      </c>
      <c r="J4" s="160">
        <f>AGR!M21</f>
        <v>2020</v>
      </c>
      <c r="K4">
        <f>AGR!N21</f>
        <v>2021</v>
      </c>
      <c r="L4">
        <f>AGR!O21</f>
        <v>2022</v>
      </c>
      <c r="M4">
        <f>AGR!P21</f>
        <v>2023</v>
      </c>
      <c r="N4">
        <f>AGR!Q21</f>
        <v>2024</v>
      </c>
      <c r="O4" s="160">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7" t="s">
        <v>289</v>
      </c>
      <c r="B5">
        <v>3.4886478690149998</v>
      </c>
      <c r="C5" t="s">
        <v>724</v>
      </c>
      <c r="D5" t="s">
        <v>272</v>
      </c>
      <c r="E5" s="109">
        <f>MATCH(F5,AGR!$D$22:$D$26,0)</f>
        <v>1</v>
      </c>
      <c r="F5" t="str">
        <f>A5</f>
        <v>AH</v>
      </c>
      <c r="G5" s="107">
        <f ca="1">OFFSET(AGR!J$21,$E5,0)</f>
        <v>2.5043970166379799</v>
      </c>
      <c r="H5" s="107">
        <f ca="1">OFFSET(AGR!K$21,$E5,0)</f>
        <v>2.4662677661307026</v>
      </c>
      <c r="I5" s="107">
        <f ca="1">OFFSET(AGR!L$21,$E5,0)</f>
        <v>2.4276166439312807</v>
      </c>
      <c r="J5" s="170">
        <f ca="1">OFFSET(AGR!M$21,$E5,0)</f>
        <v>2.3991505509071809</v>
      </c>
      <c r="K5" s="107">
        <f ca="1">OFFSET(AGR!N$21,$E5,0)</f>
        <v>2.5707616892692529</v>
      </c>
      <c r="L5" s="107">
        <f ca="1">OFFSET(AGR!O$21,$E5,0)</f>
        <v>2.4919112201482343</v>
      </c>
      <c r="M5" s="107">
        <f ca="1">OFFSET(AGR!P$21,$E5,0)</f>
        <v>2.438639151624904</v>
      </c>
      <c r="N5" s="107">
        <f ca="1">OFFSET(AGR!Q$21,$E5,0)</f>
        <v>2.4214335723121776</v>
      </c>
      <c r="O5" s="170">
        <f ca="1">OFFSET(AGR!R$21,$E5,0)</f>
        <v>2.4749871098047334</v>
      </c>
      <c r="P5" s="107">
        <f ca="1">OFFSET(AGR!S$21,$E5,0)</f>
        <v>2.5061293023882829</v>
      </c>
      <c r="Q5" s="107">
        <f ca="1">OFFSET(AGR!T$21,$E5,0)</f>
        <v>2.5453653687715931</v>
      </c>
      <c r="R5" s="107">
        <f ca="1">OFFSET(AGR!U$21,$E5,0)</f>
        <v>2.5879292477536189</v>
      </c>
      <c r="S5" s="107">
        <f ca="1">OFFSET(AGR!V$21,$E5,0)</f>
        <v>2.6297587255075228</v>
      </c>
      <c r="T5" s="107">
        <f ca="1">OFFSET(AGR!W$21,$E5,0)</f>
        <v>2.6954228355639662</v>
      </c>
      <c r="U5" s="107">
        <f ca="1">OFFSET(AGR!X$21,$E5,0)</f>
        <v>2.7581239144019953</v>
      </c>
      <c r="V5" s="107">
        <f ca="1">OFFSET(AGR!Y$21,$E5,0)</f>
        <v>2.8177215485706046</v>
      </c>
      <c r="W5" s="107">
        <f ca="1">OFFSET(AGR!Z$21,$E5,0)</f>
        <v>2.8787886273743521</v>
      </c>
      <c r="X5" s="107">
        <f ca="1">OFFSET(AGR!AA$21,$E5,0)</f>
        <v>2.9414394053882527</v>
      </c>
      <c r="Y5" s="107">
        <f ca="1">OFFSET(AGR!AB$21,$E5,0)</f>
        <v>3.0314978533547436</v>
      </c>
      <c r="Z5" s="107">
        <f ca="1">OFFSET(AGR!AC$21,$E5,0)</f>
        <v>3.1019938017737618</v>
      </c>
      <c r="AA5" s="107">
        <f ca="1">OFFSET(AGR!AD$21,$E5,0)</f>
        <v>3.1715063537966151</v>
      </c>
      <c r="AB5" s="107">
        <f ca="1">OFFSET(AGR!AE$21,$E5,0)</f>
        <v>3.2444918114303563</v>
      </c>
      <c r="AC5" s="107">
        <f ca="1">OFFSET(AGR!AF$21,$E5,0)</f>
        <v>3.3211600696817007</v>
      </c>
      <c r="AD5" s="107">
        <f ca="1">OFFSET(AGR!AG$21,$E5,0)</f>
        <v>3.3973631969769746</v>
      </c>
      <c r="AE5" s="107">
        <f ca="1">OFFSET(AGR!AH$21,$E5,0)</f>
        <v>3.813872792602222</v>
      </c>
      <c r="AF5" s="107">
        <f ca="1">OFFSET(AGR!AI$21,$E5,0)</f>
        <v>4.2566352256566766</v>
      </c>
      <c r="AG5" s="107">
        <f ca="1">OFFSET(AGR!AJ$21,$E5,0)</f>
        <v>5.3483370836632629</v>
      </c>
      <c r="AH5" s="107">
        <f ca="1">OFFSET(AGR!AK$21,$E5,0)</f>
        <v>5.8275417450169922</v>
      </c>
      <c r="AJ5">
        <f ca="1">AH5/G5</f>
        <v>2.3269240884339326</v>
      </c>
    </row>
    <row r="6" spans="1:36">
      <c r="A6" s="27" t="s">
        <v>290</v>
      </c>
      <c r="B6">
        <v>6.8942225938929997</v>
      </c>
      <c r="C6" t="s">
        <v>724</v>
      </c>
      <c r="D6" t="s">
        <v>272</v>
      </c>
      <c r="E6" s="110">
        <f>MATCH(F6,AGR!$D$22:$D$26,0)</f>
        <v>4</v>
      </c>
      <c r="F6" t="str">
        <f t="shared" ref="F6:F68" si="0">A6</f>
        <v>AI</v>
      </c>
      <c r="G6" s="107">
        <f ca="1">OFFSET(AGR!J$21,$E6,0)</f>
        <v>5.7709645233647997</v>
      </c>
      <c r="H6" s="107">
        <f ca="1">OFFSET(AGR!K$21,$E6,0)</f>
        <v>5.6831020357008502</v>
      </c>
      <c r="I6" s="107">
        <f ca="1">OFFSET(AGR!L$21,$E6,0)</f>
        <v>5.5940369819097624</v>
      </c>
      <c r="J6" s="170">
        <f ca="1">OFFSET(AGR!M$21,$E6,0)</f>
        <v>5.5284416262734526</v>
      </c>
      <c r="K6" s="107">
        <f ca="1">OFFSET(AGR!N$21,$E6,0)</f>
        <v>5.923890824113208</v>
      </c>
      <c r="L6" s="107">
        <f ca="1">OFFSET(AGR!O$21,$E6,0)</f>
        <v>5.7421930913156576</v>
      </c>
      <c r="M6" s="107">
        <f ca="1">OFFSET(AGR!P$21,$E6,0)</f>
        <v>5.6194365093951495</v>
      </c>
      <c r="N6" s="107">
        <f ca="1">OFFSET(AGR!Q$21,$E6,0)</f>
        <v>5.5797891263492385</v>
      </c>
      <c r="O6" s="170">
        <f ca="1">OFFSET(AGR!R$21,$E6,0)</f>
        <v>5.7031943064852202</v>
      </c>
      <c r="P6" s="107">
        <f ca="1">OFFSET(AGR!S$21,$E6,0)</f>
        <v>5.7749562864690187</v>
      </c>
      <c r="Q6" s="107">
        <f ca="1">OFFSET(AGR!T$21,$E6,0)</f>
        <v>5.865369246407151</v>
      </c>
      <c r="R6" s="107">
        <f ca="1">OFFSET(AGR!U$21,$E6,0)</f>
        <v>5.963450594512179</v>
      </c>
      <c r="S6" s="107">
        <f ca="1">OFFSET(AGR!V$21,$E6,0)</f>
        <v>6.0598396376810282</v>
      </c>
      <c r="T6" s="107">
        <f ca="1">OFFSET(AGR!W$21,$E6,0)</f>
        <v>6.211151609016456</v>
      </c>
      <c r="U6" s="107">
        <f ca="1">OFFSET(AGR!X$21,$E6,0)</f>
        <v>6.3556357699330519</v>
      </c>
      <c r="V6" s="107">
        <f ca="1">OFFSET(AGR!Y$21,$E6,0)</f>
        <v>6.4929685610913932</v>
      </c>
      <c r="W6" s="107">
        <f ca="1">OFFSET(AGR!Z$21,$E6,0)</f>
        <v>6.6336874419160674</v>
      </c>
      <c r="X6" s="107">
        <f ca="1">OFFSET(AGR!AA$21,$E6,0)</f>
        <v>6.7780556929870546</v>
      </c>
      <c r="Y6" s="107">
        <f ca="1">OFFSET(AGR!AB$21,$E6,0)</f>
        <v>6.9855803405533639</v>
      </c>
      <c r="Z6" s="107">
        <f ca="1">OFFSET(AGR!AC$21,$E6,0)</f>
        <v>7.1480264761557999</v>
      </c>
      <c r="AA6" s="107">
        <f ca="1">OFFSET(AGR!AD$21,$E6,0)</f>
        <v>7.3082065390561155</v>
      </c>
      <c r="AB6" s="107">
        <f ca="1">OFFSET(AGR!AE$21,$E6,0)</f>
        <v>7.47638933272966</v>
      </c>
      <c r="AC6" s="107">
        <f ca="1">OFFSET(AGR!AF$21,$E6,0)</f>
        <v>7.6530585251529297</v>
      </c>
      <c r="AD6" s="107">
        <f ca="1">OFFSET(AGR!AG$21,$E6,0)</f>
        <v>7.8286559009958543</v>
      </c>
      <c r="AE6" s="107">
        <f ca="1">OFFSET(AGR!AH$21,$E6,0)</f>
        <v>8.7884326792085634</v>
      </c>
      <c r="AF6" s="107">
        <f ca="1">OFFSET(AGR!AI$21,$E6,0)</f>
        <v>9.8087047353005783</v>
      </c>
      <c r="AG6" s="107">
        <f ca="1">OFFSET(AGR!AJ$21,$E6,0)</f>
        <v>12.324349279992255</v>
      </c>
      <c r="AH6" s="107">
        <f ca="1">OFFSET(AGR!AK$21,$E6,0)</f>
        <v>13.428596362915199</v>
      </c>
      <c r="AJ6">
        <f t="shared" ref="AJ6:AJ69" ca="1" si="1">AH6/G6</f>
        <v>2.3269240884339322</v>
      </c>
    </row>
    <row r="7" spans="1:36">
      <c r="A7" s="27" t="s">
        <v>291</v>
      </c>
      <c r="B7">
        <v>8.6660070567129992</v>
      </c>
      <c r="C7" t="s">
        <v>724</v>
      </c>
      <c r="D7" t="s">
        <v>272</v>
      </c>
      <c r="E7" s="110">
        <f>MATCH(F7,AGR!$D$22:$D$26,0)</f>
        <v>5</v>
      </c>
      <c r="F7" t="str">
        <f t="shared" si="0"/>
        <v>AO</v>
      </c>
      <c r="G7" s="107">
        <f ca="1">OFFSET(AGR!J$21,$E7,0)</f>
        <v>10.1217912486754</v>
      </c>
      <c r="H7" s="107">
        <f ca="1">OFFSET(AGR!K$21,$E7,0)</f>
        <v>9.9676877612733854</v>
      </c>
      <c r="I7" s="107">
        <f ca="1">OFFSET(AGR!L$21,$E7,0)</f>
        <v>9.8114750730172791</v>
      </c>
      <c r="J7" s="170">
        <f ca="1">OFFSET(AGR!M$21,$E7,0)</f>
        <v>9.6964262810960573</v>
      </c>
      <c r="K7" s="107">
        <f ca="1">OFFSET(AGR!N$21,$E7,0)</f>
        <v>10.390011246622127</v>
      </c>
      <c r="L7" s="107">
        <f ca="1">OFFSET(AGR!O$21,$E7,0)</f>
        <v>10.071328552544136</v>
      </c>
      <c r="M7" s="107">
        <f ca="1">OFFSET(AGR!P$21,$E7,0)</f>
        <v>9.8560237293088253</v>
      </c>
      <c r="N7" s="107">
        <f ca="1">OFFSET(AGR!Q$21,$E7,0)</f>
        <v>9.786485520726492</v>
      </c>
      <c r="O7" s="170">
        <f ca="1">OFFSET(AGR!R$21,$E7,0)</f>
        <v>10.002927931225544</v>
      </c>
      <c r="P7" s="107">
        <f ca="1">OFFSET(AGR!S$21,$E7,0)</f>
        <v>10.128792468781933</v>
      </c>
      <c r="Q7" s="107">
        <f ca="1">OFFSET(AGR!T$21,$E7,0)</f>
        <v>10.287369272185162</v>
      </c>
      <c r="R7" s="107">
        <f ca="1">OFFSET(AGR!U$21,$E7,0)</f>
        <v>10.459395789916885</v>
      </c>
      <c r="S7" s="107">
        <f ca="1">OFFSET(AGR!V$21,$E7,0)</f>
        <v>10.628454145702063</v>
      </c>
      <c r="T7" s="107">
        <f ca="1">OFFSET(AGR!W$21,$E7,0)</f>
        <v>10.893842744277224</v>
      </c>
      <c r="U7" s="107">
        <f ca="1">OFFSET(AGR!X$21,$E7,0)</f>
        <v>11.147255931902423</v>
      </c>
      <c r="V7" s="107">
        <f ca="1">OFFSET(AGR!Y$21,$E7,0)</f>
        <v>11.388126212437815</v>
      </c>
      <c r="W7" s="107">
        <f ca="1">OFFSET(AGR!Z$21,$E7,0)</f>
        <v>11.63493541230171</v>
      </c>
      <c r="X7" s="107">
        <f ca="1">OFFSET(AGR!AA$21,$E7,0)</f>
        <v>11.888145303709063</v>
      </c>
      <c r="Y7" s="107">
        <f ca="1">OFFSET(AGR!AB$21,$E7,0)</f>
        <v>12.252126255786791</v>
      </c>
      <c r="Z7" s="107">
        <f ca="1">OFFSET(AGR!AC$21,$E7,0)</f>
        <v>12.537043251388626</v>
      </c>
      <c r="AA7" s="107">
        <f ca="1">OFFSET(AGR!AD$21,$E7,0)</f>
        <v>12.81798574415782</v>
      </c>
      <c r="AB7" s="107">
        <f ca="1">OFFSET(AGR!AE$21,$E7,0)</f>
        <v>13.112964360347634</v>
      </c>
      <c r="AC7" s="107">
        <f ca="1">OFFSET(AGR!AF$21,$E7,0)</f>
        <v>13.422827413315733</v>
      </c>
      <c r="AD7" s="107">
        <f ca="1">OFFSET(AGR!AG$21,$E7,0)</f>
        <v>13.730810589247817</v>
      </c>
      <c r="AE7" s="107">
        <f ca="1">OFFSET(AGR!AH$21,$E7,0)</f>
        <v>15.414179141430681</v>
      </c>
      <c r="AF7" s="107">
        <f ca="1">OFFSET(AGR!AI$21,$E7,0)</f>
        <v>17.20365137381221</v>
      </c>
      <c r="AG7" s="107">
        <f ca="1">OFFSET(AGR!AJ$21,$E7,0)</f>
        <v>21.615882437466706</v>
      </c>
      <c r="AH7" s="107">
        <f ca="1">OFFSET(AGR!AK$21,$E7,0)</f>
        <v>23.552639874642562</v>
      </c>
      <c r="AJ7">
        <f t="shared" ca="1" si="1"/>
        <v>2.3269240884339326</v>
      </c>
    </row>
    <row r="8" spans="1:36">
      <c r="A8" s="27" t="s">
        <v>292</v>
      </c>
      <c r="B8">
        <v>5.4851590254799998</v>
      </c>
      <c r="C8" t="s">
        <v>724</v>
      </c>
      <c r="D8" t="s">
        <v>272</v>
      </c>
      <c r="E8" s="110">
        <f>MATCH(F8,AGR!$D$22:$D$26,0)</f>
        <v>2</v>
      </c>
      <c r="F8" t="str">
        <f t="shared" si="0"/>
        <v>AP</v>
      </c>
      <c r="G8" s="107">
        <f ca="1">OFFSET(AGR!J$21,$E8,0)</f>
        <v>4.6040183871857696</v>
      </c>
      <c r="H8" s="107">
        <f ca="1">OFFSET(AGR!K$21,$E8,0)</f>
        <v>4.5339225640160148</v>
      </c>
      <c r="I8" s="107">
        <f ca="1">OFFSET(AGR!L$21,$E8,0)</f>
        <v>4.4628673454906425</v>
      </c>
      <c r="J8" s="170">
        <f ca="1">OFFSET(AGR!M$21,$E8,0)</f>
        <v>4.4105360198966537</v>
      </c>
      <c r="K8" s="107">
        <f ca="1">OFFSET(AGR!N$21,$E8,0)</f>
        <v>4.7260214765617992</v>
      </c>
      <c r="L8" s="107">
        <f ca="1">OFFSET(AGR!O$21,$E8,0)</f>
        <v>4.5810648234195028</v>
      </c>
      <c r="M8" s="107">
        <f ca="1">OFFSET(AGR!P$21,$E8,0)</f>
        <v>4.4831308371643646</v>
      </c>
      <c r="N8" s="107">
        <f ca="1">OFFSET(AGR!Q$21,$E8,0)</f>
        <v>4.4515005473214559</v>
      </c>
      <c r="O8" s="170">
        <f ca="1">OFFSET(AGR!R$21,$E8,0)</f>
        <v>4.5499519788143603</v>
      </c>
      <c r="P8" s="107">
        <f ca="1">OFFSET(AGR!S$21,$E8,0)</f>
        <v>4.6072029762877653</v>
      </c>
      <c r="Q8" s="107">
        <f ca="1">OFFSET(AGR!T$21,$E8,0)</f>
        <v>4.6793335409983499</v>
      </c>
      <c r="R8" s="107">
        <f ca="1">OFFSET(AGR!U$21,$E8,0)</f>
        <v>4.7575818699019949</v>
      </c>
      <c r="S8" s="107">
        <f ca="1">OFFSET(AGR!V$21,$E8,0)</f>
        <v>4.8344800946746327</v>
      </c>
      <c r="T8" s="107">
        <f ca="1">OFFSET(AGR!W$21,$E8,0)</f>
        <v>4.9551952880204153</v>
      </c>
      <c r="U8" s="107">
        <f ca="1">OFFSET(AGR!X$21,$E8,0)</f>
        <v>5.0704633217821726</v>
      </c>
      <c r="V8" s="107">
        <f ca="1">OFFSET(AGR!Y$21,$E8,0)</f>
        <v>5.1800260635208604</v>
      </c>
      <c r="W8" s="107">
        <f ca="1">OFFSET(AGR!Z$21,$E8,0)</f>
        <v>5.2922901940865525</v>
      </c>
      <c r="X8" s="107">
        <f ca="1">OFFSET(AGR!AA$21,$E8,0)</f>
        <v>5.4074657561205282</v>
      </c>
      <c r="Y8" s="107">
        <f ca="1">OFFSET(AGR!AB$21,$E8,0)</f>
        <v>5.5730268662817899</v>
      </c>
      <c r="Z8" s="107">
        <f ca="1">OFFSET(AGR!AC$21,$E8,0)</f>
        <v>5.7026247856959289</v>
      </c>
      <c r="AA8" s="107">
        <f ca="1">OFFSET(AGR!AD$21,$E8,0)</f>
        <v>5.8304148547334078</v>
      </c>
      <c r="AB8" s="107">
        <f ca="1">OFFSET(AGR!AE$21,$E8,0)</f>
        <v>5.9645894231866201</v>
      </c>
      <c r="AC8" s="107">
        <f ca="1">OFFSET(AGR!AF$21,$E8,0)</f>
        <v>6.1055343565808293</v>
      </c>
      <c r="AD8" s="107">
        <f ca="1">OFFSET(AGR!AG$21,$E8,0)</f>
        <v>6.2456242053139519</v>
      </c>
      <c r="AE8" s="107">
        <f ca="1">OFFSET(AGR!AH$21,$E8,0)</f>
        <v>7.0113246210061284</v>
      </c>
      <c r="AF8" s="107">
        <f ca="1">OFFSET(AGR!AI$21,$E8,0)</f>
        <v>7.8252875707282046</v>
      </c>
      <c r="AG8" s="107">
        <f ca="1">OFFSET(AGR!AJ$21,$E8,0)</f>
        <v>9.8322438936256891</v>
      </c>
      <c r="AH8" s="107">
        <f ca="1">OFFSET(AGR!AK$21,$E8,0)</f>
        <v>10.713201288735309</v>
      </c>
      <c r="AJ8">
        <f t="shared" ca="1" si="1"/>
        <v>2.3269240884339322</v>
      </c>
    </row>
    <row r="9" spans="1:36">
      <c r="A9" s="27" t="s">
        <v>293</v>
      </c>
      <c r="B9">
        <v>14.26028349219</v>
      </c>
      <c r="C9" t="s">
        <v>724</v>
      </c>
      <c r="D9" t="s">
        <v>272</v>
      </c>
      <c r="E9" s="111">
        <f>MATCH(F9,AGR!$D$22:$D$26,0)</f>
        <v>3</v>
      </c>
      <c r="F9" t="str">
        <f t="shared" si="0"/>
        <v>AT</v>
      </c>
      <c r="G9" s="107">
        <f ca="1">OFFSET(AGR!J$21,$E9,0)</f>
        <v>7.9249894633578597</v>
      </c>
      <c r="H9" s="107">
        <f ca="1">OFFSET(AGR!K$21,$E9,0)</f>
        <v>7.8043321129024763</v>
      </c>
      <c r="I9" s="107">
        <f ca="1">OFFSET(AGR!L$21,$E9,0)</f>
        <v>7.6820233359224668</v>
      </c>
      <c r="J9" s="170">
        <f ca="1">OFFSET(AGR!M$21,$E9,0)</f>
        <v>7.5919443724912608</v>
      </c>
      <c r="K9" s="107">
        <f ca="1">OFFSET(AGR!N$21,$E9,0)</f>
        <v>8.134995835290086</v>
      </c>
      <c r="L9" s="107">
        <f ca="1">OFFSET(AGR!O$21,$E9,0)</f>
        <v>7.885479032317777</v>
      </c>
      <c r="M9" s="107">
        <f ca="1">OFFSET(AGR!P$21,$E9,0)</f>
        <v>7.7169032917567124</v>
      </c>
      <c r="N9" s="107">
        <f ca="1">OFFSET(AGR!Q$21,$E9,0)</f>
        <v>7.6624574375816534</v>
      </c>
      <c r="O9" s="170">
        <f ca="1">OFFSET(AGR!R$21,$E9,0)</f>
        <v>7.8319238670393085</v>
      </c>
      <c r="P9" s="107">
        <f ca="1">OFFSET(AGR!S$21,$E9,0)</f>
        <v>7.9304711606396703</v>
      </c>
      <c r="Q9" s="107">
        <f ca="1">OFFSET(AGR!T$21,$E9,0)</f>
        <v>8.0546309526397302</v>
      </c>
      <c r="R9" s="107">
        <f ca="1">OFFSET(AGR!U$21,$E9,0)</f>
        <v>8.1893213752090013</v>
      </c>
      <c r="S9" s="107">
        <f ca="1">OFFSET(AGR!V$21,$E9,0)</f>
        <v>8.3216878363791515</v>
      </c>
      <c r="T9" s="107">
        <f ca="1">OFFSET(AGR!W$21,$E9,0)</f>
        <v>8.5294773269674593</v>
      </c>
      <c r="U9" s="107">
        <f ca="1">OFFSET(AGR!X$21,$E9,0)</f>
        <v>8.7278905121898323</v>
      </c>
      <c r="V9" s="107">
        <f ca="1">OFFSET(AGR!Y$21,$E9,0)</f>
        <v>8.916483063486405</v>
      </c>
      <c r="W9" s="107">
        <f ca="1">OFFSET(AGR!Z$21,$E9,0)</f>
        <v>9.1097255697114878</v>
      </c>
      <c r="X9" s="107">
        <f ca="1">OFFSET(AGR!AA$21,$E9,0)</f>
        <v>9.3079795814886879</v>
      </c>
      <c r="Y9" s="107">
        <f ca="1">OFFSET(AGR!AB$21,$E9,0)</f>
        <v>9.5929632508027982</v>
      </c>
      <c r="Z9" s="107">
        <f ca="1">OFFSET(AGR!AC$21,$E9,0)</f>
        <v>9.8160427564556745</v>
      </c>
      <c r="AA9" s="107">
        <f ca="1">OFFSET(AGR!AD$21,$E9,0)</f>
        <v>10.036010372888855</v>
      </c>
      <c r="AB9" s="107">
        <f ca="1">OFFSET(AGR!AE$21,$E9,0)</f>
        <v>10.266967756595626</v>
      </c>
      <c r="AC9" s="107">
        <f ca="1">OFFSET(AGR!AF$21,$E9,0)</f>
        <v>10.509579105666617</v>
      </c>
      <c r="AD9" s="107">
        <f ca="1">OFFSET(AGR!AG$21,$E9,0)</f>
        <v>10.750718580309771</v>
      </c>
      <c r="AE9" s="107">
        <f ca="1">OFFSET(AGR!AH$21,$E9,0)</f>
        <v>12.06873410851413</v>
      </c>
      <c r="AF9" s="107">
        <f ca="1">OFFSET(AGR!AI$21,$E9,0)</f>
        <v>13.469824907383448</v>
      </c>
      <c r="AG9" s="107">
        <f ca="1">OFFSET(AGR!AJ$21,$E9,0)</f>
        <v>16.924439197511006</v>
      </c>
      <c r="AH9" s="107">
        <f ca="1">OFFSET(AGR!AK$21,$E9,0)</f>
        <v>18.440848882872505</v>
      </c>
      <c r="AJ9">
        <f t="shared" ca="1" si="1"/>
        <v>2.3269240884339322</v>
      </c>
    </row>
    <row r="10" spans="1:36">
      <c r="A10" s="27" t="s">
        <v>294</v>
      </c>
      <c r="B10">
        <v>0.39719718710289997</v>
      </c>
      <c r="C10" t="s">
        <v>724</v>
      </c>
      <c r="D10" t="s">
        <v>272</v>
      </c>
      <c r="E10" s="110">
        <f>MATCH(F10,IND!$D$29:$D$137,0)</f>
        <v>65</v>
      </c>
      <c r="F10" t="str">
        <f t="shared" si="0"/>
        <v>ICPA</v>
      </c>
      <c r="G10" s="107">
        <f ca="1">OFFSET(IND!P$28,$E10,0)</f>
        <v>0.3034425</v>
      </c>
      <c r="H10" s="107">
        <f ca="1">OFFSET(IND!Q$28,$E10,0)</f>
        <v>0.30687877870399505</v>
      </c>
      <c r="I10" s="107">
        <f ca="1">OFFSET(IND!R$28,$E10,0)</f>
        <v>0.30623182499737872</v>
      </c>
      <c r="J10" s="170">
        <f ca="1">OFFSET(IND!S$28,$E10,0)</f>
        <v>0.30176553966133585</v>
      </c>
      <c r="K10" s="107">
        <f ca="1">OFFSET(IND!T$28,$E10,0)</f>
        <v>0.32314993325635943</v>
      </c>
      <c r="L10" s="107">
        <f ca="1">OFFSET(IND!U$28,$E10,0)</f>
        <v>0.35095654964936124</v>
      </c>
      <c r="M10" s="107">
        <f ca="1">OFFSET(IND!V$28,$E10,0)</f>
        <v>0.34577768546133231</v>
      </c>
      <c r="N10" s="107">
        <f ca="1">OFFSET(IND!W$28,$E10,0)</f>
        <v>0.34648522838208534</v>
      </c>
      <c r="O10" s="170">
        <f ca="1">OFFSET(IND!X$28,$E10,0)</f>
        <v>0.35010987059525694</v>
      </c>
      <c r="P10" s="107">
        <f ca="1">OFFSET(IND!Y$28,$E10,0)</f>
        <v>0.35563725988932976</v>
      </c>
      <c r="Q10" s="107">
        <f ca="1">OFFSET(IND!Z$28,$E10,0)</f>
        <v>0.36288319059820356</v>
      </c>
      <c r="R10" s="107">
        <f ca="1">OFFSET(IND!AA$28,$E10,0)</f>
        <v>0.37084614992519654</v>
      </c>
      <c r="S10" s="107">
        <f ca="1">OFFSET(IND!AB$28,$E10,0)</f>
        <v>0.38077411976372538</v>
      </c>
      <c r="T10" s="107">
        <f ca="1">OFFSET(IND!AC$28,$E10,0)</f>
        <v>0.39375824348451327</v>
      </c>
      <c r="U10" s="107">
        <f ca="1">OFFSET(IND!AD$28,$E10,0)</f>
        <v>0.4061692174363441</v>
      </c>
      <c r="V10" s="107">
        <f ca="1">OFFSET(IND!AE$28,$E10,0)</f>
        <v>0.4192659502030906</v>
      </c>
      <c r="W10" s="107">
        <f ca="1">OFFSET(IND!AF$28,$E10,0)</f>
        <v>0.43300836470960019</v>
      </c>
      <c r="X10" s="107">
        <f ca="1">OFFSET(IND!AG$28,$E10,0)</f>
        <v>0.44719555371829806</v>
      </c>
      <c r="Y10" s="107">
        <f ca="1">OFFSET(IND!AH$28,$E10,0)</f>
        <v>0.46565169158933606</v>
      </c>
      <c r="Z10" s="107">
        <f ca="1">OFFSET(IND!AI$28,$E10,0)</f>
        <v>0.47912629384785532</v>
      </c>
      <c r="AA10" s="107">
        <f ca="1">OFFSET(IND!AJ$28,$E10,0)</f>
        <v>0.49424093676933839</v>
      </c>
      <c r="AB10" s="107">
        <f ca="1">OFFSET(IND!AK$28,$E10,0)</f>
        <v>0.51067097192532829</v>
      </c>
      <c r="AC10" s="107">
        <f ca="1">OFFSET(IND!AL$28,$E10,0)</f>
        <v>0.5285244636419012</v>
      </c>
      <c r="AD10" s="107">
        <f ca="1">OFFSET(IND!AM$28,$E10,0)</f>
        <v>0.54637896932823371</v>
      </c>
      <c r="AE10" s="107">
        <f ca="1">OFFSET(IND!AN$28,$E10,0)</f>
        <v>0.64521457548845151</v>
      </c>
      <c r="AF10" s="107">
        <f ca="1">OFFSET(IND!AO$28,$E10,0)</f>
        <v>0.7375235984453733</v>
      </c>
      <c r="AG10" s="107">
        <f ca="1">OFFSET(IND!AP$28,$E10,0)</f>
        <v>0.85703298745916379</v>
      </c>
      <c r="AH10" s="107">
        <f ca="1">OFFSET(IND!AQ$28,$E10,0)</f>
        <v>0.9596889457610065</v>
      </c>
      <c r="AJ10">
        <f t="shared" ca="1" si="1"/>
        <v>3.162671497107381</v>
      </c>
    </row>
    <row r="11" spans="1:36">
      <c r="A11" s="27" t="s">
        <v>295</v>
      </c>
      <c r="B11">
        <v>5.295962494706</v>
      </c>
      <c r="C11" t="s">
        <v>724</v>
      </c>
      <c r="D11" t="s">
        <v>272</v>
      </c>
      <c r="E11" s="110">
        <f>MATCH(F11,IND!$D$29:$D$137,0)</f>
        <v>67</v>
      </c>
      <c r="F11" t="str">
        <f t="shared" si="0"/>
        <v>ICPC</v>
      </c>
      <c r="G11" s="107">
        <f ca="1">OFFSET(IND!P$28,$E11,0)</f>
        <v>4.0458999999999996</v>
      </c>
      <c r="H11" s="107">
        <f ca="1">OFFSET(IND!Q$28,$E11,0)</f>
        <v>4.0917170493866006</v>
      </c>
      <c r="I11" s="107">
        <f ca="1">OFFSET(IND!R$28,$E11,0)</f>
        <v>4.0830909999650498</v>
      </c>
      <c r="J11" s="170">
        <f ca="1">OFFSET(IND!S$28,$E11,0)</f>
        <v>4.0235405288178114</v>
      </c>
      <c r="K11" s="107">
        <f ca="1">OFFSET(IND!T$28,$E11,0)</f>
        <v>4.3086657767514591</v>
      </c>
      <c r="L11" s="107">
        <f ca="1">OFFSET(IND!U$28,$E11,0)</f>
        <v>4.6794206619914833</v>
      </c>
      <c r="M11" s="107">
        <f ca="1">OFFSET(IND!V$28,$E11,0)</f>
        <v>4.6103691394844306</v>
      </c>
      <c r="N11" s="107">
        <f ca="1">OFFSET(IND!W$28,$E11,0)</f>
        <v>4.6198030450944714</v>
      </c>
      <c r="O11" s="170">
        <f ca="1">OFFSET(IND!X$28,$E11,0)</f>
        <v>4.6681316079367594</v>
      </c>
      <c r="P11" s="107">
        <f ca="1">OFFSET(IND!Y$28,$E11,0)</f>
        <v>4.7418301318577303</v>
      </c>
      <c r="Q11" s="107">
        <f ca="1">OFFSET(IND!Z$28,$E11,0)</f>
        <v>4.838442541309381</v>
      </c>
      <c r="R11" s="107">
        <f ca="1">OFFSET(IND!AA$28,$E11,0)</f>
        <v>4.9446153323359541</v>
      </c>
      <c r="S11" s="107">
        <f ca="1">OFFSET(IND!AB$28,$E11,0)</f>
        <v>5.0769882635163386</v>
      </c>
      <c r="T11" s="107">
        <f ca="1">OFFSET(IND!AC$28,$E11,0)</f>
        <v>5.2501099131268436</v>
      </c>
      <c r="U11" s="107">
        <f ca="1">OFFSET(IND!AD$28,$E11,0)</f>
        <v>5.4155895658179221</v>
      </c>
      <c r="V11" s="107">
        <f ca="1">OFFSET(IND!AE$28,$E11,0)</f>
        <v>5.5902126693745426</v>
      </c>
      <c r="W11" s="107">
        <f ca="1">OFFSET(IND!AF$28,$E11,0)</f>
        <v>5.77344486279467</v>
      </c>
      <c r="X11" s="107">
        <f ca="1">OFFSET(IND!AG$28,$E11,0)</f>
        <v>5.9626073829106421</v>
      </c>
      <c r="Y11" s="107">
        <f ca="1">OFFSET(IND!AH$28,$E11,0)</f>
        <v>6.2086892211911495</v>
      </c>
      <c r="Z11" s="107">
        <f ca="1">OFFSET(IND!AI$28,$E11,0)</f>
        <v>6.388350584638073</v>
      </c>
      <c r="AA11" s="107">
        <f ca="1">OFFSET(IND!AJ$28,$E11,0)</f>
        <v>6.5898791569245141</v>
      </c>
      <c r="AB11" s="107">
        <f ca="1">OFFSET(IND!AK$28,$E11,0)</f>
        <v>6.808946292337712</v>
      </c>
      <c r="AC11" s="107">
        <f ca="1">OFFSET(IND!AL$28,$E11,0)</f>
        <v>7.0469928485586841</v>
      </c>
      <c r="AD11" s="107">
        <f ca="1">OFFSET(IND!AM$28,$E11,0)</f>
        <v>7.2850529243764504</v>
      </c>
      <c r="AE11" s="107">
        <f ca="1">OFFSET(IND!AN$28,$E11,0)</f>
        <v>8.602861006512688</v>
      </c>
      <c r="AF11" s="107">
        <f ca="1">OFFSET(IND!AO$28,$E11,0)</f>
        <v>9.833647979271646</v>
      </c>
      <c r="AG11" s="107">
        <f ca="1">OFFSET(IND!AP$28,$E11,0)</f>
        <v>11.427106499455519</v>
      </c>
      <c r="AH11" s="107">
        <f ca="1">OFFSET(IND!AQ$28,$E11,0)</f>
        <v>12.795852610146756</v>
      </c>
      <c r="AJ11">
        <f t="shared" ca="1" si="1"/>
        <v>3.1626714971073824</v>
      </c>
    </row>
    <row r="12" spans="1:36">
      <c r="A12" s="27" t="s">
        <v>296</v>
      </c>
      <c r="B12">
        <v>3.219945196781</v>
      </c>
      <c r="C12" t="s">
        <v>724</v>
      </c>
      <c r="D12" t="s">
        <v>272</v>
      </c>
      <c r="E12" s="110">
        <f>MATCH(F12,IND!$D$29:$D$137,0)</f>
        <v>72</v>
      </c>
      <c r="F12" t="str">
        <f t="shared" si="0"/>
        <v>ICPE</v>
      </c>
      <c r="G12" s="107">
        <f ca="1">OFFSET(IND!P$28,$E12,0)</f>
        <v>2.4599072</v>
      </c>
      <c r="H12" s="107">
        <f ca="1">OFFSET(IND!Q$28,$E12,0)</f>
        <v>2.4877639660270532</v>
      </c>
      <c r="I12" s="107">
        <f ca="1">OFFSET(IND!R$28,$E12,0)</f>
        <v>2.4825193279787503</v>
      </c>
      <c r="J12" s="170">
        <f ca="1">OFFSET(IND!S$28,$E12,0)</f>
        <v>2.4463126415212293</v>
      </c>
      <c r="K12" s="107">
        <f ca="1">OFFSET(IND!T$28,$E12,0)</f>
        <v>2.6196687922648869</v>
      </c>
      <c r="L12" s="107">
        <f ca="1">OFFSET(IND!U$28,$E12,0)</f>
        <v>2.8450877624908215</v>
      </c>
      <c r="M12" s="107">
        <f ca="1">OFFSET(IND!V$28,$E12,0)</f>
        <v>2.8031044368065334</v>
      </c>
      <c r="N12" s="107">
        <f ca="1">OFFSET(IND!W$28,$E12,0)</f>
        <v>2.808840251417438</v>
      </c>
      <c r="O12" s="170">
        <f ca="1">OFFSET(IND!X$28,$E12,0)</f>
        <v>2.8382240176255489</v>
      </c>
      <c r="P12" s="107">
        <f ca="1">OFFSET(IND!Y$28,$E12,0)</f>
        <v>2.8830327201694992</v>
      </c>
      <c r="Q12" s="107">
        <f ca="1">OFFSET(IND!Z$28,$E12,0)</f>
        <v>2.9417730651161027</v>
      </c>
      <c r="R12" s="107">
        <f ca="1">OFFSET(IND!AA$28,$E12,0)</f>
        <v>3.0063261220602593</v>
      </c>
      <c r="S12" s="107">
        <f ca="1">OFFSET(IND!AB$28,$E12,0)</f>
        <v>3.0868088642179332</v>
      </c>
      <c r="T12" s="107">
        <f ca="1">OFFSET(IND!AC$28,$E12,0)</f>
        <v>3.1920668271811201</v>
      </c>
      <c r="U12" s="107">
        <f ca="1">OFFSET(IND!AD$28,$E12,0)</f>
        <v>3.2926784560172955</v>
      </c>
      <c r="V12" s="107">
        <f ca="1">OFFSET(IND!AE$28,$E12,0)</f>
        <v>3.3988493029797207</v>
      </c>
      <c r="W12" s="107">
        <f ca="1">OFFSET(IND!AF$28,$E12,0)</f>
        <v>3.5102544765791581</v>
      </c>
      <c r="X12" s="107">
        <f ca="1">OFFSET(IND!AG$28,$E12,0)</f>
        <v>3.6252652888096688</v>
      </c>
      <c r="Y12" s="107">
        <f ca="1">OFFSET(IND!AH$28,$E12,0)</f>
        <v>3.7748830464842169</v>
      </c>
      <c r="Z12" s="107">
        <f ca="1">OFFSET(IND!AI$28,$E12,0)</f>
        <v>3.8841171554599461</v>
      </c>
      <c r="AA12" s="107">
        <f ca="1">OFFSET(IND!AJ$28,$E12,0)</f>
        <v>4.0066465274101022</v>
      </c>
      <c r="AB12" s="107">
        <f ca="1">OFFSET(IND!AK$28,$E12,0)</f>
        <v>4.1398393457413265</v>
      </c>
      <c r="AC12" s="107">
        <f ca="1">OFFSET(IND!AL$28,$E12,0)</f>
        <v>4.2845716519236774</v>
      </c>
      <c r="AD12" s="107">
        <f ca="1">OFFSET(IND!AM$28,$E12,0)</f>
        <v>4.4293121780208793</v>
      </c>
      <c r="AE12" s="107">
        <f ca="1">OFFSET(IND!AN$28,$E12,0)</f>
        <v>5.2305394919597106</v>
      </c>
      <c r="AF12" s="107">
        <f ca="1">OFFSET(IND!AO$28,$E12,0)</f>
        <v>5.9788579713971561</v>
      </c>
      <c r="AG12" s="107">
        <f ca="1">OFFSET(IND!AP$28,$E12,0)</f>
        <v>6.9476807516689503</v>
      </c>
      <c r="AH12" s="107">
        <f ca="1">OFFSET(IND!AQ$28,$E12,0)</f>
        <v>7.7798783869692221</v>
      </c>
      <c r="AJ12">
        <f t="shared" ca="1" si="1"/>
        <v>3.1626714971073797</v>
      </c>
    </row>
    <row r="13" spans="1:36">
      <c r="A13" s="27" t="s">
        <v>297</v>
      </c>
      <c r="B13">
        <v>3.389415996611</v>
      </c>
      <c r="C13" t="s">
        <v>724</v>
      </c>
      <c r="D13" t="s">
        <v>272</v>
      </c>
      <c r="E13" s="110">
        <f>MATCH(F13,IND!$D$29:$D$137,0)</f>
        <v>70</v>
      </c>
      <c r="F13" t="str">
        <f t="shared" si="0"/>
        <v>ICPF</v>
      </c>
      <c r="G13" s="107">
        <f ca="1">OFFSET(IND!P$28,$E13,0)</f>
        <v>2.5893760000000001</v>
      </c>
      <c r="H13" s="107">
        <f ca="1">OFFSET(IND!Q$28,$E13,0)</f>
        <v>2.6186989116074244</v>
      </c>
      <c r="I13" s="107">
        <f ca="1">OFFSET(IND!R$28,$E13,0)</f>
        <v>2.613178239977632</v>
      </c>
      <c r="J13" s="170">
        <f ca="1">OFFSET(IND!S$28,$E13,0)</f>
        <v>2.5750659384433994</v>
      </c>
      <c r="K13" s="107">
        <f ca="1">OFFSET(IND!T$28,$E13,0)</f>
        <v>2.757546097120934</v>
      </c>
      <c r="L13" s="107">
        <f ca="1">OFFSET(IND!U$28,$E13,0)</f>
        <v>2.9948292236745497</v>
      </c>
      <c r="M13" s="107">
        <f ca="1">OFFSET(IND!V$28,$E13,0)</f>
        <v>2.950636249270036</v>
      </c>
      <c r="N13" s="107">
        <f ca="1">OFFSET(IND!W$28,$E13,0)</f>
        <v>2.9566739488604621</v>
      </c>
      <c r="O13" s="170">
        <f ca="1">OFFSET(IND!X$28,$E13,0)</f>
        <v>2.9876042290795262</v>
      </c>
      <c r="P13" s="107">
        <f ca="1">OFFSET(IND!Y$28,$E13,0)</f>
        <v>3.0347712843889476</v>
      </c>
      <c r="Q13" s="107">
        <f ca="1">OFFSET(IND!Z$28,$E13,0)</f>
        <v>3.0966032264380039</v>
      </c>
      <c r="R13" s="107">
        <f ca="1">OFFSET(IND!AA$28,$E13,0)</f>
        <v>3.164553812695011</v>
      </c>
      <c r="S13" s="107">
        <f ca="1">OFFSET(IND!AB$28,$E13,0)</f>
        <v>3.2492724886504574</v>
      </c>
      <c r="T13" s="107">
        <f ca="1">OFFSET(IND!AC$28,$E13,0)</f>
        <v>3.3600703444011804</v>
      </c>
      <c r="U13" s="107">
        <f ca="1">OFFSET(IND!AD$28,$E13,0)</f>
        <v>3.4659773221234702</v>
      </c>
      <c r="V13" s="107">
        <f ca="1">OFFSET(IND!AE$28,$E13,0)</f>
        <v>3.5777361083997072</v>
      </c>
      <c r="W13" s="107">
        <f ca="1">OFFSET(IND!AF$28,$E13,0)</f>
        <v>3.6950047121885889</v>
      </c>
      <c r="X13" s="107">
        <f ca="1">OFFSET(IND!AG$28,$E13,0)</f>
        <v>3.8160687250628111</v>
      </c>
      <c r="Y13" s="107">
        <f ca="1">OFFSET(IND!AH$28,$E13,0)</f>
        <v>3.9735611015623356</v>
      </c>
      <c r="Z13" s="107">
        <f ca="1">OFFSET(IND!AI$28,$E13,0)</f>
        <v>4.0885443741683662</v>
      </c>
      <c r="AA13" s="107">
        <f ca="1">OFFSET(IND!AJ$28,$E13,0)</f>
        <v>4.2175226604316887</v>
      </c>
      <c r="AB13" s="107">
        <f ca="1">OFFSET(IND!AK$28,$E13,0)</f>
        <v>4.3577256270961353</v>
      </c>
      <c r="AC13" s="107">
        <f ca="1">OFFSET(IND!AL$28,$E13,0)</f>
        <v>4.5100754230775575</v>
      </c>
      <c r="AD13" s="107">
        <f ca="1">OFFSET(IND!AM$28,$E13,0)</f>
        <v>4.6624338716009275</v>
      </c>
      <c r="AE13" s="107">
        <f ca="1">OFFSET(IND!AN$28,$E13,0)</f>
        <v>5.5058310441681186</v>
      </c>
      <c r="AF13" s="107">
        <f ca="1">OFFSET(IND!AO$28,$E13,0)</f>
        <v>6.2935347067338512</v>
      </c>
      <c r="AG13" s="107">
        <f ca="1">OFFSET(IND!AP$28,$E13,0)</f>
        <v>7.3133481596515297</v>
      </c>
      <c r="AH13" s="107">
        <f ca="1">OFFSET(IND!AQ$28,$E13,0)</f>
        <v>8.1893456704939211</v>
      </c>
      <c r="AJ13">
        <f t="shared" ca="1" si="1"/>
        <v>3.1626714971073806</v>
      </c>
    </row>
    <row r="14" spans="1:36">
      <c r="A14" s="27" t="s">
        <v>298</v>
      </c>
      <c r="B14">
        <v>0.95327324904709998</v>
      </c>
      <c r="C14" t="s">
        <v>724</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0">
        <f ca="1">OFFSET(IND!S$28,$E14,0)</f>
        <v>0.72423729518720614</v>
      </c>
      <c r="K14" s="107">
        <f ca="1">OFFSET(IND!T$28,$E14,0)</f>
        <v>0.77555983981526266</v>
      </c>
      <c r="L14" s="107">
        <f ca="1">OFFSET(IND!U$28,$E14,0)</f>
        <v>0.84229571915846702</v>
      </c>
      <c r="M14" s="107">
        <f ca="1">OFFSET(IND!V$28,$E14,0)</f>
        <v>0.82986644510719754</v>
      </c>
      <c r="N14" s="107">
        <f ca="1">OFFSET(IND!W$28,$E14,0)</f>
        <v>0.83156454811700486</v>
      </c>
      <c r="O14" s="170">
        <f ca="1">OFFSET(IND!X$28,$E14,0)</f>
        <v>0.84026368942861673</v>
      </c>
      <c r="P14" s="107">
        <f ca="1">OFFSET(IND!Y$28,$E14,0)</f>
        <v>0.85352942373439156</v>
      </c>
      <c r="Q14" s="107">
        <f ca="1">OFFSET(IND!Z$28,$E14,0)</f>
        <v>0.87091965743568867</v>
      </c>
      <c r="R14" s="107">
        <f ca="1">OFFSET(IND!AA$28,$E14,0)</f>
        <v>0.89003075982047186</v>
      </c>
      <c r="S14" s="107">
        <f ca="1">OFFSET(IND!AB$28,$E14,0)</f>
        <v>0.91385788743294116</v>
      </c>
      <c r="T14" s="107">
        <f ca="1">OFFSET(IND!AC$28,$E14,0)</f>
        <v>0.94501978436283207</v>
      </c>
      <c r="U14" s="107">
        <f ca="1">OFFSET(IND!AD$28,$E14,0)</f>
        <v>0.97480612184722615</v>
      </c>
      <c r="V14" s="107">
        <f ca="1">OFFSET(IND!AE$28,$E14,0)</f>
        <v>1.0062382804874179</v>
      </c>
      <c r="W14" s="107">
        <f ca="1">OFFSET(IND!AF$28,$E14,0)</f>
        <v>1.0392200753030409</v>
      </c>
      <c r="X14" s="107">
        <f ca="1">OFFSET(IND!AG$28,$E14,0)</f>
        <v>1.0732693289239159</v>
      </c>
      <c r="Y14" s="107">
        <f ca="1">OFFSET(IND!AH$28,$E14,0)</f>
        <v>1.1175640598144072</v>
      </c>
      <c r="Z14" s="107">
        <f ca="1">OFFSET(IND!AI$28,$E14,0)</f>
        <v>1.1499031052348534</v>
      </c>
      <c r="AA14" s="107">
        <f ca="1">OFFSET(IND!AJ$28,$E14,0)</f>
        <v>1.1861782482464127</v>
      </c>
      <c r="AB14" s="107">
        <f ca="1">OFFSET(IND!AK$28,$E14,0)</f>
        <v>1.2256103326207883</v>
      </c>
      <c r="AC14" s="107">
        <f ca="1">OFFSET(IND!AL$28,$E14,0)</f>
        <v>1.2684587127405633</v>
      </c>
      <c r="AD14" s="107">
        <f ca="1">OFFSET(IND!AM$28,$E14,0)</f>
        <v>1.3113095263877612</v>
      </c>
      <c r="AE14" s="107">
        <f ca="1">OFFSET(IND!AN$28,$E14,0)</f>
        <v>1.5485149811722838</v>
      </c>
      <c r="AF14" s="107">
        <f ca="1">OFFSET(IND!AO$28,$E14,0)</f>
        <v>1.7700566362688961</v>
      </c>
      <c r="AG14" s="107">
        <f ca="1">OFFSET(IND!AP$28,$E14,0)</f>
        <v>2.0568791699019933</v>
      </c>
      <c r="AH14" s="107">
        <f ca="1">OFFSET(IND!AQ$28,$E14,0)</f>
        <v>2.3032534698264158</v>
      </c>
      <c r="AJ14">
        <f t="shared" ca="1" si="1"/>
        <v>3.1626714971073815</v>
      </c>
    </row>
    <row r="15" spans="1:36">
      <c r="A15" s="27" t="s">
        <v>299</v>
      </c>
      <c r="B15">
        <v>1.059192498941</v>
      </c>
      <c r="C15" t="s">
        <v>724</v>
      </c>
      <c r="D15" t="s">
        <v>272</v>
      </c>
      <c r="E15" s="110">
        <f>MATCH(F15,IND!$D$29:$D$137,0)</f>
        <v>64</v>
      </c>
      <c r="F15" t="str">
        <f t="shared" si="0"/>
        <v>ICPK</v>
      </c>
      <c r="G15" s="107">
        <f ca="1">OFFSET(IND!P$28,$E15,0)</f>
        <v>0.80918000000000001</v>
      </c>
      <c r="H15" s="107">
        <f ca="1">OFFSET(IND!Q$28,$E15,0)</f>
        <v>0.81834340987732013</v>
      </c>
      <c r="I15" s="107">
        <f ca="1">OFFSET(IND!R$28,$E15,0)</f>
        <v>0.81661819999301</v>
      </c>
      <c r="J15" s="170">
        <f ca="1">OFFSET(IND!S$28,$E15,0)</f>
        <v>0.80470810576356233</v>
      </c>
      <c r="K15" s="107">
        <f ca="1">OFFSET(IND!T$28,$E15,0)</f>
        <v>0.86173315535029182</v>
      </c>
      <c r="L15" s="107">
        <f ca="1">OFFSET(IND!U$28,$E15,0)</f>
        <v>0.93588413239829671</v>
      </c>
      <c r="M15" s="107">
        <f ca="1">OFFSET(IND!V$28,$E15,0)</f>
        <v>0.92207382789688619</v>
      </c>
      <c r="N15" s="107">
        <f ca="1">OFFSET(IND!W$28,$E15,0)</f>
        <v>0.92396060901889432</v>
      </c>
      <c r="O15" s="170">
        <f ca="1">OFFSET(IND!X$28,$E15,0)</f>
        <v>0.93362632158735193</v>
      </c>
      <c r="P15" s="107">
        <f ca="1">OFFSET(IND!Y$28,$E15,0)</f>
        <v>0.94836602637154621</v>
      </c>
      <c r="Q15" s="107">
        <f ca="1">OFFSET(IND!Z$28,$E15,0)</f>
        <v>0.96768850826187625</v>
      </c>
      <c r="R15" s="107">
        <f ca="1">OFFSET(IND!AA$28,$E15,0)</f>
        <v>0.98892306646719097</v>
      </c>
      <c r="S15" s="107">
        <f ca="1">OFFSET(IND!AB$28,$E15,0)</f>
        <v>1.015397652703268</v>
      </c>
      <c r="T15" s="107">
        <f ca="1">OFFSET(IND!AC$28,$E15,0)</f>
        <v>1.0500219826253689</v>
      </c>
      <c r="U15" s="107">
        <f ca="1">OFFSET(IND!AD$28,$E15,0)</f>
        <v>1.0831179131635846</v>
      </c>
      <c r="V15" s="107">
        <f ca="1">OFFSET(IND!AE$28,$E15,0)</f>
        <v>1.1180425338749087</v>
      </c>
      <c r="W15" s="107">
        <f ca="1">OFFSET(IND!AF$28,$E15,0)</f>
        <v>1.1546889725589342</v>
      </c>
      <c r="X15" s="107">
        <f ca="1">OFFSET(IND!AG$28,$E15,0)</f>
        <v>1.1925214765821286</v>
      </c>
      <c r="Y15" s="107">
        <f ca="1">OFFSET(IND!AH$28,$E15,0)</f>
        <v>1.2417378442382301</v>
      </c>
      <c r="Z15" s="107">
        <f ca="1">OFFSET(IND!AI$28,$E15,0)</f>
        <v>1.2776701169276148</v>
      </c>
      <c r="AA15" s="107">
        <f ca="1">OFFSET(IND!AJ$28,$E15,0)</f>
        <v>1.317975831384903</v>
      </c>
      <c r="AB15" s="107">
        <f ca="1">OFFSET(IND!AK$28,$E15,0)</f>
        <v>1.3617892584675426</v>
      </c>
      <c r="AC15" s="107">
        <f ca="1">OFFSET(IND!AL$28,$E15,0)</f>
        <v>1.409398569711737</v>
      </c>
      <c r="AD15" s="107">
        <f ca="1">OFFSET(IND!AM$28,$E15,0)</f>
        <v>1.4570105848752903</v>
      </c>
      <c r="AE15" s="107">
        <f ca="1">OFFSET(IND!AN$28,$E15,0)</f>
        <v>1.7205722013025377</v>
      </c>
      <c r="AF15" s="107">
        <f ca="1">OFFSET(IND!AO$28,$E15,0)</f>
        <v>1.9667295958543292</v>
      </c>
      <c r="AG15" s="107">
        <f ca="1">OFFSET(IND!AP$28,$E15,0)</f>
        <v>2.2854212998911039</v>
      </c>
      <c r="AH15" s="107">
        <f ca="1">OFFSET(IND!AQ$28,$E15,0)</f>
        <v>2.5591705220293512</v>
      </c>
      <c r="AJ15">
        <f t="shared" ca="1" si="1"/>
        <v>3.1626714971073819</v>
      </c>
    </row>
    <row r="16" spans="1:36">
      <c r="A16" s="27" t="s">
        <v>300</v>
      </c>
      <c r="B16">
        <v>0.63551549936469998</v>
      </c>
      <c r="C16" t="s">
        <v>724</v>
      </c>
      <c r="D16" t="s">
        <v>272</v>
      </c>
      <c r="E16" s="110">
        <f>MATCH(F16,IND!$D$29:$D$137,0)</f>
        <v>66</v>
      </c>
      <c r="F16" t="str">
        <f t="shared" si="0"/>
        <v>ICPL</v>
      </c>
      <c r="G16" s="107">
        <f ca="1">OFFSET(IND!P$28,$E16,0)</f>
        <v>0.485508</v>
      </c>
      <c r="H16" s="107">
        <f ca="1">OFFSET(IND!Q$28,$E16,0)</f>
        <v>0.49100604592639208</v>
      </c>
      <c r="I16" s="107">
        <f ca="1">OFFSET(IND!R$28,$E16,0)</f>
        <v>0.48997091999580594</v>
      </c>
      <c r="J16" s="170">
        <f ca="1">OFFSET(IND!S$28,$E16,0)</f>
        <v>0.48282486345813735</v>
      </c>
      <c r="K16" s="107">
        <f ca="1">OFFSET(IND!T$28,$E16,0)</f>
        <v>0.51703989321017507</v>
      </c>
      <c r="L16" s="107">
        <f ca="1">OFFSET(IND!U$28,$E16,0)</f>
        <v>0.56153047943897794</v>
      </c>
      <c r="M16" s="107">
        <f ca="1">OFFSET(IND!V$28,$E16,0)</f>
        <v>0.55324429673813158</v>
      </c>
      <c r="N16" s="107">
        <f ca="1">OFFSET(IND!W$28,$E16,0)</f>
        <v>0.5543763654113365</v>
      </c>
      <c r="O16" s="170">
        <f ca="1">OFFSET(IND!X$28,$E16,0)</f>
        <v>0.56017579295241104</v>
      </c>
      <c r="P16" s="107">
        <f ca="1">OFFSET(IND!Y$28,$E16,0)</f>
        <v>0.56901961582292759</v>
      </c>
      <c r="Q16" s="107">
        <f ca="1">OFFSET(IND!Z$28,$E16,0)</f>
        <v>0.58061310495712559</v>
      </c>
      <c r="R16" s="107">
        <f ca="1">OFFSET(IND!AA$28,$E16,0)</f>
        <v>0.59335383988031443</v>
      </c>
      <c r="S16" s="107">
        <f ca="1">OFFSET(IND!AB$28,$E16,0)</f>
        <v>0.60923859162196059</v>
      </c>
      <c r="T16" s="107">
        <f ca="1">OFFSET(IND!AC$28,$E16,0)</f>
        <v>0.63001318957522112</v>
      </c>
      <c r="U16" s="107">
        <f ca="1">OFFSET(IND!AD$28,$E16,0)</f>
        <v>0.64987074789815047</v>
      </c>
      <c r="V16" s="107">
        <f ca="1">OFFSET(IND!AE$28,$E16,0)</f>
        <v>0.67082552032494491</v>
      </c>
      <c r="W16" s="107">
        <f ca="1">OFFSET(IND!AF$28,$E16,0)</f>
        <v>0.69281338353536026</v>
      </c>
      <c r="X16" s="107">
        <f ca="1">OFFSET(IND!AG$28,$E16,0)</f>
        <v>0.71551288594927687</v>
      </c>
      <c r="Y16" s="107">
        <f ca="1">OFFSET(IND!AH$28,$E16,0)</f>
        <v>0.74504270654293769</v>
      </c>
      <c r="Z16" s="107">
        <f ca="1">OFFSET(IND!AI$28,$E16,0)</f>
        <v>0.76660207015656845</v>
      </c>
      <c r="AA16" s="107">
        <f ca="1">OFFSET(IND!AJ$28,$E16,0)</f>
        <v>0.7907854988309414</v>
      </c>
      <c r="AB16" s="107">
        <f ca="1">OFFSET(IND!AK$28,$E16,0)</f>
        <v>0.81707355508052515</v>
      </c>
      <c r="AC16" s="107">
        <f ca="1">OFFSET(IND!AL$28,$E16,0)</f>
        <v>0.84563914182704181</v>
      </c>
      <c r="AD16" s="107">
        <f ca="1">OFFSET(IND!AM$28,$E16,0)</f>
        <v>0.87420635092517374</v>
      </c>
      <c r="AE16" s="107">
        <f ca="1">OFFSET(IND!AN$28,$E16,0)</f>
        <v>1.032343320781522</v>
      </c>
      <c r="AF16" s="107">
        <f ca="1">OFFSET(IND!AO$28,$E16,0)</f>
        <v>1.1800377575125969</v>
      </c>
      <c r="AG16" s="107">
        <f ca="1">OFFSET(IND!AP$28,$E16,0)</f>
        <v>1.3712527799346617</v>
      </c>
      <c r="AH16" s="107">
        <f ca="1">OFFSET(IND!AQ$28,$E16,0)</f>
        <v>1.53550231321761</v>
      </c>
      <c r="AJ16">
        <f t="shared" ca="1" si="1"/>
        <v>3.1626714971073802</v>
      </c>
    </row>
    <row r="17" spans="1:36">
      <c r="A17" s="27" t="s">
        <v>301</v>
      </c>
      <c r="B17">
        <v>8.4735399915289999</v>
      </c>
      <c r="C17" t="s">
        <v>724</v>
      </c>
      <c r="D17" t="s">
        <v>272</v>
      </c>
      <c r="E17" s="110">
        <f>MATCH(F17,IND!$D$29:$D$137,0)</f>
        <v>71</v>
      </c>
      <c r="F17" t="str">
        <f t="shared" si="0"/>
        <v>ICPO</v>
      </c>
      <c r="G17" s="107">
        <f ca="1">OFFSET(IND!P$28,$E17,0)</f>
        <v>6.4734400000000001</v>
      </c>
      <c r="H17" s="107">
        <f ca="1">OFFSET(IND!Q$28,$E17,0)</f>
        <v>6.546747279018561</v>
      </c>
      <c r="I17" s="107">
        <f ca="1">OFFSET(IND!R$28,$E17,0)</f>
        <v>6.53294559994408</v>
      </c>
      <c r="J17" s="170">
        <f ca="1">OFFSET(IND!S$28,$E17,0)</f>
        <v>6.4376648461084987</v>
      </c>
      <c r="K17" s="107">
        <f ca="1">OFFSET(IND!T$28,$E17,0)</f>
        <v>6.8938652428023346</v>
      </c>
      <c r="L17" s="107">
        <f ca="1">OFFSET(IND!U$28,$E17,0)</f>
        <v>7.4870730591863737</v>
      </c>
      <c r="M17" s="107">
        <f ca="1">OFFSET(IND!V$28,$E17,0)</f>
        <v>7.3765906231750895</v>
      </c>
      <c r="N17" s="107">
        <f ca="1">OFFSET(IND!W$28,$E17,0)</f>
        <v>7.3916848721511546</v>
      </c>
      <c r="O17" s="170">
        <f ca="1">OFFSET(IND!X$28,$E17,0)</f>
        <v>7.4690105726988154</v>
      </c>
      <c r="P17" s="107">
        <f ca="1">OFFSET(IND!Y$28,$E17,0)</f>
        <v>7.5869282109723697</v>
      </c>
      <c r="Q17" s="107">
        <f ca="1">OFFSET(IND!Z$28,$E17,0)</f>
        <v>7.74150806609501</v>
      </c>
      <c r="R17" s="107">
        <f ca="1">OFFSET(IND!AA$28,$E17,0)</f>
        <v>7.9113845317375278</v>
      </c>
      <c r="S17" s="107">
        <f ca="1">OFFSET(IND!AB$28,$E17,0)</f>
        <v>8.1231812216261439</v>
      </c>
      <c r="T17" s="107">
        <f ca="1">OFFSET(IND!AC$28,$E17,0)</f>
        <v>8.4001758610029515</v>
      </c>
      <c r="U17" s="107">
        <f ca="1">OFFSET(IND!AD$28,$E17,0)</f>
        <v>8.6649433053086771</v>
      </c>
      <c r="V17" s="107">
        <f ca="1">OFFSET(IND!AE$28,$E17,0)</f>
        <v>8.9443402709992696</v>
      </c>
      <c r="W17" s="107">
        <f ca="1">OFFSET(IND!AF$28,$E17,0)</f>
        <v>9.2375117804714737</v>
      </c>
      <c r="X17" s="107">
        <f ca="1">OFFSET(IND!AG$28,$E17,0)</f>
        <v>9.5401718126570287</v>
      </c>
      <c r="Y17" s="107">
        <f ca="1">OFFSET(IND!AH$28,$E17,0)</f>
        <v>9.9339027539058407</v>
      </c>
      <c r="Z17" s="107">
        <f ca="1">OFFSET(IND!AI$28,$E17,0)</f>
        <v>10.221360935420918</v>
      </c>
      <c r="AA17" s="107">
        <f ca="1">OFFSET(IND!AJ$28,$E17,0)</f>
        <v>10.543806651079224</v>
      </c>
      <c r="AB17" s="107">
        <f ca="1">OFFSET(IND!AK$28,$E17,0)</f>
        <v>10.894314067740341</v>
      </c>
      <c r="AC17" s="107">
        <f ca="1">OFFSET(IND!AL$28,$E17,0)</f>
        <v>11.275188557693896</v>
      </c>
      <c r="AD17" s="107">
        <f ca="1">OFFSET(IND!AM$28,$E17,0)</f>
        <v>11.656084679002323</v>
      </c>
      <c r="AE17" s="107">
        <f ca="1">OFFSET(IND!AN$28,$E17,0)</f>
        <v>13.764577610420302</v>
      </c>
      <c r="AF17" s="107">
        <f ca="1">OFFSET(IND!AO$28,$E17,0)</f>
        <v>15.733836766834633</v>
      </c>
      <c r="AG17" s="107">
        <f ca="1">OFFSET(IND!AP$28,$E17,0)</f>
        <v>18.283370399128831</v>
      </c>
      <c r="AH17" s="107">
        <f ca="1">OFFSET(IND!AQ$28,$E17,0)</f>
        <v>20.47336417623481</v>
      </c>
      <c r="AJ17">
        <f t="shared" ca="1" si="1"/>
        <v>3.1626714971073819</v>
      </c>
    </row>
    <row r="18" spans="1:36">
      <c r="A18" s="27" t="s">
        <v>302</v>
      </c>
      <c r="B18">
        <v>14.828694985169999</v>
      </c>
      <c r="C18" t="s">
        <v>724</v>
      </c>
      <c r="D18" t="s">
        <v>272</v>
      </c>
      <c r="E18" s="110">
        <f>MATCH(F18,IND!$D$29:$D$137,0)</f>
        <v>69</v>
      </c>
      <c r="F18" t="str">
        <f t="shared" si="0"/>
        <v>ICPP</v>
      </c>
      <c r="G18" s="107">
        <f ca="1">OFFSET(IND!P$28,$E18,0)</f>
        <v>11.328519999999999</v>
      </c>
      <c r="H18" s="107">
        <f ca="1">OFFSET(IND!Q$28,$E18,0)</f>
        <v>11.456807738282482</v>
      </c>
      <c r="I18" s="107">
        <f ca="1">OFFSET(IND!R$28,$E18,0)</f>
        <v>11.432654799902139</v>
      </c>
      <c r="J18" s="170">
        <f ca="1">OFFSET(IND!S$28,$E18,0)</f>
        <v>11.265913480689871</v>
      </c>
      <c r="K18" s="107">
        <f ca="1">OFFSET(IND!T$28,$E18,0)</f>
        <v>12.064264174904084</v>
      </c>
      <c r="L18" s="107">
        <f ca="1">OFFSET(IND!U$28,$E18,0)</f>
        <v>13.102377853576151</v>
      </c>
      <c r="M18" s="107">
        <f ca="1">OFFSET(IND!V$28,$E18,0)</f>
        <v>12.909033590556403</v>
      </c>
      <c r="N18" s="107">
        <f ca="1">OFFSET(IND!W$28,$E18,0)</f>
        <v>12.935448526264517</v>
      </c>
      <c r="O18" s="170">
        <f ca="1">OFFSET(IND!X$28,$E18,0)</f>
        <v>13.070768502222924</v>
      </c>
      <c r="P18" s="107">
        <f ca="1">OFFSET(IND!Y$28,$E18,0)</f>
        <v>13.277124369201642</v>
      </c>
      <c r="Q18" s="107">
        <f ca="1">OFFSET(IND!Z$28,$E18,0)</f>
        <v>13.547639115666263</v>
      </c>
      <c r="R18" s="107">
        <f ca="1">OFFSET(IND!AA$28,$E18,0)</f>
        <v>13.844922930540669</v>
      </c>
      <c r="S18" s="107">
        <f ca="1">OFFSET(IND!AB$28,$E18,0)</f>
        <v>14.215567137845746</v>
      </c>
      <c r="T18" s="107">
        <f ca="1">OFFSET(IND!AC$28,$E18,0)</f>
        <v>14.700307756755159</v>
      </c>
      <c r="U18" s="107">
        <f ca="1">OFFSET(IND!AD$28,$E18,0)</f>
        <v>15.163650784290176</v>
      </c>
      <c r="V18" s="107">
        <f ca="1">OFFSET(IND!AE$28,$E18,0)</f>
        <v>15.652595474248713</v>
      </c>
      <c r="W18" s="107">
        <f ca="1">OFFSET(IND!AF$28,$E18,0)</f>
        <v>16.165645615825071</v>
      </c>
      <c r="X18" s="107">
        <f ca="1">OFFSET(IND!AG$28,$E18,0)</f>
        <v>16.695300672149791</v>
      </c>
      <c r="Y18" s="107">
        <f ca="1">OFFSET(IND!AH$28,$E18,0)</f>
        <v>17.38432981933521</v>
      </c>
      <c r="Z18" s="107">
        <f ca="1">OFFSET(IND!AI$28,$E18,0)</f>
        <v>17.887381636986596</v>
      </c>
      <c r="AA18" s="107">
        <f ca="1">OFFSET(IND!AJ$28,$E18,0)</f>
        <v>18.451661639388632</v>
      </c>
      <c r="AB18" s="107">
        <f ca="1">OFFSET(IND!AK$28,$E18,0)</f>
        <v>19.065049618545586</v>
      </c>
      <c r="AC18" s="107">
        <f ca="1">OFFSET(IND!AL$28,$E18,0)</f>
        <v>19.731579975964308</v>
      </c>
      <c r="AD18" s="107">
        <f ca="1">OFFSET(IND!AM$28,$E18,0)</f>
        <v>20.398148188254055</v>
      </c>
      <c r="AE18" s="107">
        <f ca="1">OFFSET(IND!AN$28,$E18,0)</f>
        <v>24.088010818235517</v>
      </c>
      <c r="AF18" s="107">
        <f ca="1">OFFSET(IND!AO$28,$E18,0)</f>
        <v>27.534214341960595</v>
      </c>
      <c r="AG18" s="107">
        <f ca="1">OFFSET(IND!AP$28,$E18,0)</f>
        <v>31.995898198475437</v>
      </c>
      <c r="AH18" s="107">
        <f ca="1">OFFSET(IND!AQ$28,$E18,0)</f>
        <v>35.828387308410896</v>
      </c>
      <c r="AJ18">
        <f t="shared" ca="1" si="1"/>
        <v>3.1626714971073802</v>
      </c>
    </row>
    <row r="19" spans="1:36">
      <c r="A19" s="27" t="s">
        <v>303</v>
      </c>
      <c r="B19">
        <v>32.941303389589997</v>
      </c>
      <c r="C19" t="s">
        <v>724</v>
      </c>
      <c r="D19" t="s">
        <v>272</v>
      </c>
      <c r="E19" s="110">
        <f>MATCH(F19,IND!$D$29:$D$137,0)</f>
        <v>73</v>
      </c>
      <c r="F19" t="str">
        <f t="shared" si="0"/>
        <v>ICPS</v>
      </c>
      <c r="G19" s="107">
        <f ca="1">OFFSET(IND!P$28,$E19,0)</f>
        <v>19.307168399999998</v>
      </c>
      <c r="H19" s="107">
        <f ca="1">OFFSET(IND!Q$28,$E19,0)</f>
        <v>19.525808872601448</v>
      </c>
      <c r="I19" s="107">
        <f ca="1">OFFSET(IND!R$28,$E19,0)</f>
        <v>19.484645079920313</v>
      </c>
      <c r="J19" s="170">
        <f ca="1">OFFSET(IND!S$28,$E19,0)</f>
        <v>19.200468265184636</v>
      </c>
      <c r="K19" s="107">
        <f ca="1">OFFSET(IND!T$28,$E19,0)</f>
        <v>20.5610953634685</v>
      </c>
      <c r="L19" s="107">
        <f ca="1">OFFSET(IND!U$28,$E19,0)</f>
        <v>22.330349918561758</v>
      </c>
      <c r="M19" s="107">
        <f ca="1">OFFSET(IND!V$28,$E19,0)</f>
        <v>22.000833773002043</v>
      </c>
      <c r="N19" s="107">
        <f ca="1">OFFSET(IND!W$28,$E19,0)</f>
        <v>22.045852682090938</v>
      </c>
      <c r="O19" s="170">
        <f ca="1">OFFSET(IND!X$28,$E19,0)</f>
        <v>22.276478179835824</v>
      </c>
      <c r="P19" s="107">
        <f ca="1">OFFSET(IND!Y$28,$E19,0)</f>
        <v>22.628169969591777</v>
      </c>
      <c r="Q19" s="107">
        <f ca="1">OFFSET(IND!Z$28,$E19,0)</f>
        <v>23.089207577741451</v>
      </c>
      <c r="R19" s="107">
        <f ca="1">OFFSET(IND!AA$28,$E19,0)</f>
        <v>23.59586764246081</v>
      </c>
      <c r="S19" s="107">
        <f ca="1">OFFSET(IND!AB$28,$E19,0)</f>
        <v>24.227555641151163</v>
      </c>
      <c r="T19" s="107">
        <f ca="1">OFFSET(IND!AC$28,$E19,0)</f>
        <v>25.053697869756864</v>
      </c>
      <c r="U19" s="107">
        <f ca="1">OFFSET(IND!AD$28,$E19,0)</f>
        <v>25.843372236716046</v>
      </c>
      <c r="V19" s="107">
        <f ca="1">OFFSET(IND!AE$28,$E19,0)</f>
        <v>26.676679453132248</v>
      </c>
      <c r="W19" s="107">
        <f ca="1">OFFSET(IND!AF$28,$E19,0)</f>
        <v>27.551069530658577</v>
      </c>
      <c r="X19" s="107">
        <f ca="1">OFFSET(IND!AG$28,$E19,0)</f>
        <v>28.453759323003286</v>
      </c>
      <c r="Y19" s="107">
        <f ca="1">OFFSET(IND!AH$28,$E19,0)</f>
        <v>29.628069981166689</v>
      </c>
      <c r="Z19" s="107">
        <f ca="1">OFFSET(IND!AI$28,$E19,0)</f>
        <v>30.485419940148212</v>
      </c>
      <c r="AA19" s="107">
        <f ca="1">OFFSET(IND!AJ$28,$E19,0)</f>
        <v>31.447120941790836</v>
      </c>
      <c r="AB19" s="107">
        <f ca="1">OFFSET(IND!AK$28,$E19,0)</f>
        <v>32.492516545816692</v>
      </c>
      <c r="AC19" s="107">
        <f ca="1">OFFSET(IND!AL$28,$E19,0)</f>
        <v>33.628482572658278</v>
      </c>
      <c r="AD19" s="107">
        <f ca="1">OFFSET(IND!AM$28,$E19,0)</f>
        <v>34.764513115462201</v>
      </c>
      <c r="AE19" s="107">
        <f ca="1">OFFSET(IND!AN$28,$E19,0)</f>
        <v>41.053136798866475</v>
      </c>
      <c r="AF19" s="107">
        <f ca="1">OFFSET(IND!AO$28,$E19,0)</f>
        <v>46.926492874791087</v>
      </c>
      <c r="AG19" s="107">
        <f ca="1">OFFSET(IND!AP$28,$E19,0)</f>
        <v>54.530529550834693</v>
      </c>
      <c r="AH19" s="107">
        <f ca="1">OFFSET(IND!AQ$28,$E19,0)</f>
        <v>61.062231188532294</v>
      </c>
      <c r="AJ19">
        <f t="shared" ca="1" si="1"/>
        <v>3.1626714971073802</v>
      </c>
    </row>
    <row r="20" spans="1:36">
      <c r="A20" s="27" t="s">
        <v>304</v>
      </c>
      <c r="B20">
        <v>39.685391397639997</v>
      </c>
      <c r="C20" t="s">
        <v>724</v>
      </c>
      <c r="D20" t="s">
        <v>272</v>
      </c>
      <c r="E20" s="110">
        <f>MATCH(F20,IND!$D$29:$D$137,0)</f>
        <v>74</v>
      </c>
      <c r="F20" t="str">
        <f t="shared" si="0"/>
        <v>ICPT</v>
      </c>
      <c r="G20" s="107">
        <f ca="1">OFFSET(IND!P$28,$E20,0)</f>
        <v>26.6</v>
      </c>
      <c r="H20" s="107">
        <f ca="1">OFFSET(IND!Q$28,$E20,0)</f>
        <v>26.901226800880789</v>
      </c>
      <c r="I20" s="107">
        <f ca="1">OFFSET(IND!R$28,$E20,0)</f>
        <v>26.844514347628543</v>
      </c>
      <c r="J20" s="170">
        <f ca="1">OFFSET(IND!S$28,$E20,0)</f>
        <v>26.452996383141894</v>
      </c>
      <c r="K20" s="107">
        <f ca="1">OFFSET(IND!T$28,$E20,0)</f>
        <v>28.327568566101192</v>
      </c>
      <c r="L20" s="107">
        <f ca="1">OFFSET(IND!U$28,$E20,0)</f>
        <v>30.765117676900925</v>
      </c>
      <c r="M20" s="107">
        <f ca="1">OFFSET(IND!V$28,$E20,0)</f>
        <v>30.311134509079771</v>
      </c>
      <c r="N20" s="107">
        <f ca="1">OFFSET(IND!W$28,$E20,0)</f>
        <v>30.373158258857838</v>
      </c>
      <c r="O20" s="170">
        <f ca="1">OFFSET(IND!X$28,$E20,0)</f>
        <v>30.690897148006076</v>
      </c>
      <c r="P20" s="107">
        <f ca="1">OFFSET(IND!Y$28,$E20,0)</f>
        <v>31.175432291311111</v>
      </c>
      <c r="Q20" s="107">
        <f ca="1">OFFSET(IND!Z$28,$E20,0)</f>
        <v>31.810616080187234</v>
      </c>
      <c r="R20" s="107">
        <f ca="1">OFFSET(IND!AA$28,$E20,0)</f>
        <v>32.508655142276474</v>
      </c>
      <c r="S20" s="107">
        <f ca="1">OFFSET(IND!AB$28,$E20,0)</f>
        <v>33.378948518138024</v>
      </c>
      <c r="T20" s="107">
        <f ca="1">OFFSET(IND!AC$28,$E20,0)</f>
        <v>34.517146664320435</v>
      </c>
      <c r="U20" s="107">
        <f ca="1">OFFSET(IND!AD$28,$E20,0)</f>
        <v>35.605102066476363</v>
      </c>
      <c r="V20" s="107">
        <f ca="1">OFFSET(IND!AE$28,$E20,0)</f>
        <v>36.753171607148673</v>
      </c>
      <c r="W20" s="107">
        <f ca="1">OFFSET(IND!AF$28,$E20,0)</f>
        <v>37.957842099492872</v>
      </c>
      <c r="X20" s="107">
        <f ca="1">OFFSET(IND!AG$28,$E20,0)</f>
        <v>39.201501862483767</v>
      </c>
      <c r="Y20" s="107">
        <f ca="1">OFFSET(IND!AH$28,$E20,0)</f>
        <v>40.819380924808954</v>
      </c>
      <c r="Z20" s="107">
        <f ca="1">OFFSET(IND!AI$28,$E20,0)</f>
        <v>42.000574792103784</v>
      </c>
      <c r="AA20" s="107">
        <f ca="1">OFFSET(IND!AJ$28,$E20,0)</f>
        <v>43.325535869446114</v>
      </c>
      <c r="AB20" s="107">
        <f ca="1">OFFSET(IND!AK$28,$E20,0)</f>
        <v>44.765805229042513</v>
      </c>
      <c r="AC20" s="107">
        <f ca="1">OFFSET(IND!AL$28,$E20,0)</f>
        <v>46.33085587178649</v>
      </c>
      <c r="AD20" s="107">
        <f ca="1">OFFSET(IND!AM$28,$E20,0)</f>
        <v>47.895995399889649</v>
      </c>
      <c r="AE20" s="107">
        <f ca="1">OFFSET(IND!AN$28,$E20,0)</f>
        <v>56.559999696788708</v>
      </c>
      <c r="AF20" s="107">
        <f ca="1">OFFSET(IND!AO$28,$E20,0)</f>
        <v>64.651878753460466</v>
      </c>
      <c r="AG20" s="107">
        <f ca="1">OFFSET(IND!AP$28,$E20,0)</f>
        <v>75.128162556048522</v>
      </c>
      <c r="AH20" s="107">
        <f ca="1">OFFSET(IND!AQ$28,$E20,0)</f>
        <v>84.127061823056337</v>
      </c>
      <c r="AJ20">
        <f t="shared" ca="1" si="1"/>
        <v>3.162671497107381</v>
      </c>
    </row>
    <row r="21" spans="1:36">
      <c r="A21" s="27" t="s">
        <v>305</v>
      </c>
      <c r="B21">
        <v>5.3061366499999998E-2</v>
      </c>
      <c r="C21" t="s">
        <v>724</v>
      </c>
      <c r="D21" t="s">
        <v>272</v>
      </c>
      <c r="E21" s="110">
        <f>MATCH(F21,IND!$D$29:$D$137,0)</f>
        <v>88</v>
      </c>
      <c r="F21" t="str">
        <f t="shared" si="0"/>
        <v>IFBA</v>
      </c>
      <c r="G21" s="107">
        <f ca="1">OFFSET(IND!P$28,$E21,0)</f>
        <v>2.9904E-2</v>
      </c>
      <c r="H21" s="107">
        <f ca="1">OFFSET(IND!Q$28,$E21,0)</f>
        <v>3.0329173986535427E-2</v>
      </c>
      <c r="I21" s="107">
        <f ca="1">OFFSET(IND!R$28,$E21,0)</f>
        <v>3.0231256879581957E-2</v>
      </c>
      <c r="J21" s="170">
        <f ca="1">OFFSET(IND!S$28,$E21,0)</f>
        <v>2.9773620615300724E-2</v>
      </c>
      <c r="K21" s="107">
        <f ca="1">OFFSET(IND!T$28,$E21,0)</f>
        <v>3.2685441189999519E-2</v>
      </c>
      <c r="L21" s="107">
        <f ca="1">OFFSET(IND!U$28,$E21,0)</f>
        <v>3.4224569372976903E-2</v>
      </c>
      <c r="M21" s="107">
        <f ca="1">OFFSET(IND!V$28,$E21,0)</f>
        <v>3.4519525659577485E-2</v>
      </c>
      <c r="N21" s="107">
        <f ca="1">OFFSET(IND!W$28,$E21,0)</f>
        <v>3.4868704004147932E-2</v>
      </c>
      <c r="O21" s="170">
        <f ca="1">OFFSET(IND!X$28,$E21,0)</f>
        <v>3.4827658097787151E-2</v>
      </c>
      <c r="P21" s="107">
        <f ca="1">OFFSET(IND!Y$28,$E21,0)</f>
        <v>3.4840106050671879E-2</v>
      </c>
      <c r="Q21" s="107">
        <f ca="1">OFFSET(IND!Z$28,$E21,0)</f>
        <v>3.5421187310113851E-2</v>
      </c>
      <c r="R21" s="107">
        <f ca="1">OFFSET(IND!AA$28,$E21,0)</f>
        <v>3.6047917486626259E-2</v>
      </c>
      <c r="S21" s="107">
        <f ca="1">OFFSET(IND!AB$28,$E21,0)</f>
        <v>3.6789583039817407E-2</v>
      </c>
      <c r="T21" s="107">
        <f ca="1">OFFSET(IND!AC$28,$E21,0)</f>
        <v>3.7888379949301207E-2</v>
      </c>
      <c r="U21" s="107">
        <f ca="1">OFFSET(IND!AD$28,$E21,0)</f>
        <v>3.8968403699100075E-2</v>
      </c>
      <c r="V21" s="107">
        <f ca="1">OFFSET(IND!AE$28,$E21,0)</f>
        <v>4.0027342552628561E-2</v>
      </c>
      <c r="W21" s="107">
        <f ca="1">OFFSET(IND!AF$28,$E21,0)</f>
        <v>4.1123373604856822E-2</v>
      </c>
      <c r="X21" s="107">
        <f ca="1">OFFSET(IND!AG$28,$E21,0)</f>
        <v>4.2239677138150356E-2</v>
      </c>
      <c r="Y21" s="107">
        <f ca="1">OFFSET(IND!AH$28,$E21,0)</f>
        <v>4.3856735776519287E-2</v>
      </c>
      <c r="Z21" s="107">
        <f ca="1">OFFSET(IND!AI$28,$E21,0)</f>
        <v>4.4930092578682357E-2</v>
      </c>
      <c r="AA21" s="107">
        <f ca="1">OFFSET(IND!AJ$28,$E21,0)</f>
        <v>4.60133862013649E-2</v>
      </c>
      <c r="AB21" s="107">
        <f ca="1">OFFSET(IND!AK$28,$E21,0)</f>
        <v>4.7170409637366385E-2</v>
      </c>
      <c r="AC21" s="107">
        <f ca="1">OFFSET(IND!AL$28,$E21,0)</f>
        <v>4.8408467458875899E-2</v>
      </c>
      <c r="AD21" s="107">
        <f ca="1">OFFSET(IND!AM$28,$E21,0)</f>
        <v>4.9621888096925311E-2</v>
      </c>
      <c r="AE21" s="107">
        <f ca="1">OFFSET(IND!AN$28,$E21,0)</f>
        <v>5.616024183952157E-2</v>
      </c>
      <c r="AF21" s="107">
        <f ca="1">OFFSET(IND!AO$28,$E21,0)</f>
        <v>6.3775420805459018E-2</v>
      </c>
      <c r="AG21" s="107">
        <f ca="1">OFFSET(IND!AP$28,$E21,0)</f>
        <v>7.1956132788079316E-2</v>
      </c>
      <c r="AH21" s="107">
        <f ca="1">OFFSET(IND!AQ$28,$E21,0)</f>
        <v>8.0575084304699784E-2</v>
      </c>
      <c r="AJ21">
        <f t="shared" ca="1" si="1"/>
        <v>2.6944584104032834</v>
      </c>
    </row>
    <row r="22" spans="1:36">
      <c r="A22" s="27" t="s">
        <v>306</v>
      </c>
      <c r="B22">
        <v>12.204114317089999</v>
      </c>
      <c r="C22" t="s">
        <v>724</v>
      </c>
      <c r="D22" t="s">
        <v>272</v>
      </c>
      <c r="E22" s="110">
        <f>MATCH(F22,IND!$D$29:$D$137,0)</f>
        <v>90</v>
      </c>
      <c r="F22" t="str">
        <f t="shared" si="0"/>
        <v>IFBC</v>
      </c>
      <c r="G22" s="107">
        <f ca="1">OFFSET(IND!P$28,$E22,0)</f>
        <v>6.8779199999999996</v>
      </c>
      <c r="H22" s="107">
        <f ca="1">OFFSET(IND!Q$28,$E22,0)</f>
        <v>6.9757100169031485</v>
      </c>
      <c r="I22" s="107">
        <f ca="1">OFFSET(IND!R$28,$E22,0)</f>
        <v>6.95318908230385</v>
      </c>
      <c r="J22" s="170">
        <f ca="1">OFFSET(IND!S$28,$E22,0)</f>
        <v>6.8479327415191671</v>
      </c>
      <c r="K22" s="107">
        <f ca="1">OFFSET(IND!T$28,$E22,0)</f>
        <v>7.5176514736998907</v>
      </c>
      <c r="L22" s="107">
        <f ca="1">OFFSET(IND!U$28,$E22,0)</f>
        <v>7.8716509557846894</v>
      </c>
      <c r="M22" s="107">
        <f ca="1">OFFSET(IND!V$28,$E22,0)</f>
        <v>7.9394909017028237</v>
      </c>
      <c r="N22" s="107">
        <f ca="1">OFFSET(IND!W$28,$E22,0)</f>
        <v>8.019801920954027</v>
      </c>
      <c r="O22" s="170">
        <f ca="1">OFFSET(IND!X$28,$E22,0)</f>
        <v>8.0103613624910484</v>
      </c>
      <c r="P22" s="107">
        <f ca="1">OFFSET(IND!Y$28,$E22,0)</f>
        <v>8.0132243916545356</v>
      </c>
      <c r="Q22" s="107">
        <f ca="1">OFFSET(IND!Z$28,$E22,0)</f>
        <v>8.1468730813261896</v>
      </c>
      <c r="R22" s="107">
        <f ca="1">OFFSET(IND!AA$28,$E22,0)</f>
        <v>8.2910210219240437</v>
      </c>
      <c r="S22" s="107">
        <f ca="1">OFFSET(IND!AB$28,$E22,0)</f>
        <v>8.4616040991580093</v>
      </c>
      <c r="T22" s="107">
        <f ca="1">OFFSET(IND!AC$28,$E22,0)</f>
        <v>8.7143273883392833</v>
      </c>
      <c r="U22" s="107">
        <f ca="1">OFFSET(IND!AD$28,$E22,0)</f>
        <v>8.9627328507930226</v>
      </c>
      <c r="V22" s="107">
        <f ca="1">OFFSET(IND!AE$28,$E22,0)</f>
        <v>9.206288787104576</v>
      </c>
      <c r="W22" s="107">
        <f ca="1">OFFSET(IND!AF$28,$E22,0)</f>
        <v>9.458375929117075</v>
      </c>
      <c r="X22" s="107">
        <f ca="1">OFFSET(IND!AG$28,$E22,0)</f>
        <v>9.7151257417745871</v>
      </c>
      <c r="Y22" s="107">
        <f ca="1">OFFSET(IND!AH$28,$E22,0)</f>
        <v>10.087049228599442</v>
      </c>
      <c r="Z22" s="107">
        <f ca="1">OFFSET(IND!AI$28,$E22,0)</f>
        <v>10.333921293096948</v>
      </c>
      <c r="AA22" s="107">
        <f ca="1">OFFSET(IND!AJ$28,$E22,0)</f>
        <v>10.583078826313933</v>
      </c>
      <c r="AB22" s="107">
        <f ca="1">OFFSET(IND!AK$28,$E22,0)</f>
        <v>10.849194216594274</v>
      </c>
      <c r="AC22" s="107">
        <f ca="1">OFFSET(IND!AL$28,$E22,0)</f>
        <v>11.133947515541463</v>
      </c>
      <c r="AD22" s="107">
        <f ca="1">OFFSET(IND!AM$28,$E22,0)</f>
        <v>11.413034262292829</v>
      </c>
      <c r="AE22" s="107">
        <f ca="1">OFFSET(IND!AN$28,$E22,0)</f>
        <v>12.916855623089969</v>
      </c>
      <c r="AF22" s="107">
        <f ca="1">OFFSET(IND!AO$28,$E22,0)</f>
        <v>14.668346785255585</v>
      </c>
      <c r="AG22" s="107">
        <f ca="1">OFFSET(IND!AP$28,$E22,0)</f>
        <v>16.549910541258253</v>
      </c>
      <c r="AH22" s="107">
        <f ca="1">OFFSET(IND!AQ$28,$E22,0)</f>
        <v>18.532269390080963</v>
      </c>
      <c r="AJ22">
        <f t="shared" ca="1" si="1"/>
        <v>2.6944584104032852</v>
      </c>
    </row>
    <row r="23" spans="1:36">
      <c r="A23" s="27" t="s">
        <v>307</v>
      </c>
      <c r="B23" t="s">
        <v>370</v>
      </c>
      <c r="C23" t="s">
        <v>724</v>
      </c>
      <c r="D23" t="s">
        <v>272</v>
      </c>
      <c r="E23" s="110">
        <f>MATCH(F23,IND!$D$29:$D$137,0)</f>
        <v>95</v>
      </c>
      <c r="F23" t="str">
        <f t="shared" si="0"/>
        <v>IFBE</v>
      </c>
      <c r="G23" s="107">
        <f ca="1">OFFSET(IND!P$28,$E23,0)</f>
        <v>0</v>
      </c>
      <c r="H23" s="107">
        <f ca="1">OFFSET(IND!Q$28,$E23,0)</f>
        <v>0</v>
      </c>
      <c r="I23" s="107">
        <f ca="1">OFFSET(IND!R$28,$E23,0)</f>
        <v>0</v>
      </c>
      <c r="J23" s="170">
        <f ca="1">OFFSET(IND!S$28,$E23,0)</f>
        <v>0</v>
      </c>
      <c r="K23" s="107">
        <f ca="1">OFFSET(IND!T$28,$E23,0)</f>
        <v>0</v>
      </c>
      <c r="L23" s="107">
        <f ca="1">OFFSET(IND!U$28,$E23,0)</f>
        <v>0</v>
      </c>
      <c r="M23" s="107">
        <f ca="1">OFFSET(IND!V$28,$E23,0)</f>
        <v>0</v>
      </c>
      <c r="N23" s="107">
        <f ca="1">OFFSET(IND!W$28,$E23,0)</f>
        <v>0</v>
      </c>
      <c r="O23" s="170">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7" t="s">
        <v>308</v>
      </c>
      <c r="B24">
        <v>0.84898186553730004</v>
      </c>
      <c r="C24" t="s">
        <v>724</v>
      </c>
      <c r="D24" t="s">
        <v>272</v>
      </c>
      <c r="E24" s="110">
        <f>MATCH(F24,IND!$D$29:$D$137,0)</f>
        <v>93</v>
      </c>
      <c r="F24" t="str">
        <f t="shared" si="0"/>
        <v>IFBF</v>
      </c>
      <c r="G24" s="107">
        <f ca="1">OFFSET(IND!P$28,$E24,0)</f>
        <v>0.478464</v>
      </c>
      <c r="H24" s="107">
        <f ca="1">OFFSET(IND!Q$28,$E24,0)</f>
        <v>0.48526678378456684</v>
      </c>
      <c r="I24" s="107">
        <f ca="1">OFFSET(IND!R$28,$E24,0)</f>
        <v>0.48370011007331132</v>
      </c>
      <c r="J24" s="170">
        <f ca="1">OFFSET(IND!S$28,$E24,0)</f>
        <v>0.47637792984481159</v>
      </c>
      <c r="K24" s="107">
        <f ca="1">OFFSET(IND!T$28,$E24,0)</f>
        <v>0.5229670590399923</v>
      </c>
      <c r="L24" s="107">
        <f ca="1">OFFSET(IND!U$28,$E24,0)</f>
        <v>0.54759310996763044</v>
      </c>
      <c r="M24" s="107">
        <f ca="1">OFFSET(IND!V$28,$E24,0)</f>
        <v>0.55231241055323976</v>
      </c>
      <c r="N24" s="107">
        <f ca="1">OFFSET(IND!W$28,$E24,0)</f>
        <v>0.55789926406636692</v>
      </c>
      <c r="O24" s="170">
        <f ca="1">OFFSET(IND!X$28,$E24,0)</f>
        <v>0.55724252956459441</v>
      </c>
      <c r="P24" s="107">
        <f ca="1">OFFSET(IND!Y$28,$E24,0)</f>
        <v>0.55744169681075006</v>
      </c>
      <c r="Q24" s="107">
        <f ca="1">OFFSET(IND!Z$28,$E24,0)</f>
        <v>0.56673899696182162</v>
      </c>
      <c r="R24" s="107">
        <f ca="1">OFFSET(IND!AA$28,$E24,0)</f>
        <v>0.57676667978602014</v>
      </c>
      <c r="S24" s="107">
        <f ca="1">OFFSET(IND!AB$28,$E24,0)</f>
        <v>0.58863332863707851</v>
      </c>
      <c r="T24" s="107">
        <f ca="1">OFFSET(IND!AC$28,$E24,0)</f>
        <v>0.60621407918881931</v>
      </c>
      <c r="U24" s="107">
        <f ca="1">OFFSET(IND!AD$28,$E24,0)</f>
        <v>0.6234944591856012</v>
      </c>
      <c r="V24" s="107">
        <f ca="1">OFFSET(IND!AE$28,$E24,0)</f>
        <v>0.64043748084205698</v>
      </c>
      <c r="W24" s="107">
        <f ca="1">OFFSET(IND!AF$28,$E24,0)</f>
        <v>0.65797397767770915</v>
      </c>
      <c r="X24" s="107">
        <f ca="1">OFFSET(IND!AG$28,$E24,0)</f>
        <v>0.67583483421040569</v>
      </c>
      <c r="Y24" s="107">
        <f ca="1">OFFSET(IND!AH$28,$E24,0)</f>
        <v>0.7017077724243086</v>
      </c>
      <c r="Z24" s="107">
        <f ca="1">OFFSET(IND!AI$28,$E24,0)</f>
        <v>0.71888148125891771</v>
      </c>
      <c r="AA24" s="107">
        <f ca="1">OFFSET(IND!AJ$28,$E24,0)</f>
        <v>0.73621417922183841</v>
      </c>
      <c r="AB24" s="107">
        <f ca="1">OFFSET(IND!AK$28,$E24,0)</f>
        <v>0.75472655419786217</v>
      </c>
      <c r="AC24" s="107">
        <f ca="1">OFFSET(IND!AL$28,$E24,0)</f>
        <v>0.77453547934201439</v>
      </c>
      <c r="AD24" s="107">
        <f ca="1">OFFSET(IND!AM$28,$E24,0)</f>
        <v>0.79395020955080498</v>
      </c>
      <c r="AE24" s="107">
        <f ca="1">OFFSET(IND!AN$28,$E24,0)</f>
        <v>0.89856386943234512</v>
      </c>
      <c r="AF24" s="107">
        <f ca="1">OFFSET(IND!AO$28,$E24,0)</f>
        <v>1.0204067328873443</v>
      </c>
      <c r="AG24" s="107">
        <f ca="1">OFFSET(IND!AP$28,$E24,0)</f>
        <v>1.1512981246092691</v>
      </c>
      <c r="AH24" s="107">
        <f ca="1">OFFSET(IND!AQ$28,$E24,0)</f>
        <v>1.2892013488751966</v>
      </c>
      <c r="AJ24">
        <f t="shared" ca="1" si="1"/>
        <v>2.6944584104032834</v>
      </c>
    </row>
    <row r="25" spans="1:36">
      <c r="A25" s="27" t="s">
        <v>309</v>
      </c>
      <c r="B25">
        <v>1.432656898094</v>
      </c>
      <c r="C25" t="s">
        <v>724</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0">
        <f ca="1">OFFSET(IND!S$28,$E25,0)</f>
        <v>0.80388775661311962</v>
      </c>
      <c r="K25" s="107">
        <f ca="1">OFFSET(IND!T$28,$E25,0)</f>
        <v>0.88250691212998711</v>
      </c>
      <c r="L25" s="107">
        <f ca="1">OFFSET(IND!U$28,$E25,0)</f>
        <v>0.92406337307037656</v>
      </c>
      <c r="M25" s="107">
        <f ca="1">OFFSET(IND!V$28,$E25,0)</f>
        <v>0.93202719280859225</v>
      </c>
      <c r="N25" s="107">
        <f ca="1">OFFSET(IND!W$28,$E25,0)</f>
        <v>0.94145500811199434</v>
      </c>
      <c r="O25" s="170">
        <f ca="1">OFFSET(IND!X$28,$E25,0)</f>
        <v>0.94034676864025324</v>
      </c>
      <c r="P25" s="107">
        <f ca="1">OFFSET(IND!Y$28,$E25,0)</f>
        <v>0.94068286336814089</v>
      </c>
      <c r="Q25" s="107">
        <f ca="1">OFFSET(IND!Z$28,$E25,0)</f>
        <v>0.95637205737307418</v>
      </c>
      <c r="R25" s="107">
        <f ca="1">OFFSET(IND!AA$28,$E25,0)</f>
        <v>0.97329377213890911</v>
      </c>
      <c r="S25" s="107">
        <f ca="1">OFFSET(IND!AB$28,$E25,0)</f>
        <v>0.9933187420750702</v>
      </c>
      <c r="T25" s="107">
        <f ca="1">OFFSET(IND!AC$28,$E25,0)</f>
        <v>1.0229862586311329</v>
      </c>
      <c r="U25" s="107">
        <f ca="1">OFFSET(IND!AD$28,$E25,0)</f>
        <v>1.0521468998757024</v>
      </c>
      <c r="V25" s="107">
        <f ca="1">OFFSET(IND!AE$28,$E25,0)</f>
        <v>1.0807382489209716</v>
      </c>
      <c r="W25" s="107">
        <f ca="1">OFFSET(IND!AF$28,$E25,0)</f>
        <v>1.1103310873311345</v>
      </c>
      <c r="X25" s="107">
        <f ca="1">OFFSET(IND!AG$28,$E25,0)</f>
        <v>1.1404712827300598</v>
      </c>
      <c r="Y25" s="107">
        <f ca="1">OFFSET(IND!AH$28,$E25,0)</f>
        <v>1.1841318659660212</v>
      </c>
      <c r="Z25" s="107">
        <f ca="1">OFFSET(IND!AI$28,$E25,0)</f>
        <v>1.213112499624424</v>
      </c>
      <c r="AA25" s="107">
        <f ca="1">OFFSET(IND!AJ$28,$E25,0)</f>
        <v>1.2423614274368526</v>
      </c>
      <c r="AB25" s="107">
        <f ca="1">OFFSET(IND!AK$28,$E25,0)</f>
        <v>1.2736010602088927</v>
      </c>
      <c r="AC25" s="107">
        <f ca="1">OFFSET(IND!AL$28,$E25,0)</f>
        <v>1.3070286213896496</v>
      </c>
      <c r="AD25" s="107">
        <f ca="1">OFFSET(IND!AM$28,$E25,0)</f>
        <v>1.3397909786169837</v>
      </c>
      <c r="AE25" s="107">
        <f ca="1">OFFSET(IND!AN$28,$E25,0)</f>
        <v>1.5163265296670827</v>
      </c>
      <c r="AF25" s="107">
        <f ca="1">OFFSET(IND!AO$28,$E25,0)</f>
        <v>1.721936361747394</v>
      </c>
      <c r="AG25" s="107">
        <f ca="1">OFFSET(IND!AP$28,$E25,0)</f>
        <v>1.9428155852781421</v>
      </c>
      <c r="AH25" s="107">
        <f ca="1">OFFSET(IND!AQ$28,$E25,0)</f>
        <v>2.1755272762268949</v>
      </c>
      <c r="AJ25">
        <f t="shared" ca="1" si="1"/>
        <v>2.6944584104032843</v>
      </c>
    </row>
    <row r="26" spans="1:36">
      <c r="A26" s="27" t="s">
        <v>310</v>
      </c>
      <c r="B26">
        <v>1.857147830862</v>
      </c>
      <c r="C26" t="s">
        <v>724</v>
      </c>
      <c r="D26" t="s">
        <v>272</v>
      </c>
      <c r="E26" s="110">
        <f>MATCH(F26,IND!$D$29:$D$137,0)</f>
        <v>87</v>
      </c>
      <c r="F26" t="str">
        <f t="shared" si="0"/>
        <v>IFBK</v>
      </c>
      <c r="G26" s="107">
        <f ca="1">OFFSET(IND!P$28,$E26,0)</f>
        <v>1.04664</v>
      </c>
      <c r="H26" s="107">
        <f ca="1">OFFSET(IND!Q$28,$E26,0)</f>
        <v>1.0615210895287399</v>
      </c>
      <c r="I26" s="107">
        <f ca="1">OFFSET(IND!R$28,$E26,0)</f>
        <v>1.0580939907853684</v>
      </c>
      <c r="J26" s="170">
        <f ca="1">OFFSET(IND!S$28,$E26,0)</f>
        <v>1.0420767215355253</v>
      </c>
      <c r="K26" s="107">
        <f ca="1">OFFSET(IND!T$28,$E26,0)</f>
        <v>1.1439904416499833</v>
      </c>
      <c r="L26" s="107">
        <f ca="1">OFFSET(IND!U$28,$E26,0)</f>
        <v>1.1978599280541919</v>
      </c>
      <c r="M26" s="107">
        <f ca="1">OFFSET(IND!V$28,$E26,0)</f>
        <v>1.2081833980852124</v>
      </c>
      <c r="N26" s="107">
        <f ca="1">OFFSET(IND!W$28,$E26,0)</f>
        <v>1.220404640145178</v>
      </c>
      <c r="O26" s="170">
        <f ca="1">OFFSET(IND!X$28,$E26,0)</f>
        <v>1.2189680334225508</v>
      </c>
      <c r="P26" s="107">
        <f ca="1">OFFSET(IND!Y$28,$E26,0)</f>
        <v>1.2194037117735164</v>
      </c>
      <c r="Q26" s="107">
        <f ca="1">OFFSET(IND!Z$28,$E26,0)</f>
        <v>1.2397415558539855</v>
      </c>
      <c r="R26" s="107">
        <f ca="1">OFFSET(IND!AA$28,$E26,0)</f>
        <v>1.2616771120319197</v>
      </c>
      <c r="S26" s="107">
        <f ca="1">OFFSET(IND!AB$28,$E26,0)</f>
        <v>1.28763540639361</v>
      </c>
      <c r="T26" s="107">
        <f ca="1">OFFSET(IND!AC$28,$E26,0)</f>
        <v>1.3260932982255429</v>
      </c>
      <c r="U26" s="107">
        <f ca="1">OFFSET(IND!AD$28,$E26,0)</f>
        <v>1.3638941294685032</v>
      </c>
      <c r="V26" s="107">
        <f ca="1">OFFSET(IND!AE$28,$E26,0)</f>
        <v>1.4009569893420004</v>
      </c>
      <c r="W26" s="107">
        <f ca="1">OFFSET(IND!AF$28,$E26,0)</f>
        <v>1.4393180761699895</v>
      </c>
      <c r="X26" s="107">
        <f ca="1">OFFSET(IND!AG$28,$E26,0)</f>
        <v>1.4783886998352631</v>
      </c>
      <c r="Y26" s="107">
        <f ca="1">OFFSET(IND!AH$28,$E26,0)</f>
        <v>1.5349857521781758</v>
      </c>
      <c r="Z26" s="107">
        <f ca="1">OFFSET(IND!AI$28,$E26,0)</f>
        <v>1.5725532402538831</v>
      </c>
      <c r="AA26" s="107">
        <f ca="1">OFFSET(IND!AJ$28,$E26,0)</f>
        <v>1.6104685170477722</v>
      </c>
      <c r="AB26" s="107">
        <f ca="1">OFFSET(IND!AK$28,$E26,0)</f>
        <v>1.650964337307824</v>
      </c>
      <c r="AC26" s="107">
        <f ca="1">OFFSET(IND!AL$28,$E26,0)</f>
        <v>1.694296361060657</v>
      </c>
      <c r="AD26" s="107">
        <f ca="1">OFFSET(IND!AM$28,$E26,0)</f>
        <v>1.7367660833923866</v>
      </c>
      <c r="AE26" s="107">
        <f ca="1">OFFSET(IND!AN$28,$E26,0)</f>
        <v>1.9656084643832556</v>
      </c>
      <c r="AF26" s="107">
        <f ca="1">OFFSET(IND!AO$28,$E26,0)</f>
        <v>2.2321397281910667</v>
      </c>
      <c r="AG26" s="107">
        <f ca="1">OFFSET(IND!AP$28,$E26,0)</f>
        <v>2.5184646475827774</v>
      </c>
      <c r="AH26" s="107">
        <f ca="1">OFFSET(IND!AQ$28,$E26,0)</f>
        <v>2.8201279506644941</v>
      </c>
      <c r="AJ26">
        <f t="shared" ca="1" si="1"/>
        <v>2.6944584104032847</v>
      </c>
    </row>
    <row r="27" spans="1:36">
      <c r="A27" s="27" t="s">
        <v>311</v>
      </c>
      <c r="B27">
        <v>0.39796024947059999</v>
      </c>
      <c r="C27" t="s">
        <v>724</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0">
        <f ca="1">OFFSET(IND!S$28,$E27,0)</f>
        <v>0.22330215461475544</v>
      </c>
      <c r="K27" s="107">
        <f ca="1">OFFSET(IND!T$28,$E27,0)</f>
        <v>0.24514080892499643</v>
      </c>
      <c r="L27" s="107">
        <f ca="1">OFFSET(IND!U$28,$E27,0)</f>
        <v>0.25668427029732682</v>
      </c>
      <c r="M27" s="107">
        <f ca="1">OFFSET(IND!V$28,$E27,0)</f>
        <v>0.25889644244683119</v>
      </c>
      <c r="N27" s="107">
        <f ca="1">OFFSET(IND!W$28,$E27,0)</f>
        <v>0.26151528003110958</v>
      </c>
      <c r="O27" s="170">
        <f ca="1">OFFSET(IND!X$28,$E27,0)</f>
        <v>0.26120743573340371</v>
      </c>
      <c r="P27" s="107">
        <f ca="1">OFFSET(IND!Y$28,$E27,0)</f>
        <v>0.2613007953800392</v>
      </c>
      <c r="Q27" s="107">
        <f ca="1">OFFSET(IND!Z$28,$E27,0)</f>
        <v>0.26565890482585403</v>
      </c>
      <c r="R27" s="107">
        <f ca="1">OFFSET(IND!AA$28,$E27,0)</f>
        <v>0.27035938114969704</v>
      </c>
      <c r="S27" s="107">
        <f ca="1">OFFSET(IND!AB$28,$E27,0)</f>
        <v>0.27592187279863067</v>
      </c>
      <c r="T27" s="107">
        <f ca="1">OFFSET(IND!AC$28,$E27,0)</f>
        <v>0.28416284961975918</v>
      </c>
      <c r="U27" s="107">
        <f ca="1">OFFSET(IND!AD$28,$E27,0)</f>
        <v>0.29226302774325069</v>
      </c>
      <c r="V27" s="107">
        <f ca="1">OFFSET(IND!AE$28,$E27,0)</f>
        <v>0.30020506914471434</v>
      </c>
      <c r="W27" s="107">
        <f ca="1">OFFSET(IND!AF$28,$E27,0)</f>
        <v>0.30842530203642626</v>
      </c>
      <c r="X27" s="107">
        <f ca="1">OFFSET(IND!AG$28,$E27,0)</f>
        <v>0.31679757853612778</v>
      </c>
      <c r="Y27" s="107">
        <f ca="1">OFFSET(IND!AH$28,$E27,0)</f>
        <v>0.32892551832389477</v>
      </c>
      <c r="Z27" s="107">
        <f ca="1">OFFSET(IND!AI$28,$E27,0)</f>
        <v>0.33697569434011782</v>
      </c>
      <c r="AA27" s="107">
        <f ca="1">OFFSET(IND!AJ$28,$E27,0)</f>
        <v>0.34510039651023688</v>
      </c>
      <c r="AB27" s="107">
        <f ca="1">OFFSET(IND!AK$28,$E27,0)</f>
        <v>0.35377807228024799</v>
      </c>
      <c r="AC27" s="107">
        <f ca="1">OFFSET(IND!AL$28,$E27,0)</f>
        <v>0.36306350594156939</v>
      </c>
      <c r="AD27" s="107">
        <f ca="1">OFFSET(IND!AM$28,$E27,0)</f>
        <v>0.37216416072693997</v>
      </c>
      <c r="AE27" s="107">
        <f ca="1">OFFSET(IND!AN$28,$E27,0)</f>
        <v>0.42120181379641192</v>
      </c>
      <c r="AF27" s="107">
        <f ca="1">OFFSET(IND!AO$28,$E27,0)</f>
        <v>0.47831565604094284</v>
      </c>
      <c r="AG27" s="107">
        <f ca="1">OFFSET(IND!AP$28,$E27,0)</f>
        <v>0.53967099591059509</v>
      </c>
      <c r="AH27" s="107">
        <f ca="1">OFFSET(IND!AQ$28,$E27,0)</f>
        <v>0.60431313228524863</v>
      </c>
      <c r="AJ27">
        <f t="shared" ca="1" si="1"/>
        <v>2.6944584104032843</v>
      </c>
    </row>
    <row r="28" spans="1:36">
      <c r="A28" s="27" t="s">
        <v>312</v>
      </c>
      <c r="B28">
        <v>4.45715479407</v>
      </c>
      <c r="C28" t="s">
        <v>724</v>
      </c>
      <c r="D28" t="s">
        <v>272</v>
      </c>
      <c r="E28" s="110">
        <f>MATCH(F28,IND!$D$29:$D$137,0)</f>
        <v>94</v>
      </c>
      <c r="F28" t="str">
        <f t="shared" si="0"/>
        <v>IFBO</v>
      </c>
      <c r="G28" s="107">
        <f ca="1">OFFSET(IND!P$28,$E28,0)</f>
        <v>2.5119359999999999</v>
      </c>
      <c r="H28" s="107">
        <f ca="1">OFFSET(IND!Q$28,$E28,0)</f>
        <v>2.5476506148689761</v>
      </c>
      <c r="I28" s="107">
        <f ca="1">OFFSET(IND!R$28,$E28,0)</f>
        <v>2.5394255778848849</v>
      </c>
      <c r="J28" s="170">
        <f ca="1">OFFSET(IND!S$28,$E28,0)</f>
        <v>2.5009841316852612</v>
      </c>
      <c r="K28" s="107">
        <f ca="1">OFFSET(IND!T$28,$E28,0)</f>
        <v>2.74557705995996</v>
      </c>
      <c r="L28" s="107">
        <f ca="1">OFFSET(IND!U$28,$E28,0)</f>
        <v>2.8748638273300604</v>
      </c>
      <c r="M28" s="107">
        <f ca="1">OFFSET(IND!V$28,$E28,0)</f>
        <v>2.8996401554045095</v>
      </c>
      <c r="N28" s="107">
        <f ca="1">OFFSET(IND!W$28,$E28,0)</f>
        <v>2.928971136348427</v>
      </c>
      <c r="O28" s="170">
        <f ca="1">OFFSET(IND!X$28,$E28,0)</f>
        <v>2.9255232802141213</v>
      </c>
      <c r="P28" s="107">
        <f ca="1">OFFSET(IND!Y$28,$E28,0)</f>
        <v>2.9265689082564386</v>
      </c>
      <c r="Q28" s="107">
        <f ca="1">OFFSET(IND!Z$28,$E28,0)</f>
        <v>2.9753797340495645</v>
      </c>
      <c r="R28" s="107">
        <f ca="1">OFFSET(IND!AA$28,$E28,0)</f>
        <v>3.0280250688766066</v>
      </c>
      <c r="S28" s="107">
        <f ca="1">OFFSET(IND!AB$28,$E28,0)</f>
        <v>3.0903249753446631</v>
      </c>
      <c r="T28" s="107">
        <f ca="1">OFFSET(IND!AC$28,$E28,0)</f>
        <v>3.1826239157413023</v>
      </c>
      <c r="U28" s="107">
        <f ca="1">OFFSET(IND!AD$28,$E28,0)</f>
        <v>3.2733459107244069</v>
      </c>
      <c r="V28" s="107">
        <f ca="1">OFFSET(IND!AE$28,$E28,0)</f>
        <v>3.3622967744208001</v>
      </c>
      <c r="W28" s="107">
        <f ca="1">OFFSET(IND!AF$28,$E28,0)</f>
        <v>3.4543633828079741</v>
      </c>
      <c r="X28" s="107">
        <f ca="1">OFFSET(IND!AG$28,$E28,0)</f>
        <v>3.5481328796046308</v>
      </c>
      <c r="Y28" s="107">
        <f ca="1">OFFSET(IND!AH$28,$E28,0)</f>
        <v>3.6839658052276212</v>
      </c>
      <c r="Z28" s="107">
        <f ca="1">OFFSET(IND!AI$28,$E28,0)</f>
        <v>3.7741277766093191</v>
      </c>
      <c r="AA28" s="107">
        <f ca="1">OFFSET(IND!AJ$28,$E28,0)</f>
        <v>3.8651244409146526</v>
      </c>
      <c r="AB28" s="107">
        <f ca="1">OFFSET(IND!AK$28,$E28,0)</f>
        <v>3.9623144095387772</v>
      </c>
      <c r="AC28" s="107">
        <f ca="1">OFFSET(IND!AL$28,$E28,0)</f>
        <v>4.0663112665455765</v>
      </c>
      <c r="AD28" s="107">
        <f ca="1">OFFSET(IND!AM$28,$E28,0)</f>
        <v>4.1682386001417271</v>
      </c>
      <c r="AE28" s="107">
        <f ca="1">OFFSET(IND!AN$28,$E28,0)</f>
        <v>4.7174603145198128</v>
      </c>
      <c r="AF28" s="107">
        <f ca="1">OFFSET(IND!AO$28,$E28,0)</f>
        <v>5.3571353476585593</v>
      </c>
      <c r="AG28" s="107">
        <f ca="1">OFFSET(IND!AP$28,$E28,0)</f>
        <v>6.0443151541986646</v>
      </c>
      <c r="AH28" s="107">
        <f ca="1">OFFSET(IND!AQ$28,$E28,0)</f>
        <v>6.7683070815947843</v>
      </c>
      <c r="AJ28">
        <f t="shared" ca="1" si="1"/>
        <v>2.6944584104032843</v>
      </c>
    </row>
    <row r="29" spans="1:36">
      <c r="A29" s="27" t="s">
        <v>313</v>
      </c>
      <c r="B29">
        <v>5.9428730587610001</v>
      </c>
      <c r="C29" t="s">
        <v>724</v>
      </c>
      <c r="D29" t="s">
        <v>272</v>
      </c>
      <c r="E29" s="110">
        <f>MATCH(F29,IND!$D$29:$D$137,0)</f>
        <v>92</v>
      </c>
      <c r="F29" t="str">
        <f t="shared" si="0"/>
        <v>IFBP</v>
      </c>
      <c r="G29" s="107">
        <f ca="1">OFFSET(IND!P$28,$E29,0)</f>
        <v>3.3492479999999998</v>
      </c>
      <c r="H29" s="107">
        <f ca="1">OFFSET(IND!Q$28,$E29,0)</f>
        <v>3.3968674864919679</v>
      </c>
      <c r="I29" s="107">
        <f ca="1">OFFSET(IND!R$28,$E29,0)</f>
        <v>3.3859007705131794</v>
      </c>
      <c r="J29" s="170">
        <f ca="1">OFFSET(IND!S$28,$E29,0)</f>
        <v>3.3346455089136815</v>
      </c>
      <c r="K29" s="107">
        <f ca="1">OFFSET(IND!T$28,$E29,0)</f>
        <v>3.6607694132799469</v>
      </c>
      <c r="L29" s="107">
        <f ca="1">OFFSET(IND!U$28,$E29,0)</f>
        <v>3.8331517697734143</v>
      </c>
      <c r="M29" s="107">
        <f ca="1">OFFSET(IND!V$28,$E29,0)</f>
        <v>3.8661868738726795</v>
      </c>
      <c r="N29" s="107">
        <f ca="1">OFFSET(IND!W$28,$E29,0)</f>
        <v>3.9052948484645698</v>
      </c>
      <c r="O29" s="170">
        <f ca="1">OFFSET(IND!X$28,$E29,0)</f>
        <v>3.9006977069521622</v>
      </c>
      <c r="P29" s="107">
        <f ca="1">OFFSET(IND!Y$28,$E29,0)</f>
        <v>3.902091877675252</v>
      </c>
      <c r="Q29" s="107">
        <f ca="1">OFFSET(IND!Z$28,$E29,0)</f>
        <v>3.9671729787327532</v>
      </c>
      <c r="R29" s="107">
        <f ca="1">OFFSET(IND!AA$28,$E29,0)</f>
        <v>4.0373667585021424</v>
      </c>
      <c r="S29" s="107">
        <f ca="1">OFFSET(IND!AB$28,$E29,0)</f>
        <v>4.1204333004595517</v>
      </c>
      <c r="T29" s="107">
        <f ca="1">OFFSET(IND!AC$28,$E29,0)</f>
        <v>4.2434985543217376</v>
      </c>
      <c r="U29" s="107">
        <f ca="1">OFFSET(IND!AD$28,$E29,0)</f>
        <v>4.3644612142992107</v>
      </c>
      <c r="V29" s="107">
        <f ca="1">OFFSET(IND!AE$28,$E29,0)</f>
        <v>4.4830623658944013</v>
      </c>
      <c r="W29" s="107">
        <f ca="1">OFFSET(IND!AF$28,$E29,0)</f>
        <v>4.6058178437439663</v>
      </c>
      <c r="X29" s="107">
        <f ca="1">OFFSET(IND!AG$28,$E29,0)</f>
        <v>4.7308438394728416</v>
      </c>
      <c r="Y29" s="107">
        <f ca="1">OFFSET(IND!AH$28,$E29,0)</f>
        <v>4.9119544069701622</v>
      </c>
      <c r="Z29" s="107">
        <f ca="1">OFFSET(IND!AI$28,$E29,0)</f>
        <v>5.0321703688124257</v>
      </c>
      <c r="AA29" s="107">
        <f ca="1">OFFSET(IND!AJ$28,$E29,0)</f>
        <v>5.1534992545528704</v>
      </c>
      <c r="AB29" s="107">
        <f ca="1">OFFSET(IND!AK$28,$E29,0)</f>
        <v>5.2830858793850366</v>
      </c>
      <c r="AC29" s="107">
        <f ca="1">OFFSET(IND!AL$28,$E29,0)</f>
        <v>5.4217483553941026</v>
      </c>
      <c r="AD29" s="107">
        <f ca="1">OFFSET(IND!AM$28,$E29,0)</f>
        <v>5.5576514668556367</v>
      </c>
      <c r="AE29" s="107">
        <f ca="1">OFFSET(IND!AN$28,$E29,0)</f>
        <v>6.2899470860264177</v>
      </c>
      <c r="AF29" s="107">
        <f ca="1">OFFSET(IND!AO$28,$E29,0)</f>
        <v>7.1428471302114129</v>
      </c>
      <c r="AG29" s="107">
        <f ca="1">OFFSET(IND!AP$28,$E29,0)</f>
        <v>8.0590868722648867</v>
      </c>
      <c r="AH29" s="107">
        <f ca="1">OFFSET(IND!AQ$28,$E29,0)</f>
        <v>9.0244094421263803</v>
      </c>
      <c r="AJ29">
        <f t="shared" ca="1" si="1"/>
        <v>2.6944584104032847</v>
      </c>
    </row>
    <row r="30" spans="1:36">
      <c r="A30" s="27" t="s">
        <v>314</v>
      </c>
      <c r="B30">
        <v>28.205650466129999</v>
      </c>
      <c r="C30" t="s">
        <v>724</v>
      </c>
      <c r="D30" t="s">
        <v>272</v>
      </c>
      <c r="E30" s="110">
        <f>MATCH(F30,IND!$D$29:$D$137,0)</f>
        <v>96</v>
      </c>
      <c r="F30" t="str">
        <f t="shared" si="0"/>
        <v>IFBS</v>
      </c>
      <c r="G30" s="107">
        <f ca="1">OFFSET(IND!P$28,$E30,0)</f>
        <v>40.544747177343801</v>
      </c>
      <c r="H30" s="107">
        <f ca="1">OFFSET(IND!Q$28,$E30,0)</f>
        <v>41.121210921005598</v>
      </c>
      <c r="I30" s="107">
        <f ca="1">OFFSET(IND!R$28,$E30,0)</f>
        <v>40.988451947431315</v>
      </c>
      <c r="J30" s="170">
        <f ca="1">OFFSET(IND!S$28,$E30,0)</f>
        <v>40.367974866289437</v>
      </c>
      <c r="K30" s="107">
        <f ca="1">OFFSET(IND!T$28,$E30,0)</f>
        <v>44.315909223798485</v>
      </c>
      <c r="L30" s="107">
        <f ca="1">OFFSET(IND!U$28,$E30,0)</f>
        <v>46.402705741065162</v>
      </c>
      <c r="M30" s="107">
        <f ca="1">OFFSET(IND!V$28,$E30,0)</f>
        <v>46.802616390763824</v>
      </c>
      <c r="N30" s="107">
        <f ca="1">OFFSET(IND!W$28,$E30,0)</f>
        <v>47.276042945753531</v>
      </c>
      <c r="O30" s="170">
        <f ca="1">OFFSET(IND!X$28,$E30,0)</f>
        <v>47.220391665120076</v>
      </c>
      <c r="P30" s="107">
        <f ca="1">OFFSET(IND!Y$28,$E30,0)</f>
        <v>47.237268975934242</v>
      </c>
      <c r="Q30" s="107">
        <f ca="1">OFFSET(IND!Z$28,$E30,0)</f>
        <v>48.025116513172314</v>
      </c>
      <c r="R30" s="107">
        <f ca="1">OFFSET(IND!AA$28,$E30,0)</f>
        <v>48.874856232109835</v>
      </c>
      <c r="S30" s="107">
        <f ca="1">OFFSET(IND!AB$28,$E30,0)</f>
        <v>49.88042880916575</v>
      </c>
      <c r="T30" s="107">
        <f ca="1">OFFSET(IND!AC$28,$E30,0)</f>
        <v>51.370210874918406</v>
      </c>
      <c r="U30" s="107">
        <f ca="1">OFFSET(IND!AD$28,$E30,0)</f>
        <v>52.834539723270531</v>
      </c>
      <c r="V30" s="107">
        <f ca="1">OFFSET(IND!AE$28,$E30,0)</f>
        <v>54.270281031877367</v>
      </c>
      <c r="W30" s="107">
        <f ca="1">OFFSET(IND!AF$28,$E30,0)</f>
        <v>55.756313064752995</v>
      </c>
      <c r="X30" s="107">
        <f ca="1">OFFSET(IND!AG$28,$E30,0)</f>
        <v>57.269831140280075</v>
      </c>
      <c r="Y30" s="107">
        <f ca="1">OFFSET(IND!AH$28,$E30,0)</f>
        <v>59.462288124750657</v>
      </c>
      <c r="Z30" s="107">
        <f ca="1">OFFSET(IND!AI$28,$E30,0)</f>
        <v>60.917577723960925</v>
      </c>
      <c r="AA30" s="107">
        <f ca="1">OFFSET(IND!AJ$28,$E30,0)</f>
        <v>62.386339964814738</v>
      </c>
      <c r="AB30" s="107">
        <f ca="1">OFFSET(IND!AK$28,$E30,0)</f>
        <v>63.955067315367899</v>
      </c>
      <c r="AC30" s="107">
        <f ca="1">OFFSET(IND!AL$28,$E30,0)</f>
        <v>65.633663535406569</v>
      </c>
      <c r="AD30" s="107">
        <f ca="1">OFFSET(IND!AM$28,$E30,0)</f>
        <v>67.278855917344927</v>
      </c>
      <c r="AE30" s="107">
        <f ca="1">OFFSET(IND!AN$28,$E30,0)</f>
        <v>76.1437535714917</v>
      </c>
      <c r="AF30" s="107">
        <f ca="1">OFFSET(IND!AO$28,$E30,0)</f>
        <v>86.468643415130018</v>
      </c>
      <c r="AG30" s="107">
        <f ca="1">OFFSET(IND!AP$28,$E30,0)</f>
        <v>97.560300018460907</v>
      </c>
      <c r="AH30" s="107">
        <f ca="1">OFFSET(IND!AQ$28,$E30,0)</f>
        <v>109.24613502966881</v>
      </c>
      <c r="AJ30">
        <f t="shared" ca="1" si="1"/>
        <v>2.6944584104032838</v>
      </c>
    </row>
    <row r="31" spans="1:36">
      <c r="A31" s="27" t="s">
        <v>315</v>
      </c>
      <c r="B31">
        <v>1.0975498905550001</v>
      </c>
      <c r="C31" t="s">
        <v>724</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0">
        <f ca="1">OFFSET(IND!S$28,$E31,0)</f>
        <v>0.68333358670962918</v>
      </c>
      <c r="K31" s="107">
        <f ca="1">OFFSET(IND!T$28,$E31,0)</f>
        <v>0.80399593690809534</v>
      </c>
      <c r="L31" s="107">
        <f ca="1">OFFSET(IND!U$28,$E31,0)</f>
        <v>0.75465325964146068</v>
      </c>
      <c r="M31" s="107">
        <f ca="1">OFFSET(IND!V$28,$E31,0)</f>
        <v>0.7600135102195984</v>
      </c>
      <c r="N31" s="107">
        <f ca="1">OFFSET(IND!W$28,$E31,0)</f>
        <v>0.75841181068769425</v>
      </c>
      <c r="O31" s="170">
        <f ca="1">OFFSET(IND!X$28,$E31,0)</f>
        <v>0.76198116134425586</v>
      </c>
      <c r="P31" s="107">
        <f ca="1">OFFSET(IND!Y$28,$E31,0)</f>
        <v>0.77840329798701757</v>
      </c>
      <c r="Q31" s="107">
        <f ca="1">OFFSET(IND!Z$28,$E31,0)</f>
        <v>0.79112565883563579</v>
      </c>
      <c r="R31" s="107">
        <f ca="1">OFFSET(IND!AA$28,$E31,0)</f>
        <v>0.80464802456979478</v>
      </c>
      <c r="S31" s="107">
        <f ca="1">OFFSET(IND!AB$28,$E31,0)</f>
        <v>0.82375599442395608</v>
      </c>
      <c r="T31" s="107">
        <f ca="1">OFFSET(IND!AC$28,$E31,0)</f>
        <v>0.84659323244900109</v>
      </c>
      <c r="U31" s="107">
        <f ca="1">OFFSET(IND!AD$28,$E31,0)</f>
        <v>0.86923041434450687</v>
      </c>
      <c r="V31" s="107">
        <f ca="1">OFFSET(IND!AE$28,$E31,0)</f>
        <v>0.89415844374095277</v>
      </c>
      <c r="W31" s="107">
        <f ca="1">OFFSET(IND!AF$28,$E31,0)</f>
        <v>0.91971312049353704</v>
      </c>
      <c r="X31" s="107">
        <f ca="1">OFFSET(IND!AG$28,$E31,0)</f>
        <v>0.94687814218838806</v>
      </c>
      <c r="Y31" s="107">
        <f ca="1">OFFSET(IND!AH$28,$E31,0)</f>
        <v>0.97928045399174257</v>
      </c>
      <c r="Z31" s="107">
        <f ca="1">OFFSET(IND!AI$28,$E31,0)</f>
        <v>1.0097607468578278</v>
      </c>
      <c r="AA31" s="107">
        <f ca="1">OFFSET(IND!AJ$28,$E31,0)</f>
        <v>1.0397856841710142</v>
      </c>
      <c r="AB31" s="107">
        <f ca="1">OFFSET(IND!AK$28,$E31,0)</f>
        <v>1.0726260029083123</v>
      </c>
      <c r="AC31" s="107">
        <f ca="1">OFFSET(IND!AL$28,$E31,0)</f>
        <v>1.1062862088460681</v>
      </c>
      <c r="AD31" s="107">
        <f ca="1">OFFSET(IND!AM$28,$E31,0)</f>
        <v>1.140828162108694</v>
      </c>
      <c r="AE31" s="107">
        <f ca="1">OFFSET(IND!AN$28,$E31,0)</f>
        <v>1.3409157731326495</v>
      </c>
      <c r="AF31" s="107">
        <f ca="1">OFFSET(IND!AO$28,$E31,0)</f>
        <v>1.5531767456311718</v>
      </c>
      <c r="AG31" s="107">
        <f ca="1">OFFSET(IND!AP$28,$E31,0)</f>
        <v>1.796294234238031</v>
      </c>
      <c r="AH31" s="107">
        <f ca="1">OFFSET(IND!AQ$28,$E31,0)</f>
        <v>2.0041505984412931</v>
      </c>
      <c r="AJ31">
        <f t="shared" ca="1" si="1"/>
        <v>2.7858807022208438</v>
      </c>
    </row>
    <row r="32" spans="1:36">
      <c r="A32" s="27" t="s">
        <v>316</v>
      </c>
      <c r="B32">
        <v>19.17682172608</v>
      </c>
      <c r="C32" t="s">
        <v>724</v>
      </c>
      <c r="D32" t="s">
        <v>272</v>
      </c>
      <c r="E32" s="110">
        <f>MATCH(F32,IND!$D$29:$D$137,0)</f>
        <v>55</v>
      </c>
      <c r="F32" t="str">
        <f t="shared" si="0"/>
        <v>IMIC</v>
      </c>
      <c r="G32" s="107">
        <f ca="1">OFFSET(IND!P$28,$E32,0)</f>
        <v>12.569563545045501</v>
      </c>
      <c r="H32" s="107">
        <f ca="1">OFFSET(IND!Q$28,$E32,0)</f>
        <v>12.531399189637925</v>
      </c>
      <c r="I32" s="107">
        <f ca="1">OFFSET(IND!R$28,$E32,0)</f>
        <v>12.403916762262918</v>
      </c>
      <c r="J32" s="170">
        <f ca="1">OFFSET(IND!S$28,$E32,0)</f>
        <v>11.93947216844731</v>
      </c>
      <c r="K32" s="107">
        <f ca="1">OFFSET(IND!T$28,$E32,0)</f>
        <v>14.047732028629197</v>
      </c>
      <c r="L32" s="107">
        <f ca="1">OFFSET(IND!U$28,$E32,0)</f>
        <v>13.185597438145498</v>
      </c>
      <c r="M32" s="107">
        <f ca="1">OFFSET(IND!V$28,$E32,0)</f>
        <v>13.279253836481987</v>
      </c>
      <c r="N32" s="107">
        <f ca="1">OFFSET(IND!W$28,$E32,0)</f>
        <v>13.251268314688058</v>
      </c>
      <c r="O32" s="170">
        <f ca="1">OFFSET(IND!X$28,$E32,0)</f>
        <v>13.313633407890416</v>
      </c>
      <c r="P32" s="107">
        <f ca="1">OFFSET(IND!Y$28,$E32,0)</f>
        <v>13.60056741377883</v>
      </c>
      <c r="Q32" s="107">
        <f ca="1">OFFSET(IND!Z$28,$E32,0)</f>
        <v>13.82285748735832</v>
      </c>
      <c r="R32" s="107">
        <f ca="1">OFFSET(IND!AA$28,$E32,0)</f>
        <v>14.059125559753189</v>
      </c>
      <c r="S32" s="107">
        <f ca="1">OFFSET(IND!AB$28,$E32,0)</f>
        <v>14.39298749586527</v>
      </c>
      <c r="T32" s="107">
        <f ca="1">OFFSET(IND!AC$28,$E32,0)</f>
        <v>14.792008666648284</v>
      </c>
      <c r="U32" s="107">
        <f ca="1">OFFSET(IND!AD$28,$E32,0)</f>
        <v>15.187534378350671</v>
      </c>
      <c r="V32" s="107">
        <f ca="1">OFFSET(IND!AE$28,$E32,0)</f>
        <v>15.623086675181609</v>
      </c>
      <c r="W32" s="107">
        <f ca="1">OFFSET(IND!AF$28,$E32,0)</f>
        <v>16.069588000149846</v>
      </c>
      <c r="X32" s="107">
        <f ca="1">OFFSET(IND!AG$28,$E32,0)</f>
        <v>16.544225902909282</v>
      </c>
      <c r="Y32" s="107">
        <f ca="1">OFFSET(IND!AH$28,$E32,0)</f>
        <v>17.110371790501802</v>
      </c>
      <c r="Z32" s="107">
        <f ca="1">OFFSET(IND!AI$28,$E32,0)</f>
        <v>17.642935410143387</v>
      </c>
      <c r="AA32" s="107">
        <f ca="1">OFFSET(IND!AJ$28,$E32,0)</f>
        <v>18.167542879148851</v>
      </c>
      <c r="AB32" s="107">
        <f ca="1">OFFSET(IND!AK$28,$E32,0)</f>
        <v>18.74134179550963</v>
      </c>
      <c r="AC32" s="107">
        <f ca="1">OFFSET(IND!AL$28,$E32,0)</f>
        <v>19.329466102282236</v>
      </c>
      <c r="AD32" s="107">
        <f ca="1">OFFSET(IND!AM$28,$E32,0)</f>
        <v>19.93299664379823</v>
      </c>
      <c r="AE32" s="107">
        <f ca="1">OFFSET(IND!AN$28,$E32,0)</f>
        <v>23.429005781260351</v>
      </c>
      <c r="AF32" s="107">
        <f ca="1">OFFSET(IND!AO$28,$E32,0)</f>
        <v>27.137712660131456</v>
      </c>
      <c r="AG32" s="107">
        <f ca="1">OFFSET(IND!AP$28,$E32,0)</f>
        <v>31.385556678543288</v>
      </c>
      <c r="AH32" s="107">
        <f ca="1">OFFSET(IND!AQ$28,$E32,0)</f>
        <v>35.017304515480866</v>
      </c>
      <c r="AJ32">
        <f t="shared" ca="1" si="1"/>
        <v>2.7858807022208429</v>
      </c>
    </row>
    <row r="33" spans="1:36">
      <c r="A33" s="27" t="s">
        <v>317</v>
      </c>
      <c r="B33">
        <v>0.20646280210080001</v>
      </c>
      <c r="C33" t="s">
        <v>724</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0">
        <f ca="1">OFFSET(IND!S$28,$E33,0)</f>
        <v>0.12854355715003868</v>
      </c>
      <c r="K33" s="107">
        <f ca="1">OFFSET(IND!T$28,$E33,0)</f>
        <v>0.15124164781945779</v>
      </c>
      <c r="L33" s="107">
        <f ca="1">OFFSET(IND!U$28,$E33,0)</f>
        <v>0.14195967576580723</v>
      </c>
      <c r="M33" s="107">
        <f ca="1">OFFSET(IND!V$28,$E33,0)</f>
        <v>0.14296800565025963</v>
      </c>
      <c r="N33" s="107">
        <f ca="1">OFFSET(IND!W$28,$E33,0)</f>
        <v>0.14266670602249232</v>
      </c>
      <c r="O33" s="170">
        <f ca="1">OFFSET(IND!X$28,$E33,0)</f>
        <v>0.14333814532978517</v>
      </c>
      <c r="P33" s="107">
        <f ca="1">OFFSET(IND!Y$28,$E33,0)</f>
        <v>0.14642735373563745</v>
      </c>
      <c r="Q33" s="107">
        <f ca="1">OFFSET(IND!Z$28,$E33,0)</f>
        <v>0.14882058824164554</v>
      </c>
      <c r="R33" s="107">
        <f ca="1">OFFSET(IND!AA$28,$E33,0)</f>
        <v>0.15136431362901073</v>
      </c>
      <c r="S33" s="107">
        <f ca="1">OFFSET(IND!AB$28,$E33,0)</f>
        <v>0.15495876070835987</v>
      </c>
      <c r="T33" s="107">
        <f ca="1">OFFSET(IND!AC$28,$E33,0)</f>
        <v>0.15925472957088388</v>
      </c>
      <c r="U33" s="107">
        <f ca="1">OFFSET(IND!AD$28,$E33,0)</f>
        <v>0.16351306538416108</v>
      </c>
      <c r="V33" s="107">
        <f ca="1">OFFSET(IND!AE$28,$E33,0)</f>
        <v>0.16820233814007718</v>
      </c>
      <c r="W33" s="107">
        <f ca="1">OFFSET(IND!AF$28,$E33,0)</f>
        <v>0.17300949106726446</v>
      </c>
      <c r="X33" s="107">
        <f ca="1">OFFSET(IND!AG$28,$E33,0)</f>
        <v>0.17811956993156874</v>
      </c>
      <c r="Y33" s="107">
        <f ca="1">OFFSET(IND!AH$28,$E33,0)</f>
        <v>0.18421484828477189</v>
      </c>
      <c r="Z33" s="107">
        <f ca="1">OFFSET(IND!AI$28,$E33,0)</f>
        <v>0.18994857094115064</v>
      </c>
      <c r="AA33" s="107">
        <f ca="1">OFFSET(IND!AJ$28,$E33,0)</f>
        <v>0.19559663554752851</v>
      </c>
      <c r="AB33" s="107">
        <f ca="1">OFFSET(IND!AK$28,$E33,0)</f>
        <v>0.20177430845946631</v>
      </c>
      <c r="AC33" s="107">
        <f ca="1">OFFSET(IND!AL$28,$E33,0)</f>
        <v>0.20810621236378968</v>
      </c>
      <c r="AD33" s="107">
        <f ca="1">OFFSET(IND!AM$28,$E33,0)</f>
        <v>0.21460398392023897</v>
      </c>
      <c r="AE33" s="107">
        <f ca="1">OFFSET(IND!AN$28,$E33,0)</f>
        <v>0.25224295522636009</v>
      </c>
      <c r="AF33" s="107">
        <f ca="1">OFFSET(IND!AO$28,$E33,0)</f>
        <v>0.29217188741959177</v>
      </c>
      <c r="AG33" s="107">
        <f ca="1">OFFSET(IND!AP$28,$E33,0)</f>
        <v>0.33790531454614298</v>
      </c>
      <c r="AH33" s="107">
        <f ca="1">OFFSET(IND!AQ$28,$E33,0)</f>
        <v>0.37700568506885646</v>
      </c>
      <c r="AJ33">
        <f t="shared" ca="1" si="1"/>
        <v>2.7858807022208443</v>
      </c>
    </row>
    <row r="34" spans="1:36">
      <c r="A34" s="27" t="s">
        <v>318</v>
      </c>
      <c r="B34">
        <v>6.5077475668130003</v>
      </c>
      <c r="C34" t="s">
        <v>724</v>
      </c>
      <c r="D34" t="s">
        <v>272</v>
      </c>
      <c r="E34" s="110">
        <f>MATCH(F34,IND!$D$29:$D$137,0)</f>
        <v>58</v>
      </c>
      <c r="F34" t="str">
        <f t="shared" si="0"/>
        <v>IMIF</v>
      </c>
      <c r="G34" s="107">
        <f ca="1">OFFSET(IND!P$28,$E34,0)</f>
        <v>4.2655424211891404</v>
      </c>
      <c r="H34" s="107">
        <f ca="1">OFFSET(IND!Q$28,$E34,0)</f>
        <v>4.2525911618725418</v>
      </c>
      <c r="I34" s="107">
        <f ca="1">OFFSET(IND!R$28,$E34,0)</f>
        <v>4.2093293811451913</v>
      </c>
      <c r="J34" s="170">
        <f ca="1">OFFSET(IND!S$28,$E34,0)</f>
        <v>4.0517178530986726</v>
      </c>
      <c r="K34" s="107">
        <f ca="1">OFFSET(IND!T$28,$E34,0)</f>
        <v>4.7671660734182089</v>
      </c>
      <c r="L34" s="107">
        <f ca="1">OFFSET(IND!U$28,$E34,0)</f>
        <v>4.4745965139976454</v>
      </c>
      <c r="M34" s="107">
        <f ca="1">OFFSET(IND!V$28,$E34,0)</f>
        <v>4.5063792675267083</v>
      </c>
      <c r="N34" s="107">
        <f ca="1">OFFSET(IND!W$28,$E34,0)</f>
        <v>4.4968822448207639</v>
      </c>
      <c r="O34" s="170">
        <f ca="1">OFFSET(IND!X$28,$E34,0)</f>
        <v>4.5180461420159794</v>
      </c>
      <c r="P34" s="107">
        <f ca="1">OFFSET(IND!Y$28,$E34,0)</f>
        <v>4.6154185901373941</v>
      </c>
      <c r="Q34" s="107">
        <f ca="1">OFFSET(IND!Z$28,$E34,0)</f>
        <v>4.6908538059477562</v>
      </c>
      <c r="R34" s="107">
        <f ca="1">OFFSET(IND!AA$28,$E34,0)</f>
        <v>4.7710325235270279</v>
      </c>
      <c r="S34" s="107">
        <f ca="1">OFFSET(IND!AB$28,$E34,0)</f>
        <v>4.8843301926308813</v>
      </c>
      <c r="T34" s="107">
        <f ca="1">OFFSET(IND!AC$28,$E34,0)</f>
        <v>5.0197399644044118</v>
      </c>
      <c r="U34" s="107">
        <f ca="1">OFFSET(IND!AD$28,$E34,0)</f>
        <v>5.1539635351665458</v>
      </c>
      <c r="V34" s="107">
        <f ca="1">OFFSET(IND!AE$28,$E34,0)</f>
        <v>5.3017703219432466</v>
      </c>
      <c r="W34" s="107">
        <f ca="1">OFFSET(IND!AF$28,$E34,0)</f>
        <v>5.4532927145819228</v>
      </c>
      <c r="X34" s="107">
        <f ca="1">OFFSET(IND!AG$28,$E34,0)</f>
        <v>5.6143633915126774</v>
      </c>
      <c r="Y34" s="107">
        <f ca="1">OFFSET(IND!AH$28,$E34,0)</f>
        <v>5.8064877474183803</v>
      </c>
      <c r="Z34" s="107">
        <f ca="1">OFFSET(IND!AI$28,$E34,0)</f>
        <v>5.9872157976344633</v>
      </c>
      <c r="AA34" s="107">
        <f ca="1">OFFSET(IND!AJ$28,$E34,0)</f>
        <v>6.1652438895006698</v>
      </c>
      <c r="AB34" s="107">
        <f ca="1">OFFSET(IND!AK$28,$E34,0)</f>
        <v>6.3599653378785668</v>
      </c>
      <c r="AC34" s="107">
        <f ca="1">OFFSET(IND!AL$28,$E34,0)</f>
        <v>6.5595481770504049</v>
      </c>
      <c r="AD34" s="107">
        <f ca="1">OFFSET(IND!AM$28,$E34,0)</f>
        <v>6.7643591967881953</v>
      </c>
      <c r="AE34" s="107">
        <f ca="1">OFFSET(IND!AN$28,$E34,0)</f>
        <v>7.9507468726425019</v>
      </c>
      <c r="AF34" s="107">
        <f ca="1">OFFSET(IND!AO$28,$E34,0)</f>
        <v>9.2093145598090356</v>
      </c>
      <c r="AG34" s="107">
        <f ca="1">OFFSET(IND!AP$28,$E34,0)</f>
        <v>10.650841053087497</v>
      </c>
      <c r="AH34" s="107">
        <f ca="1">OFFSET(IND!AQ$28,$E34,0)</f>
        <v>11.883292315695206</v>
      </c>
      <c r="AJ34">
        <f t="shared" ca="1" si="1"/>
        <v>2.7858807022208452</v>
      </c>
    </row>
    <row r="35" spans="1:36">
      <c r="A35" s="27" t="s">
        <v>319</v>
      </c>
      <c r="B35">
        <v>8.5041886448849997</v>
      </c>
      <c r="C35" t="s">
        <v>724</v>
      </c>
      <c r="D35" t="s">
        <v>272</v>
      </c>
      <c r="E35" s="110">
        <f>MATCH(F35,IND!$D$29:$D$137,0)</f>
        <v>56</v>
      </c>
      <c r="F35" t="str">
        <f t="shared" si="0"/>
        <v>IMIH</v>
      </c>
      <c r="G35" s="107">
        <f ca="1">OFFSET(IND!P$28,$E35,0)</f>
        <v>5.5741217756416299</v>
      </c>
      <c r="H35" s="107">
        <f ca="1">OFFSET(IND!Q$28,$E35,0)</f>
        <v>5.5571973403763701</v>
      </c>
      <c r="I35" s="107">
        <f ca="1">OFFSET(IND!R$28,$E35,0)</f>
        <v>5.5006637485856853</v>
      </c>
      <c r="J35" s="170">
        <f ca="1">OFFSET(IND!S$28,$E35,0)</f>
        <v>5.2947002945095845</v>
      </c>
      <c r="K35" s="107">
        <f ca="1">OFFSET(IND!T$28,$E35,0)</f>
        <v>6.2296330909616264</v>
      </c>
      <c r="L35" s="107">
        <f ca="1">OFFSET(IND!U$28,$E35,0)</f>
        <v>5.8473092992780815</v>
      </c>
      <c r="M35" s="107">
        <f ca="1">OFFSET(IND!V$28,$E35,0)</f>
        <v>5.8888423379969446</v>
      </c>
      <c r="N35" s="107">
        <f ca="1">OFFSET(IND!W$28,$E35,0)</f>
        <v>5.8764318270133939</v>
      </c>
      <c r="O35" s="170">
        <f ca="1">OFFSET(IND!X$28,$E35,0)</f>
        <v>5.9040883659865555</v>
      </c>
      <c r="P35" s="107">
        <f ca="1">OFFSET(IND!Y$28,$E35,0)</f>
        <v>6.0313326481498075</v>
      </c>
      <c r="Q35" s="107">
        <f ca="1">OFFSET(IND!Z$28,$E35,0)</f>
        <v>6.1299098131570062</v>
      </c>
      <c r="R35" s="107">
        <f ca="1">OFFSET(IND!AA$28,$E35,0)</f>
        <v>6.2346856872361212</v>
      </c>
      <c r="S35" s="107">
        <f ca="1">OFFSET(IND!AB$28,$E35,0)</f>
        <v>6.3827407156761309</v>
      </c>
      <c r="T35" s="107">
        <f ca="1">OFFSET(IND!AC$28,$E35,0)</f>
        <v>6.5596913782057236</v>
      </c>
      <c r="U35" s="107">
        <f ca="1">OFFSET(IND!AD$28,$E35,0)</f>
        <v>6.7350919380203438</v>
      </c>
      <c r="V35" s="107">
        <f ca="1">OFFSET(IND!AE$28,$E35,0)</f>
        <v>6.9282427609184891</v>
      </c>
      <c r="W35" s="107">
        <f ca="1">OFFSET(IND!AF$28,$E35,0)</f>
        <v>7.126249059978834</v>
      </c>
      <c r="X35" s="107">
        <f ca="1">OFFSET(IND!AG$28,$E35,0)</f>
        <v>7.3367328575931978</v>
      </c>
      <c r="Y35" s="107">
        <f ca="1">OFFSET(IND!AH$28,$E35,0)</f>
        <v>7.5877969545214734</v>
      </c>
      <c r="Z35" s="107">
        <f ca="1">OFFSET(IND!AI$28,$E35,0)</f>
        <v>7.8239685971183093</v>
      </c>
      <c r="AA35" s="107">
        <f ca="1">OFFSET(IND!AJ$28,$E35,0)</f>
        <v>8.0566119905160249</v>
      </c>
      <c r="AB35" s="107">
        <f ca="1">OFFSET(IND!AK$28,$E35,0)</f>
        <v>8.3110699136622035</v>
      </c>
      <c r="AC35" s="107">
        <f ca="1">OFFSET(IND!AL$28,$E35,0)</f>
        <v>8.5718806007968027</v>
      </c>
      <c r="AD35" s="107">
        <f ca="1">OFFSET(IND!AM$28,$E35,0)</f>
        <v>8.8395233651356744</v>
      </c>
      <c r="AE35" s="107">
        <f ca="1">OFFSET(IND!AN$28,$E35,0)</f>
        <v>10.389870009323724</v>
      </c>
      <c r="AF35" s="107">
        <f ca="1">OFFSET(IND!AO$28,$E35,0)</f>
        <v>12.034539985246306</v>
      </c>
      <c r="AG35" s="107">
        <f ca="1">OFFSET(IND!AP$28,$E35,0)</f>
        <v>13.918296708994406</v>
      </c>
      <c r="AH35" s="107">
        <f ca="1">OFFSET(IND!AQ$28,$E35,0)</f>
        <v>15.528838286589007</v>
      </c>
      <c r="AJ35">
        <f t="shared" ca="1" si="1"/>
        <v>2.7858807022208452</v>
      </c>
    </row>
    <row r="36" spans="1:36">
      <c r="A36" s="27" t="s">
        <v>320</v>
      </c>
      <c r="B36">
        <v>2.3622746235790002</v>
      </c>
      <c r="C36" t="s">
        <v>724</v>
      </c>
      <c r="D36" t="s">
        <v>272</v>
      </c>
      <c r="E36" s="110">
        <f>MATCH(F36,IND!$D$29:$D$137,0)</f>
        <v>52</v>
      </c>
      <c r="F36" t="str">
        <f t="shared" si="0"/>
        <v>IMIK</v>
      </c>
      <c r="G36" s="107">
        <f ca="1">OFFSET(IND!P$28,$E36,0)</f>
        <v>1.54836715990045</v>
      </c>
      <c r="H36" s="107">
        <f ca="1">OFFSET(IND!Q$28,$E36,0)</f>
        <v>1.5436659278823224</v>
      </c>
      <c r="I36" s="107">
        <f ca="1">OFFSET(IND!R$28,$E36,0)</f>
        <v>1.5279621523849098</v>
      </c>
      <c r="J36" s="170">
        <f ca="1">OFFSET(IND!S$28,$E36,0)</f>
        <v>1.4707500818082153</v>
      </c>
      <c r="K36" s="107">
        <f ca="1">OFFSET(IND!T$28,$E36,0)</f>
        <v>1.7304536363782266</v>
      </c>
      <c r="L36" s="107">
        <f ca="1">OFFSET(IND!U$28,$E36,0)</f>
        <v>1.6242525831327976</v>
      </c>
      <c r="M36" s="107">
        <f ca="1">OFFSET(IND!V$28,$E36,0)</f>
        <v>1.6357895383324819</v>
      </c>
      <c r="N36" s="107">
        <f ca="1">OFFSET(IND!W$28,$E36,0)</f>
        <v>1.6323421741703845</v>
      </c>
      <c r="O36" s="170">
        <f ca="1">OFFSET(IND!X$28,$E36,0)</f>
        <v>1.6400245461073737</v>
      </c>
      <c r="P36" s="107">
        <f ca="1">OFFSET(IND!Y$28,$E36,0)</f>
        <v>1.6753701800416103</v>
      </c>
      <c r="Q36" s="107">
        <f ca="1">OFFSET(IND!Z$28,$E36,0)</f>
        <v>1.702752725876943</v>
      </c>
      <c r="R36" s="107">
        <f ca="1">OFFSET(IND!AA$28,$E36,0)</f>
        <v>1.7318571353433638</v>
      </c>
      <c r="S36" s="107">
        <f ca="1">OFFSET(IND!AB$28,$E36,0)</f>
        <v>1.7729835321322553</v>
      </c>
      <c r="T36" s="107">
        <f ca="1">OFFSET(IND!AC$28,$E36,0)</f>
        <v>1.8221364939460309</v>
      </c>
      <c r="U36" s="107">
        <f ca="1">OFFSET(IND!AD$28,$E36,0)</f>
        <v>1.8708588716723142</v>
      </c>
      <c r="V36" s="107">
        <f ca="1">OFFSET(IND!AE$28,$E36,0)</f>
        <v>1.92451187803291</v>
      </c>
      <c r="W36" s="107">
        <f ca="1">OFFSET(IND!AF$28,$E36,0)</f>
        <v>1.9795136277718945</v>
      </c>
      <c r="X36" s="107">
        <f ca="1">OFFSET(IND!AG$28,$E36,0)</f>
        <v>2.03798134933144</v>
      </c>
      <c r="Y36" s="107">
        <f ca="1">OFFSET(IND!AH$28,$E36,0)</f>
        <v>2.1077213762559608</v>
      </c>
      <c r="Z36" s="107">
        <f ca="1">OFFSET(IND!AI$28,$E36,0)</f>
        <v>2.1733246103106372</v>
      </c>
      <c r="AA36" s="107">
        <f ca="1">OFFSET(IND!AJ$28,$E36,0)</f>
        <v>2.2379477751433359</v>
      </c>
      <c r="AB36" s="107">
        <f ca="1">OFFSET(IND!AK$28,$E36,0)</f>
        <v>2.3086305315728297</v>
      </c>
      <c r="AC36" s="107">
        <f ca="1">OFFSET(IND!AL$28,$E36,0)</f>
        <v>2.3810779446657739</v>
      </c>
      <c r="AD36" s="107">
        <f ca="1">OFFSET(IND!AM$28,$E36,0)</f>
        <v>2.455423156982127</v>
      </c>
      <c r="AE36" s="107">
        <f ca="1">OFFSET(IND!AN$28,$E36,0)</f>
        <v>2.8860750025899176</v>
      </c>
      <c r="AF36" s="107">
        <f ca="1">OFFSET(IND!AO$28,$E36,0)</f>
        <v>3.3429277736795227</v>
      </c>
      <c r="AG36" s="107">
        <f ca="1">OFFSET(IND!AP$28,$E36,0)</f>
        <v>3.8661935302762158</v>
      </c>
      <c r="AH36" s="107">
        <f ca="1">OFFSET(IND!AQ$28,$E36,0)</f>
        <v>4.3135661907191594</v>
      </c>
      <c r="AJ36">
        <f t="shared" ca="1" si="1"/>
        <v>2.7858807022208438</v>
      </c>
    </row>
    <row r="37" spans="1:36">
      <c r="A37" s="27" t="s">
        <v>321</v>
      </c>
      <c r="B37">
        <v>1.594535370916</v>
      </c>
      <c r="C37" t="s">
        <v>724</v>
      </c>
      <c r="D37" t="s">
        <v>272</v>
      </c>
      <c r="E37" s="110">
        <f>MATCH(F37,IND!$D$29:$D$137,0)</f>
        <v>54</v>
      </c>
      <c r="F37" t="str">
        <f t="shared" si="0"/>
        <v>IMIL</v>
      </c>
      <c r="G37" s="107">
        <f ca="1">OFFSET(IND!P$28,$E37,0)</f>
        <v>1.0451478329328101</v>
      </c>
      <c r="H37" s="107">
        <f ca="1">OFFSET(IND!Q$28,$E37,0)</f>
        <v>1.0419745013205739</v>
      </c>
      <c r="I37" s="107">
        <f ca="1">OFFSET(IND!R$28,$E37,0)</f>
        <v>1.0313744528598203</v>
      </c>
      <c r="J37" s="170">
        <f ca="1">OFFSET(IND!S$28,$E37,0)</f>
        <v>0.99275630522055125</v>
      </c>
      <c r="K37" s="107">
        <f ca="1">OFFSET(IND!T$28,$E37,0)</f>
        <v>1.16805620455531</v>
      </c>
      <c r="L37" s="107">
        <f ca="1">OFFSET(IND!U$28,$E37,0)</f>
        <v>1.096370493614645</v>
      </c>
      <c r="M37" s="107">
        <f ca="1">OFFSET(IND!V$28,$E37,0)</f>
        <v>1.104157938374432</v>
      </c>
      <c r="N37" s="107">
        <f ca="1">OFFSET(IND!W$28,$E37,0)</f>
        <v>1.1018309675650162</v>
      </c>
      <c r="O37" s="170">
        <f ca="1">OFFSET(IND!X$28,$E37,0)</f>
        <v>1.107016568622484</v>
      </c>
      <c r="P37" s="107">
        <f ca="1">OFFSET(IND!Y$28,$E37,0)</f>
        <v>1.1308748715280939</v>
      </c>
      <c r="Q37" s="107">
        <f ca="1">OFFSET(IND!Z$28,$E37,0)</f>
        <v>1.1493580899669436</v>
      </c>
      <c r="R37" s="107">
        <f ca="1">OFFSET(IND!AA$28,$E37,0)</f>
        <v>1.1690035663567777</v>
      </c>
      <c r="S37" s="107">
        <f ca="1">OFFSET(IND!AB$28,$E37,0)</f>
        <v>1.1967638841892796</v>
      </c>
      <c r="T37" s="107">
        <f ca="1">OFFSET(IND!AC$28,$E37,0)</f>
        <v>1.2299421334135783</v>
      </c>
      <c r="U37" s="107">
        <f ca="1">OFFSET(IND!AD$28,$E37,0)</f>
        <v>1.2628297383788198</v>
      </c>
      <c r="V37" s="107">
        <f ca="1">OFFSET(IND!AE$28,$E37,0)</f>
        <v>1.2990455176722222</v>
      </c>
      <c r="W37" s="107">
        <f ca="1">OFFSET(IND!AF$28,$E37,0)</f>
        <v>1.336171698746037</v>
      </c>
      <c r="X37" s="107">
        <f ca="1">OFFSET(IND!AG$28,$E37,0)</f>
        <v>1.3756374107987304</v>
      </c>
      <c r="Y37" s="107">
        <f ca="1">OFFSET(IND!AH$28,$E37,0)</f>
        <v>1.4227119289727823</v>
      </c>
      <c r="Z37" s="107">
        <f ca="1">OFFSET(IND!AI$28,$E37,0)</f>
        <v>1.4669941119596892</v>
      </c>
      <c r="AA37" s="107">
        <f ca="1">OFFSET(IND!AJ$28,$E37,0)</f>
        <v>1.5106147482217609</v>
      </c>
      <c r="AB37" s="107">
        <f ca="1">OFFSET(IND!AK$28,$E37,0)</f>
        <v>1.5583256088116695</v>
      </c>
      <c r="AC37" s="107">
        <f ca="1">OFFSET(IND!AL$28,$E37,0)</f>
        <v>1.6072276126494072</v>
      </c>
      <c r="AD37" s="107">
        <f ca="1">OFFSET(IND!AM$28,$E37,0)</f>
        <v>1.6574106309629457</v>
      </c>
      <c r="AE37" s="107">
        <f ca="1">OFFSET(IND!AN$28,$E37,0)</f>
        <v>1.9481006267482062</v>
      </c>
      <c r="AF37" s="107">
        <f ca="1">OFFSET(IND!AO$28,$E37,0)</f>
        <v>2.2564762472336914</v>
      </c>
      <c r="AG37" s="107">
        <f ca="1">OFFSET(IND!AP$28,$E37,0)</f>
        <v>2.6096806329364615</v>
      </c>
      <c r="AH37" s="107">
        <f ca="1">OFFSET(IND!AQ$28,$E37,0)</f>
        <v>2.9116571787354504</v>
      </c>
      <c r="AJ37">
        <f t="shared" ca="1" si="1"/>
        <v>2.7858807022208438</v>
      </c>
    </row>
    <row r="38" spans="1:36">
      <c r="A38" s="27" t="s">
        <v>322</v>
      </c>
      <c r="B38">
        <v>31.93143244434</v>
      </c>
      <c r="C38" t="s">
        <v>724</v>
      </c>
      <c r="D38" t="s">
        <v>272</v>
      </c>
      <c r="E38" s="110">
        <f>MATCH(F38,IND!$D$29:$D$137,0)</f>
        <v>59</v>
      </c>
      <c r="F38" t="str">
        <f t="shared" si="0"/>
        <v>IMIO</v>
      </c>
      <c r="G38" s="107">
        <f ca="1">OFFSET(IND!P$28,$E38,0)</f>
        <v>20.9296501227637</v>
      </c>
      <c r="H38" s="107">
        <f ca="1">OFFSET(IND!Q$28,$E38,0)</f>
        <v>20.866102442450156</v>
      </c>
      <c r="I38" s="107">
        <f ca="1">OFFSET(IND!R$28,$E38,0)</f>
        <v>20.653830744057636</v>
      </c>
      <c r="J38" s="170">
        <f ca="1">OFFSET(IND!S$28,$E38,0)</f>
        <v>19.880481469428183</v>
      </c>
      <c r="K38" s="107">
        <f ca="1">OFFSET(IND!T$28,$E38,0)</f>
        <v>23.3909566807068</v>
      </c>
      <c r="L38" s="107">
        <f ca="1">OFFSET(IND!U$28,$E38,0)</f>
        <v>21.955411582192351</v>
      </c>
      <c r="M38" s="107">
        <f ca="1">OFFSET(IND!V$28,$E38,0)</f>
        <v>22.111359371621646</v>
      </c>
      <c r="N38" s="107">
        <f ca="1">OFFSET(IND!W$28,$E38,0)</f>
        <v>22.064760523733984</v>
      </c>
      <c r="O38" s="170">
        <f ca="1">OFFSET(IND!X$28,$E38,0)</f>
        <v>22.168604987061702</v>
      </c>
      <c r="P38" s="107">
        <f ca="1">OFFSET(IND!Y$28,$E38,0)</f>
        <v>22.646380395097623</v>
      </c>
      <c r="Q38" s="107">
        <f ca="1">OFFSET(IND!Z$28,$E38,0)</f>
        <v>23.016516832143282</v>
      </c>
      <c r="R38" s="107">
        <f ca="1">OFFSET(IND!AA$28,$E38,0)</f>
        <v>23.409928112708677</v>
      </c>
      <c r="S38" s="107">
        <f ca="1">OFFSET(IND!AB$28,$E38,0)</f>
        <v>23.96584347819395</v>
      </c>
      <c r="T38" s="107">
        <f ca="1">OFFSET(IND!AC$28,$E38,0)</f>
        <v>24.63025584749661</v>
      </c>
      <c r="U38" s="107">
        <f ca="1">OFFSET(IND!AD$28,$E38,0)</f>
        <v>25.288847908455722</v>
      </c>
      <c r="V38" s="107">
        <f ca="1">OFFSET(IND!AE$28,$E38,0)</f>
        <v>26.014088458787391</v>
      </c>
      <c r="W38" s="107">
        <f ca="1">OFFSET(IND!AF$28,$E38,0)</f>
        <v>26.757560296727153</v>
      </c>
      <c r="X38" s="107">
        <f ca="1">OFFSET(IND!AG$28,$E38,0)</f>
        <v>27.547882506735231</v>
      </c>
      <c r="Y38" s="107">
        <f ca="1">OFFSET(IND!AH$28,$E38,0)</f>
        <v>28.490575170906816</v>
      </c>
      <c r="Z38" s="107">
        <f ca="1">OFFSET(IND!AI$28,$E38,0)</f>
        <v>29.377349814056981</v>
      </c>
      <c r="AA38" s="107">
        <f ca="1">OFFSET(IND!AJ$28,$E38,0)</f>
        <v>30.250876626561212</v>
      </c>
      <c r="AB38" s="107">
        <f ca="1">OFFSET(IND!AK$28,$E38,0)</f>
        <v>31.206312391471744</v>
      </c>
      <c r="AC38" s="107">
        <f ca="1">OFFSET(IND!AL$28,$E38,0)</f>
        <v>32.185601443580119</v>
      </c>
      <c r="AD38" s="107">
        <f ca="1">OFFSET(IND!AM$28,$E38,0)</f>
        <v>33.190543502790348</v>
      </c>
      <c r="AE38" s="107">
        <f ca="1">OFFSET(IND!AN$28,$E38,0)</f>
        <v>39.011767749029865</v>
      </c>
      <c r="AF38" s="107">
        <f ca="1">OFFSET(IND!AO$28,$E38,0)</f>
        <v>45.187156186702005</v>
      </c>
      <c r="AG38" s="107">
        <f ca="1">OFFSET(IND!AP$28,$E38,0)</f>
        <v>52.260264872045184</v>
      </c>
      <c r="AH38" s="107">
        <f ca="1">OFFSET(IND!AQ$28,$E38,0)</f>
        <v>58.307508381241533</v>
      </c>
      <c r="AJ38">
        <f t="shared" ca="1" si="1"/>
        <v>2.7858807022208452</v>
      </c>
    </row>
    <row r="39" spans="1:36">
      <c r="A39" s="27" t="s">
        <v>323</v>
      </c>
      <c r="B39">
        <v>16.901755910559999</v>
      </c>
      <c r="C39" t="s">
        <v>724</v>
      </c>
      <c r="D39" t="s">
        <v>272</v>
      </c>
      <c r="E39" s="110">
        <f>MATCH(F39,IND!$D$29:$D$137,0)</f>
        <v>57</v>
      </c>
      <c r="F39" t="str">
        <f t="shared" si="0"/>
        <v>IMIP</v>
      </c>
      <c r="G39" s="107">
        <f ca="1">OFFSET(IND!P$28,$E39,0)</f>
        <v>11.078357924751099</v>
      </c>
      <c r="H39" s="107">
        <f ca="1">OFFSET(IND!Q$28,$E39,0)</f>
        <v>11.044721244554738</v>
      </c>
      <c r="I39" s="107">
        <f ca="1">OFFSET(IND!R$28,$E39,0)</f>
        <v>10.932362851638773</v>
      </c>
      <c r="J39" s="170">
        <f ca="1">OFFSET(IND!S$28,$E39,0)</f>
        <v>10.523018213054799</v>
      </c>
      <c r="K39" s="107">
        <f ca="1">OFFSET(IND!T$28,$E39,0)</f>
        <v>12.381162073482381</v>
      </c>
      <c r="L39" s="107">
        <f ca="1">OFFSET(IND!U$28,$E39,0)</f>
        <v>11.621307879781931</v>
      </c>
      <c r="M39" s="107">
        <f ca="1">OFFSET(IND!V$28,$E39,0)</f>
        <v>11.703853236189603</v>
      </c>
      <c r="N39" s="107">
        <f ca="1">OFFSET(IND!W$28,$E39,0)</f>
        <v>11.679187811170431</v>
      </c>
      <c r="O39" s="170">
        <f ca="1">OFFSET(IND!X$28,$E39,0)</f>
        <v>11.734154144888398</v>
      </c>
      <c r="P39" s="107">
        <f ca="1">OFFSET(IND!Y$28,$E39,0)</f>
        <v>11.987047382320453</v>
      </c>
      <c r="Q39" s="107">
        <f ca="1">OFFSET(IND!Z$28,$E39,0)</f>
        <v>12.182965799806279</v>
      </c>
      <c r="R39" s="107">
        <f ca="1">OFFSET(IND!AA$28,$E39,0)</f>
        <v>12.391203919037801</v>
      </c>
      <c r="S39" s="107">
        <f ca="1">OFFSET(IND!AB$28,$E39,0)</f>
        <v>12.685457734012777</v>
      </c>
      <c r="T39" s="107">
        <f ca="1">OFFSET(IND!AC$28,$E39,0)</f>
        <v>13.03714053776692</v>
      </c>
      <c r="U39" s="107">
        <f ca="1">OFFSET(IND!AD$28,$E39,0)</f>
        <v>13.3857425705247</v>
      </c>
      <c r="V39" s="107">
        <f ca="1">OFFSET(IND!AE$28,$E39,0)</f>
        <v>13.769622585288021</v>
      </c>
      <c r="W39" s="107">
        <f ca="1">OFFSET(IND!AF$28,$E39,0)</f>
        <v>14.163152676778228</v>
      </c>
      <c r="X39" s="107">
        <f ca="1">OFFSET(IND!AG$28,$E39,0)</f>
        <v>14.581481328570982</v>
      </c>
      <c r="Y39" s="107">
        <f ca="1">OFFSET(IND!AH$28,$E39,0)</f>
        <v>15.080461802944576</v>
      </c>
      <c r="Z39" s="107">
        <f ca="1">OFFSET(IND!AI$28,$E39,0)</f>
        <v>15.549844083001235</v>
      </c>
      <c r="AA39" s="107">
        <f ca="1">OFFSET(IND!AJ$28,$E39,0)</f>
        <v>16.012214100131313</v>
      </c>
      <c r="AB39" s="107">
        <f ca="1">OFFSET(IND!AK$28,$E39,0)</f>
        <v>16.517939676798981</v>
      </c>
      <c r="AC39" s="107">
        <f ca="1">OFFSET(IND!AL$28,$E39,0)</f>
        <v>17.036291133579773</v>
      </c>
      <c r="AD39" s="107">
        <f ca="1">OFFSET(IND!AM$28,$E39,0)</f>
        <v>17.568221087509517</v>
      </c>
      <c r="AE39" s="107">
        <f ca="1">OFFSET(IND!AN$28,$E39,0)</f>
        <v>20.649476884038098</v>
      </c>
      <c r="AF39" s="107">
        <f ca="1">OFFSET(IND!AO$28,$E39,0)</f>
        <v>23.918196763998886</v>
      </c>
      <c r="AG39" s="107">
        <f ca="1">OFFSET(IND!AP$28,$E39,0)</f>
        <v>27.662092586302787</v>
      </c>
      <c r="AH39" s="107">
        <f ca="1">OFFSET(IND!AQ$28,$E39,0)</f>
        <v>30.86298355485944</v>
      </c>
      <c r="AJ39">
        <f t="shared" ca="1" si="1"/>
        <v>2.7858807022208434</v>
      </c>
    </row>
    <row r="40" spans="1:36">
      <c r="A40" s="27" t="s">
        <v>324</v>
      </c>
      <c r="B40">
        <v>28.149155918999998</v>
      </c>
      <c r="C40" t="s">
        <v>724</v>
      </c>
      <c r="D40" t="s">
        <v>272</v>
      </c>
      <c r="E40" s="110">
        <f>MATCH(F40,IND!$D$29:$D$137,0)</f>
        <v>62</v>
      </c>
      <c r="F40" t="str">
        <f t="shared" si="0"/>
        <v>IMIR</v>
      </c>
      <c r="G40" s="107">
        <f ca="1">OFFSET(IND!P$28,$E40,0)</f>
        <v>25.406351025250501</v>
      </c>
      <c r="H40" s="107">
        <f ca="1">OFFSET(IND!Q$28,$E40,0)</f>
        <v>25.329210955377555</v>
      </c>
      <c r="I40" s="107">
        <f ca="1">OFFSET(IND!R$28,$E40,0)</f>
        <v>25.071535874788374</v>
      </c>
      <c r="J40" s="170">
        <f ca="1">OFFSET(IND!S$28,$E40,0)</f>
        <v>24.132772779317943</v>
      </c>
      <c r="K40" s="107">
        <f ca="1">OFFSET(IND!T$28,$E40,0)</f>
        <v>28.394113268052685</v>
      </c>
      <c r="L40" s="107">
        <f ca="1">OFFSET(IND!U$28,$E40,0)</f>
        <v>26.651515447663517</v>
      </c>
      <c r="M40" s="107">
        <f ca="1">OFFSET(IND!V$28,$E40,0)</f>
        <v>26.840819342215639</v>
      </c>
      <c r="N40" s="107">
        <f ca="1">OFFSET(IND!W$28,$E40,0)</f>
        <v>26.784253337535105</v>
      </c>
      <c r="O40" s="170">
        <f ca="1">OFFSET(IND!X$28,$E40,0)</f>
        <v>26.910309381083739</v>
      </c>
      <c r="P40" s="107">
        <f ca="1">OFFSET(IND!Y$28,$E40,0)</f>
        <v>27.490277496011309</v>
      </c>
      <c r="Q40" s="107">
        <f ca="1">OFFSET(IND!Z$28,$E40,0)</f>
        <v>27.939583441961627</v>
      </c>
      <c r="R40" s="107">
        <f ca="1">OFFSET(IND!AA$28,$E40,0)</f>
        <v>28.417142552253047</v>
      </c>
      <c r="S40" s="107">
        <f ca="1">OFFSET(IND!AB$28,$E40,0)</f>
        <v>29.091964196810203</v>
      </c>
      <c r="T40" s="107">
        <f ca="1">OFFSET(IND!AC$28,$E40,0)</f>
        <v>29.898489570192446</v>
      </c>
      <c r="U40" s="107">
        <f ca="1">OFFSET(IND!AD$28,$E40,0)</f>
        <v>30.697949713339881</v>
      </c>
      <c r="V40" s="107">
        <f ca="1">OFFSET(IND!AE$28,$E40,0)</f>
        <v>31.57831397606742</v>
      </c>
      <c r="W40" s="107">
        <f ca="1">OFFSET(IND!AF$28,$E40,0)</f>
        <v>32.48080906706474</v>
      </c>
      <c r="X40" s="107">
        <f ca="1">OFFSET(IND!AG$28,$E40,0)</f>
        <v>33.440175486127721</v>
      </c>
      <c r="Y40" s="107">
        <f ca="1">OFFSET(IND!AH$28,$E40,0)</f>
        <v>34.584503298317124</v>
      </c>
      <c r="Z40" s="107">
        <f ca="1">OFFSET(IND!AI$28,$E40,0)</f>
        <v>35.660952628908674</v>
      </c>
      <c r="AA40" s="107">
        <f ca="1">OFFSET(IND!AJ$28,$E40,0)</f>
        <v>36.721320513621315</v>
      </c>
      <c r="AB40" s="107">
        <f ca="1">OFFSET(IND!AK$28,$E40,0)</f>
        <v>37.881117083703224</v>
      </c>
      <c r="AC40" s="107">
        <f ca="1">OFFSET(IND!AL$28,$E40,0)</f>
        <v>39.069868986726668</v>
      </c>
      <c r="AD40" s="107">
        <f ca="1">OFFSET(IND!AM$28,$E40,0)</f>
        <v>40.289760889676536</v>
      </c>
      <c r="AE40" s="107">
        <f ca="1">OFFSET(IND!AN$28,$E40,0)</f>
        <v>47.356102932145951</v>
      </c>
      <c r="AF40" s="107">
        <f ca="1">OFFSET(IND!AO$28,$E40,0)</f>
        <v>54.852362327047594</v>
      </c>
      <c r="AG40" s="107">
        <f ca="1">OFFSET(IND!AP$28,$E40,0)</f>
        <v>63.438357842764688</v>
      </c>
      <c r="AH40" s="107">
        <f ca="1">OFFSET(IND!AQ$28,$E40,0)</f>
        <v>70.77906303509414</v>
      </c>
      <c r="AJ40">
        <f t="shared" ca="1" si="1"/>
        <v>2.7858807022208447</v>
      </c>
    </row>
    <row r="41" spans="1:36">
      <c r="A41" s="27" t="s">
        <v>325</v>
      </c>
      <c r="B41">
        <v>5.2585839407999997E-2</v>
      </c>
      <c r="C41" t="s">
        <v>724</v>
      </c>
      <c r="D41" t="s">
        <v>272</v>
      </c>
      <c r="E41" s="110">
        <f>MATCH(F41,IND!$D$29:$D$137,0)</f>
        <v>61</v>
      </c>
      <c r="F41" t="str">
        <f t="shared" si="0"/>
        <v>IMIS</v>
      </c>
      <c r="G41" s="107">
        <f ca="1">OFFSET(IND!P$28,$E41,0)</f>
        <v>25.233177191199999</v>
      </c>
      <c r="H41" s="107">
        <f ca="1">OFFSET(IND!Q$28,$E41,0)</f>
        <v>25.156562920629973</v>
      </c>
      <c r="I41" s="107">
        <f ca="1">OFFSET(IND!R$28,$E41,0)</f>
        <v>24.900644195433998</v>
      </c>
      <c r="J41" s="170">
        <f ca="1">OFFSET(IND!S$28,$E41,0)</f>
        <v>23.968279862396869</v>
      </c>
      <c r="K41" s="107">
        <f ca="1">OFFSET(IND!T$28,$E41,0)</f>
        <v>28.200574359052879</v>
      </c>
      <c r="L41" s="107">
        <f ca="1">OFFSET(IND!U$28,$E41,0)</f>
        <v>26.469854369740869</v>
      </c>
      <c r="M41" s="107">
        <f ca="1">OFFSET(IND!V$28,$E41,0)</f>
        <v>26.657867938059692</v>
      </c>
      <c r="N41" s="107">
        <f ca="1">OFFSET(IND!W$28,$E41,0)</f>
        <v>26.60168749649673</v>
      </c>
      <c r="O41" s="170">
        <f ca="1">OFFSET(IND!X$28,$E41,0)</f>
        <v>26.726884321484427</v>
      </c>
      <c r="P41" s="107">
        <f ca="1">OFFSET(IND!Y$28,$E41,0)</f>
        <v>27.302899279109351</v>
      </c>
      <c r="Q41" s="107">
        <f ca="1">OFFSET(IND!Z$28,$E41,0)</f>
        <v>27.749142682420445</v>
      </c>
      <c r="R41" s="107">
        <f ca="1">OFFSET(IND!AA$28,$E41,0)</f>
        <v>28.223446671894525</v>
      </c>
      <c r="S41" s="107">
        <f ca="1">OFFSET(IND!AB$28,$E41,0)</f>
        <v>28.893668622014172</v>
      </c>
      <c r="T41" s="107">
        <f ca="1">OFFSET(IND!AC$28,$E41,0)</f>
        <v>29.694696586853613</v>
      </c>
      <c r="U41" s="107">
        <f ca="1">OFFSET(IND!AD$28,$E41,0)</f>
        <v>30.488707479220334</v>
      </c>
      <c r="V41" s="107">
        <f ca="1">OFFSET(IND!AE$28,$E41,0)</f>
        <v>31.36307103548727</v>
      </c>
      <c r="W41" s="107">
        <f ca="1">OFFSET(IND!AF$28,$E41,0)</f>
        <v>32.259414572687497</v>
      </c>
      <c r="X41" s="107">
        <f ca="1">OFFSET(IND!AG$28,$E41,0)</f>
        <v>33.2122417937018</v>
      </c>
      <c r="Y41" s="107">
        <f ca="1">OFFSET(IND!AH$28,$E41,0)</f>
        <v>34.348769680807486</v>
      </c>
      <c r="Z41" s="107">
        <f ca="1">OFFSET(IND!AI$28,$E41,0)</f>
        <v>35.417881757121378</v>
      </c>
      <c r="AA41" s="107">
        <f ca="1">OFFSET(IND!AJ$28,$E41,0)</f>
        <v>36.471022001315426</v>
      </c>
      <c r="AB41" s="107">
        <f ca="1">OFFSET(IND!AK$28,$E41,0)</f>
        <v>37.622913208735845</v>
      </c>
      <c r="AC41" s="107">
        <f ca="1">OFFSET(IND!AL$28,$E41,0)</f>
        <v>38.803562384823934</v>
      </c>
      <c r="AD41" s="107">
        <f ca="1">OFFSET(IND!AM$28,$E41,0)</f>
        <v>40.015139305517948</v>
      </c>
      <c r="AE41" s="107">
        <f ca="1">OFFSET(IND!AN$28,$E41,0)</f>
        <v>47.033316007636422</v>
      </c>
      <c r="AF41" s="107">
        <f ca="1">OFFSET(IND!AO$28,$E41,0)</f>
        <v>54.478479675364881</v>
      </c>
      <c r="AG41" s="107">
        <f ca="1">OFFSET(IND!AP$28,$E41,0)</f>
        <v>63.005951644701014</v>
      </c>
      <c r="AH41" s="107">
        <f ca="1">OFFSET(IND!AQ$28,$E41,0)</f>
        <v>70.296621392683221</v>
      </c>
      <c r="AJ41">
        <f t="shared" ca="1" si="1"/>
        <v>2.7858807022208434</v>
      </c>
    </row>
    <row r="42" spans="1:36">
      <c r="A42" s="27" t="s">
        <v>326</v>
      </c>
      <c r="B42" t="s">
        <v>370</v>
      </c>
      <c r="C42" t="s">
        <v>724</v>
      </c>
      <c r="D42" t="s">
        <v>272</v>
      </c>
      <c r="E42" s="110">
        <f>MATCH(F42,IND!$D$29:$D$137,0)</f>
        <v>77</v>
      </c>
      <c r="F42" t="str">
        <f t="shared" si="0"/>
        <v>INFA</v>
      </c>
      <c r="G42" s="107">
        <f ca="1">OFFSET(IND!P$28,$E42,0)</f>
        <v>0</v>
      </c>
      <c r="H42" s="107">
        <f ca="1">OFFSET(IND!Q$28,$E42,0)</f>
        <v>0</v>
      </c>
      <c r="I42" s="107">
        <f ca="1">OFFSET(IND!R$28,$E42,0)</f>
        <v>0</v>
      </c>
      <c r="J42" s="170">
        <f ca="1">OFFSET(IND!S$28,$E42,0)</f>
        <v>0</v>
      </c>
      <c r="K42" s="107">
        <f ca="1">OFFSET(IND!T$28,$E42,0)</f>
        <v>0</v>
      </c>
      <c r="L42" s="107">
        <f ca="1">OFFSET(IND!U$28,$E42,0)</f>
        <v>0</v>
      </c>
      <c r="M42" s="107">
        <f ca="1">OFFSET(IND!V$28,$E42,0)</f>
        <v>0</v>
      </c>
      <c r="N42" s="107">
        <f ca="1">OFFSET(IND!W$28,$E42,0)</f>
        <v>0</v>
      </c>
      <c r="O42" s="170">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7" t="s">
        <v>327</v>
      </c>
      <c r="B43" t="s">
        <v>370</v>
      </c>
      <c r="C43" t="s">
        <v>724</v>
      </c>
      <c r="D43" t="s">
        <v>272</v>
      </c>
      <c r="E43" s="110">
        <f>MATCH(F43,IND!$D$29:$D$137,0)</f>
        <v>79</v>
      </c>
      <c r="F43" t="str">
        <f t="shared" si="0"/>
        <v>INFC</v>
      </c>
      <c r="G43" s="107">
        <f ca="1">OFFSET(IND!P$28,$E43,0)</f>
        <v>0</v>
      </c>
      <c r="H43" s="107">
        <f ca="1">OFFSET(IND!Q$28,$E43,0)</f>
        <v>0</v>
      </c>
      <c r="I43" s="107">
        <f ca="1">OFFSET(IND!R$28,$E43,0)</f>
        <v>0</v>
      </c>
      <c r="J43" s="170">
        <f ca="1">OFFSET(IND!S$28,$E43,0)</f>
        <v>0</v>
      </c>
      <c r="K43" s="107">
        <f ca="1">OFFSET(IND!T$28,$E43,0)</f>
        <v>0</v>
      </c>
      <c r="L43" s="107">
        <f ca="1">OFFSET(IND!U$28,$E43,0)</f>
        <v>0</v>
      </c>
      <c r="M43" s="107">
        <f ca="1">OFFSET(IND!V$28,$E43,0)</f>
        <v>0</v>
      </c>
      <c r="N43" s="107">
        <f ca="1">OFFSET(IND!W$28,$E43,0)</f>
        <v>0</v>
      </c>
      <c r="O43" s="170">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7" t="s">
        <v>328</v>
      </c>
      <c r="B44">
        <v>55.015944485879999</v>
      </c>
      <c r="C44" t="s">
        <v>724</v>
      </c>
      <c r="D44" t="s">
        <v>272</v>
      </c>
      <c r="E44" s="110">
        <f>MATCH(F44,IND!$D$29:$D$137,0)</f>
        <v>84</v>
      </c>
      <c r="F44" t="str">
        <f t="shared" si="0"/>
        <v>INFE</v>
      </c>
      <c r="G44" s="107">
        <f ca="1">OFFSET(IND!P$28,$E44,0)</f>
        <v>6.8830524422467798</v>
      </c>
      <c r="H44" s="107">
        <f ca="1">OFFSET(IND!Q$28,$E44,0)</f>
        <v>6.7561504733716884</v>
      </c>
      <c r="I44" s="107">
        <f ca="1">OFFSET(IND!R$28,$E44,0)</f>
        <v>6.4876332638678713</v>
      </c>
      <c r="J44" s="170">
        <f ca="1">OFFSET(IND!S$28,$E44,0)</f>
        <v>6.1156359436919612</v>
      </c>
      <c r="K44" s="107">
        <f ca="1">OFFSET(IND!T$28,$E44,0)</f>
        <v>6.0063315356103537</v>
      </c>
      <c r="L44" s="107">
        <f ca="1">OFFSET(IND!U$28,$E44,0)</f>
        <v>6.8199411937346843</v>
      </c>
      <c r="M44" s="107">
        <f ca="1">OFFSET(IND!V$28,$E44,0)</f>
        <v>6.3945987482301243</v>
      </c>
      <c r="N44" s="107">
        <f ca="1">OFFSET(IND!W$28,$E44,0)</f>
        <v>6.3033663426491993</v>
      </c>
      <c r="O44" s="170">
        <f ca="1">OFFSET(IND!X$28,$E44,0)</f>
        <v>6.2450919673903567</v>
      </c>
      <c r="P44" s="107">
        <f ca="1">OFFSET(IND!Y$28,$E44,0)</f>
        <v>6.4178358750424902</v>
      </c>
      <c r="Q44" s="107">
        <f ca="1">OFFSET(IND!Z$28,$E44,0)</f>
        <v>6.4561233128940501</v>
      </c>
      <c r="R44" s="107">
        <f ca="1">OFFSET(IND!AA$28,$E44,0)</f>
        <v>6.5352516174852946</v>
      </c>
      <c r="S44" s="107">
        <f ca="1">OFFSET(IND!AB$28,$E44,0)</f>
        <v>6.6349637922595575</v>
      </c>
      <c r="T44" s="107">
        <f ca="1">OFFSET(IND!AC$28,$E44,0)</f>
        <v>6.8478886878447325</v>
      </c>
      <c r="U44" s="107">
        <f ca="1">OFFSET(IND!AD$28,$E44,0)</f>
        <v>7.0056314709220588</v>
      </c>
      <c r="V44" s="107">
        <f ca="1">OFFSET(IND!AE$28,$E44,0)</f>
        <v>7.2064983690944295</v>
      </c>
      <c r="W44" s="107">
        <f ca="1">OFFSET(IND!AF$28,$E44,0)</f>
        <v>7.3819927135472359</v>
      </c>
      <c r="X44" s="107">
        <f ca="1">OFFSET(IND!AG$28,$E44,0)</f>
        <v>7.59718519052507</v>
      </c>
      <c r="Y44" s="107">
        <f ca="1">OFFSET(IND!AH$28,$E44,0)</f>
        <v>7.9976221882404381</v>
      </c>
      <c r="Z44" s="107">
        <f ca="1">OFFSET(IND!AI$28,$E44,0)</f>
        <v>8.2423754676050986</v>
      </c>
      <c r="AA44" s="107">
        <f ca="1">OFFSET(IND!AJ$28,$E44,0)</f>
        <v>8.4999099950681902</v>
      </c>
      <c r="AB44" s="107">
        <f ca="1">OFFSET(IND!AK$28,$E44,0)</f>
        <v>8.7696367608819425</v>
      </c>
      <c r="AC44" s="107">
        <f ca="1">OFFSET(IND!AL$28,$E44,0)</f>
        <v>9.0401308515641468</v>
      </c>
      <c r="AD44" s="107">
        <f ca="1">OFFSET(IND!AM$28,$E44,0)</f>
        <v>9.3403452595116132</v>
      </c>
      <c r="AE44" s="107">
        <f ca="1">OFFSET(IND!AN$28,$E44,0)</f>
        <v>11.025577855625604</v>
      </c>
      <c r="AF44" s="107">
        <f ca="1">OFFSET(IND!AO$28,$E44,0)</f>
        <v>12.899506070370904</v>
      </c>
      <c r="AG44" s="107">
        <f ca="1">OFFSET(IND!AP$28,$E44,0)</f>
        <v>15.137936848700663</v>
      </c>
      <c r="AH44" s="107">
        <f ca="1">OFFSET(IND!AQ$28,$E44,0)</f>
        <v>16.951168587333346</v>
      </c>
      <c r="AJ44">
        <f t="shared" ca="1" si="1"/>
        <v>2.462740002283073</v>
      </c>
    </row>
    <row r="45" spans="1:36">
      <c r="A45" s="27" t="s">
        <v>329</v>
      </c>
      <c r="B45" t="s">
        <v>370</v>
      </c>
      <c r="C45" t="s">
        <v>724</v>
      </c>
      <c r="D45" t="s">
        <v>272</v>
      </c>
      <c r="E45" s="110">
        <f>MATCH(F45,IND!$D$29:$D$137,0)</f>
        <v>82</v>
      </c>
      <c r="F45" t="str">
        <f t="shared" si="0"/>
        <v>INFF</v>
      </c>
      <c r="G45" s="107">
        <f ca="1">OFFSET(IND!P$28,$E45,0)</f>
        <v>0</v>
      </c>
      <c r="H45" s="107">
        <f ca="1">OFFSET(IND!Q$28,$E45,0)</f>
        <v>0</v>
      </c>
      <c r="I45" s="107">
        <f ca="1">OFFSET(IND!R$28,$E45,0)</f>
        <v>0</v>
      </c>
      <c r="J45" s="170">
        <f ca="1">OFFSET(IND!S$28,$E45,0)</f>
        <v>0</v>
      </c>
      <c r="K45" s="107">
        <f ca="1">OFFSET(IND!T$28,$E45,0)</f>
        <v>0</v>
      </c>
      <c r="L45" s="107">
        <f ca="1">OFFSET(IND!U$28,$E45,0)</f>
        <v>0</v>
      </c>
      <c r="M45" s="107">
        <f ca="1">OFFSET(IND!V$28,$E45,0)</f>
        <v>0</v>
      </c>
      <c r="N45" s="107">
        <f ca="1">OFFSET(IND!W$28,$E45,0)</f>
        <v>0</v>
      </c>
      <c r="O45" s="170">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7" t="s">
        <v>330</v>
      </c>
      <c r="B46">
        <v>0.72389400639309998</v>
      </c>
      <c r="C46" t="s">
        <v>724</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0">
        <f ca="1">OFFSET(IND!S$28,$E46,0)</f>
        <v>8.0468893995946852E-2</v>
      </c>
      <c r="K46" s="107">
        <f ca="1">OFFSET(IND!T$28,$E46,0)</f>
        <v>7.9030678100136226E-2</v>
      </c>
      <c r="L46" s="107">
        <f ca="1">OFFSET(IND!U$28,$E46,0)</f>
        <v>8.973606833861425E-2</v>
      </c>
      <c r="M46" s="107">
        <f ca="1">OFFSET(IND!V$28,$E46,0)</f>
        <v>8.4139457213554245E-2</v>
      </c>
      <c r="N46" s="107">
        <f ca="1">OFFSET(IND!W$28,$E46,0)</f>
        <v>8.2939030824331558E-2</v>
      </c>
      <c r="O46" s="170">
        <f ca="1">OFFSET(IND!X$28,$E46,0)</f>
        <v>8.2172262728820472E-2</v>
      </c>
      <c r="P46" s="107">
        <f ca="1">OFFSET(IND!Y$28,$E46,0)</f>
        <v>8.4445208882138009E-2</v>
      </c>
      <c r="Q46" s="107">
        <f ca="1">OFFSET(IND!Z$28,$E46,0)</f>
        <v>8.494899095913222E-2</v>
      </c>
      <c r="R46" s="107">
        <f ca="1">OFFSET(IND!AA$28,$E46,0)</f>
        <v>8.59901528616486E-2</v>
      </c>
      <c r="S46" s="107">
        <f ca="1">OFFSET(IND!AB$28,$E46,0)</f>
        <v>8.7302155161309944E-2</v>
      </c>
      <c r="T46" s="107">
        <f ca="1">OFFSET(IND!AC$28,$E46,0)</f>
        <v>9.0103798524272777E-2</v>
      </c>
      <c r="U46" s="107">
        <f ca="1">OFFSET(IND!AD$28,$E46,0)</f>
        <v>9.2179361459500758E-2</v>
      </c>
      <c r="V46" s="107">
        <f ca="1">OFFSET(IND!AE$28,$E46,0)</f>
        <v>9.4822346961768791E-2</v>
      </c>
      <c r="W46" s="107">
        <f ca="1">OFFSET(IND!AF$28,$E46,0)</f>
        <v>9.7131483072989924E-2</v>
      </c>
      <c r="X46" s="107">
        <f ca="1">OFFSET(IND!AG$28,$E46,0)</f>
        <v>9.9962963033224578E-2</v>
      </c>
      <c r="Y46" s="107">
        <f ca="1">OFFSET(IND!AH$28,$E46,0)</f>
        <v>0.10523187089790047</v>
      </c>
      <c r="Z46" s="107">
        <f ca="1">OFFSET(IND!AI$28,$E46,0)</f>
        <v>0.10845230878427758</v>
      </c>
      <c r="AA46" s="107">
        <f ca="1">OFFSET(IND!AJ$28,$E46,0)</f>
        <v>0.11184092098773932</v>
      </c>
      <c r="AB46" s="107">
        <f ca="1">OFFSET(IND!AK$28,$E46,0)</f>
        <v>0.11538995738002553</v>
      </c>
      <c r="AC46" s="107">
        <f ca="1">OFFSET(IND!AL$28,$E46,0)</f>
        <v>0.11894909015215981</v>
      </c>
      <c r="AD46" s="107">
        <f ca="1">OFFSET(IND!AM$28,$E46,0)</f>
        <v>0.12289927973041594</v>
      </c>
      <c r="AE46" s="107">
        <f ca="1">OFFSET(IND!AN$28,$E46,0)</f>
        <v>0.14507339283717899</v>
      </c>
      <c r="AF46" s="107">
        <f ca="1">OFFSET(IND!AO$28,$E46,0)</f>
        <v>0.16973034303119608</v>
      </c>
      <c r="AG46" s="107">
        <f ca="1">OFFSET(IND!AP$28,$E46,0)</f>
        <v>0.19918337958816656</v>
      </c>
      <c r="AH46" s="107">
        <f ca="1">OFFSET(IND!AQ$28,$E46,0)</f>
        <v>0.2230416919385966</v>
      </c>
      <c r="AJ46">
        <f t="shared" ca="1" si="1"/>
        <v>2.4627400022830725</v>
      </c>
    </row>
    <row r="47" spans="1:36">
      <c r="A47" s="27" t="s">
        <v>331</v>
      </c>
      <c r="B47">
        <v>0.80432667377019995</v>
      </c>
      <c r="C47" t="s">
        <v>724</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0">
        <f ca="1">OFFSET(IND!S$28,$E47,0)</f>
        <v>8.940988221771913E-2</v>
      </c>
      <c r="K47" s="107">
        <f ca="1">OFFSET(IND!T$28,$E47,0)</f>
        <v>8.7811864555707317E-2</v>
      </c>
      <c r="L47" s="107">
        <f ca="1">OFFSET(IND!U$28,$E47,0)</f>
        <v>9.970674259846074E-2</v>
      </c>
      <c r="M47" s="107">
        <f ca="1">OFFSET(IND!V$28,$E47,0)</f>
        <v>9.3488285792838494E-2</v>
      </c>
      <c r="N47" s="107">
        <f ca="1">OFFSET(IND!W$28,$E47,0)</f>
        <v>9.2154478693702163E-2</v>
      </c>
      <c r="O47" s="170">
        <f ca="1">OFFSET(IND!X$28,$E47,0)</f>
        <v>9.1302514143134297E-2</v>
      </c>
      <c r="P47" s="107">
        <f ca="1">OFFSET(IND!Y$28,$E47,0)</f>
        <v>9.3828009869042689E-2</v>
      </c>
      <c r="Q47" s="107">
        <f ca="1">OFFSET(IND!Z$28,$E47,0)</f>
        <v>9.4387767732369593E-2</v>
      </c>
      <c r="R47" s="107">
        <f ca="1">OFFSET(IND!AA$28,$E47,0)</f>
        <v>9.5544614290721128E-2</v>
      </c>
      <c r="S47" s="107">
        <f ca="1">OFFSET(IND!AB$28,$E47,0)</f>
        <v>9.7002394623678184E-2</v>
      </c>
      <c r="T47" s="107">
        <f ca="1">OFFSET(IND!AC$28,$E47,0)</f>
        <v>0.1001153316936369</v>
      </c>
      <c r="U47" s="107">
        <f ca="1">OFFSET(IND!AD$28,$E47,0)</f>
        <v>0.10242151273277911</v>
      </c>
      <c r="V47" s="107">
        <f ca="1">OFFSET(IND!AE$28,$E47,0)</f>
        <v>0.10535816329085472</v>
      </c>
      <c r="W47" s="107">
        <f ca="1">OFFSET(IND!AF$28,$E47,0)</f>
        <v>0.10792387008110044</v>
      </c>
      <c r="X47" s="107">
        <f ca="1">OFFSET(IND!AG$28,$E47,0)</f>
        <v>0.11106995892580562</v>
      </c>
      <c r="Y47" s="107">
        <f ca="1">OFFSET(IND!AH$28,$E47,0)</f>
        <v>0.11692430099766775</v>
      </c>
      <c r="Z47" s="107">
        <f ca="1">OFFSET(IND!AI$28,$E47,0)</f>
        <v>0.12050256531586456</v>
      </c>
      <c r="AA47" s="107">
        <f ca="1">OFFSET(IND!AJ$28,$E47,0)</f>
        <v>0.12426768998637762</v>
      </c>
      <c r="AB47" s="107">
        <f ca="1">OFFSET(IND!AK$28,$E47,0)</f>
        <v>0.12821106375558453</v>
      </c>
      <c r="AC47" s="107">
        <f ca="1">OFFSET(IND!AL$28,$E47,0)</f>
        <v>0.13216565572462263</v>
      </c>
      <c r="AD47" s="107">
        <f ca="1">OFFSET(IND!AM$28,$E47,0)</f>
        <v>0.13655475525601835</v>
      </c>
      <c r="AE47" s="107">
        <f ca="1">OFFSET(IND!AN$28,$E47,0)</f>
        <v>0.16119265870797739</v>
      </c>
      <c r="AF47" s="107">
        <f ca="1">OFFSET(IND!AO$28,$E47,0)</f>
        <v>0.18858927003466319</v>
      </c>
      <c r="AG47" s="107">
        <f ca="1">OFFSET(IND!AP$28,$E47,0)</f>
        <v>0.22131486620907501</v>
      </c>
      <c r="AH47" s="107">
        <f ca="1">OFFSET(IND!AQ$28,$E47,0)</f>
        <v>0.24782410215399739</v>
      </c>
      <c r="AJ47">
        <f t="shared" ca="1" si="1"/>
        <v>2.4627400022830734</v>
      </c>
    </row>
    <row r="48" spans="1:36">
      <c r="A48" s="27" t="s">
        <v>332</v>
      </c>
      <c r="B48">
        <v>0.241298002131</v>
      </c>
      <c r="C48" t="s">
        <v>724</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0">
        <f ca="1">OFFSET(IND!S$28,$E48,0)</f>
        <v>2.6822964665315648E-2</v>
      </c>
      <c r="K48" s="107">
        <f ca="1">OFFSET(IND!T$28,$E48,0)</f>
        <v>2.6343559366712104E-2</v>
      </c>
      <c r="L48" s="107">
        <f ca="1">OFFSET(IND!U$28,$E48,0)</f>
        <v>2.9912022779538118E-2</v>
      </c>
      <c r="M48" s="107">
        <f ca="1">OFFSET(IND!V$28,$E48,0)</f>
        <v>2.804648573785145E-2</v>
      </c>
      <c r="N48" s="107">
        <f ca="1">OFFSET(IND!W$28,$E48,0)</f>
        <v>2.7646343608110552E-2</v>
      </c>
      <c r="O48" s="170">
        <f ca="1">OFFSET(IND!X$28,$E48,0)</f>
        <v>2.7390754242940192E-2</v>
      </c>
      <c r="P48" s="107">
        <f ca="1">OFFSET(IND!Y$28,$E48,0)</f>
        <v>2.8148402960712707E-2</v>
      </c>
      <c r="Q48" s="107">
        <f ca="1">OFFSET(IND!Z$28,$E48,0)</f>
        <v>2.8316330319710779E-2</v>
      </c>
      <c r="R48" s="107">
        <f ca="1">OFFSET(IND!AA$28,$E48,0)</f>
        <v>2.8663384287216237E-2</v>
      </c>
      <c r="S48" s="107">
        <f ca="1">OFFSET(IND!AB$28,$E48,0)</f>
        <v>2.9100718387103354E-2</v>
      </c>
      <c r="T48" s="107">
        <f ca="1">OFFSET(IND!AC$28,$E48,0)</f>
        <v>3.0034599508090967E-2</v>
      </c>
      <c r="U48" s="107">
        <f ca="1">OFFSET(IND!AD$28,$E48,0)</f>
        <v>3.0726453819833629E-2</v>
      </c>
      <c r="V48" s="107">
        <f ca="1">OFFSET(IND!AE$28,$E48,0)</f>
        <v>3.1607448987256308E-2</v>
      </c>
      <c r="W48" s="107">
        <f ca="1">OFFSET(IND!AF$28,$E48,0)</f>
        <v>3.2377161024330019E-2</v>
      </c>
      <c r="X48" s="107">
        <f ca="1">OFFSET(IND!AG$28,$E48,0)</f>
        <v>3.3320987677741574E-2</v>
      </c>
      <c r="Y48" s="107">
        <f ca="1">OFFSET(IND!AH$28,$E48,0)</f>
        <v>3.5077290299300207E-2</v>
      </c>
      <c r="Z48" s="107">
        <f ca="1">OFFSET(IND!AI$28,$E48,0)</f>
        <v>3.6150769594759248E-2</v>
      </c>
      <c r="AA48" s="107">
        <f ca="1">OFFSET(IND!AJ$28,$E48,0)</f>
        <v>3.7280306995913164E-2</v>
      </c>
      <c r="AB48" s="107">
        <f ca="1">OFFSET(IND!AK$28,$E48,0)</f>
        <v>3.8463319126675236E-2</v>
      </c>
      <c r="AC48" s="107">
        <f ca="1">OFFSET(IND!AL$28,$E48,0)</f>
        <v>3.9649696717386662E-2</v>
      </c>
      <c r="AD48" s="107">
        <f ca="1">OFFSET(IND!AM$28,$E48,0)</f>
        <v>4.0966426576805375E-2</v>
      </c>
      <c r="AE48" s="107">
        <f ca="1">OFFSET(IND!AN$28,$E48,0)</f>
        <v>4.8357797612393068E-2</v>
      </c>
      <c r="AF48" s="107">
        <f ca="1">OFFSET(IND!AO$28,$E48,0)</f>
        <v>5.6576781010398779E-2</v>
      </c>
      <c r="AG48" s="107">
        <f ca="1">OFFSET(IND!AP$28,$E48,0)</f>
        <v>6.6394459862722299E-2</v>
      </c>
      <c r="AH48" s="107">
        <f ca="1">OFFSET(IND!AQ$28,$E48,0)</f>
        <v>7.4347230646198983E-2</v>
      </c>
      <c r="AJ48">
        <f t="shared" ca="1" si="1"/>
        <v>2.4627400022830734</v>
      </c>
    </row>
    <row r="49" spans="1:36">
      <c r="A49" s="27" t="s">
        <v>333</v>
      </c>
      <c r="B49">
        <v>4.5042293731129996</v>
      </c>
      <c r="C49" t="s">
        <v>724</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0">
        <f ca="1">OFFSET(IND!S$28,$E49,0)</f>
        <v>0.50069534041922537</v>
      </c>
      <c r="K49" s="107">
        <f ca="1">OFFSET(IND!T$28,$E49,0)</f>
        <v>0.49174644151195923</v>
      </c>
      <c r="L49" s="107">
        <f ca="1">OFFSET(IND!U$28,$E49,0)</f>
        <v>0.55835775855137815</v>
      </c>
      <c r="M49" s="107">
        <f ca="1">OFFSET(IND!V$28,$E49,0)</f>
        <v>0.52353440043989363</v>
      </c>
      <c r="N49" s="107">
        <f ca="1">OFFSET(IND!W$28,$E49,0)</f>
        <v>0.51606508068473023</v>
      </c>
      <c r="O49" s="170">
        <f ca="1">OFFSET(IND!X$28,$E49,0)</f>
        <v>0.51129407920155012</v>
      </c>
      <c r="P49" s="107">
        <f ca="1">OFFSET(IND!Y$28,$E49,0)</f>
        <v>0.52543685526663708</v>
      </c>
      <c r="Q49" s="107">
        <f ca="1">OFFSET(IND!Z$28,$E49,0)</f>
        <v>0.52857149930126779</v>
      </c>
      <c r="R49" s="107">
        <f ca="1">OFFSET(IND!AA$28,$E49,0)</f>
        <v>0.53504984002803635</v>
      </c>
      <c r="S49" s="107">
        <f ca="1">OFFSET(IND!AB$28,$E49,0)</f>
        <v>0.54321340989259581</v>
      </c>
      <c r="T49" s="107">
        <f ca="1">OFFSET(IND!AC$28,$E49,0)</f>
        <v>0.56064585748436457</v>
      </c>
      <c r="U49" s="107">
        <f ca="1">OFFSET(IND!AD$28,$E49,0)</f>
        <v>0.57356047130356091</v>
      </c>
      <c r="V49" s="107">
        <f ca="1">OFFSET(IND!AE$28,$E49,0)</f>
        <v>0.59000571442878424</v>
      </c>
      <c r="W49" s="107">
        <f ca="1">OFFSET(IND!AF$28,$E49,0)</f>
        <v>0.60437367245416018</v>
      </c>
      <c r="X49" s="107">
        <f ca="1">OFFSET(IND!AG$28,$E49,0)</f>
        <v>0.62199176998450922</v>
      </c>
      <c r="Y49" s="107">
        <f ca="1">OFFSET(IND!AH$28,$E49,0)</f>
        <v>0.65477608558693701</v>
      </c>
      <c r="Z49" s="107">
        <f ca="1">OFFSET(IND!AI$28,$E49,0)</f>
        <v>0.67481436576883913</v>
      </c>
      <c r="AA49" s="107">
        <f ca="1">OFFSET(IND!AJ$28,$E49,0)</f>
        <v>0.69589906392371215</v>
      </c>
      <c r="AB49" s="107">
        <f ca="1">OFFSET(IND!AK$28,$E49,0)</f>
        <v>0.71798195703127077</v>
      </c>
      <c r="AC49" s="107">
        <f ca="1">OFFSET(IND!AL$28,$E49,0)</f>
        <v>0.7401276720578841</v>
      </c>
      <c r="AD49" s="107">
        <f ca="1">OFFSET(IND!AM$28,$E49,0)</f>
        <v>0.76470662943370005</v>
      </c>
      <c r="AE49" s="107">
        <f ca="1">OFFSET(IND!AN$28,$E49,0)</f>
        <v>0.90267888876467017</v>
      </c>
      <c r="AF49" s="107">
        <f ca="1">OFFSET(IND!AO$28,$E49,0)</f>
        <v>1.0560999121941101</v>
      </c>
      <c r="AG49" s="107">
        <f ca="1">OFFSET(IND!AP$28,$E49,0)</f>
        <v>1.2393632507708157</v>
      </c>
      <c r="AH49" s="107">
        <f ca="1">OFFSET(IND!AQ$28,$E49,0)</f>
        <v>1.3878149720623805</v>
      </c>
      <c r="AJ49">
        <f t="shared" ca="1" si="1"/>
        <v>2.462740002283073</v>
      </c>
    </row>
    <row r="50" spans="1:36">
      <c r="A50" s="27" t="s">
        <v>334</v>
      </c>
      <c r="B50" t="s">
        <v>370</v>
      </c>
      <c r="C50" t="s">
        <v>724</v>
      </c>
      <c r="D50" t="s">
        <v>272</v>
      </c>
      <c r="E50" s="110">
        <f>MATCH(F50,IND!$D$29:$D$137,0)</f>
        <v>81</v>
      </c>
      <c r="F50" t="str">
        <f t="shared" si="0"/>
        <v>INFP</v>
      </c>
      <c r="G50" s="107">
        <f ca="1">OFFSET(IND!P$28,$E50,0)</f>
        <v>0</v>
      </c>
      <c r="H50" s="107">
        <f ca="1">OFFSET(IND!Q$28,$E50,0)</f>
        <v>0</v>
      </c>
      <c r="I50" s="107">
        <f ca="1">OFFSET(IND!R$28,$E50,0)</f>
        <v>0</v>
      </c>
      <c r="J50" s="170">
        <f ca="1">OFFSET(IND!S$28,$E50,0)</f>
        <v>0</v>
      </c>
      <c r="K50" s="107">
        <f ca="1">OFFSET(IND!T$28,$E50,0)</f>
        <v>0</v>
      </c>
      <c r="L50" s="107">
        <f ca="1">OFFSET(IND!U$28,$E50,0)</f>
        <v>0</v>
      </c>
      <c r="M50" s="107">
        <f ca="1">OFFSET(IND!V$28,$E50,0)</f>
        <v>0</v>
      </c>
      <c r="N50" s="107">
        <f ca="1">OFFSET(IND!W$28,$E50,0)</f>
        <v>0</v>
      </c>
      <c r="O50" s="170">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7" t="s">
        <v>335</v>
      </c>
      <c r="B51">
        <v>0.51839999999999997</v>
      </c>
      <c r="C51" t="s">
        <v>724</v>
      </c>
      <c r="D51" t="s">
        <v>272</v>
      </c>
      <c r="E51" s="110">
        <f>MATCH(F51,IND!$D$29:$D$137,0)</f>
        <v>85</v>
      </c>
      <c r="F51" t="str">
        <f t="shared" si="0"/>
        <v>INFS</v>
      </c>
      <c r="G51" s="107">
        <f ca="1">OFFSET(IND!P$28,$E51,0)</f>
        <v>1.9115200000000001</v>
      </c>
      <c r="H51" s="107">
        <f ca="1">OFFSET(IND!Q$28,$E51,0)</f>
        <v>1.8762775470941884</v>
      </c>
      <c r="I51" s="107">
        <f ca="1">OFFSET(IND!R$28,$E51,0)</f>
        <v>1.8017065597862387</v>
      </c>
      <c r="J51" s="170">
        <f ca="1">OFFSET(IND!S$28,$E51,0)</f>
        <v>1.6983976974131745</v>
      </c>
      <c r="K51" s="107">
        <f ca="1">OFFSET(IND!T$28,$E51,0)</f>
        <v>1.6680423334392291</v>
      </c>
      <c r="L51" s="107">
        <f ca="1">OFFSET(IND!U$28,$E51,0)</f>
        <v>1.893993122968614</v>
      </c>
      <c r="M51" s="107">
        <f ca="1">OFFSET(IND!V$28,$E51,0)</f>
        <v>1.7758695726611171</v>
      </c>
      <c r="N51" s="107">
        <f ca="1">OFFSET(IND!W$28,$E51,0)</f>
        <v>1.7505330567215227</v>
      </c>
      <c r="O51" s="170">
        <f ca="1">OFFSET(IND!X$28,$E51,0)</f>
        <v>1.7343494470905578</v>
      </c>
      <c r="P51" s="107">
        <f ca="1">OFFSET(IND!Y$28,$E51,0)</f>
        <v>1.7823228480090927</v>
      </c>
      <c r="Q51" s="107">
        <f ca="1">OFFSET(IND!Z$28,$E51,0)</f>
        <v>1.7929558053802739</v>
      </c>
      <c r="R51" s="107">
        <f ca="1">OFFSET(IND!AA$28,$E51,0)</f>
        <v>1.8149308430632474</v>
      </c>
      <c r="S51" s="107">
        <f ca="1">OFFSET(IND!AB$28,$E51,0)</f>
        <v>1.8426223095926353</v>
      </c>
      <c r="T51" s="107">
        <f ca="1">OFFSET(IND!AC$28,$E51,0)</f>
        <v>1.9017545332425421</v>
      </c>
      <c r="U51" s="107">
        <f ca="1">OFFSET(IND!AD$28,$E51,0)</f>
        <v>1.9455619119074568</v>
      </c>
      <c r="V51" s="107">
        <f ca="1">OFFSET(IND!AE$28,$E51,0)</f>
        <v>2.0013454609093175</v>
      </c>
      <c r="W51" s="107">
        <f ca="1">OFFSET(IND!AF$28,$E51,0)</f>
        <v>2.0500826966231465</v>
      </c>
      <c r="X51" s="107">
        <f ca="1">OFFSET(IND!AG$28,$E51,0)</f>
        <v>2.1098446593633864</v>
      </c>
      <c r="Y51" s="107">
        <f ca="1">OFFSET(IND!AH$28,$E51,0)</f>
        <v>2.2210516182374382</v>
      </c>
      <c r="Z51" s="107">
        <f ca="1">OFFSET(IND!AI$28,$E51,0)</f>
        <v>2.289023029540302</v>
      </c>
      <c r="AA51" s="107">
        <f ca="1">OFFSET(IND!AJ$28,$E51,0)</f>
        <v>2.3605439723293937</v>
      </c>
      <c r="AB51" s="107">
        <f ca="1">OFFSET(IND!AK$28,$E51,0)</f>
        <v>2.4354508703538413</v>
      </c>
      <c r="AC51" s="107">
        <f ca="1">OFFSET(IND!AL$28,$E51,0)</f>
        <v>2.5105708652339138</v>
      </c>
      <c r="AD51" s="107">
        <f ca="1">OFFSET(IND!AM$28,$E51,0)</f>
        <v>2.5939446081909581</v>
      </c>
      <c r="AE51" s="107">
        <f ca="1">OFFSET(IND!AN$28,$E51,0)</f>
        <v>3.0619572870355634</v>
      </c>
      <c r="AF51" s="107">
        <f ca="1">OFFSET(IND!AO$28,$E51,0)</f>
        <v>3.5823733802014432</v>
      </c>
      <c r="AG51" s="107">
        <f ca="1">OFFSET(IND!AP$28,$E51,0)</f>
        <v>4.2040169369366005</v>
      </c>
      <c r="AH51" s="107">
        <f ca="1">OFFSET(IND!AQ$28,$E51,0)</f>
        <v>4.7075767691641399</v>
      </c>
      <c r="AJ51">
        <f t="shared" ca="1" si="1"/>
        <v>2.462740002283073</v>
      </c>
    </row>
    <row r="52" spans="1:36">
      <c r="A52" s="27" t="s">
        <v>336</v>
      </c>
      <c r="B52">
        <v>0.24189876324029999</v>
      </c>
      <c r="C52" t="s">
        <v>724</v>
      </c>
      <c r="D52" t="s">
        <v>272</v>
      </c>
      <c r="E52" s="110">
        <f>MATCH(F52,IND!$D$29:$D$137,0)</f>
        <v>99</v>
      </c>
      <c r="F52" t="str">
        <f t="shared" si="0"/>
        <v>IOTA</v>
      </c>
      <c r="G52" s="107">
        <f ca="1">OFFSET(IND!P$28,$E52,0)</f>
        <v>0.12355272</v>
      </c>
      <c r="H52" s="107">
        <f ca="1">OFFSET(IND!Q$28,$E52,0)</f>
        <v>0.12497625693493029</v>
      </c>
      <c r="I52" s="107">
        <f ca="1">OFFSET(IND!R$28,$E52,0)</f>
        <v>0.12484234548501866</v>
      </c>
      <c r="J52" s="170">
        <f ca="1">OFFSET(IND!S$28,$E52,0)</f>
        <v>0.11580423199500285</v>
      </c>
      <c r="K52" s="107">
        <f ca="1">OFFSET(IND!T$28,$E52,0)</f>
        <v>0.1269574967012421</v>
      </c>
      <c r="L52" s="107">
        <f ca="1">OFFSET(IND!U$28,$E52,0)</f>
        <v>0.13121330505951595</v>
      </c>
      <c r="M52" s="107">
        <f ca="1">OFFSET(IND!V$28,$E52,0)</f>
        <v>0.13041351248380151</v>
      </c>
      <c r="N52" s="107">
        <f ca="1">OFFSET(IND!W$28,$E52,0)</f>
        <v>0.13050478014192934</v>
      </c>
      <c r="O52" s="170">
        <f ca="1">OFFSET(IND!X$28,$E52,0)</f>
        <v>0.13412092172240062</v>
      </c>
      <c r="P52" s="107">
        <f ca="1">OFFSET(IND!Y$28,$E52,0)</f>
        <v>0.14143994684959413</v>
      </c>
      <c r="Q52" s="107">
        <f ca="1">OFFSET(IND!Z$28,$E52,0)</f>
        <v>0.14319800819806164</v>
      </c>
      <c r="R52" s="107">
        <f ca="1">OFFSET(IND!AA$28,$E52,0)</f>
        <v>0.14548798090271886</v>
      </c>
      <c r="S52" s="107">
        <f ca="1">OFFSET(IND!AB$28,$E52,0)</f>
        <v>0.1496974913127995</v>
      </c>
      <c r="T52" s="107">
        <f ca="1">OFFSET(IND!AC$28,$E52,0)</f>
        <v>0.15498263497846249</v>
      </c>
      <c r="U52" s="107">
        <f ca="1">OFFSET(IND!AD$28,$E52,0)</f>
        <v>0.16036312773469749</v>
      </c>
      <c r="V52" s="107">
        <f ca="1">OFFSET(IND!AE$28,$E52,0)</f>
        <v>0.16581893953445737</v>
      </c>
      <c r="W52" s="107">
        <f ca="1">OFFSET(IND!AF$28,$E52,0)</f>
        <v>0.17210274878534682</v>
      </c>
      <c r="X52" s="107">
        <f ca="1">OFFSET(IND!AG$28,$E52,0)</f>
        <v>0.17926648844726162</v>
      </c>
      <c r="Y52" s="107">
        <f ca="1">OFFSET(IND!AH$28,$E52,0)</f>
        <v>0.18742950755917043</v>
      </c>
      <c r="Z52" s="107">
        <f ca="1">OFFSET(IND!AI$28,$E52,0)</f>
        <v>0.19439115574539034</v>
      </c>
      <c r="AA52" s="107">
        <f ca="1">OFFSET(IND!AJ$28,$E52,0)</f>
        <v>0.20132091884726766</v>
      </c>
      <c r="AB52" s="107">
        <f ca="1">OFFSET(IND!AK$28,$E52,0)</f>
        <v>0.20811108817101917</v>
      </c>
      <c r="AC52" s="107">
        <f ca="1">OFFSET(IND!AL$28,$E52,0)</f>
        <v>0.21432085094967798</v>
      </c>
      <c r="AD52" s="107">
        <f ca="1">OFFSET(IND!AM$28,$E52,0)</f>
        <v>0.22063795831287775</v>
      </c>
      <c r="AE52" s="107">
        <f ca="1">OFFSET(IND!AN$28,$E52,0)</f>
        <v>0.25558042516742968</v>
      </c>
      <c r="AF52" s="107">
        <f ca="1">OFFSET(IND!AO$28,$E52,0)</f>
        <v>0.29848885847020235</v>
      </c>
      <c r="AG52" s="107">
        <f ca="1">OFFSET(IND!AP$28,$E52,0)</f>
        <v>0.35562557268033257</v>
      </c>
      <c r="AH52" s="107">
        <f ca="1">OFFSET(IND!AQ$28,$E52,0)</f>
        <v>0.39822263078001346</v>
      </c>
      <c r="AJ52">
        <f t="shared" ca="1" si="1"/>
        <v>3.223098858365995</v>
      </c>
    </row>
    <row r="53" spans="1:36">
      <c r="A53" s="27" t="s">
        <v>337</v>
      </c>
      <c r="B53">
        <v>4.5502640185010002</v>
      </c>
      <c r="C53" t="s">
        <v>724</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0">
        <f ca="1">OFFSET(IND!S$28,$E53,0)</f>
        <v>2.1783485908666593</v>
      </c>
      <c r="K53" s="107">
        <f ca="1">OFFSET(IND!T$28,$E53,0)</f>
        <v>2.3881483368504459</v>
      </c>
      <c r="L53" s="107">
        <f ca="1">OFFSET(IND!U$28,$E53,0)</f>
        <v>2.4682027008450573</v>
      </c>
      <c r="M53" s="107">
        <f ca="1">OFFSET(IND!V$28,$E53,0)</f>
        <v>2.4531581122296053</v>
      </c>
      <c r="N53" s="107">
        <f ca="1">OFFSET(IND!W$28,$E53,0)</f>
        <v>2.4548749128253129</v>
      </c>
      <c r="O53" s="170">
        <f ca="1">OFFSET(IND!X$28,$E53,0)</f>
        <v>2.5228967526189905</v>
      </c>
      <c r="P53" s="107">
        <f ca="1">OFFSET(IND!Y$28,$E53,0)</f>
        <v>2.6605721017636368</v>
      </c>
      <c r="Q53" s="107">
        <f ca="1">OFFSET(IND!Z$28,$E53,0)</f>
        <v>2.6936423134054412</v>
      </c>
      <c r="R53" s="107">
        <f ca="1">OFFSET(IND!AA$28,$E53,0)</f>
        <v>2.736718103714455</v>
      </c>
      <c r="S53" s="107">
        <f ca="1">OFFSET(IND!AB$28,$E53,0)</f>
        <v>2.815901574923291</v>
      </c>
      <c r="T53" s="107">
        <f ca="1">OFFSET(IND!AC$28,$E53,0)</f>
        <v>2.9153183670239597</v>
      </c>
      <c r="U53" s="107">
        <f ca="1">OFFSET(IND!AD$28,$E53,0)</f>
        <v>3.0165287339664957</v>
      </c>
      <c r="V53" s="107">
        <f ca="1">OFFSET(IND!AE$28,$E53,0)</f>
        <v>3.1191558982876875</v>
      </c>
      <c r="W53" s="107">
        <f ca="1">OFFSET(IND!AF$28,$E53,0)</f>
        <v>3.2373582022202467</v>
      </c>
      <c r="X53" s="107">
        <f ca="1">OFFSET(IND!AG$28,$E53,0)</f>
        <v>3.372112536574289</v>
      </c>
      <c r="Y53" s="107">
        <f ca="1">OFFSET(IND!AH$28,$E53,0)</f>
        <v>3.5256639299327928</v>
      </c>
      <c r="Z53" s="107">
        <f ca="1">OFFSET(IND!AI$28,$E53,0)</f>
        <v>3.6566167997486034</v>
      </c>
      <c r="AA53" s="107">
        <f ca="1">OFFSET(IND!AJ$28,$E53,0)</f>
        <v>3.7869698915826362</v>
      </c>
      <c r="AB53" s="107">
        <f ca="1">OFFSET(IND!AK$28,$E53,0)</f>
        <v>3.9146971388802858</v>
      </c>
      <c r="AC53" s="107">
        <f ca="1">OFFSET(IND!AL$28,$E53,0)</f>
        <v>4.0315065832803088</v>
      </c>
      <c r="AD53" s="107">
        <f ca="1">OFFSET(IND!AM$28,$E53,0)</f>
        <v>4.150335245116894</v>
      </c>
      <c r="AE53" s="107">
        <f ca="1">OFFSET(IND!AN$28,$E53,0)</f>
        <v>4.8076244660954739</v>
      </c>
      <c r="AF53" s="107">
        <f ca="1">OFFSET(IND!AO$28,$E53,0)</f>
        <v>5.6147583990369245</v>
      </c>
      <c r="AG53" s="107">
        <f ca="1">OFFSET(IND!AP$28,$E53,0)</f>
        <v>6.6895350176648085</v>
      </c>
      <c r="AH53" s="107">
        <f ca="1">OFFSET(IND!AQ$28,$E53,0)</f>
        <v>7.4908117921656681</v>
      </c>
      <c r="AJ53">
        <f t="shared" ca="1" si="1"/>
        <v>3.2230988583659945</v>
      </c>
    </row>
    <row r="54" spans="1:36">
      <c r="A54" s="27" t="s">
        <v>338</v>
      </c>
      <c r="B54">
        <v>0.43799389606880001</v>
      </c>
      <c r="C54" t="s">
        <v>724</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0">
        <f ca="1">OFFSET(IND!S$28,$E54,0)</f>
        <v>0.20968088498388876</v>
      </c>
      <c r="K54" s="107">
        <f ca="1">OFFSET(IND!T$28,$E54,0)</f>
        <v>0.22987553913232034</v>
      </c>
      <c r="L54" s="107">
        <f ca="1">OFFSET(IND!U$28,$E54,0)</f>
        <v>0.23758131678406627</v>
      </c>
      <c r="M54" s="107">
        <f ca="1">OFFSET(IND!V$28,$E54,0)</f>
        <v>0.23613317268613224</v>
      </c>
      <c r="N54" s="107">
        <f ca="1">OFFSET(IND!W$28,$E54,0)</f>
        <v>0.23629842643374552</v>
      </c>
      <c r="O54" s="170">
        <f ca="1">OFFSET(IND!X$28,$E54,0)</f>
        <v>0.24284599169762097</v>
      </c>
      <c r="P54" s="107">
        <f ca="1">OFFSET(IND!Y$28,$E54,0)</f>
        <v>0.25609818153085157</v>
      </c>
      <c r="Q54" s="107">
        <f ca="1">OFFSET(IND!Z$28,$E54,0)</f>
        <v>0.25928141458764126</v>
      </c>
      <c r="R54" s="107">
        <f ca="1">OFFSET(IND!AA$28,$E54,0)</f>
        <v>0.26342775272252217</v>
      </c>
      <c r="S54" s="107">
        <f ca="1">OFFSET(IND!AB$28,$E54,0)</f>
        <v>0.2710497010134334</v>
      </c>
      <c r="T54" s="107">
        <f ca="1">OFFSET(IND!AC$28,$E54,0)</f>
        <v>0.28061924421571488</v>
      </c>
      <c r="U54" s="107">
        <f ca="1">OFFSET(IND!AD$28,$E54,0)</f>
        <v>0.29036143120958435</v>
      </c>
      <c r="V54" s="107">
        <f ca="1">OFFSET(IND!AE$28,$E54,0)</f>
        <v>0.30023999459860246</v>
      </c>
      <c r="W54" s="107">
        <f ca="1">OFFSET(IND!AF$28,$E54,0)</f>
        <v>0.31161777123161277</v>
      </c>
      <c r="X54" s="107">
        <f ca="1">OFFSET(IND!AG$28,$E54,0)</f>
        <v>0.32458879350106917</v>
      </c>
      <c r="Y54" s="107">
        <f ca="1">OFFSET(IND!AH$28,$E54,0)</f>
        <v>0.33936916069524298</v>
      </c>
      <c r="Z54" s="107">
        <f ca="1">OFFSET(IND!AI$28,$E54,0)</f>
        <v>0.35197426611743571</v>
      </c>
      <c r="AA54" s="107">
        <f ca="1">OFFSET(IND!AJ$28,$E54,0)</f>
        <v>0.36452163882479099</v>
      </c>
      <c r="AB54" s="107">
        <f ca="1">OFFSET(IND!AK$28,$E54,0)</f>
        <v>0.37681625611525499</v>
      </c>
      <c r="AC54" s="107">
        <f ca="1">OFFSET(IND!AL$28,$E54,0)</f>
        <v>0.38805996053380665</v>
      </c>
      <c r="AD54" s="107">
        <f ca="1">OFFSET(IND!AM$28,$E54,0)</f>
        <v>0.39949802838016246</v>
      </c>
      <c r="AE54" s="107">
        <f ca="1">OFFSET(IND!AN$28,$E54,0)</f>
        <v>0.46276659160416295</v>
      </c>
      <c r="AF54" s="107">
        <f ca="1">OFFSET(IND!AO$28,$E54,0)</f>
        <v>0.54045872869795919</v>
      </c>
      <c r="AG54" s="107">
        <f ca="1">OFFSET(IND!AP$28,$E54,0)</f>
        <v>0.64391329675872422</v>
      </c>
      <c r="AH54" s="107">
        <f ca="1">OFFSET(IND!AQ$28,$E54,0)</f>
        <v>0.72104164246923885</v>
      </c>
      <c r="AJ54">
        <f t="shared" ca="1" si="1"/>
        <v>3.2230988583659963</v>
      </c>
    </row>
    <row r="55" spans="1:36">
      <c r="A55" s="27" t="s">
        <v>339</v>
      </c>
      <c r="B55">
        <v>1.959977536374</v>
      </c>
      <c r="C55" t="s">
        <v>724</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0">
        <f ca="1">OFFSET(IND!S$28,$E55,0)</f>
        <v>0.93830034633828474</v>
      </c>
      <c r="K55" s="107">
        <f ca="1">OFFSET(IND!T$28,$E55,0)</f>
        <v>1.0286693419818846</v>
      </c>
      <c r="L55" s="107">
        <f ca="1">OFFSET(IND!U$28,$E55,0)</f>
        <v>1.0631519026597194</v>
      </c>
      <c r="M55" s="107">
        <f ca="1">OFFSET(IND!V$28,$E55,0)</f>
        <v>1.0566716070965656</v>
      </c>
      <c r="N55" s="107">
        <f ca="1">OFFSET(IND!W$28,$E55,0)</f>
        <v>1.0574111005827322</v>
      </c>
      <c r="O55" s="170">
        <f ca="1">OFFSET(IND!X$28,$E55,0)</f>
        <v>1.0867107802137053</v>
      </c>
      <c r="P55" s="107">
        <f ca="1">OFFSET(IND!Y$28,$E55,0)</f>
        <v>1.1460129636779557</v>
      </c>
      <c r="Q55" s="107">
        <f ca="1">OFFSET(IND!Z$28,$E55,0)</f>
        <v>1.1602576034785306</v>
      </c>
      <c r="R55" s="107">
        <f ca="1">OFFSET(IND!AA$28,$E55,0)</f>
        <v>1.178812039226421</v>
      </c>
      <c r="S55" s="107">
        <f ca="1">OFFSET(IND!AB$28,$E55,0)</f>
        <v>1.2129194721556744</v>
      </c>
      <c r="T55" s="107">
        <f ca="1">OFFSET(IND!AC$28,$E55,0)</f>
        <v>1.2557421915546785</v>
      </c>
      <c r="U55" s="107">
        <f ca="1">OFFSET(IND!AD$28,$E55,0)</f>
        <v>1.299337474124868</v>
      </c>
      <c r="V55" s="107">
        <f ca="1">OFFSET(IND!AE$28,$E55,0)</f>
        <v>1.3435430270056303</v>
      </c>
      <c r="W55" s="107">
        <f ca="1">OFFSET(IND!AF$28,$E55,0)</f>
        <v>1.3944574046139349</v>
      </c>
      <c r="X55" s="107">
        <f ca="1">OFFSET(IND!AG$28,$E55,0)</f>
        <v>1.4525013922131274</v>
      </c>
      <c r="Y55" s="107">
        <f ca="1">OFFSET(IND!AH$28,$E55,0)</f>
        <v>1.5186420118426465</v>
      </c>
      <c r="Z55" s="107">
        <f ca="1">OFFSET(IND!AI$28,$E55,0)</f>
        <v>1.5750485592691454</v>
      </c>
      <c r="AA55" s="107">
        <f ca="1">OFFSET(IND!AJ$28,$E55,0)</f>
        <v>1.6311967587478513</v>
      </c>
      <c r="AB55" s="107">
        <f ca="1">OFFSET(IND!AK$28,$E55,0)</f>
        <v>1.6862139037900683</v>
      </c>
      <c r="AC55" s="107">
        <f ca="1">OFFSET(IND!AL$28,$E55,0)</f>
        <v>1.7365283220588721</v>
      </c>
      <c r="AD55" s="107">
        <f ca="1">OFFSET(IND!AM$28,$E55,0)</f>
        <v>1.7877124966320626</v>
      </c>
      <c r="AE55" s="107">
        <f ca="1">OFFSET(IND!AN$28,$E55,0)</f>
        <v>2.0708327953181667</v>
      </c>
      <c r="AF55" s="107">
        <f ca="1">OFFSET(IND!AO$28,$E55,0)</f>
        <v>2.4184971002855544</v>
      </c>
      <c r="AG55" s="107">
        <f ca="1">OFFSET(IND!AP$28,$E55,0)</f>
        <v>2.8814456282314951</v>
      </c>
      <c r="AH55" s="107">
        <f ca="1">OFFSET(IND!AQ$28,$E55,0)</f>
        <v>3.2265870248744721</v>
      </c>
      <c r="AJ55">
        <f t="shared" ca="1" si="1"/>
        <v>3.2230988583659945</v>
      </c>
    </row>
    <row r="56" spans="1:36">
      <c r="A56" s="27" t="s">
        <v>340</v>
      </c>
      <c r="B56">
        <v>3.382156358499</v>
      </c>
      <c r="C56" t="s">
        <v>724</v>
      </c>
      <c r="D56" t="s">
        <v>272</v>
      </c>
      <c r="E56" s="110">
        <f>MATCH(F56,IND!$D$29:$D$137,0)</f>
        <v>102</v>
      </c>
      <c r="F56" t="str">
        <f t="shared" si="0"/>
        <v>IOTH</v>
      </c>
      <c r="G56" s="107">
        <f ca="1">OFFSET(IND!P$28,$E56,0)</f>
        <v>1.72747728</v>
      </c>
      <c r="H56" s="107">
        <f ca="1">OFFSET(IND!Q$28,$E56,0)</f>
        <v>1.7473807488376987</v>
      </c>
      <c r="I56" s="107">
        <f ca="1">OFFSET(IND!R$28,$E56,0)</f>
        <v>1.7455084388856863</v>
      </c>
      <c r="J56" s="170">
        <f ca="1">OFFSET(IND!S$28,$E56,0)</f>
        <v>1.6191402317910646</v>
      </c>
      <c r="K56" s="107">
        <f ca="1">OFFSET(IND!T$28,$E56,0)</f>
        <v>1.7750818523223988</v>
      </c>
      <c r="L56" s="107">
        <f ca="1">OFFSET(IND!U$28,$E56,0)</f>
        <v>1.8345852954432964</v>
      </c>
      <c r="M56" s="107">
        <f ca="1">OFFSET(IND!V$28,$E56,0)</f>
        <v>1.8234028341971225</v>
      </c>
      <c r="N56" s="107">
        <f ca="1">OFFSET(IND!W$28,$E56,0)</f>
        <v>1.8246789113714221</v>
      </c>
      <c r="O56" s="170">
        <f ca="1">OFFSET(IND!X$28,$E56,0)</f>
        <v>1.8752387243931623</v>
      </c>
      <c r="P56" s="107">
        <f ca="1">OFFSET(IND!Y$28,$E56,0)</f>
        <v>1.9775711507369602</v>
      </c>
      <c r="Q56" s="107">
        <f ca="1">OFFSET(IND!Z$28,$E56,0)</f>
        <v>2.0021518401489278</v>
      </c>
      <c r="R56" s="107">
        <f ca="1">OFFSET(IND!AA$28,$E56,0)</f>
        <v>2.0341695554943731</v>
      </c>
      <c r="S56" s="107">
        <f ca="1">OFFSET(IND!AB$28,$E56,0)</f>
        <v>2.0930256745125364</v>
      </c>
      <c r="T56" s="107">
        <f ca="1">OFFSET(IND!AC$28,$E56,0)</f>
        <v>2.1669209768900859</v>
      </c>
      <c r="U56" s="107">
        <f ca="1">OFFSET(IND!AD$28,$E56,0)</f>
        <v>2.2421494218130351</v>
      </c>
      <c r="V56" s="107">
        <f ca="1">OFFSET(IND!AE$28,$E56,0)</f>
        <v>2.3184309551377655</v>
      </c>
      <c r="W56" s="107">
        <f ca="1">OFFSET(IND!AF$28,$E56,0)</f>
        <v>2.406289301864291</v>
      </c>
      <c r="X56" s="107">
        <f ca="1">OFFSET(IND!AG$28,$E56,0)</f>
        <v>2.5064505731482636</v>
      </c>
      <c r="Y56" s="107">
        <f ca="1">OFFSET(IND!AH$28,$E56,0)</f>
        <v>2.6205834716552996</v>
      </c>
      <c r="Z56" s="107">
        <f ca="1">OFFSET(IND!AI$28,$E56,0)</f>
        <v>2.7179191602022463</v>
      </c>
      <c r="AA56" s="107">
        <f ca="1">OFFSET(IND!AJ$28,$E56,0)</f>
        <v>2.8148090410100135</v>
      </c>
      <c r="AB56" s="107">
        <f ca="1">OFFSET(IND!AK$28,$E56,0)</f>
        <v>2.909747163247498</v>
      </c>
      <c r="AC56" s="107">
        <f ca="1">OFFSET(IND!AL$28,$E56,0)</f>
        <v>2.9965702142845192</v>
      </c>
      <c r="AD56" s="107">
        <f ca="1">OFFSET(IND!AM$28,$E56,0)</f>
        <v>3.0848941252858175</v>
      </c>
      <c r="AE56" s="107">
        <f ca="1">OFFSET(IND!AN$28,$E56,0)</f>
        <v>3.5734492748478148</v>
      </c>
      <c r="AF56" s="107">
        <f ca="1">OFFSET(IND!AO$28,$E56,0)</f>
        <v>4.1733821913464171</v>
      </c>
      <c r="AG56" s="107">
        <f ca="1">OFFSET(IND!AP$28,$E56,0)</f>
        <v>4.9722506877409369</v>
      </c>
      <c r="AH56" s="107">
        <f ca="1">OFFSET(IND!AQ$28,$E56,0)</f>
        <v>5.5678300490211967</v>
      </c>
      <c r="AJ56">
        <f t="shared" ca="1" si="1"/>
        <v>3.2230988583659963</v>
      </c>
    </row>
    <row r="57" spans="1:36">
      <c r="A57" s="27" t="s">
        <v>341</v>
      </c>
      <c r="B57">
        <v>4.2714054259280001</v>
      </c>
      <c r="C57" t="s">
        <v>724</v>
      </c>
      <c r="D57" t="s">
        <v>272</v>
      </c>
      <c r="E57" s="110">
        <f>MATCH(F57,IND!$D$29:$D$137,0)</f>
        <v>98</v>
      </c>
      <c r="F57" t="str">
        <f t="shared" si="0"/>
        <v>IOTK</v>
      </c>
      <c r="G57" s="107">
        <f ca="1">OFFSET(IND!P$28,$E57,0)</f>
        <v>2.1816719999999998</v>
      </c>
      <c r="H57" s="107">
        <f ca="1">OFFSET(IND!Q$28,$E57,0)</f>
        <v>2.2068085625289613</v>
      </c>
      <c r="I57" s="107">
        <f ca="1">OFFSET(IND!R$28,$E57,0)</f>
        <v>2.2044439779147851</v>
      </c>
      <c r="J57" s="170">
        <f ca="1">OFFSET(IND!S$28,$E57,0)</f>
        <v>2.0448505741112126</v>
      </c>
      <c r="K57" s="107">
        <f ca="1">OFFSET(IND!T$28,$E57,0)</f>
        <v>2.2417929426660321</v>
      </c>
      <c r="L57" s="107">
        <f ca="1">OFFSET(IND!U$28,$E57,0)</f>
        <v>2.3169412512796512</v>
      </c>
      <c r="M57" s="107">
        <f ca="1">OFFSET(IND!V$28,$E57,0)</f>
        <v>2.3028186559353796</v>
      </c>
      <c r="N57" s="107">
        <f ca="1">OFFSET(IND!W$28,$E57,0)</f>
        <v>2.3044302440432181</v>
      </c>
      <c r="O57" s="170">
        <f ca="1">OFFSET(IND!X$28,$E57,0)</f>
        <v>2.3682834302308629</v>
      </c>
      <c r="P57" s="107">
        <f ca="1">OFFSET(IND!Y$28,$E57,0)</f>
        <v>2.4975214768501077</v>
      </c>
      <c r="Q57" s="107">
        <f ca="1">OFFSET(IND!Z$28,$E57,0)</f>
        <v>2.5285650120975212</v>
      </c>
      <c r="R57" s="107">
        <f ca="1">OFFSET(IND!AA$28,$E57,0)</f>
        <v>2.5690009436619166</v>
      </c>
      <c r="S57" s="107">
        <f ca="1">OFFSET(IND!AB$28,$E57,0)</f>
        <v>2.6433317313239075</v>
      </c>
      <c r="T57" s="107">
        <f ca="1">OFFSET(IND!AC$28,$E57,0)</f>
        <v>2.7366558600954498</v>
      </c>
      <c r="U57" s="107">
        <f ca="1">OFFSET(IND!AD$28,$E57,0)</f>
        <v>2.8316636461845035</v>
      </c>
      <c r="V57" s="107">
        <f ca="1">OFFSET(IND!AE$28,$E57,0)</f>
        <v>2.9280014025755055</v>
      </c>
      <c r="W57" s="107">
        <f ca="1">OFFSET(IND!AF$28,$E57,0)</f>
        <v>3.0389597909946877</v>
      </c>
      <c r="X57" s="107">
        <f ca="1">OFFSET(IND!AG$28,$E57,0)</f>
        <v>3.165455834430146</v>
      </c>
      <c r="Y57" s="107">
        <f ca="1">OFFSET(IND!AH$28,$E57,0)</f>
        <v>3.3095969770283524</v>
      </c>
      <c r="Z57" s="107">
        <f ca="1">OFFSET(IND!AI$28,$E57,0)</f>
        <v>3.4325245250558405</v>
      </c>
      <c r="AA57" s="107">
        <f ca="1">OFFSET(IND!AJ$28,$E57,0)</f>
        <v>3.5548890519233907</v>
      </c>
      <c r="AB57" s="107">
        <f ca="1">OFFSET(IND!AK$28,$E57,0)</f>
        <v>3.6747886566337327</v>
      </c>
      <c r="AC57" s="107">
        <f ca="1">OFFSET(IND!AL$28,$E57,0)</f>
        <v>3.7844395455890072</v>
      </c>
      <c r="AD57" s="107">
        <f ca="1">OFFSET(IND!AM$28,$E57,0)</f>
        <v>3.8959859061651789</v>
      </c>
      <c r="AE57" s="107">
        <f ca="1">OFFSET(IND!AN$28,$E57,0)</f>
        <v>4.5129937838347605</v>
      </c>
      <c r="AF57" s="107">
        <f ca="1">OFFSET(IND!AO$28,$E57,0)</f>
        <v>5.2706632831426399</v>
      </c>
      <c r="AG57" s="107">
        <f ca="1">OFFSET(IND!AP$28,$E57,0)</f>
        <v>6.2795732412904108</v>
      </c>
      <c r="AH57" s="107">
        <f ca="1">OFFSET(IND!AQ$28,$E57,0)</f>
        <v>7.031744532529058</v>
      </c>
      <c r="AJ57">
        <f t="shared" ca="1" si="1"/>
        <v>3.2230988583659959</v>
      </c>
    </row>
    <row r="58" spans="1:36">
      <c r="A58" s="27" t="s">
        <v>342</v>
      </c>
      <c r="B58">
        <v>1.0716137343180001</v>
      </c>
      <c r="C58" t="s">
        <v>724</v>
      </c>
      <c r="D58" t="s">
        <v>272</v>
      </c>
      <c r="E58" s="110">
        <f>MATCH(F58,IND!$D$29:$D$137,0)</f>
        <v>100</v>
      </c>
      <c r="F58" t="str">
        <f t="shared" si="0"/>
        <v>IOTL</v>
      </c>
      <c r="G58" s="107">
        <f ca="1">OFFSET(IND!P$28,$E58,0)</f>
        <v>0.54733968</v>
      </c>
      <c r="H58" s="107">
        <f ca="1">OFFSET(IND!Q$28,$E58,0)</f>
        <v>0.55364596164586688</v>
      </c>
      <c r="I58" s="107">
        <f ca="1">OFFSET(IND!R$28,$E58,0)</f>
        <v>0.55305273269758493</v>
      </c>
      <c r="J58" s="170">
        <f ca="1">OFFSET(IND!S$28,$E58,0)</f>
        <v>0.51301380724593215</v>
      </c>
      <c r="K58" s="107">
        <f ca="1">OFFSET(IND!T$28,$E58,0)</f>
        <v>0.56242287193725005</v>
      </c>
      <c r="L58" s="107">
        <f ca="1">OFFSET(IND!U$28,$E58,0)</f>
        <v>0.58127614190135068</v>
      </c>
      <c r="M58" s="107">
        <f ca="1">OFFSET(IND!V$28,$E58,0)</f>
        <v>0.57773305347352877</v>
      </c>
      <c r="N58" s="107">
        <f ca="1">OFFSET(IND!W$28,$E58,0)</f>
        <v>0.57813737003405485</v>
      </c>
      <c r="O58" s="170">
        <f ca="1">OFFSET(IND!X$28,$E58,0)</f>
        <v>0.59415691032009499</v>
      </c>
      <c r="P58" s="107">
        <f ca="1">OFFSET(IND!Y$28,$E58,0)</f>
        <v>0.62658025859628064</v>
      </c>
      <c r="Q58" s="107">
        <f ca="1">OFFSET(IND!Z$28,$E58,0)</f>
        <v>0.63436848645472499</v>
      </c>
      <c r="R58" s="107">
        <f ca="1">OFFSET(IND!AA$28,$E58,0)</f>
        <v>0.64451308648761629</v>
      </c>
      <c r="S58" s="107">
        <f ca="1">OFFSET(IND!AB$28,$E58,0)</f>
        <v>0.66316125611763499</v>
      </c>
      <c r="T58" s="107">
        <f ca="1">OFFSET(IND!AC$28,$E58,0)</f>
        <v>0.68657449091099287</v>
      </c>
      <c r="U58" s="107">
        <f ca="1">OFFSET(IND!AD$28,$E58,0)</f>
        <v>0.71041012304794604</v>
      </c>
      <c r="V58" s="107">
        <f ca="1">OFFSET(IND!AE$28,$E58,0)</f>
        <v>0.73457941923681813</v>
      </c>
      <c r="W58" s="107">
        <f ca="1">OFFSET(IND!AF$28,$E58,0)</f>
        <v>0.7624167517096514</v>
      </c>
      <c r="X58" s="107">
        <f ca="1">OFFSET(IND!AG$28,$E58,0)</f>
        <v>0.79415218395392539</v>
      </c>
      <c r="Y58" s="107">
        <f ca="1">OFFSET(IND!AH$28,$E58,0)</f>
        <v>0.83031443330421117</v>
      </c>
      <c r="Z58" s="107">
        <f ca="1">OFFSET(IND!AI$28,$E58,0)</f>
        <v>0.86115459846219544</v>
      </c>
      <c r="AA58" s="107">
        <f ca="1">OFFSET(IND!AJ$28,$E58,0)</f>
        <v>0.89185351240482125</v>
      </c>
      <c r="AB58" s="107">
        <f ca="1">OFFSET(IND!AK$28,$E58,0)</f>
        <v>0.92193402463318797</v>
      </c>
      <c r="AC58" s="107">
        <f ca="1">OFFSET(IND!AL$28,$E58,0)</f>
        <v>0.94944333055657859</v>
      </c>
      <c r="AD58" s="107">
        <f ca="1">OFFSET(IND!AM$28,$E58,0)</f>
        <v>0.97742817397159532</v>
      </c>
      <c r="AE58" s="107">
        <f ca="1">OFFSET(IND!AN$28,$E58,0)</f>
        <v>1.1322236218304613</v>
      </c>
      <c r="AF58" s="107">
        <f ca="1">OFFSET(IND!AO$28,$E58,0)</f>
        <v>1.3223083739366144</v>
      </c>
      <c r="AG58" s="107">
        <f ca="1">OFFSET(IND!AP$28,$E58,0)</f>
        <v>1.575424540638765</v>
      </c>
      <c r="AH58" s="107">
        <f ca="1">OFFSET(IND!AQ$28,$E58,0)</f>
        <v>1.764129897746409</v>
      </c>
      <c r="AJ58">
        <f t="shared" ca="1" si="1"/>
        <v>3.223098858365995</v>
      </c>
    </row>
    <row r="59" spans="1:36">
      <c r="A59" s="27" t="s">
        <v>343</v>
      </c>
      <c r="B59">
        <v>13.06049710462</v>
      </c>
      <c r="C59" t="s">
        <v>724</v>
      </c>
      <c r="D59" t="s">
        <v>272</v>
      </c>
      <c r="E59" s="110">
        <f>MATCH(F59,IND!$D$29:$D$137,0)</f>
        <v>105</v>
      </c>
      <c r="F59" t="str">
        <f t="shared" si="0"/>
        <v>IOTO</v>
      </c>
      <c r="G59" s="107">
        <f ca="1">OFFSET(IND!P$28,$E59,0)</f>
        <v>6.6708069119999998</v>
      </c>
      <c r="H59" s="107">
        <f ca="1">OFFSET(IND!Q$28,$E59,0)</f>
        <v>6.7476659242906258</v>
      </c>
      <c r="I59" s="107">
        <f ca="1">OFFSET(IND!R$28,$E59,0)</f>
        <v>6.740435833154903</v>
      </c>
      <c r="J59" s="170">
        <f ca="1">OFFSET(IND!S$28,$E59,0)</f>
        <v>6.2524537803062259</v>
      </c>
      <c r="K59" s="107">
        <f ca="1">OFFSET(IND!T$28,$E59,0)</f>
        <v>6.8546361951793786</v>
      </c>
      <c r="L59" s="107">
        <f ca="1">OFFSET(IND!U$28,$E59,0)</f>
        <v>7.084414024534496</v>
      </c>
      <c r="M59" s="107">
        <f ca="1">OFFSET(IND!V$28,$E59,0)</f>
        <v>7.0412319574602771</v>
      </c>
      <c r="N59" s="107">
        <f ca="1">OFFSET(IND!W$28,$E59,0)</f>
        <v>7.0461596427810145</v>
      </c>
      <c r="O59" s="170">
        <f ca="1">OFFSET(IND!X$28,$E59,0)</f>
        <v>7.2414008503382288</v>
      </c>
      <c r="P59" s="107">
        <f ca="1">OFFSET(IND!Y$28,$E59,0)</f>
        <v>7.6365666015056988</v>
      </c>
      <c r="Q59" s="107">
        <f ca="1">OFFSET(IND!Z$28,$E59,0)</f>
        <v>7.731487116368319</v>
      </c>
      <c r="R59" s="107">
        <f ca="1">OFFSET(IND!AA$28,$E59,0)</f>
        <v>7.8551263672607208</v>
      </c>
      <c r="S59" s="107">
        <f ca="1">OFFSET(IND!AB$28,$E59,0)</f>
        <v>8.0824044971125115</v>
      </c>
      <c r="T59" s="107">
        <f ca="1">OFFSET(IND!AC$28,$E59,0)</f>
        <v>8.3677577689451166</v>
      </c>
      <c r="U59" s="107">
        <f ca="1">OFFSET(IND!AD$28,$E59,0)</f>
        <v>8.6582590890962106</v>
      </c>
      <c r="V59" s="107">
        <f ca="1">OFFSET(IND!AE$28,$E59,0)</f>
        <v>8.9528270036221649</v>
      </c>
      <c r="W59" s="107">
        <f ca="1">OFFSET(IND!AF$28,$E59,0)</f>
        <v>9.2920998110886686</v>
      </c>
      <c r="X59" s="107">
        <f ca="1">OFFSET(IND!AG$28,$E59,0)</f>
        <v>9.6788814541999635</v>
      </c>
      <c r="Y59" s="107">
        <f ca="1">OFFSET(IND!AH$28,$E59,0)</f>
        <v>10.119615776475582</v>
      </c>
      <c r="Z59" s="107">
        <f ca="1">OFFSET(IND!AI$28,$E59,0)</f>
        <v>10.495486180943796</v>
      </c>
      <c r="AA59" s="107">
        <f ca="1">OFFSET(IND!AJ$28,$E59,0)</f>
        <v>10.869635059240656</v>
      </c>
      <c r="AB59" s="107">
        <f ca="1">OFFSET(IND!AK$28,$E59,0)</f>
        <v>11.23624704850752</v>
      </c>
      <c r="AC59" s="107">
        <f ca="1">OFFSET(IND!AL$28,$E59,0)</f>
        <v>11.571521969737564</v>
      </c>
      <c r="AD59" s="107">
        <f ca="1">OFFSET(IND!AM$28,$E59,0)</f>
        <v>11.912592594991942</v>
      </c>
      <c r="AE59" s="107">
        <f ca="1">OFFSET(IND!AN$28,$E59,0)</f>
        <v>13.799191687392952</v>
      </c>
      <c r="AF59" s="107">
        <f ca="1">OFFSET(IND!AO$28,$E59,0)</f>
        <v>16.115885916862176</v>
      </c>
      <c r="AG59" s="107">
        <f ca="1">OFFSET(IND!AP$28,$E59,0)</f>
        <v>19.200787553037451</v>
      </c>
      <c r="AH59" s="107">
        <f ca="1">OFFSET(IND!AQ$28,$E59,0)</f>
        <v>21.500670142447195</v>
      </c>
      <c r="AJ59">
        <f t="shared" ca="1" si="1"/>
        <v>3.2230988583659963</v>
      </c>
    </row>
    <row r="60" spans="1:36">
      <c r="A60" s="27" t="s">
        <v>344</v>
      </c>
      <c r="B60">
        <v>4.6033799408959997</v>
      </c>
      <c r="C60" t="s">
        <v>724</v>
      </c>
      <c r="D60" t="s">
        <v>272</v>
      </c>
      <c r="E60" s="110">
        <f>MATCH(F60,IND!$D$29:$D$137,0)</f>
        <v>103</v>
      </c>
      <c r="F60" t="str">
        <f t="shared" si="0"/>
        <v>IOTP</v>
      </c>
      <c r="G60" s="107">
        <f ca="1">OFFSET(IND!P$28,$E60,0)</f>
        <v>2.351232</v>
      </c>
      <c r="H60" s="107">
        <f ca="1">OFFSET(IND!Q$28,$E60,0)</f>
        <v>2.3783221813783624</v>
      </c>
      <c r="I60" s="107">
        <f ca="1">OFFSET(IND!R$28,$E60,0)</f>
        <v>2.3757738207579031</v>
      </c>
      <c r="J60" s="170">
        <f ca="1">OFFSET(IND!S$28,$E60,0)</f>
        <v>2.2037767845343637</v>
      </c>
      <c r="K60" s="107">
        <f ca="1">OFFSET(IND!T$28,$E60,0)</f>
        <v>2.4160255547903349</v>
      </c>
      <c r="L60" s="107">
        <f ca="1">OFFSET(IND!U$28,$E60,0)</f>
        <v>2.4970144055241832</v>
      </c>
      <c r="M60" s="107">
        <f ca="1">OFFSET(IND!V$28,$E60,0)</f>
        <v>2.4817941991427923</v>
      </c>
      <c r="N60" s="107">
        <f ca="1">OFFSET(IND!W$28,$E60,0)</f>
        <v>2.4835310402123798</v>
      </c>
      <c r="O60" s="170">
        <f ca="1">OFFSET(IND!X$28,$E60,0)</f>
        <v>2.5523469092643492</v>
      </c>
      <c r="P60" s="107">
        <f ca="1">OFFSET(IND!Y$28,$E60,0)</f>
        <v>2.6916293636519293</v>
      </c>
      <c r="Q60" s="107">
        <f ca="1">OFFSET(IND!Z$28,$E60,0)</f>
        <v>2.7250856088926652</v>
      </c>
      <c r="R60" s="107">
        <f ca="1">OFFSET(IND!AA$28,$E60,0)</f>
        <v>2.7686642294387491</v>
      </c>
      <c r="S60" s="107">
        <f ca="1">OFFSET(IND!AB$28,$E60,0)</f>
        <v>2.8487720213231746</v>
      </c>
      <c r="T60" s="107">
        <f ca="1">OFFSET(IND!AC$28,$E60,0)</f>
        <v>2.9493493207246293</v>
      </c>
      <c r="U60" s="107">
        <f ca="1">OFFSET(IND!AD$28,$E60,0)</f>
        <v>3.0517411316392571</v>
      </c>
      <c r="V60" s="107">
        <f ca="1">OFFSET(IND!AE$28,$E60,0)</f>
        <v>3.1555662784233425</v>
      </c>
      <c r="W60" s="107">
        <f ca="1">OFFSET(IND!AF$28,$E60,0)</f>
        <v>3.2751483757870208</v>
      </c>
      <c r="X60" s="107">
        <f ca="1">OFFSET(IND!AG$28,$E60,0)</f>
        <v>3.4114757179350792</v>
      </c>
      <c r="Y60" s="107">
        <f ca="1">OFFSET(IND!AH$28,$E60,0)</f>
        <v>3.5668195400098304</v>
      </c>
      <c r="Z60" s="107">
        <f ca="1">OFFSET(IND!AI$28,$E60,0)</f>
        <v>3.6993010425472268</v>
      </c>
      <c r="AA60" s="107">
        <f ca="1">OFFSET(IND!AJ$28,$E60,0)</f>
        <v>3.8311757658034469</v>
      </c>
      <c r="AB60" s="107">
        <f ca="1">OFFSET(IND!AK$28,$E60,0)</f>
        <v>3.9603939926415359</v>
      </c>
      <c r="AC60" s="107">
        <f ca="1">OFFSET(IND!AL$28,$E60,0)</f>
        <v>4.0785669714119877</v>
      </c>
      <c r="AD60" s="107">
        <f ca="1">OFFSET(IND!AM$28,$E60,0)</f>
        <v>4.1987827382505563</v>
      </c>
      <c r="AE60" s="107">
        <f ca="1">OFFSET(IND!AN$28,$E60,0)</f>
        <v>4.863744596049898</v>
      </c>
      <c r="AF60" s="107">
        <f ca="1">OFFSET(IND!AO$28,$E60,0)</f>
        <v>5.680300325873934</v>
      </c>
      <c r="AG60" s="107">
        <f ca="1">OFFSET(IND!AP$28,$E60,0)</f>
        <v>6.7676229750694592</v>
      </c>
      <c r="AH60" s="107">
        <f ca="1">OFFSET(IND!AQ$28,$E60,0)</f>
        <v>7.5782531749535975</v>
      </c>
      <c r="AJ60">
        <f t="shared" ca="1" si="1"/>
        <v>3.2230988583659959</v>
      </c>
    </row>
    <row r="61" spans="1:36">
      <c r="A61" s="27" t="s">
        <v>345</v>
      </c>
      <c r="B61">
        <v>109.842732955</v>
      </c>
      <c r="C61" t="s">
        <v>724</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0">
        <f ca="1">OFFSET(IND!S$28,$E61,0)</f>
        <v>64.23541433757471</v>
      </c>
      <c r="K61" s="107">
        <f ca="1">OFFSET(IND!T$28,$E61,0)</f>
        <v>70.422015356204511</v>
      </c>
      <c r="L61" s="107">
        <f ca="1">OFFSET(IND!U$28,$E61,0)</f>
        <v>72.782668404245371</v>
      </c>
      <c r="M61" s="107">
        <f ca="1">OFFSET(IND!V$28,$E61,0)</f>
        <v>72.339031702891049</v>
      </c>
      <c r="N61" s="107">
        <f ca="1">OFFSET(IND!W$28,$E61,0)</f>
        <v>72.389656932508856</v>
      </c>
      <c r="O61" s="170">
        <f ca="1">OFFSET(IND!X$28,$E61,0)</f>
        <v>74.395493409494676</v>
      </c>
      <c r="P61" s="107">
        <f ca="1">OFFSET(IND!Y$28,$E61,0)</f>
        <v>78.455281238428967</v>
      </c>
      <c r="Q61" s="107">
        <f ca="1">OFFSET(IND!Z$28,$E61,0)</f>
        <v>79.430459754828604</v>
      </c>
      <c r="R61" s="107">
        <f ca="1">OFFSET(IND!AA$28,$E61,0)</f>
        <v>80.70068402013645</v>
      </c>
      <c r="S61" s="107">
        <f ca="1">OFFSET(IND!AB$28,$E61,0)</f>
        <v>83.035656073329918</v>
      </c>
      <c r="T61" s="107">
        <f ca="1">OFFSET(IND!AC$28,$E61,0)</f>
        <v>85.967270810968515</v>
      </c>
      <c r="U61" s="107">
        <f ca="1">OFFSET(IND!AD$28,$E61,0)</f>
        <v>88.951774706750044</v>
      </c>
      <c r="V61" s="107">
        <f ca="1">OFFSET(IND!AE$28,$E61,0)</f>
        <v>91.978057299950322</v>
      </c>
      <c r="W61" s="107">
        <f ca="1">OFFSET(IND!AF$28,$E61,0)</f>
        <v>95.463621548298221</v>
      </c>
      <c r="X61" s="107">
        <f ca="1">OFFSET(IND!AG$28,$E61,0)</f>
        <v>99.437274129574106</v>
      </c>
      <c r="Y61" s="107">
        <f ca="1">OFFSET(IND!AH$28,$E61,0)</f>
        <v>103.9652167260211</v>
      </c>
      <c r="Z61" s="107">
        <f ca="1">OFFSET(IND!AI$28,$E61,0)</f>
        <v>107.82677124791074</v>
      </c>
      <c r="AA61" s="107">
        <f ca="1">OFFSET(IND!AJ$28,$E61,0)</f>
        <v>111.67063944203284</v>
      </c>
      <c r="AB61" s="107">
        <f ca="1">OFFSET(IND!AK$28,$E61,0)</f>
        <v>115.43707640568618</v>
      </c>
      <c r="AC61" s="107">
        <f ca="1">OFFSET(IND!AL$28,$E61,0)</f>
        <v>118.88156783880075</v>
      </c>
      <c r="AD61" s="107">
        <f ca="1">OFFSET(IND!AM$28,$E61,0)</f>
        <v>122.38560220697127</v>
      </c>
      <c r="AE61" s="107">
        <f ca="1">OFFSET(IND!AN$28,$E61,0)</f>
        <v>141.76782855320678</v>
      </c>
      <c r="AF61" s="107">
        <f ca="1">OFFSET(IND!AO$28,$E61,0)</f>
        <v>165.56869441360752</v>
      </c>
      <c r="AG61" s="107">
        <f ca="1">OFFSET(IND!AP$28,$E61,0)</f>
        <v>197.2618410970006</v>
      </c>
      <c r="AH61" s="107">
        <f ca="1">OFFSET(IND!AQ$28,$E61,0)</f>
        <v>220.88999034039628</v>
      </c>
      <c r="AJ61">
        <f t="shared" ca="1" si="1"/>
        <v>3.2230988583659941</v>
      </c>
    </row>
    <row r="62" spans="1:36">
      <c r="A62" s="27" t="s">
        <v>346</v>
      </c>
      <c r="B62">
        <v>9.3435013244270007</v>
      </c>
      <c r="C62" t="s">
        <v>724</v>
      </c>
      <c r="D62" t="s">
        <v>272</v>
      </c>
      <c r="E62" s="109">
        <f>MATCH(F62,RES!$D$96:$D$125,0)</f>
        <v>21</v>
      </c>
      <c r="F62" t="str">
        <f t="shared" si="0"/>
        <v>RHEH</v>
      </c>
      <c r="G62" s="107">
        <f ca="1">OFFSET(RES!L$95,$E62,0)</f>
        <v>5.1732793164602802</v>
      </c>
      <c r="H62" s="107">
        <f ca="1">OFFSET(RES!M$95,$E62,0)</f>
        <v>5.3645209692701856</v>
      </c>
      <c r="I62" s="107">
        <f ca="1">OFFSET(RES!N$95,$E62,0)</f>
        <v>5.4438514175288821</v>
      </c>
      <c r="J62" s="170">
        <f ca="1">OFFSET(RES!O$95,$E62,0)</f>
        <v>4.5975048523171873</v>
      </c>
      <c r="K62" s="107">
        <f ca="1">OFFSET(RES!P$95,$E62,0)</f>
        <v>4.9344220116079383</v>
      </c>
      <c r="L62" s="107">
        <f ca="1">OFFSET(RES!Q$95,$E62,0)</f>
        <v>5.2551043209863195</v>
      </c>
      <c r="M62" s="107">
        <f ca="1">OFFSET(RES!R$95,$E62,0)</f>
        <v>5.4075177975466744</v>
      </c>
      <c r="N62" s="107">
        <f ca="1">OFFSET(RES!S$95,$E62,0)</f>
        <v>5.5612567469122736</v>
      </c>
      <c r="O62" s="170">
        <f ca="1">OFFSET(RES!T$95,$E62,0)</f>
        <v>5.6656484321425218</v>
      </c>
      <c r="P62" s="107">
        <f ca="1">OFFSET(RES!U$95,$E62,0)</f>
        <v>5.7267184196801786</v>
      </c>
      <c r="Q62" s="107">
        <f ca="1">OFFSET(RES!V$95,$E62,0)</f>
        <v>5.9446438364648886</v>
      </c>
      <c r="R62" s="107">
        <f ca="1">OFFSET(RES!W$95,$E62,0)</f>
        <v>6.1615781422226554</v>
      </c>
      <c r="S62" s="107">
        <f ca="1">OFFSET(RES!X$95,$E62,0)</f>
        <v>6.3637772331383662</v>
      </c>
      <c r="T62" s="107">
        <f ca="1">OFFSET(RES!Y$95,$E62,0)</f>
        <v>6.5799279167458025</v>
      </c>
      <c r="U62" s="107">
        <f ca="1">OFFSET(RES!Z$95,$E62,0)</f>
        <v>6.8695360832950403</v>
      </c>
      <c r="V62" s="107">
        <f ca="1">OFFSET(RES!AA$95,$E62,0)</f>
        <v>7.1569195527864986</v>
      </c>
      <c r="W62" s="107">
        <f ca="1">OFFSET(RES!AB$95,$E62,0)</f>
        <v>7.4320126029228764</v>
      </c>
      <c r="X62" s="107">
        <f ca="1">OFFSET(RES!AC$95,$E62,0)</f>
        <v>7.7086052468673536</v>
      </c>
      <c r="Y62" s="107">
        <f ca="1">OFFSET(RES!AD$95,$E62,0)</f>
        <v>7.9822039161886975</v>
      </c>
      <c r="Z62" s="107">
        <f ca="1">OFFSET(RES!AE$95,$E62,0)</f>
        <v>8.2516540907543536</v>
      </c>
      <c r="AA62" s="107">
        <f ca="1">OFFSET(RES!AF$95,$E62,0)</f>
        <v>8.5116685693792675</v>
      </c>
      <c r="AB62" s="107">
        <f ca="1">OFFSET(RES!AG$95,$E62,0)</f>
        <v>8.7657131963551027</v>
      </c>
      <c r="AC62" s="107">
        <f ca="1">OFFSET(RES!AH$95,$E62,0)</f>
        <v>9.0092628115765159</v>
      </c>
      <c r="AD62" s="107">
        <f ca="1">OFFSET(RES!AI$95,$E62,0)</f>
        <v>9.2452902832393669</v>
      </c>
      <c r="AE62" s="107">
        <f ca="1">OFFSET(RES!AJ$95,$E62,0)</f>
        <v>10.275676944291684</v>
      </c>
      <c r="AF62" s="107">
        <f ca="1">OFFSET(RES!AK$95,$E62,0)</f>
        <v>11.056522824311074</v>
      </c>
      <c r="AG62" s="107">
        <f ca="1">OFFSET(RES!AL$95,$E62,0)</f>
        <v>11.80942715058821</v>
      </c>
      <c r="AH62" s="107">
        <f ca="1">OFFSET(RES!AM$95,$E62,0)</f>
        <v>12.104917597803405</v>
      </c>
      <c r="AJ62">
        <f t="shared" ca="1" si="1"/>
        <v>2.339892524126451</v>
      </c>
    </row>
    <row r="63" spans="1:36">
      <c r="A63" s="27" t="s">
        <v>347</v>
      </c>
      <c r="B63">
        <v>3.5355599850489998</v>
      </c>
      <c r="C63" t="s">
        <v>724</v>
      </c>
      <c r="D63" t="s">
        <v>272</v>
      </c>
      <c r="E63" s="110">
        <f>MATCH(F63,RES!$D$96:$D$125,0)</f>
        <v>20</v>
      </c>
      <c r="F63" t="str">
        <f t="shared" si="0"/>
        <v>RHEK</v>
      </c>
      <c r="G63" s="107">
        <f ca="1">OFFSET(RES!L$95,$E63,0)</f>
        <v>7.6194416260697402</v>
      </c>
      <c r="H63" s="107">
        <f ca="1">OFFSET(RES!M$95,$E63,0)</f>
        <v>7.9011110509975246</v>
      </c>
      <c r="I63" s="107">
        <f ca="1">OFFSET(RES!N$95,$E63,0)</f>
        <v>8.0179525518524741</v>
      </c>
      <c r="J63" s="170">
        <f ca="1">OFFSET(RES!O$95,$E63,0)</f>
        <v>6.7714147458351635</v>
      </c>
      <c r="K63" s="107">
        <f ca="1">OFFSET(RES!P$95,$E63,0)</f>
        <v>7.3633654488608329</v>
      </c>
      <c r="L63" s="107">
        <f ca="1">OFFSET(RES!Q$95,$E63,0)</f>
        <v>7.9465679908845628</v>
      </c>
      <c r="M63" s="107">
        <f ca="1">OFFSET(RES!R$95,$E63,0)</f>
        <v>8.2876573776275642</v>
      </c>
      <c r="N63" s="107">
        <f ca="1">OFFSET(RES!S$95,$E63,0)</f>
        <v>8.6401608369770262</v>
      </c>
      <c r="O63" s="170">
        <f ca="1">OFFSET(RES!T$95,$E63,0)</f>
        <v>8.924732948297045</v>
      </c>
      <c r="P63" s="107">
        <f ca="1">OFFSET(RES!U$95,$E63,0)</f>
        <v>9.1481257792537161</v>
      </c>
      <c r="Q63" s="107">
        <f ca="1">OFFSET(RES!V$95,$E63,0)</f>
        <v>9.6320599092292145</v>
      </c>
      <c r="R63" s="107">
        <f ca="1">OFFSET(RES!W$95,$E63,0)</f>
        <v>10.128407581475164</v>
      </c>
      <c r="S63" s="107">
        <f ca="1">OFFSET(RES!X$95,$E63,0)</f>
        <v>10.614791882581214</v>
      </c>
      <c r="T63" s="107">
        <f ca="1">OFFSET(RES!Y$95,$E63,0)</f>
        <v>11.139330820003925</v>
      </c>
      <c r="U63" s="107">
        <f ca="1">OFFSET(RES!Z$95,$E63,0)</f>
        <v>11.629616004915533</v>
      </c>
      <c r="V63" s="107">
        <f ca="1">OFFSET(RES!AA$95,$E63,0)</f>
        <v>12.116134942413117</v>
      </c>
      <c r="W63" s="107">
        <f ca="1">OFFSET(RES!AB$95,$E63,0)</f>
        <v>12.581847109860165</v>
      </c>
      <c r="X63" s="107">
        <f ca="1">OFFSET(RES!AC$95,$E63,0)</f>
        <v>13.050097978602336</v>
      </c>
      <c r="Y63" s="107">
        <f ca="1">OFFSET(RES!AD$95,$E63,0)</f>
        <v>13.513280269965582</v>
      </c>
      <c r="Z63" s="107">
        <f ca="1">OFFSET(RES!AE$95,$E63,0)</f>
        <v>13.969439466840052</v>
      </c>
      <c r="AA63" s="107">
        <f ca="1">OFFSET(RES!AF$95,$E63,0)</f>
        <v>14.409624729055842</v>
      </c>
      <c r="AB63" s="107">
        <f ca="1">OFFSET(RES!AG$95,$E63,0)</f>
        <v>14.839703474405971</v>
      </c>
      <c r="AC63" s="107">
        <f ca="1">OFFSET(RES!AH$95,$E63,0)</f>
        <v>15.252014941850998</v>
      </c>
      <c r="AD63" s="107">
        <f ca="1">OFFSET(RES!AI$95,$E63,0)</f>
        <v>15.651591977151094</v>
      </c>
      <c r="AE63" s="107">
        <f ca="1">OFFSET(RES!AJ$95,$E63,0)</f>
        <v>17.395960309936346</v>
      </c>
      <c r="AF63" s="107">
        <f ca="1">OFFSET(RES!AK$95,$E63,0)</f>
        <v>18.717874575111889</v>
      </c>
      <c r="AG63" s="107">
        <f ca="1">OFFSET(RES!AL$95,$E63,0)</f>
        <v>19.992485858446589</v>
      </c>
      <c r="AH63" s="107">
        <f ca="1">OFFSET(RES!AM$95,$E63,0)</f>
        <v>20.492729309032725</v>
      </c>
      <c r="AJ63">
        <f t="shared" ca="1" si="1"/>
        <v>2.6895316369269548</v>
      </c>
    </row>
    <row r="64" spans="1:36">
      <c r="A64" s="27" t="s">
        <v>348</v>
      </c>
      <c r="B64">
        <v>27.200595464100001</v>
      </c>
      <c r="C64" t="s">
        <v>724</v>
      </c>
      <c r="D64" t="s">
        <v>272</v>
      </c>
      <c r="E64" s="110">
        <f>MATCH(F64,RES!$D$96:$D$125,0)</f>
        <v>19</v>
      </c>
      <c r="F64" t="str">
        <f t="shared" si="0"/>
        <v>RHEL</v>
      </c>
      <c r="G64" s="107">
        <f ca="1">OFFSET(RES!L$95,$E64,0)</f>
        <v>18.7538979805365</v>
      </c>
      <c r="H64" s="107">
        <f ca="1">OFFSET(RES!M$95,$E64,0)</f>
        <v>19.447177083989232</v>
      </c>
      <c r="I64" s="107">
        <f ca="1">OFFSET(RES!N$95,$E64,0)</f>
        <v>19.734761620292947</v>
      </c>
      <c r="J64" s="170">
        <f ca="1">OFFSET(RES!O$95,$E64,0)</f>
        <v>16.6666309106954</v>
      </c>
      <c r="K64" s="107">
        <f ca="1">OFFSET(RES!P$95,$E64,0)</f>
        <v>18.123612096307102</v>
      </c>
      <c r="L64" s="107">
        <f ca="1">OFFSET(RES!Q$95,$E64,0)</f>
        <v>19.559061242302366</v>
      </c>
      <c r="M64" s="107">
        <f ca="1">OFFSET(RES!R$95,$E64,0)</f>
        <v>20.398591994704965</v>
      </c>
      <c r="N64" s="107">
        <f ca="1">OFFSET(RES!S$95,$E64,0)</f>
        <v>21.266216453143922</v>
      </c>
      <c r="O64" s="170">
        <f ca="1">OFFSET(RES!T$95,$E64,0)</f>
        <v>21.966640001969555</v>
      </c>
      <c r="P64" s="107">
        <f ca="1">OFFSET(RES!U$95,$E64,0)</f>
        <v>22.516481652702915</v>
      </c>
      <c r="Q64" s="107">
        <f ca="1">OFFSET(RES!V$95,$E64,0)</f>
        <v>23.707599289434729</v>
      </c>
      <c r="R64" s="107">
        <f ca="1">OFFSET(RES!W$95,$E64,0)</f>
        <v>24.929270648701877</v>
      </c>
      <c r="S64" s="107">
        <f ca="1">OFFSET(RES!X$95,$E64,0)</f>
        <v>26.12641894511615</v>
      </c>
      <c r="T64" s="107">
        <f ca="1">OFFSET(RES!Y$95,$E64,0)</f>
        <v>27.417478080681541</v>
      </c>
      <c r="U64" s="107">
        <f ca="1">OFFSET(RES!Z$95,$E64,0)</f>
        <v>28.624227707549355</v>
      </c>
      <c r="V64" s="107">
        <f ca="1">OFFSET(RES!AA$95,$E64,0)</f>
        <v>29.821707387452761</v>
      </c>
      <c r="W64" s="107">
        <f ca="1">OFFSET(RES!AB$95,$E64,0)</f>
        <v>30.967974910090323</v>
      </c>
      <c r="X64" s="107">
        <f ca="1">OFFSET(RES!AC$95,$E64,0)</f>
        <v>32.120490993636714</v>
      </c>
      <c r="Y64" s="107">
        <f ca="1">OFFSET(RES!AD$95,$E64,0)</f>
        <v>33.260531677050693</v>
      </c>
      <c r="Z64" s="107">
        <f ca="1">OFFSET(RES!AE$95,$E64,0)</f>
        <v>34.383286264709369</v>
      </c>
      <c r="AA64" s="107">
        <f ca="1">OFFSET(RES!AF$95,$E64,0)</f>
        <v>35.466723858336401</v>
      </c>
      <c r="AB64" s="107">
        <f ca="1">OFFSET(RES!AG$95,$E64,0)</f>
        <v>36.525286061411364</v>
      </c>
      <c r="AC64" s="107">
        <f ca="1">OFFSET(RES!AH$95,$E64,0)</f>
        <v>37.540117275579732</v>
      </c>
      <c r="AD64" s="107">
        <f ca="1">OFFSET(RES!AI$95,$E64,0)</f>
        <v>38.523604953960778</v>
      </c>
      <c r="AE64" s="107">
        <f ca="1">OFFSET(RES!AJ$95,$E64,0)</f>
        <v>42.817056805026084</v>
      </c>
      <c r="AF64" s="107">
        <f ca="1">OFFSET(RES!AK$95,$E64,0)</f>
        <v>46.070713238759502</v>
      </c>
      <c r="AG64" s="107">
        <f ca="1">OFFSET(RES!AL$95,$E64,0)</f>
        <v>49.207941810826114</v>
      </c>
      <c r="AH64" s="107">
        <f ca="1">OFFSET(RES!AM$95,$E64,0)</f>
        <v>50.439201934353456</v>
      </c>
      <c r="AJ64">
        <f t="shared" ca="1" si="1"/>
        <v>2.6895316369269553</v>
      </c>
    </row>
    <row r="65" spans="1:36">
      <c r="A65" s="27" t="s">
        <v>349</v>
      </c>
      <c r="B65">
        <v>11.63227160329</v>
      </c>
      <c r="C65" t="s">
        <v>724</v>
      </c>
      <c r="D65" t="s">
        <v>272</v>
      </c>
      <c r="E65" s="110">
        <f>MATCH(F65,RES!$D$96:$D$125,0)</f>
        <v>24</v>
      </c>
      <c r="F65" t="str">
        <f t="shared" si="0"/>
        <v>RHEO</v>
      </c>
      <c r="G65" s="107">
        <f ca="1">OFFSET(RES!L$95,$E65,0)</f>
        <v>14.27502736796</v>
      </c>
      <c r="H65" s="107">
        <f ca="1">OFFSET(RES!M$95,$E65,0)</f>
        <v>14.80273516426419</v>
      </c>
      <c r="I65" s="107">
        <f ca="1">OFFSET(RES!N$95,$E65,0)</f>
        <v>15.021637769503817</v>
      </c>
      <c r="J65" s="170">
        <f ca="1">OFFSET(RES!O$95,$E65,0)</f>
        <v>12.686248620355284</v>
      </c>
      <c r="K65" s="107">
        <f ca="1">OFFSET(RES!P$95,$E65,0)</f>
        <v>13.615930042022969</v>
      </c>
      <c r="L65" s="107">
        <f ca="1">OFFSET(RES!Q$95,$E65,0)</f>
        <v>14.500813394103259</v>
      </c>
      <c r="M65" s="107">
        <f ca="1">OFFSET(RES!R$95,$E65,0)</f>
        <v>14.921379618359186</v>
      </c>
      <c r="N65" s="107">
        <f ca="1">OFFSET(RES!S$95,$E65,0)</f>
        <v>15.345603321636235</v>
      </c>
      <c r="O65" s="170">
        <f ca="1">OFFSET(RES!T$95,$E65,0)</f>
        <v>15.633659324896637</v>
      </c>
      <c r="P65" s="107">
        <f ca="1">OFFSET(RES!U$95,$E65,0)</f>
        <v>15.802174436904458</v>
      </c>
      <c r="Q65" s="107">
        <f ca="1">OFFSET(RES!V$95,$E65,0)</f>
        <v>16.403512794738266</v>
      </c>
      <c r="R65" s="107">
        <f ca="1">OFFSET(RES!W$95,$E65,0)</f>
        <v>17.002116303713379</v>
      </c>
      <c r="S65" s="107">
        <f ca="1">OFFSET(RES!X$95,$E65,0)</f>
        <v>17.560059801450784</v>
      </c>
      <c r="T65" s="107">
        <f ca="1">OFFSET(RES!Y$95,$E65,0)</f>
        <v>18.156501001577325</v>
      </c>
      <c r="U65" s="107">
        <f ca="1">OFFSET(RES!Z$95,$E65,0)</f>
        <v>18.95563908219885</v>
      </c>
      <c r="V65" s="107">
        <f ca="1">OFFSET(RES!AA$95,$E65,0)</f>
        <v>19.748638385181945</v>
      </c>
      <c r="W65" s="107">
        <f ca="1">OFFSET(RES!AB$95,$E65,0)</f>
        <v>20.507723789083801</v>
      </c>
      <c r="X65" s="107">
        <f ca="1">OFFSET(RES!AC$95,$E65,0)</f>
        <v>21.270947137477336</v>
      </c>
      <c r="Y65" s="107">
        <f ca="1">OFFSET(RES!AD$95,$E65,0)</f>
        <v>22.025908981500088</v>
      </c>
      <c r="Z65" s="107">
        <f ca="1">OFFSET(RES!AE$95,$E65,0)</f>
        <v>22.769423564984475</v>
      </c>
      <c r="AA65" s="107">
        <f ca="1">OFFSET(RES!AF$95,$E65,0)</f>
        <v>23.486901507191575</v>
      </c>
      <c r="AB65" s="107">
        <f ca="1">OFFSET(RES!AG$95,$E65,0)</f>
        <v>24.18790637874848</v>
      </c>
      <c r="AC65" s="107">
        <f ca="1">OFFSET(RES!AH$95,$E65,0)</f>
        <v>24.859951557457414</v>
      </c>
      <c r="AD65" s="107">
        <f ca="1">OFFSET(RES!AI$95,$E65,0)</f>
        <v>25.511240307101613</v>
      </c>
      <c r="AE65" s="107">
        <f ca="1">OFFSET(RES!AJ$95,$E65,0)</f>
        <v>28.354465442713845</v>
      </c>
      <c r="AF65" s="107">
        <f ca="1">OFFSET(RES!AK$95,$E65,0)</f>
        <v>30.509113515159783</v>
      </c>
      <c r="AG65" s="107">
        <f ca="1">OFFSET(RES!AL$95,$E65,0)</f>
        <v>32.586660310065021</v>
      </c>
      <c r="AH65" s="107">
        <f ca="1">OFFSET(RES!AM$95,$E65,0)</f>
        <v>33.402029819990084</v>
      </c>
      <c r="AJ65">
        <f t="shared" ca="1" si="1"/>
        <v>2.3398925241264505</v>
      </c>
    </row>
    <row r="66" spans="1:36">
      <c r="A66" s="27" t="s">
        <v>350</v>
      </c>
      <c r="B66">
        <v>4.337948126733</v>
      </c>
      <c r="C66" t="s">
        <v>724</v>
      </c>
      <c r="D66" t="s">
        <v>272</v>
      </c>
      <c r="E66" s="110">
        <f>MATCH(F66,RES!$D$96:$D$125,0)</f>
        <v>23</v>
      </c>
      <c r="F66" t="str">
        <f t="shared" si="0"/>
        <v>RHER</v>
      </c>
      <c r="G66" s="107">
        <f ca="1">OFFSET(RES!L$95,$E66,0)</f>
        <v>8.0408397122186805</v>
      </c>
      <c r="H66" s="107">
        <f ca="1">OFFSET(RES!M$95,$E66,0)</f>
        <v>8.338087044612168</v>
      </c>
      <c r="I66" s="107">
        <f ca="1">OFFSET(RES!N$95,$E66,0)</f>
        <v>8.4613905393059543</v>
      </c>
      <c r="J66" s="170">
        <f ca="1">OFFSET(RES!O$95,$E66,0)</f>
        <v>7.145912163684339</v>
      </c>
      <c r="K66" s="107">
        <f ca="1">OFFSET(RES!P$95,$E66,0)</f>
        <v>7.7706010784571866</v>
      </c>
      <c r="L66" s="107">
        <f ca="1">OFFSET(RES!Q$95,$E66,0)</f>
        <v>8.3860580095958799</v>
      </c>
      <c r="M66" s="107">
        <f ca="1">OFFSET(RES!R$95,$E66,0)</f>
        <v>8.7460115627480608</v>
      </c>
      <c r="N66" s="107">
        <f ca="1">OFFSET(RES!S$95,$E66,0)</f>
        <v>9.1180104510830926</v>
      </c>
      <c r="O66" s="170">
        <f ca="1">OFFSET(RES!T$95,$E66,0)</f>
        <v>9.4183210047938672</v>
      </c>
      <c r="P66" s="107">
        <f ca="1">OFFSET(RES!U$95,$E66,0)</f>
        <v>9.6540687189617245</v>
      </c>
      <c r="Q66" s="107">
        <f ca="1">OFFSET(RES!V$95,$E66,0)</f>
        <v>10.164767135114847</v>
      </c>
      <c r="R66" s="107">
        <f ca="1">OFFSET(RES!W$95,$E66,0)</f>
        <v>10.688565632423002</v>
      </c>
      <c r="S66" s="107">
        <f ca="1">OFFSET(RES!X$95,$E66,0)</f>
        <v>11.201849727986129</v>
      </c>
      <c r="T66" s="107">
        <f ca="1">OFFSET(RES!Y$95,$E66,0)</f>
        <v>11.75539862639919</v>
      </c>
      <c r="U66" s="107">
        <f ca="1">OFFSET(RES!Z$95,$E66,0)</f>
        <v>12.272799346638482</v>
      </c>
      <c r="V66" s="107">
        <f ca="1">OFFSET(RES!AA$95,$E66,0)</f>
        <v>12.786225524744777</v>
      </c>
      <c r="W66" s="107">
        <f ca="1">OFFSET(RES!AB$95,$E66,0)</f>
        <v>13.277694201092293</v>
      </c>
      <c r="X66" s="107">
        <f ca="1">OFFSET(RES!AC$95,$E66,0)</f>
        <v>13.771841983231688</v>
      </c>
      <c r="Y66" s="107">
        <f ca="1">OFFSET(RES!AD$95,$E66,0)</f>
        <v>14.260640867082595</v>
      </c>
      <c r="Z66" s="107">
        <f ca="1">OFFSET(RES!AE$95,$E66,0)</f>
        <v>14.742028239717929</v>
      </c>
      <c r="AA66" s="107">
        <f ca="1">OFFSET(RES!AF$95,$E66,0)</f>
        <v>15.206558229034723</v>
      </c>
      <c r="AB66" s="107">
        <f ca="1">OFFSET(RES!AG$95,$E66,0)</f>
        <v>15.660422754114929</v>
      </c>
      <c r="AC66" s="107">
        <f ca="1">OFFSET(RES!AH$95,$E66,0)</f>
        <v>16.095537370636407</v>
      </c>
      <c r="AD66" s="107">
        <f ca="1">OFFSET(RES!AI$95,$E66,0)</f>
        <v>16.517213269108893</v>
      </c>
      <c r="AE66" s="107">
        <f ca="1">OFFSET(RES!AJ$95,$E66,0)</f>
        <v>18.358055006777185</v>
      </c>
      <c r="AF66" s="107">
        <f ca="1">OFFSET(RES!AK$95,$E66,0)</f>
        <v>19.753078584778489</v>
      </c>
      <c r="AG66" s="107">
        <f ca="1">OFFSET(RES!AL$95,$E66,0)</f>
        <v>21.098183059312838</v>
      </c>
      <c r="AH66" s="107">
        <f ca="1">OFFSET(RES!AM$95,$E66,0)</f>
        <v>21.626092793470765</v>
      </c>
      <c r="AJ66">
        <f t="shared" ca="1" si="1"/>
        <v>2.689531636926954</v>
      </c>
    </row>
    <row r="67" spans="1:36">
      <c r="A67" s="27" t="s">
        <v>501</v>
      </c>
      <c r="B67">
        <v>25.581294669590001</v>
      </c>
      <c r="C67" t="s">
        <v>724</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0">
        <f ca="1">OFFSET(RES!O$95,$E67,0)</f>
        <v>30.886710433375583</v>
      </c>
      <c r="K67" s="107">
        <f ca="1">OFFSET(RES!P$95,$E67,0)</f>
        <v>33.586797585241797</v>
      </c>
      <c r="L67" s="107">
        <f ca="1">OFFSET(RES!Q$95,$E67,0)</f>
        <v>36.246981419140724</v>
      </c>
      <c r="M67" s="107">
        <f ca="1">OFFSET(RES!R$95,$E67,0)</f>
        <v>37.802805351902855</v>
      </c>
      <c r="N67" s="107">
        <f ca="1">OFFSET(RES!S$95,$E67,0)</f>
        <v>39.410692726160441</v>
      </c>
      <c r="O67" s="170">
        <f ca="1">OFFSET(RES!T$95,$E67,0)</f>
        <v>40.708722270896544</v>
      </c>
      <c r="P67" s="107">
        <f ca="1">OFFSET(RES!U$95,$E67,0)</f>
        <v>41.727692447977276</v>
      </c>
      <c r="Q67" s="107">
        <f ca="1">OFFSET(RES!V$95,$E67,0)</f>
        <v>43.93507951588272</v>
      </c>
      <c r="R67" s="107">
        <f ca="1">OFFSET(RES!W$95,$E67,0)</f>
        <v>46.199088944100048</v>
      </c>
      <c r="S67" s="107">
        <f ca="1">OFFSET(RES!X$95,$E67,0)</f>
        <v>48.417652070342207</v>
      </c>
      <c r="T67" s="107">
        <f ca="1">OFFSET(RES!Y$95,$E67,0)</f>
        <v>50.810251383679294</v>
      </c>
      <c r="U67" s="107">
        <f ca="1">OFFSET(RES!Z$95,$E67,0)</f>
        <v>53.046607758903967</v>
      </c>
      <c r="V67" s="107">
        <f ca="1">OFFSET(RES!AA$95,$E67,0)</f>
        <v>55.265785007215911</v>
      </c>
      <c r="W67" s="107">
        <f ca="1">OFFSET(RES!AB$95,$E67,0)</f>
        <v>57.390055547590649</v>
      </c>
      <c r="X67" s="107">
        <f ca="1">OFFSET(RES!AC$95,$E67,0)</f>
        <v>59.525905962293351</v>
      </c>
      <c r="Y67" s="107">
        <f ca="1">OFFSET(RES!AD$95,$E67,0)</f>
        <v>61.638636883110621</v>
      </c>
      <c r="Z67" s="107">
        <f ca="1">OFFSET(RES!AE$95,$E67,0)</f>
        <v>63.719333097154909</v>
      </c>
      <c r="AA67" s="107">
        <f ca="1">OFFSET(RES!AF$95,$E67,0)</f>
        <v>65.727166798297034</v>
      </c>
      <c r="AB67" s="107">
        <f ca="1">OFFSET(RES!AG$95,$E67,0)</f>
        <v>67.688901261445849</v>
      </c>
      <c r="AC67" s="107">
        <f ca="1">OFFSET(RES!AH$95,$E67,0)</f>
        <v>69.569593167249948</v>
      </c>
      <c r="AD67" s="107">
        <f ca="1">OFFSET(RES!AI$95,$E67,0)</f>
        <v>71.392199025609401</v>
      </c>
      <c r="AE67" s="107">
        <f ca="1">OFFSET(RES!AJ$95,$E67,0)</f>
        <v>79.348852340491106</v>
      </c>
      <c r="AF67" s="107">
        <f ca="1">OFFSET(RES!AK$95,$E67,0)</f>
        <v>85.378549923457527</v>
      </c>
      <c r="AG67" s="107">
        <f ca="1">OFFSET(RES!AL$95,$E67,0)</f>
        <v>91.192482624550195</v>
      </c>
      <c r="AH67" s="107">
        <f ca="1">OFFSET(RES!AM$95,$E67,0)</f>
        <v>93.47426201399756</v>
      </c>
      <c r="AJ67">
        <f t="shared" ca="1" si="1"/>
        <v>2.6895316369269544</v>
      </c>
    </row>
    <row r="68" spans="1:36">
      <c r="A68" s="27" t="s">
        <v>351</v>
      </c>
      <c r="B68">
        <v>14.738241842140001</v>
      </c>
      <c r="C68" t="s">
        <v>724</v>
      </c>
      <c r="D68" t="s">
        <v>272</v>
      </c>
      <c r="E68" s="110">
        <f>MATCH(F68,RES!$D$96:$D$125,0)</f>
        <v>7</v>
      </c>
      <c r="F68" t="str">
        <f t="shared" si="0"/>
        <v>RLEH</v>
      </c>
      <c r="G68" s="107">
        <f ca="1">OFFSET(RES!L$95,$E68,0)</f>
        <v>9.2994915751840495</v>
      </c>
      <c r="H68" s="107">
        <f ca="1">OFFSET(RES!M$95,$E68,0)</f>
        <v>9.281682818880185</v>
      </c>
      <c r="I68" s="107">
        <f ca="1">OFFSET(RES!N$95,$E68,0)</f>
        <v>9.3685816904468826</v>
      </c>
      <c r="J68" s="170">
        <f ca="1">OFFSET(RES!O$95,$E68,0)</f>
        <v>9.7482669746133581</v>
      </c>
      <c r="K68" s="107">
        <f ca="1">OFFSET(RES!P$95,$E68,0)</f>
        <v>10.360160215074362</v>
      </c>
      <c r="L68" s="107">
        <f ca="1">OFFSET(RES!Q$95,$E68,0)</f>
        <v>9.7022779365117824</v>
      </c>
      <c r="M68" s="107">
        <f ca="1">OFFSET(RES!R$95,$E68,0)</f>
        <v>9.3880323418239566</v>
      </c>
      <c r="N68" s="107">
        <f ca="1">OFFSET(RES!S$95,$E68,0)</f>
        <v>9.1347753700424512</v>
      </c>
      <c r="O68" s="170">
        <f ca="1">OFFSET(RES!T$95,$E68,0)</f>
        <v>8.9211205487692968</v>
      </c>
      <c r="P68" s="107">
        <f ca="1">OFFSET(RES!U$95,$E68,0)</f>
        <v>8.770334416138347</v>
      </c>
      <c r="Q68" s="107">
        <f ca="1">OFFSET(RES!V$95,$E68,0)</f>
        <v>8.4944727076452562</v>
      </c>
      <c r="R68" s="107">
        <f ca="1">OFFSET(RES!W$95,$E68,0)</f>
        <v>8.1510100728075852</v>
      </c>
      <c r="S68" s="107">
        <f ca="1">OFFSET(RES!X$95,$E68,0)</f>
        <v>7.8176936877008396</v>
      </c>
      <c r="T68" s="107">
        <f ca="1">OFFSET(RES!Y$95,$E68,0)</f>
        <v>7.4772962741638258</v>
      </c>
      <c r="U68" s="107">
        <f ca="1">OFFSET(RES!Z$95,$E68,0)</f>
        <v>7.2534034841174924</v>
      </c>
      <c r="V68" s="107">
        <f ca="1">OFFSET(RES!AA$95,$E68,0)</f>
        <v>7.0382782367830945</v>
      </c>
      <c r="W68" s="107">
        <f ca="1">OFFSET(RES!AB$95,$E68,0)</f>
        <v>6.8277929873520664</v>
      </c>
      <c r="X68" s="107">
        <f ca="1">OFFSET(RES!AC$95,$E68,0)</f>
        <v>6.619540565560964</v>
      </c>
      <c r="Y68" s="107">
        <f ca="1">OFFSET(RES!AD$95,$E68,0)</f>
        <v>6.4122453195563978</v>
      </c>
      <c r="Z68" s="107">
        <f ca="1">OFFSET(RES!AE$95,$E68,0)</f>
        <v>6.2107409837981731</v>
      </c>
      <c r="AA68" s="107">
        <f ca="1">OFFSET(RES!AF$95,$E68,0)</f>
        <v>6.0181921771379816</v>
      </c>
      <c r="AB68" s="107">
        <f ca="1">OFFSET(RES!AG$95,$E68,0)</f>
        <v>5.8305186987879303</v>
      </c>
      <c r="AC68" s="107">
        <f ca="1">OFFSET(RES!AH$95,$E68,0)</f>
        <v>5.6504347215212238</v>
      </c>
      <c r="AD68" s="107">
        <f ca="1">OFFSET(RES!AI$95,$E68,0)</f>
        <v>5.4784873310020714</v>
      </c>
      <c r="AE68" s="107">
        <f ca="1">OFFSET(RES!AJ$95,$E68,0)</f>
        <v>4.7408515325167624</v>
      </c>
      <c r="AF68" s="107">
        <f ca="1">OFFSET(RES!AK$95,$E68,0)</f>
        <v>4.1743719558337418</v>
      </c>
      <c r="AG68" s="107">
        <f ca="1">OFFSET(RES!AL$95,$E68,0)</f>
        <v>4.1642077132240605</v>
      </c>
      <c r="AH68" s="107">
        <f ca="1">OFFSET(RES!AM$95,$E68,0)</f>
        <v>3.6352260305687136</v>
      </c>
      <c r="AJ68">
        <f t="shared" ca="1" si="1"/>
        <v>0.39090588998106252</v>
      </c>
    </row>
    <row r="69" spans="1:36">
      <c r="A69" s="27" t="s">
        <v>352</v>
      </c>
      <c r="B69">
        <v>8.0953817121640004</v>
      </c>
      <c r="C69" t="s">
        <v>724</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0">
        <f ca="1">OFFSET(RES!O$95,$E69,0)</f>
        <v>11.979965211330112</v>
      </c>
      <c r="K69" s="107">
        <f ca="1">OFFSET(RES!P$95,$E69,0)</f>
        <v>12.899636166283882</v>
      </c>
      <c r="L69" s="107">
        <f ca="1">OFFSET(RES!Q$95,$E69,0)</f>
        <v>12.241732826594424</v>
      </c>
      <c r="M69" s="107">
        <f ca="1">OFFSET(RES!R$95,$E69,0)</f>
        <v>12.00547455633102</v>
      </c>
      <c r="N69" s="107">
        <f ca="1">OFFSET(RES!S$95,$E69,0)</f>
        <v>11.841798781041156</v>
      </c>
      <c r="O69" s="170">
        <f ca="1">OFFSET(RES!T$95,$E69,0)</f>
        <v>11.725623339758172</v>
      </c>
      <c r="P69" s="107">
        <f ca="1">OFFSET(RES!U$95,$E69,0)</f>
        <v>11.689969409616948</v>
      </c>
      <c r="Q69" s="107">
        <f ca="1">OFFSET(RES!V$95,$E69,0)</f>
        <v>11.48419833735422</v>
      </c>
      <c r="R69" s="107">
        <f ca="1">OFFSET(RES!W$95,$E69,0)</f>
        <v>11.179736366828541</v>
      </c>
      <c r="S69" s="107">
        <f ca="1">OFFSET(RES!X$95,$E69,0)</f>
        <v>10.880430736108302</v>
      </c>
      <c r="T69" s="107">
        <f ca="1">OFFSET(RES!Y$95,$E69,0)</f>
        <v>10.562177916161172</v>
      </c>
      <c r="U69" s="107">
        <f ca="1">OFFSET(RES!Z$95,$E69,0)</f>
        <v>10.245914470671373</v>
      </c>
      <c r="V69" s="107">
        <f ca="1">OFFSET(RES!AA$95,$E69,0)</f>
        <v>9.942035761938758</v>
      </c>
      <c r="W69" s="107">
        <f ca="1">OFFSET(RES!AB$95,$E69,0)</f>
        <v>9.6447113586113407</v>
      </c>
      <c r="X69" s="107">
        <f ca="1">OFFSET(RES!AC$95,$E69,0)</f>
        <v>9.3505409727153985</v>
      </c>
      <c r="Y69" s="107">
        <f ca="1">OFFSET(RES!AD$95,$E69,0)</f>
        <v>9.0577226612302795</v>
      </c>
      <c r="Z69" s="107">
        <f ca="1">OFFSET(RES!AE$95,$E69,0)</f>
        <v>8.7730843953225595</v>
      </c>
      <c r="AA69" s="107">
        <f ca="1">OFFSET(RES!AF$95,$E69,0)</f>
        <v>8.5010964094356556</v>
      </c>
      <c r="AB69" s="107">
        <f ca="1">OFFSET(RES!AG$95,$E69,0)</f>
        <v>8.2359951487931866</v>
      </c>
      <c r="AC69" s="107">
        <f ca="1">OFFSET(RES!AH$95,$E69,0)</f>
        <v>7.9816145628167972</v>
      </c>
      <c r="AD69" s="107">
        <f ca="1">OFFSET(RES!AI$95,$E69,0)</f>
        <v>7.7387274463655995</v>
      </c>
      <c r="AE69" s="107">
        <f ca="1">OFFSET(RES!AJ$95,$E69,0)</f>
        <v>6.6967678589340176</v>
      </c>
      <c r="AF69" s="107">
        <f ca="1">OFFSET(RES!AK$95,$E69,0)</f>
        <v>5.8965778095612817</v>
      </c>
      <c r="AG69" s="107">
        <f ca="1">OFFSET(RES!AL$95,$E69,0)</f>
        <v>5.1175315229972353</v>
      </c>
      <c r="AH69" s="107">
        <f ca="1">OFFSET(RES!AM$95,$E69,0)</f>
        <v>4.4674485726486921</v>
      </c>
      <c r="AJ69">
        <f t="shared" ca="1" si="1"/>
        <v>0.39090588998106235</v>
      </c>
    </row>
    <row r="70" spans="1:36">
      <c r="A70" s="27" t="s">
        <v>353</v>
      </c>
      <c r="B70">
        <v>8.4652619723960001</v>
      </c>
      <c r="C70" t="s">
        <v>724</v>
      </c>
      <c r="D70" t="s">
        <v>272</v>
      </c>
      <c r="E70" s="110">
        <f>MATCH(F70,RES!$D$96:$D$125,0)</f>
        <v>4</v>
      </c>
      <c r="F70" t="str">
        <f t="shared" si="2"/>
        <v>RLEL</v>
      </c>
      <c r="G70" s="107">
        <f ca="1">OFFSET(RES!L$95,$E70,0)</f>
        <v>15.5426860393993</v>
      </c>
      <c r="H70" s="107">
        <f ca="1">OFFSET(RES!M$95,$E70,0)</f>
        <v>15.512921411328472</v>
      </c>
      <c r="I70" s="107">
        <f ca="1">OFFSET(RES!N$95,$E70,0)</f>
        <v>15.658159660862832</v>
      </c>
      <c r="J70" s="170">
        <f ca="1">OFFSET(RES!O$95,$E70,0)</f>
        <v>16.292745876449878</v>
      </c>
      <c r="K70" s="107">
        <f ca="1">OFFSET(RES!P$95,$E70,0)</f>
        <v>17.543497852327285</v>
      </c>
      <c r="L70" s="107">
        <f ca="1">OFFSET(RES!Q$95,$E70,0)</f>
        <v>16.648749684386829</v>
      </c>
      <c r="M70" s="107">
        <f ca="1">OFFSET(RES!R$95,$E70,0)</f>
        <v>16.327438571148306</v>
      </c>
      <c r="N70" s="107">
        <f ca="1">OFFSET(RES!S$95,$E70,0)</f>
        <v>16.104839609808536</v>
      </c>
      <c r="O70" s="170">
        <f ca="1">OFFSET(RES!T$95,$E70,0)</f>
        <v>15.946841075712801</v>
      </c>
      <c r="P70" s="107">
        <f ca="1">OFFSET(RES!U$95,$E70,0)</f>
        <v>15.898351750991033</v>
      </c>
      <c r="Q70" s="107">
        <f ca="1">OFFSET(RES!V$95,$E70,0)</f>
        <v>15.61850320970057</v>
      </c>
      <c r="R70" s="107">
        <f ca="1">OFFSET(RES!W$95,$E70,0)</f>
        <v>15.204435102881142</v>
      </c>
      <c r="S70" s="107">
        <f ca="1">OFFSET(RES!X$95,$E70,0)</f>
        <v>14.797379615265584</v>
      </c>
      <c r="T70" s="107">
        <f ca="1">OFFSET(RES!Y$95,$E70,0)</f>
        <v>14.364555961073481</v>
      </c>
      <c r="U70" s="107">
        <f ca="1">OFFSET(RES!Z$95,$E70,0)</f>
        <v>13.934437855012332</v>
      </c>
      <c r="V70" s="107">
        <f ca="1">OFFSET(RES!AA$95,$E70,0)</f>
        <v>13.52116298389987</v>
      </c>
      <c r="W70" s="107">
        <f ca="1">OFFSET(RES!AB$95,$E70,0)</f>
        <v>13.116801964412165</v>
      </c>
      <c r="X70" s="107">
        <f ca="1">OFFSET(RES!AC$95,$E70,0)</f>
        <v>12.716730406838114</v>
      </c>
      <c r="Y70" s="107">
        <f ca="1">OFFSET(RES!AD$95,$E70,0)</f>
        <v>12.318497669694089</v>
      </c>
      <c r="Z70" s="107">
        <f ca="1">OFFSET(RES!AE$95,$E70,0)</f>
        <v>11.931389789884733</v>
      </c>
      <c r="AA70" s="107">
        <f ca="1">OFFSET(RES!AF$95,$E70,0)</f>
        <v>11.561486283711634</v>
      </c>
      <c r="AB70" s="107">
        <f ca="1">OFFSET(RES!AG$95,$E70,0)</f>
        <v>11.200948719955662</v>
      </c>
      <c r="AC70" s="107">
        <f ca="1">OFFSET(RES!AH$95,$E70,0)</f>
        <v>10.854991267650544</v>
      </c>
      <c r="AD70" s="107">
        <f ca="1">OFFSET(RES!AI$95,$E70,0)</f>
        <v>10.524664927365313</v>
      </c>
      <c r="AE70" s="107">
        <f ca="1">OFFSET(RES!AJ$95,$E70,0)</f>
        <v>9.1076004808427271</v>
      </c>
      <c r="AF70" s="107">
        <f ca="1">OFFSET(RES!AK$95,$E70,0)</f>
        <v>8.0193424686271513</v>
      </c>
      <c r="AG70" s="107">
        <f ca="1">OFFSET(RES!AL$95,$E70,0)</f>
        <v>6.9598399618105482</v>
      </c>
      <c r="AH70" s="107">
        <f ca="1">OFFSET(RES!AM$95,$E70,0)</f>
        <v>6.075727518927617</v>
      </c>
      <c r="AJ70">
        <f t="shared" ref="AJ70:AJ133" ca="1" si="3">AH70/G70</f>
        <v>0.3909058899810624</v>
      </c>
    </row>
    <row r="71" spans="1:36">
      <c r="A71" s="27" t="s">
        <v>354</v>
      </c>
      <c r="B71">
        <v>1.2001829018570001</v>
      </c>
      <c r="C71" t="s">
        <v>724</v>
      </c>
      <c r="D71" t="s">
        <v>272</v>
      </c>
      <c r="E71" s="110">
        <f>MATCH(F71,RES!$D$96:$D$125,0)</f>
        <v>10</v>
      </c>
      <c r="F71" t="str">
        <f t="shared" si="2"/>
        <v>RLEO</v>
      </c>
      <c r="G71" s="107">
        <f ca="1">OFFSET(RES!L$95,$E71,0)</f>
        <v>5.7452488569507203</v>
      </c>
      <c r="H71" s="107">
        <f ca="1">OFFSET(RES!M$95,$E71,0)</f>
        <v>5.734246563333774</v>
      </c>
      <c r="I71" s="107">
        <f ca="1">OFFSET(RES!N$95,$E71,0)</f>
        <v>5.7879329007536766</v>
      </c>
      <c r="J71" s="170">
        <f ca="1">OFFSET(RES!O$95,$E71,0)</f>
        <v>6.0225034068101095</v>
      </c>
      <c r="K71" s="107">
        <f ca="1">OFFSET(RES!P$95,$E71,0)</f>
        <v>6.4848354221080431</v>
      </c>
      <c r="L71" s="107">
        <f ca="1">OFFSET(RES!Q$95,$E71,0)</f>
        <v>6.1540978085393307</v>
      </c>
      <c r="M71" s="107">
        <f ca="1">OFFSET(RES!R$95,$E71,0)</f>
        <v>6.0353273269520606</v>
      </c>
      <c r="N71" s="107">
        <f ca="1">OFFSET(RES!S$95,$E71,0)</f>
        <v>5.9530451252171828</v>
      </c>
      <c r="O71" s="170">
        <f ca="1">OFFSET(RES!T$95,$E71,0)</f>
        <v>5.894642034843204</v>
      </c>
      <c r="P71" s="107">
        <f ca="1">OFFSET(RES!U$95,$E71,0)</f>
        <v>5.8767182836507867</v>
      </c>
      <c r="Q71" s="107">
        <f ca="1">OFFSET(RES!V$95,$E71,0)</f>
        <v>5.7732741615799474</v>
      </c>
      <c r="R71" s="107">
        <f ca="1">OFFSET(RES!W$95,$E71,0)</f>
        <v>5.6202166841675032</v>
      </c>
      <c r="S71" s="107">
        <f ca="1">OFFSET(RES!X$95,$E71,0)</f>
        <v>5.4697513740524704</v>
      </c>
      <c r="T71" s="107">
        <f ca="1">OFFSET(RES!Y$95,$E71,0)</f>
        <v>5.3097610353037563</v>
      </c>
      <c r="U71" s="107">
        <f ca="1">OFFSET(RES!Z$95,$E71,0)</f>
        <v>5.1507707841375474</v>
      </c>
      <c r="V71" s="107">
        <f ca="1">OFFSET(RES!AA$95,$E71,0)</f>
        <v>4.9980065209434947</v>
      </c>
      <c r="W71" s="107">
        <f ca="1">OFFSET(RES!AB$95,$E71,0)</f>
        <v>4.8485372027627003</v>
      </c>
      <c r="X71" s="107">
        <f ca="1">OFFSET(RES!AC$95,$E71,0)</f>
        <v>4.7006534551900927</v>
      </c>
      <c r="Y71" s="107">
        <f ca="1">OFFSET(RES!AD$95,$E71,0)</f>
        <v>4.5534494151626914</v>
      </c>
      <c r="Z71" s="107">
        <f ca="1">OFFSET(RES!AE$95,$E71,0)</f>
        <v>4.4103576034672356</v>
      </c>
      <c r="AA71" s="107">
        <f ca="1">OFFSET(RES!AF$95,$E71,0)</f>
        <v>4.2736252722192196</v>
      </c>
      <c r="AB71" s="107">
        <f ca="1">OFFSET(RES!AG$95,$E71,0)</f>
        <v>4.1403549982906309</v>
      </c>
      <c r="AC71" s="107">
        <f ca="1">OFFSET(RES!AH$95,$E71,0)</f>
        <v>4.0124741640274184</v>
      </c>
      <c r="AD71" s="107">
        <f ca="1">OFFSET(RES!AI$95,$E71,0)</f>
        <v>3.8903712646872619</v>
      </c>
      <c r="AE71" s="107">
        <f ca="1">OFFSET(RES!AJ$95,$E71,0)</f>
        <v>3.3665629685554537</v>
      </c>
      <c r="AF71" s="107">
        <f ca="1">OFFSET(RES!AK$95,$E71,0)</f>
        <v>2.9642957487904815</v>
      </c>
      <c r="AG71" s="107">
        <f ca="1">OFFSET(RES!AL$95,$E71,0)</f>
        <v>2.5726578072664585</v>
      </c>
      <c r="AH71" s="107">
        <f ca="1">OFFSET(RES!AM$95,$E71,0)</f>
        <v>2.2458516175890031</v>
      </c>
      <c r="AJ71">
        <f t="shared" ca="1" si="3"/>
        <v>0.39090588998106246</v>
      </c>
    </row>
    <row r="72" spans="1:36">
      <c r="A72" s="27" t="s">
        <v>355</v>
      </c>
      <c r="B72">
        <v>1.9088027674250001</v>
      </c>
      <c r="C72" t="s">
        <v>724</v>
      </c>
      <c r="D72" t="s">
        <v>272</v>
      </c>
      <c r="E72" s="110">
        <f>MATCH(F72,RES!$D$96:$D$125,0)</f>
        <v>9</v>
      </c>
      <c r="F72" t="str">
        <f t="shared" si="2"/>
        <v>RLER</v>
      </c>
      <c r="G72" s="107">
        <f ca="1">OFFSET(RES!L$95,$E72,0)</f>
        <v>4.25340304491049</v>
      </c>
      <c r="H72" s="107">
        <f ca="1">OFFSET(RES!M$95,$E72,0)</f>
        <v>4.245257672910685</v>
      </c>
      <c r="I72" s="107">
        <f ca="1">OFFSET(RES!N$95,$E72,0)</f>
        <v>4.2850034936292509</v>
      </c>
      <c r="J72" s="170">
        <f ca="1">OFFSET(RES!O$95,$E72,0)</f>
        <v>4.4586640137474634</v>
      </c>
      <c r="K72" s="107">
        <f ca="1">OFFSET(RES!P$95,$E72,0)</f>
        <v>4.8009441221623916</v>
      </c>
      <c r="L72" s="107">
        <f ca="1">OFFSET(RES!Q$95,$E72,0)</f>
        <v>4.5560878230453117</v>
      </c>
      <c r="M72" s="107">
        <f ca="1">OFFSET(RES!R$95,$E72,0)</f>
        <v>4.4681579977919457</v>
      </c>
      <c r="N72" s="107">
        <f ca="1">OFFSET(RES!S$95,$E72,0)</f>
        <v>4.4072416865728661</v>
      </c>
      <c r="O72" s="170">
        <f ca="1">OFFSET(RES!T$95,$E72,0)</f>
        <v>4.3640038932911471</v>
      </c>
      <c r="P72" s="107">
        <f ca="1">OFFSET(RES!U$95,$E72,0)</f>
        <v>4.350734330945591</v>
      </c>
      <c r="Q72" s="107">
        <f ca="1">OFFSET(RES!V$95,$E72,0)</f>
        <v>4.2741511306788365</v>
      </c>
      <c r="R72" s="107">
        <f ca="1">OFFSET(RES!W$95,$E72,0)</f>
        <v>4.1608374767916256</v>
      </c>
      <c r="S72" s="107">
        <f ca="1">OFFSET(RES!X$95,$E72,0)</f>
        <v>4.0494428924782913</v>
      </c>
      <c r="T72" s="107">
        <f ca="1">OFFSET(RES!Y$95,$E72,0)</f>
        <v>3.9309966056535255</v>
      </c>
      <c r="U72" s="107">
        <f ca="1">OFFSET(RES!Z$95,$E72,0)</f>
        <v>3.8132907176651756</v>
      </c>
      <c r="V72" s="107">
        <f ca="1">OFFSET(RES!AA$95,$E72,0)</f>
        <v>3.7001941402319827</v>
      </c>
      <c r="W72" s="107">
        <f ca="1">OFFSET(RES!AB$95,$E72,0)</f>
        <v>3.5895369226074161</v>
      </c>
      <c r="X72" s="107">
        <f ca="1">OFFSET(RES!AC$95,$E72,0)</f>
        <v>3.4800535568073232</v>
      </c>
      <c r="Y72" s="107">
        <f ca="1">OFFSET(RES!AD$95,$E72,0)</f>
        <v>3.3710734016103587</v>
      </c>
      <c r="Z72" s="107">
        <f ca="1">OFFSET(RES!AE$95,$E72,0)</f>
        <v>3.2651376688472977</v>
      </c>
      <c r="AA72" s="107">
        <f ca="1">OFFSET(RES!AF$95,$E72,0)</f>
        <v>3.1639100756570713</v>
      </c>
      <c r="AB72" s="107">
        <f ca="1">OFFSET(RES!AG$95,$E72,0)</f>
        <v>3.065245561196897</v>
      </c>
      <c r="AC72" s="107">
        <f ca="1">OFFSET(RES!AH$95,$E72,0)</f>
        <v>2.9705710321409824</v>
      </c>
      <c r="AD72" s="107">
        <f ca="1">OFFSET(RES!AI$95,$E72,0)</f>
        <v>2.8801741047359148</v>
      </c>
      <c r="AE72" s="107">
        <f ca="1">OFFSET(RES!AJ$95,$E72,0)</f>
        <v>2.4923810156652877</v>
      </c>
      <c r="AF72" s="107">
        <f ca="1">OFFSET(RES!AK$95,$E72,0)</f>
        <v>2.1945689173527834</v>
      </c>
      <c r="AG72" s="107">
        <f ca="1">OFFSET(RES!AL$95,$E72,0)</f>
        <v>1.9046260350761619</v>
      </c>
      <c r="AH72" s="107">
        <f ca="1">OFFSET(RES!AM$95,$E72,0)</f>
        <v>1.6626803027188963</v>
      </c>
      <c r="AJ72">
        <f t="shared" ca="1" si="3"/>
        <v>0.39090588998106252</v>
      </c>
    </row>
    <row r="73" spans="1:36">
      <c r="A73" s="27" t="s">
        <v>356</v>
      </c>
      <c r="B73">
        <v>7.6914136780069997</v>
      </c>
      <c r="C73" t="s">
        <v>724</v>
      </c>
      <c r="D73" t="s">
        <v>272</v>
      </c>
      <c r="E73" s="110">
        <f>MATCH(F73,RES!$D$96:$D$125,0)</f>
        <v>8</v>
      </c>
      <c r="F73" t="str">
        <f t="shared" si="2"/>
        <v>RLEW</v>
      </c>
      <c r="G73" s="107">
        <f ca="1">OFFSET(RES!L$95,$E73,0)</f>
        <v>4.5736255741133904</v>
      </c>
      <c r="H73" s="107">
        <f ca="1">OFFSET(RES!M$95,$E73,0)</f>
        <v>4.564866968052403</v>
      </c>
      <c r="I73" s="107">
        <f ca="1">OFFSET(RES!N$95,$E73,0)</f>
        <v>4.6076051003627354</v>
      </c>
      <c r="J73" s="170">
        <f ca="1">OFFSET(RES!O$95,$E73,0)</f>
        <v>4.7943398601868434</v>
      </c>
      <c r="K73" s="107">
        <f ca="1">OFFSET(RES!P$95,$E73,0)</f>
        <v>5.162388935439659</v>
      </c>
      <c r="L73" s="107">
        <f ca="1">OFFSET(RES!Q$95,$E73,0)</f>
        <v>4.8990983373467616</v>
      </c>
      <c r="M73" s="107">
        <f ca="1">OFFSET(RES!R$95,$E73,0)</f>
        <v>4.8045486101612953</v>
      </c>
      <c r="N73" s="107">
        <f ca="1">OFFSET(RES!S$95,$E73,0)</f>
        <v>4.7390461416835885</v>
      </c>
      <c r="O73" s="170">
        <f ca="1">OFFSET(RES!T$95,$E73,0)</f>
        <v>4.6925531394842972</v>
      </c>
      <c r="P73" s="107">
        <f ca="1">OFFSET(RES!U$95,$E73,0)</f>
        <v>4.6782845622861995</v>
      </c>
      <c r="Q73" s="107">
        <f ca="1">OFFSET(RES!V$95,$E73,0)</f>
        <v>4.5959357043037441</v>
      </c>
      <c r="R73" s="107">
        <f ca="1">OFFSET(RES!W$95,$E73,0)</f>
        <v>4.4740910966230985</v>
      </c>
      <c r="S73" s="107">
        <f ca="1">OFFSET(RES!X$95,$E73,0)</f>
        <v>4.3543100379616533</v>
      </c>
      <c r="T73" s="107">
        <f ca="1">OFFSET(RES!Y$95,$E73,0)</f>
        <v>4.2269463809414853</v>
      </c>
      <c r="U73" s="107">
        <f ca="1">OFFSET(RES!Z$95,$E73,0)</f>
        <v>4.1003788645685875</v>
      </c>
      <c r="V73" s="107">
        <f ca="1">OFFSET(RES!AA$95,$E73,0)</f>
        <v>3.9787676762021125</v>
      </c>
      <c r="W73" s="107">
        <f ca="1">OFFSET(RES!AB$95,$E73,0)</f>
        <v>3.8597794977614308</v>
      </c>
      <c r="X73" s="107">
        <f ca="1">OFFSET(RES!AC$95,$E73,0)</f>
        <v>3.7420535459820705</v>
      </c>
      <c r="Y73" s="107">
        <f ca="1">OFFSET(RES!AD$95,$E73,0)</f>
        <v>3.6248686896172129</v>
      </c>
      <c r="Z73" s="107">
        <f ca="1">OFFSET(RES!AE$95,$E73,0)</f>
        <v>3.5109574586659562</v>
      </c>
      <c r="AA73" s="107">
        <f ca="1">OFFSET(RES!AF$95,$E73,0)</f>
        <v>3.4021088251994542</v>
      </c>
      <c r="AB73" s="107">
        <f ca="1">OFFSET(RES!AG$95,$E73,0)</f>
        <v>3.2960162349069604</v>
      </c>
      <c r="AC73" s="107">
        <f ca="1">OFFSET(RES!AH$95,$E73,0)</f>
        <v>3.1942140208361831</v>
      </c>
      <c r="AD73" s="107">
        <f ca="1">OFFSET(RES!AI$95,$E73,0)</f>
        <v>3.0970114527664108</v>
      </c>
      <c r="AE73" s="107">
        <f ca="1">OFFSET(RES!AJ$95,$E73,0)</f>
        <v>2.6800228977410132</v>
      </c>
      <c r="AF73" s="107">
        <f ca="1">OFFSET(RES!AK$95,$E73,0)</f>
        <v>2.3597896598511148</v>
      </c>
      <c r="AG73" s="107">
        <f ca="1">OFFSET(RES!AL$95,$E73,0)</f>
        <v>2.0480180813266511</v>
      </c>
      <c r="AH73" s="107">
        <f ca="1">OFFSET(RES!AM$95,$E73,0)</f>
        <v>1.7878571754889421</v>
      </c>
      <c r="AJ73">
        <f t="shared" ca="1" si="3"/>
        <v>0.39090588998106235</v>
      </c>
    </row>
    <row r="74" spans="1:36">
      <c r="A74" s="27" t="s">
        <v>357</v>
      </c>
      <c r="B74">
        <v>0.1043575899953</v>
      </c>
      <c r="C74" t="s">
        <v>724</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0">
        <f ca="1">OFFSET(RES!O$95,$E74,0)</f>
        <v>3.8304903146837301E-2</v>
      </c>
      <c r="K74" s="107">
        <f ca="1">OFFSET(RES!P$95,$E74,0)</f>
        <v>4.1245471523709255E-2</v>
      </c>
      <c r="L74" s="107">
        <f ca="1">OFFSET(RES!Q$95,$E74,0)</f>
        <v>3.9141882467962116E-2</v>
      </c>
      <c r="M74" s="107">
        <f ca="1">OFFSET(RES!R$95,$E74,0)</f>
        <v>3.8386467072304697E-2</v>
      </c>
      <c r="N74" s="107">
        <f ca="1">OFFSET(RES!S$95,$E74,0)</f>
        <v>3.7863127929881127E-2</v>
      </c>
      <c r="O74" s="170">
        <f ca="1">OFFSET(RES!T$95,$E74,0)</f>
        <v>3.7491666999245277E-2</v>
      </c>
      <c r="P74" s="107">
        <f ca="1">OFFSET(RES!U$95,$E74,0)</f>
        <v>3.7377666639747398E-2</v>
      </c>
      <c r="Q74" s="107">
        <f ca="1">OFFSET(RES!V$95,$E74,0)</f>
        <v>3.67197314242102E-2</v>
      </c>
      <c r="R74" s="107">
        <f ca="1">OFFSET(RES!W$95,$E74,0)</f>
        <v>3.5746240592880271E-2</v>
      </c>
      <c r="S74" s="107">
        <f ca="1">OFFSET(RES!X$95,$E74,0)</f>
        <v>3.4789236712334873E-2</v>
      </c>
      <c r="T74" s="107">
        <f ca="1">OFFSET(RES!Y$95,$E74,0)</f>
        <v>3.3771650832139385E-2</v>
      </c>
      <c r="U74" s="107">
        <f ca="1">OFFSET(RES!Z$95,$E74,0)</f>
        <v>3.2760425804798363E-2</v>
      </c>
      <c r="V74" s="107">
        <f ca="1">OFFSET(RES!AA$95,$E74,0)</f>
        <v>3.1788799902631289E-2</v>
      </c>
      <c r="W74" s="107">
        <f ca="1">OFFSET(RES!AB$95,$E74,0)</f>
        <v>3.0838130825405864E-2</v>
      </c>
      <c r="X74" s="107">
        <f ca="1">OFFSET(RES!AC$95,$E74,0)</f>
        <v>2.9897546446266358E-2</v>
      </c>
      <c r="Y74" s="107">
        <f ca="1">OFFSET(RES!AD$95,$E74,0)</f>
        <v>2.896128520817445E-2</v>
      </c>
      <c r="Z74" s="107">
        <f ca="1">OFFSET(RES!AE$95,$E74,0)</f>
        <v>2.8051178958686571E-2</v>
      </c>
      <c r="AA74" s="107">
        <f ca="1">OFFSET(RES!AF$95,$E74,0)</f>
        <v>2.7181520886003032E-2</v>
      </c>
      <c r="AB74" s="107">
        <f ca="1">OFFSET(RES!AG$95,$E74,0)</f>
        <v>2.6333882521960835E-2</v>
      </c>
      <c r="AC74" s="107">
        <f ca="1">OFFSET(RES!AH$95,$E74,0)</f>
        <v>2.5520522588407285E-2</v>
      </c>
      <c r="AD74" s="107">
        <f ca="1">OFFSET(RES!AI$95,$E74,0)</f>
        <v>2.4743912030099603E-2</v>
      </c>
      <c r="AE74" s="107">
        <f ca="1">OFFSET(RES!AJ$95,$E74,0)</f>
        <v>2.1412336322205378E-2</v>
      </c>
      <c r="AF74" s="107">
        <f ca="1">OFFSET(RES!AK$95,$E74,0)</f>
        <v>1.8853797812319131E-2</v>
      </c>
      <c r="AG74" s="107">
        <f ca="1">OFFSET(RES!AL$95,$E74,0)</f>
        <v>1.6362864656226449E-2</v>
      </c>
      <c r="AH74" s="107">
        <f ca="1">OFFSET(RES!AM$95,$E74,0)</f>
        <v>1.4284280619357912E-2</v>
      </c>
      <c r="AJ74">
        <f t="shared" ca="1" si="3"/>
        <v>0.39090588998106246</v>
      </c>
    </row>
    <row r="75" spans="1:36">
      <c r="A75" s="27" t="s">
        <v>358</v>
      </c>
      <c r="B75">
        <v>12.72538201427</v>
      </c>
      <c r="C75" t="s">
        <v>724</v>
      </c>
      <c r="D75" t="s">
        <v>272</v>
      </c>
      <c r="E75" s="110">
        <f>MATCH(F75,RES!$D$96:$D$125,0)</f>
        <v>14</v>
      </c>
      <c r="F75" t="str">
        <f t="shared" si="2"/>
        <v>RMEH</v>
      </c>
      <c r="G75" s="107">
        <f ca="1">OFFSET(RES!L$95,$E75,0)</f>
        <v>9.6822001330816203</v>
      </c>
      <c r="H75" s="107">
        <f ca="1">OFFSET(RES!M$95,$E75,0)</f>
        <v>9.9434395743318245</v>
      </c>
      <c r="I75" s="107">
        <f ca="1">OFFSET(RES!N$95,$E75,0)</f>
        <v>10.212153747437592</v>
      </c>
      <c r="J75" s="170">
        <f ca="1">OFFSET(RES!O$95,$E75,0)</f>
        <v>10.73168899547419</v>
      </c>
      <c r="K75" s="107">
        <f ca="1">OFFSET(RES!P$95,$E75,0)</f>
        <v>9.5581303108910092</v>
      </c>
      <c r="L75" s="107">
        <f ca="1">OFFSET(RES!Q$95,$E75,0)</f>
        <v>9.9534498273705783</v>
      </c>
      <c r="M75" s="107">
        <f ca="1">OFFSET(RES!R$95,$E75,0)</f>
        <v>10.06396687109493</v>
      </c>
      <c r="N75" s="107">
        <f ca="1">OFFSET(RES!S$95,$E75,0)</f>
        <v>10.116035572411866</v>
      </c>
      <c r="O75" s="170">
        <f ca="1">OFFSET(RES!T$95,$E75,0)</f>
        <v>10.193626746338248</v>
      </c>
      <c r="P75" s="107">
        <f ca="1">OFFSET(RES!U$95,$E75,0)</f>
        <v>10.216412266460457</v>
      </c>
      <c r="Q75" s="107">
        <f ca="1">OFFSET(RES!V$95,$E75,0)</f>
        <v>10.188597378209357</v>
      </c>
      <c r="R75" s="107">
        <f ca="1">OFFSET(RES!W$95,$E75,0)</f>
        <v>10.24827018795621</v>
      </c>
      <c r="S75" s="107">
        <f ca="1">OFFSET(RES!X$95,$E75,0)</f>
        <v>10.29681722592656</v>
      </c>
      <c r="T75" s="107">
        <f ca="1">OFFSET(RES!Y$95,$E75,0)</f>
        <v>10.321279134517564</v>
      </c>
      <c r="U75" s="107">
        <f ca="1">OFFSET(RES!Z$95,$E75,0)</f>
        <v>10.517742430013502</v>
      </c>
      <c r="V75" s="107">
        <f ca="1">OFFSET(RES!AA$95,$E75,0)</f>
        <v>10.698654809854762</v>
      </c>
      <c r="W75" s="107">
        <f ca="1">OFFSET(RES!AB$95,$E75,0)</f>
        <v>10.885143991899454</v>
      </c>
      <c r="X75" s="107">
        <f ca="1">OFFSET(RES!AC$95,$E75,0)</f>
        <v>11.060590077101036</v>
      </c>
      <c r="Y75" s="107">
        <f ca="1">OFFSET(RES!AD$95,$E75,0)</f>
        <v>11.234014007065552</v>
      </c>
      <c r="Z75" s="107">
        <f ca="1">OFFSET(RES!AE$95,$E75,0)</f>
        <v>11.400523605338392</v>
      </c>
      <c r="AA75" s="107">
        <f ca="1">OFFSET(RES!AF$95,$E75,0)</f>
        <v>11.562188304568073</v>
      </c>
      <c r="AB75" s="107">
        <f ca="1">OFFSET(RES!AG$95,$E75,0)</f>
        <v>11.719074007168162</v>
      </c>
      <c r="AC75" s="107">
        <f ca="1">OFFSET(RES!AH$95,$E75,0)</f>
        <v>11.873558915401823</v>
      </c>
      <c r="AD75" s="107">
        <f ca="1">OFFSET(RES!AI$95,$E75,0)</f>
        <v>12.020881471894885</v>
      </c>
      <c r="AE75" s="107">
        <f ca="1">OFFSET(RES!AJ$95,$E75,0)</f>
        <v>12.695599470630544</v>
      </c>
      <c r="AF75" s="107">
        <f ca="1">OFFSET(RES!AK$95,$E75,0)</f>
        <v>13.276653663065616</v>
      </c>
      <c r="AG75" s="107">
        <f ca="1">OFFSET(RES!AL$95,$E75,0)</f>
        <v>15.701074143115957</v>
      </c>
      <c r="AH75" s="107">
        <f ca="1">OFFSET(RES!AM$95,$E75,0)</f>
        <v>16.508602468841083</v>
      </c>
      <c r="AJ75">
        <f t="shared" ca="1" si="3"/>
        <v>1.7050466053098179</v>
      </c>
    </row>
    <row r="76" spans="1:36">
      <c r="A76" s="27" t="s">
        <v>359</v>
      </c>
      <c r="B76">
        <v>5.0035172999329998</v>
      </c>
      <c r="C76" t="s">
        <v>724</v>
      </c>
      <c r="D76" t="s">
        <v>272</v>
      </c>
      <c r="E76" s="110">
        <f>MATCH(F76,RES!$D$96:$D$125,0)</f>
        <v>13</v>
      </c>
      <c r="F76" t="str">
        <f t="shared" si="2"/>
        <v>RMEK</v>
      </c>
      <c r="G76" s="107">
        <f ca="1">OFFSET(RES!L$95,$E76,0)</f>
        <v>10.2728758528227</v>
      </c>
      <c r="H76" s="107">
        <f ca="1">OFFSET(RES!M$95,$E76,0)</f>
        <v>10.550052559659679</v>
      </c>
      <c r="I76" s="107">
        <f ca="1">OFFSET(RES!N$95,$E76,0)</f>
        <v>10.83516000448285</v>
      </c>
      <c r="J76" s="170">
        <f ca="1">OFFSET(RES!O$95,$E76,0)</f>
        <v>11.386390203289611</v>
      </c>
      <c r="K76" s="107">
        <f ca="1">OFFSET(RES!P$95,$E76,0)</f>
        <v>10.274809506844097</v>
      </c>
      <c r="L76" s="107">
        <f ca="1">OFFSET(RES!Q$95,$E76,0)</f>
        <v>10.842580597258278</v>
      </c>
      <c r="M76" s="107">
        <f ca="1">OFFSET(RES!R$95,$E76,0)</f>
        <v>11.111272411282824</v>
      </c>
      <c r="N76" s="107">
        <f ca="1">OFFSET(RES!S$95,$E76,0)</f>
        <v>11.321917732210736</v>
      </c>
      <c r="O76" s="170">
        <f ca="1">OFFSET(RES!T$95,$E76,0)</f>
        <v>11.567382608142514</v>
      </c>
      <c r="P76" s="107">
        <f ca="1">OFFSET(RES!U$95,$E76,0)</f>
        <v>11.75670099807023</v>
      </c>
      <c r="Q76" s="107">
        <f ca="1">OFFSET(RES!V$95,$E76,0)</f>
        <v>11.892372439028174</v>
      </c>
      <c r="R76" s="107">
        <f ca="1">OFFSET(RES!W$95,$E76,0)</f>
        <v>12.135580108619546</v>
      </c>
      <c r="S76" s="107">
        <f ca="1">OFFSET(RES!X$95,$E76,0)</f>
        <v>12.372580399809765</v>
      </c>
      <c r="T76" s="107">
        <f ca="1">OFFSET(RES!Y$95,$E76,0)</f>
        <v>12.587290498224268</v>
      </c>
      <c r="U76" s="107">
        <f ca="1">OFFSET(RES!Z$95,$E76,0)</f>
        <v>12.826886825425186</v>
      </c>
      <c r="V76" s="107">
        <f ca="1">OFFSET(RES!AA$95,$E76,0)</f>
        <v>13.047518071815118</v>
      </c>
      <c r="W76" s="107">
        <f ca="1">OFFSET(RES!AB$95,$E76,0)</f>
        <v>13.274950493570126</v>
      </c>
      <c r="X76" s="107">
        <f ca="1">OFFSET(RES!AC$95,$E76,0)</f>
        <v>13.488915333821659</v>
      </c>
      <c r="Y76" s="107">
        <f ca="1">OFFSET(RES!AD$95,$E76,0)</f>
        <v>13.700414059643988</v>
      </c>
      <c r="Z76" s="107">
        <f ca="1">OFFSET(RES!AE$95,$E76,0)</f>
        <v>13.903480429314536</v>
      </c>
      <c r="AA76" s="107">
        <f ca="1">OFFSET(RES!AF$95,$E76,0)</f>
        <v>14.100638214312971</v>
      </c>
      <c r="AB76" s="107">
        <f ca="1">OFFSET(RES!AG$95,$E76,0)</f>
        <v>14.291967785765129</v>
      </c>
      <c r="AC76" s="107">
        <f ca="1">OFFSET(RES!AH$95,$E76,0)</f>
        <v>14.480369474372255</v>
      </c>
      <c r="AD76" s="107">
        <f ca="1">OFFSET(RES!AI$95,$E76,0)</f>
        <v>14.660036334588989</v>
      </c>
      <c r="AE76" s="107">
        <f ca="1">OFFSET(RES!AJ$95,$E76,0)</f>
        <v>15.482887004915639</v>
      </c>
      <c r="AF76" s="107">
        <f ca="1">OFFSET(RES!AK$95,$E76,0)</f>
        <v>16.191510211406719</v>
      </c>
      <c r="AG76" s="107">
        <f ca="1">OFFSET(RES!AL$95,$E76,0)</f>
        <v>16.658939415752226</v>
      </c>
      <c r="AH76" s="107">
        <f ca="1">OFFSET(RES!AM$95,$E76,0)</f>
        <v>17.515732099624554</v>
      </c>
      <c r="AJ76">
        <f t="shared" ca="1" si="3"/>
        <v>1.7050466053098188</v>
      </c>
    </row>
    <row r="77" spans="1:36">
      <c r="A77" s="27" t="s">
        <v>360</v>
      </c>
      <c r="B77">
        <v>15.793352715539999</v>
      </c>
      <c r="C77" t="s">
        <v>724</v>
      </c>
      <c r="D77" t="s">
        <v>272</v>
      </c>
      <c r="E77" s="110">
        <f>MATCH(F77,RES!$D$96:$D$125,0)</f>
        <v>11</v>
      </c>
      <c r="F77" t="str">
        <f t="shared" si="2"/>
        <v>RMEL</v>
      </c>
      <c r="G77" s="107">
        <f ca="1">OFFSET(RES!L$95,$E77,0)</f>
        <v>14.579147778971199</v>
      </c>
      <c r="H77" s="107">
        <f ca="1">OFFSET(RES!M$95,$E77,0)</f>
        <v>14.972513787454066</v>
      </c>
      <c r="I77" s="107">
        <f ca="1">OFFSET(RES!N$95,$E77,0)</f>
        <v>15.377135008474639</v>
      </c>
      <c r="J77" s="170">
        <f ca="1">OFFSET(RES!O$95,$E77,0)</f>
        <v>16.159434594663765</v>
      </c>
      <c r="K77" s="107">
        <f ca="1">OFFSET(RES!P$95,$E77,0)</f>
        <v>14.581891998616722</v>
      </c>
      <c r="L77" s="107">
        <f ca="1">OFFSET(RES!Q$95,$E77,0)</f>
        <v>15.387666228770735</v>
      </c>
      <c r="M77" s="107">
        <f ca="1">OFFSET(RES!R$95,$E77,0)</f>
        <v>15.768990574531941</v>
      </c>
      <c r="N77" s="107">
        <f ca="1">OFFSET(RES!S$95,$E77,0)</f>
        <v>16.067936001961886</v>
      </c>
      <c r="O77" s="170">
        <f ca="1">OFFSET(RES!T$95,$E77,0)</f>
        <v>16.416296943145937</v>
      </c>
      <c r="P77" s="107">
        <f ca="1">OFFSET(RES!U$95,$E77,0)</f>
        <v>16.684975434308143</v>
      </c>
      <c r="Q77" s="107">
        <f ca="1">OFFSET(RES!V$95,$E77,0)</f>
        <v>16.877518789786183</v>
      </c>
      <c r="R77" s="107">
        <f ca="1">OFFSET(RES!W$95,$E77,0)</f>
        <v>17.222676329578466</v>
      </c>
      <c r="S77" s="107">
        <f ca="1">OFFSET(RES!X$95,$E77,0)</f>
        <v>17.5590244290225</v>
      </c>
      <c r="T77" s="107">
        <f ca="1">OFFSET(RES!Y$95,$E77,0)</f>
        <v>17.863738542116973</v>
      </c>
      <c r="U77" s="107">
        <f ca="1">OFFSET(RES!Z$95,$E77,0)</f>
        <v>18.203770906141024</v>
      </c>
      <c r="V77" s="107">
        <f ca="1">OFFSET(RES!AA$95,$E77,0)</f>
        <v>18.516888244641088</v>
      </c>
      <c r="W77" s="107">
        <f ca="1">OFFSET(RES!AB$95,$E77,0)</f>
        <v>18.839657733341223</v>
      </c>
      <c r="X77" s="107">
        <f ca="1">OFFSET(RES!AC$95,$E77,0)</f>
        <v>19.143314184584515</v>
      </c>
      <c r="Y77" s="107">
        <f ca="1">OFFSET(RES!AD$95,$E77,0)</f>
        <v>19.443470754468557</v>
      </c>
      <c r="Z77" s="107">
        <f ca="1">OFFSET(RES!AE$95,$E77,0)</f>
        <v>19.731660221058153</v>
      </c>
      <c r="AA77" s="107">
        <f ca="1">OFFSET(RES!AF$95,$E77,0)</f>
        <v>20.011464291938363</v>
      </c>
      <c r="AB77" s="107">
        <f ca="1">OFFSET(RES!AG$95,$E77,0)</f>
        <v>20.282997028890673</v>
      </c>
      <c r="AC77" s="107">
        <f ca="1">OFFSET(RES!AH$95,$E77,0)</f>
        <v>20.550374548035546</v>
      </c>
      <c r="AD77" s="107">
        <f ca="1">OFFSET(RES!AI$95,$E77,0)</f>
        <v>20.80535569874845</v>
      </c>
      <c r="AE77" s="107">
        <f ca="1">OFFSET(RES!AJ$95,$E77,0)</f>
        <v>21.973135947881069</v>
      </c>
      <c r="AF77" s="107">
        <f ca="1">OFFSET(RES!AK$95,$E77,0)</f>
        <v>22.978805888319723</v>
      </c>
      <c r="AG77" s="107">
        <f ca="1">OFFSET(RES!AL$95,$E77,0)</f>
        <v>23.642176062747321</v>
      </c>
      <c r="AH77" s="107">
        <f ca="1">OFFSET(RES!AM$95,$E77,0)</f>
        <v>24.858126428845022</v>
      </c>
      <c r="AJ77">
        <f t="shared" ca="1" si="3"/>
        <v>1.7050466053098183</v>
      </c>
    </row>
    <row r="78" spans="1:36">
      <c r="A78" s="27" t="s">
        <v>361</v>
      </c>
      <c r="B78">
        <v>8.1991938940679994</v>
      </c>
      <c r="C78" t="s">
        <v>724</v>
      </c>
      <c r="D78" t="s">
        <v>272</v>
      </c>
      <c r="E78" s="110">
        <f>MATCH(F78,RES!$D$96:$D$125,0)</f>
        <v>18</v>
      </c>
      <c r="F78" t="str">
        <f t="shared" si="2"/>
        <v>RMEO</v>
      </c>
      <c r="G78" s="107">
        <f ca="1">OFFSET(RES!L$95,$E78,0)</f>
        <v>7.7618829459684902</v>
      </c>
      <c r="H78" s="107">
        <f ca="1">OFFSET(RES!M$95,$E78,0)</f>
        <v>7.971309515961206</v>
      </c>
      <c r="I78" s="107">
        <f ca="1">OFFSET(RES!N$95,$E78,0)</f>
        <v>8.1867283183926158</v>
      </c>
      <c r="J78" s="170">
        <f ca="1">OFFSET(RES!O$95,$E78,0)</f>
        <v>8.6032216490547775</v>
      </c>
      <c r="K78" s="107">
        <f ca="1">OFFSET(RES!P$95,$E78,0)</f>
        <v>7.7532516109472374</v>
      </c>
      <c r="L78" s="107">
        <f ca="1">OFFSET(RES!Q$95,$E78,0)</f>
        <v>8.1710350288493245</v>
      </c>
      <c r="M78" s="107">
        <f ca="1">OFFSET(RES!R$95,$E78,0)</f>
        <v>8.3626088667056475</v>
      </c>
      <c r="N78" s="107">
        <f ca="1">OFFSET(RES!S$95,$E78,0)</f>
        <v>8.5100247032036993</v>
      </c>
      <c r="O78" s="170">
        <f ca="1">OFFSET(RES!T$95,$E78,0)</f>
        <v>8.6831643563036227</v>
      </c>
      <c r="P78" s="107">
        <f ca="1">OFFSET(RES!U$95,$E78,0)</f>
        <v>8.8137300602602799</v>
      </c>
      <c r="Q78" s="107">
        <f ca="1">OFFSET(RES!V$95,$E78,0)</f>
        <v>8.9037586539887243</v>
      </c>
      <c r="R78" s="107">
        <f ca="1">OFFSET(RES!W$95,$E78,0)</f>
        <v>9.0739269233119764</v>
      </c>
      <c r="S78" s="107">
        <f ca="1">OFFSET(RES!X$95,$E78,0)</f>
        <v>9.2389821768783964</v>
      </c>
      <c r="T78" s="107">
        <f ca="1">OFFSET(RES!Y$95,$E78,0)</f>
        <v>9.3869489765826444</v>
      </c>
      <c r="U78" s="107">
        <f ca="1">OFFSET(RES!Z$95,$E78,0)</f>
        <v>9.5656275014589003</v>
      </c>
      <c r="V78" s="107">
        <f ca="1">OFFSET(RES!AA$95,$E78,0)</f>
        <v>9.7301628518422341</v>
      </c>
      <c r="W78" s="107">
        <f ca="1">OFFSET(RES!AB$95,$E78,0)</f>
        <v>9.8997701663739868</v>
      </c>
      <c r="X78" s="107">
        <f ca="1">OFFSET(RES!AC$95,$E78,0)</f>
        <v>10.059334056514375</v>
      </c>
      <c r="Y78" s="107">
        <f ca="1">OFFSET(RES!AD$95,$E78,0)</f>
        <v>10.217058846308216</v>
      </c>
      <c r="Z78" s="107">
        <f ca="1">OFFSET(RES!AE$95,$E78,0)</f>
        <v>10.368495221851168</v>
      </c>
      <c r="AA78" s="107">
        <f ca="1">OFFSET(RES!AF$95,$E78,0)</f>
        <v>10.515525281130204</v>
      </c>
      <c r="AB78" s="107">
        <f ca="1">OFFSET(RES!AG$95,$E78,0)</f>
        <v>10.658208960766117</v>
      </c>
      <c r="AC78" s="107">
        <f ca="1">OFFSET(RES!AH$95,$E78,0)</f>
        <v>10.798709177099935</v>
      </c>
      <c r="AD78" s="107">
        <f ca="1">OFFSET(RES!AI$95,$E78,0)</f>
        <v>10.932695411061502</v>
      </c>
      <c r="AE78" s="107">
        <f ca="1">OFFSET(RES!AJ$95,$E78,0)</f>
        <v>11.546334800634085</v>
      </c>
      <c r="AF78" s="107">
        <f ca="1">OFFSET(RES!AK$95,$E78,0)</f>
        <v>12.074789266977938</v>
      </c>
      <c r="AG78" s="107">
        <f ca="1">OFFSET(RES!AL$95,$E78,0)</f>
        <v>12.587004807764725</v>
      </c>
      <c r="AH78" s="107">
        <f ca="1">OFFSET(RES!AM$95,$E78,0)</f>
        <v>13.234372167835748</v>
      </c>
      <c r="AJ78">
        <f t="shared" ca="1" si="3"/>
        <v>1.7050466053098186</v>
      </c>
    </row>
    <row r="79" spans="1:36">
      <c r="A79" s="27" t="s">
        <v>362</v>
      </c>
      <c r="B79">
        <v>3.5984677195130002</v>
      </c>
      <c r="C79" t="s">
        <v>724</v>
      </c>
      <c r="D79" t="s">
        <v>272</v>
      </c>
      <c r="E79" s="110">
        <f>MATCH(F79,RES!$D$96:$D$125,0)</f>
        <v>17</v>
      </c>
      <c r="F79" t="str">
        <f t="shared" si="2"/>
        <v>RMER</v>
      </c>
      <c r="G79" s="107">
        <f ca="1">OFFSET(RES!L$95,$E79,0)</f>
        <v>6.4871161947221303</v>
      </c>
      <c r="H79" s="107">
        <f ca="1">OFFSET(RES!M$95,$E79,0)</f>
        <v>6.6621477564272054</v>
      </c>
      <c r="I79" s="107">
        <f ca="1">OFFSET(RES!N$95,$E79,0)</f>
        <v>6.8421874209813174</v>
      </c>
      <c r="J79" s="170">
        <f ca="1">OFFSET(RES!O$95,$E79,0)</f>
        <v>7.1902782964995575</v>
      </c>
      <c r="K79" s="107">
        <f ca="1">OFFSET(RES!P$95,$E79,0)</f>
        <v>6.4883372586673094</v>
      </c>
      <c r="L79" s="107">
        <f ca="1">OFFSET(RES!Q$95,$E79,0)</f>
        <v>6.8468733773052888</v>
      </c>
      <c r="M79" s="107">
        <f ca="1">OFFSET(RES!R$95,$E79,0)</f>
        <v>7.0165468984419199</v>
      </c>
      <c r="N79" s="107">
        <f ca="1">OFFSET(RES!S$95,$E79,0)</f>
        <v>7.1495652170034569</v>
      </c>
      <c r="O79" s="170">
        <f ca="1">OFFSET(RES!T$95,$E79,0)</f>
        <v>7.3045713900270473</v>
      </c>
      <c r="P79" s="107">
        <f ca="1">OFFSET(RES!U$95,$E79,0)</f>
        <v>7.4241221770563044</v>
      </c>
      <c r="Q79" s="107">
        <f ca="1">OFFSET(RES!V$95,$E79,0)</f>
        <v>7.5097959858717527</v>
      </c>
      <c r="R79" s="107">
        <f ca="1">OFFSET(RES!W$95,$E79,0)</f>
        <v>7.6633767781143947</v>
      </c>
      <c r="S79" s="107">
        <f ca="1">OFFSET(RES!X$95,$E79,0)</f>
        <v>7.8130377347112256</v>
      </c>
      <c r="T79" s="107">
        <f ca="1">OFFSET(RES!Y$95,$E79,0)</f>
        <v>7.9486228791780871</v>
      </c>
      <c r="U79" s="107">
        <f ca="1">OFFSET(RES!Z$95,$E79,0)</f>
        <v>8.0999231807342422</v>
      </c>
      <c r="V79" s="107">
        <f ca="1">OFFSET(RES!AA$95,$E79,0)</f>
        <v>8.2392474120423227</v>
      </c>
      <c r="W79" s="107">
        <f ca="1">OFFSET(RES!AB$95,$E79,0)</f>
        <v>8.382866449934852</v>
      </c>
      <c r="X79" s="107">
        <f ca="1">OFFSET(RES!AC$95,$E79,0)</f>
        <v>8.5179809787369756</v>
      </c>
      <c r="Y79" s="107">
        <f ca="1">OFFSET(RES!AD$95,$E79,0)</f>
        <v>8.6515382054670287</v>
      </c>
      <c r="Z79" s="107">
        <f ca="1">OFFSET(RES!AE$95,$E79,0)</f>
        <v>8.7797705674819255</v>
      </c>
      <c r="AA79" s="107">
        <f ca="1">OFFSET(RES!AF$95,$E79,0)</f>
        <v>8.9042717761310559</v>
      </c>
      <c r="AB79" s="107">
        <f ca="1">OFFSET(RES!AG$95,$E79,0)</f>
        <v>9.0250925841772762</v>
      </c>
      <c r="AC79" s="107">
        <f ca="1">OFFSET(RES!AH$95,$E79,0)</f>
        <v>9.1440644926074217</v>
      </c>
      <c r="AD79" s="107">
        <f ca="1">OFFSET(RES!AI$95,$E79,0)</f>
        <v>9.2575205311369437</v>
      </c>
      <c r="AE79" s="107">
        <f ca="1">OFFSET(RES!AJ$95,$E79,0)</f>
        <v>9.7771343165841085</v>
      </c>
      <c r="AF79" s="107">
        <f ca="1">OFFSET(RES!AK$95,$E79,0)</f>
        <v>10.224615737039619</v>
      </c>
      <c r="AG79" s="107">
        <f ca="1">OFFSET(RES!AL$95,$E79,0)</f>
        <v>10.519787956079201</v>
      </c>
      <c r="AH79" s="107">
        <f ca="1">OFFSET(RES!AM$95,$E79,0)</f>
        <v>11.060835446061317</v>
      </c>
      <c r="AJ79">
        <f t="shared" ca="1" si="3"/>
        <v>1.7050466053098186</v>
      </c>
    </row>
    <row r="80" spans="1:36">
      <c r="A80" s="27" t="s">
        <v>363</v>
      </c>
      <c r="B80">
        <v>16.347656033450001</v>
      </c>
      <c r="C80" t="s">
        <v>724</v>
      </c>
      <c r="D80" t="s">
        <v>272</v>
      </c>
      <c r="E80" s="110">
        <f>MATCH(F80,RES!$D$96:$D$125,0)</f>
        <v>16</v>
      </c>
      <c r="F80" t="str">
        <f t="shared" si="2"/>
        <v>RMEW</v>
      </c>
      <c r="G80" s="107">
        <f ca="1">OFFSET(RES!L$95,$E80,0)</f>
        <v>4.3678647382810798</v>
      </c>
      <c r="H80" s="107">
        <f ca="1">OFFSET(RES!M$95,$E80,0)</f>
        <v>4.48571590103347</v>
      </c>
      <c r="I80" s="107">
        <f ca="1">OFFSET(RES!N$95,$E80,0)</f>
        <v>4.606939088454971</v>
      </c>
      <c r="J80" s="170">
        <f ca="1">OFFSET(RES!O$95,$E80,0)</f>
        <v>4.8413134722729314</v>
      </c>
      <c r="K80" s="107">
        <f ca="1">OFFSET(RES!P$95,$E80,0)</f>
        <v>4.3686868974638715</v>
      </c>
      <c r="L80" s="107">
        <f ca="1">OFFSET(RES!Q$95,$E80,0)</f>
        <v>4.6100942074289852</v>
      </c>
      <c r="M80" s="107">
        <f ca="1">OFFSET(RES!R$95,$E80,0)</f>
        <v>4.724337727623003</v>
      </c>
      <c r="N80" s="107">
        <f ca="1">OFFSET(RES!S$95,$E80,0)</f>
        <v>4.8139007947472017</v>
      </c>
      <c r="O80" s="170">
        <f ca="1">OFFSET(RES!T$95,$E80,0)</f>
        <v>4.9182685873137162</v>
      </c>
      <c r="P80" s="107">
        <f ca="1">OFFSET(RES!U$95,$E80,0)</f>
        <v>4.9987637798499138</v>
      </c>
      <c r="Q80" s="107">
        <f ca="1">OFFSET(RES!V$95,$E80,0)</f>
        <v>5.056449136067779</v>
      </c>
      <c r="R80" s="107">
        <f ca="1">OFFSET(RES!W$95,$E80,0)</f>
        <v>5.1598572001101166</v>
      </c>
      <c r="S80" s="107">
        <f ca="1">OFFSET(RES!X$95,$E80,0)</f>
        <v>5.2606259847895958</v>
      </c>
      <c r="T80" s="107">
        <f ca="1">OFFSET(RES!Y$95,$E80,0)</f>
        <v>5.3519173311714248</v>
      </c>
      <c r="U80" s="107">
        <f ca="1">OFFSET(RES!Z$95,$E80,0)</f>
        <v>5.4537899094051996</v>
      </c>
      <c r="V80" s="107">
        <f ca="1">OFFSET(RES!AA$95,$E80,0)</f>
        <v>5.5475988344887046</v>
      </c>
      <c r="W80" s="107">
        <f ca="1">OFFSET(RES!AB$95,$E80,0)</f>
        <v>5.6442995120358406</v>
      </c>
      <c r="X80" s="107">
        <f ca="1">OFFSET(RES!AC$95,$E80,0)</f>
        <v>5.7352739864046534</v>
      </c>
      <c r="Y80" s="107">
        <f ca="1">OFFSET(RES!AD$95,$E80,0)</f>
        <v>5.8251999078258585</v>
      </c>
      <c r="Z80" s="107">
        <f ca="1">OFFSET(RES!AE$95,$E80,0)</f>
        <v>5.9115405244479335</v>
      </c>
      <c r="AA80" s="107">
        <f ca="1">OFFSET(RES!AF$95,$E80,0)</f>
        <v>5.9953689040866927</v>
      </c>
      <c r="AB80" s="107">
        <f ca="1">OFFSET(RES!AG$95,$E80,0)</f>
        <v>6.0767192192768329</v>
      </c>
      <c r="AC80" s="107">
        <f ca="1">OFFSET(RES!AH$95,$E80,0)</f>
        <v>6.1568246448742387</v>
      </c>
      <c r="AD80" s="107">
        <f ca="1">OFFSET(RES!AI$95,$E80,0)</f>
        <v>6.2332161592487374</v>
      </c>
      <c r="AE80" s="107">
        <f ca="1">OFFSET(RES!AJ$95,$E80,0)</f>
        <v>6.583079282222541</v>
      </c>
      <c r="AF80" s="107">
        <f ca="1">OFFSET(RES!AK$95,$E80,0)</f>
        <v>6.8843746897310041</v>
      </c>
      <c r="AG80" s="107">
        <f ca="1">OFFSET(RES!AL$95,$E80,0)</f>
        <v>7.0831182128256129</v>
      </c>
      <c r="AH80" s="107">
        <f ca="1">OFFSET(RES!AM$95,$E80,0)</f>
        <v>7.4474129444586099</v>
      </c>
      <c r="AJ80">
        <f t="shared" ca="1" si="3"/>
        <v>1.7050466053098177</v>
      </c>
    </row>
    <row r="81" spans="1:36">
      <c r="A81" s="27" t="s">
        <v>524</v>
      </c>
      <c r="B81">
        <v>17.347656033450001</v>
      </c>
      <c r="C81" t="s">
        <v>724</v>
      </c>
      <c r="D81" t="s">
        <v>272</v>
      </c>
      <c r="E81" s="110">
        <f>MATCH(F81,RES!$D$96:$D$125,0)</f>
        <v>15</v>
      </c>
      <c r="F81" t="str">
        <f>A81</f>
        <v>RMEWG</v>
      </c>
      <c r="G81" s="107">
        <f ca="1">OFFSET(RES!L$95,$E81,0)</f>
        <v>7.1740496070211197</v>
      </c>
      <c r="H81" s="107">
        <f ca="1">OFFSET(RES!M$95,$E81,0)</f>
        <v>7.3676156028773683</v>
      </c>
      <c r="I81" s="107">
        <f ca="1">OFFSET(RES!N$95,$E81,0)</f>
        <v>7.5667200193811892</v>
      </c>
      <c r="J81" s="170">
        <f ca="1">OFFSET(RES!O$95,$E81,0)</f>
        <v>7.9516709180179346</v>
      </c>
      <c r="K81" s="107">
        <f ca="1">OFFSET(RES!P$95,$E81,0)</f>
        <v>7.1753999718139045</v>
      </c>
      <c r="L81" s="107">
        <f ca="1">OFFSET(RES!Q$95,$E81,0)</f>
        <v>7.5719021807785536</v>
      </c>
      <c r="M81" s="107">
        <f ca="1">OFFSET(RES!R$95,$E81,0)</f>
        <v>7.7595427626787945</v>
      </c>
      <c r="N81" s="107">
        <f ca="1">OFFSET(RES!S$95,$E81,0)</f>
        <v>7.9066466509642241</v>
      </c>
      <c r="O81" s="170">
        <f ca="1">OFFSET(RES!T$95,$E81,0)</f>
        <v>8.0780667305938234</v>
      </c>
      <c r="P81" s="107">
        <f ca="1">OFFSET(RES!U$95,$E81,0)</f>
        <v>8.2102769841120349</v>
      </c>
      <c r="Q81" s="107">
        <f ca="1">OFFSET(RES!V$95,$E81,0)</f>
        <v>8.3050229599841057</v>
      </c>
      <c r="R81" s="107">
        <f ca="1">OFFSET(RES!W$95,$E81,0)</f>
        <v>8.4748667224760936</v>
      </c>
      <c r="S81" s="107">
        <f ca="1">OFFSET(RES!X$95,$E81,0)</f>
        <v>8.6403755702647977</v>
      </c>
      <c r="T81" s="107">
        <f ca="1">OFFSET(RES!Y$95,$E81,0)</f>
        <v>8.7903180906672791</v>
      </c>
      <c r="U81" s="107">
        <f ca="1">OFFSET(RES!Z$95,$E81,0)</f>
        <v>8.9576398768569891</v>
      </c>
      <c r="V81" s="107">
        <f ca="1">OFFSET(RES!AA$95,$E81,0)</f>
        <v>9.1117174233139888</v>
      </c>
      <c r="W81" s="107">
        <f ca="1">OFFSET(RES!AB$95,$E81,0)</f>
        <v>9.270544561818447</v>
      </c>
      <c r="X81" s="107">
        <f ca="1">OFFSET(RES!AC$95,$E81,0)</f>
        <v>9.4199666321436784</v>
      </c>
      <c r="Y81" s="107">
        <f ca="1">OFFSET(RES!AD$95,$E81,0)</f>
        <v>9.5676664946368319</v>
      </c>
      <c r="Z81" s="107">
        <f ca="1">OFFSET(RES!AE$95,$E81,0)</f>
        <v>9.7094776320832086</v>
      </c>
      <c r="AA81" s="107">
        <f ca="1">OFFSET(RES!AF$95,$E81,0)</f>
        <v>9.8471625170417401</v>
      </c>
      <c r="AB81" s="107">
        <f ca="1">OFFSET(RES!AG$95,$E81,0)</f>
        <v>9.9807772765845328</v>
      </c>
      <c r="AC81" s="107">
        <f ca="1">OFFSET(RES!AH$95,$E81,0)</f>
        <v>10.112347352917411</v>
      </c>
      <c r="AD81" s="107">
        <f ca="1">OFFSET(RES!AI$95,$E81,0)</f>
        <v>10.237817473105656</v>
      </c>
      <c r="AE81" s="107">
        <f ca="1">OFFSET(RES!AJ$95,$E81,0)</f>
        <v>10.812454177828602</v>
      </c>
      <c r="AF81" s="107">
        <f ca="1">OFFSET(RES!AK$95,$E81,0)</f>
        <v>11.307320280455212</v>
      </c>
      <c r="AG81" s="107">
        <f ca="1">OFFSET(RES!AL$95,$E81,0)</f>
        <v>11.633748862654388</v>
      </c>
      <c r="AH81" s="107">
        <f ca="1">OFFSET(RES!AM$95,$E81,0)</f>
        <v>12.232088928775589</v>
      </c>
      <c r="AJ81">
        <f t="shared" ca="1" si="3"/>
        <v>1.7050466053098172</v>
      </c>
    </row>
    <row r="82" spans="1:36">
      <c r="A82" s="27" t="s">
        <v>364</v>
      </c>
      <c r="B82">
        <v>0.2282739655271</v>
      </c>
      <c r="C82" t="s">
        <v>724</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0">
        <f ca="1">OFFSET(RES!O$95,$E82,0)</f>
        <v>7.9230401004145287E-2</v>
      </c>
      <c r="K82" s="107">
        <f ca="1">OFFSET(RES!P$95,$E82,0)</f>
        <v>7.1495641984346298E-2</v>
      </c>
      <c r="L82" s="107">
        <f ca="1">OFFSET(RES!Q$95,$E82,0)</f>
        <v>7.5446387599851381E-2</v>
      </c>
      <c r="M82" s="107">
        <f ca="1">OFFSET(RES!R$95,$E82,0)</f>
        <v>7.7316037224676781E-2</v>
      </c>
      <c r="N82" s="107">
        <f ca="1">OFFSET(RES!S$95,$E82,0)</f>
        <v>7.8781779479139794E-2</v>
      </c>
      <c r="O82" s="170">
        <f ca="1">OFFSET(RES!T$95,$E82,0)</f>
        <v>8.0489808117301942E-2</v>
      </c>
      <c r="P82" s="107">
        <f ca="1">OFFSET(RES!U$95,$E82,0)</f>
        <v>8.1807150284892383E-2</v>
      </c>
      <c r="Q82" s="107">
        <f ca="1">OFFSET(RES!V$95,$E82,0)</f>
        <v>8.2751198616276861E-2</v>
      </c>
      <c r="R82" s="107">
        <f ca="1">OFFSET(RES!W$95,$E82,0)</f>
        <v>8.44435208399998E-2</v>
      </c>
      <c r="S82" s="107">
        <f ca="1">OFFSET(RES!X$95,$E82,0)</f>
        <v>8.6092649999799306E-2</v>
      </c>
      <c r="T82" s="107">
        <f ca="1">OFFSET(RES!Y$95,$E82,0)</f>
        <v>8.7586676367533103E-2</v>
      </c>
      <c r="U82" s="107">
        <f ca="1">OFFSET(RES!Z$95,$E82,0)</f>
        <v>8.9253869634611252E-2</v>
      </c>
      <c r="V82" s="107">
        <f ca="1">OFFSET(RES!AA$95,$E82,0)</f>
        <v>9.0789097376979364E-2</v>
      </c>
      <c r="W82" s="107">
        <f ca="1">OFFSET(RES!AB$95,$E82,0)</f>
        <v>9.237165002582387E-2</v>
      </c>
      <c r="X82" s="107">
        <f ca="1">OFFSET(RES!AC$95,$E82,0)</f>
        <v>9.3860490632131144E-2</v>
      </c>
      <c r="Y82" s="107">
        <f ca="1">OFFSET(RES!AD$95,$E82,0)</f>
        <v>9.5332171170000618E-2</v>
      </c>
      <c r="Z82" s="107">
        <f ca="1">OFFSET(RES!AE$95,$E82,0)</f>
        <v>9.6745176487068124E-2</v>
      </c>
      <c r="AA82" s="107">
        <f ca="1">OFFSET(RES!AF$95,$E82,0)</f>
        <v>9.8117067849266659E-2</v>
      </c>
      <c r="AB82" s="107">
        <f ca="1">OFFSET(RES!AG$95,$E82,0)</f>
        <v>9.9448404506403715E-2</v>
      </c>
      <c r="AC82" s="107">
        <f ca="1">OFFSET(RES!AH$95,$E82,0)</f>
        <v>0.10075936795238576</v>
      </c>
      <c r="AD82" s="107">
        <f ca="1">OFFSET(RES!AI$95,$E82,0)</f>
        <v>0.10200955147218248</v>
      </c>
      <c r="AE82" s="107">
        <f ca="1">OFFSET(RES!AJ$95,$E82,0)</f>
        <v>0.10773522812760529</v>
      </c>
      <c r="AF82" s="107">
        <f ca="1">OFFSET(RES!AK$95,$E82,0)</f>
        <v>0.11266607098550341</v>
      </c>
      <c r="AG82" s="107">
        <f ca="1">OFFSET(RES!AL$95,$E82,0)</f>
        <v>0.11591860340711702</v>
      </c>
      <c r="AH82" s="107">
        <f ca="1">OFFSET(RES!AM$95,$E82,0)</f>
        <v>0.12188046021235896</v>
      </c>
      <c r="AJ82">
        <f t="shared" ca="1" si="3"/>
        <v>1.705046605309819</v>
      </c>
    </row>
    <row r="83" spans="1:36">
      <c r="A83" s="27" t="s">
        <v>122</v>
      </c>
      <c r="B83">
        <v>0.46620130319999997</v>
      </c>
      <c r="C83" t="s">
        <v>724</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c r="A84" s="27" t="s">
        <v>583</v>
      </c>
      <c r="B84">
        <f>[2]EB_2006!$AI$69/1000</f>
        <v>35.178032837500005</v>
      </c>
      <c r="C84" t="s">
        <v>724</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78.282634740300381</v>
      </c>
      <c r="L84" s="18">
        <f ca="1">OFFSET(OtherTRA!O$51,$E84,0)</f>
        <v>76.499707298907651</v>
      </c>
      <c r="M84" s="18">
        <f ca="1">OFFSET(OtherTRA!P$51,$E84,0)</f>
        <v>74.716779857514922</v>
      </c>
      <c r="N84" s="18">
        <f ca="1">OFFSET(OtherTRA!Q$51,$E84,0)</f>
        <v>72.933852416122193</v>
      </c>
      <c r="O84" s="18">
        <f ca="1">OFFSET(OtherTRA!R$51,$E84,0)</f>
        <v>71.150924974729463</v>
      </c>
      <c r="P84" s="18">
        <f ca="1">OFFSET(OtherTRA!S$51,$E84,0)</f>
        <v>69.367997533336734</v>
      </c>
      <c r="Q84" s="18">
        <f ca="1">OFFSET(OtherTRA!T$51,$E84,0)</f>
        <v>67.585070091944004</v>
      </c>
      <c r="R84" s="18">
        <f ca="1">OFFSET(OtherTRA!U$51,$E84,0)</f>
        <v>65.802142650551275</v>
      </c>
      <c r="S84" s="18">
        <f ca="1">OFFSET(OtherTRA!V$51,$E84,0)</f>
        <v>64.019215209158546</v>
      </c>
      <c r="T84" s="18">
        <f ca="1">OFFSET(OtherTRA!W$51,$E84,0)</f>
        <v>62.236287767765781</v>
      </c>
      <c r="U84" s="18">
        <f ca="1">OFFSET(OtherTRA!X$51,$E84,0)</f>
        <v>63.882766778573625</v>
      </c>
      <c r="V84" s="18">
        <f ca="1">OFFSET(OtherTRA!Y$51,$E84,0)</f>
        <v>65.529245789381477</v>
      </c>
      <c r="W84" s="18">
        <f ca="1">OFFSET(OtherTRA!Z$51,$E84,0)</f>
        <v>67.175724800189329</v>
      </c>
      <c r="X84" s="18">
        <f ca="1">OFFSET(OtherTRA!AA$51,$E84,0)</f>
        <v>68.822203810997181</v>
      </c>
      <c r="Y84" s="18">
        <f ca="1">OFFSET(OtherTRA!AB$51,$E84,0)</f>
        <v>70.468682821805032</v>
      </c>
      <c r="Z84" s="18">
        <f ca="1">OFFSET(OtherTRA!AC$51,$E84,0)</f>
        <v>72.115161832612884</v>
      </c>
      <c r="AA84" s="18">
        <f ca="1">OFFSET(OtherTRA!AD$51,$E84,0)</f>
        <v>73.761640843420736</v>
      </c>
      <c r="AB84" s="18">
        <f ca="1">OFFSET(OtherTRA!AE$51,$E84,0)</f>
        <v>75.408119854228588</v>
      </c>
      <c r="AC84" s="18">
        <f ca="1">OFFSET(OtherTRA!AF$51,$E84,0)</f>
        <v>77.054598865036439</v>
      </c>
      <c r="AD84" s="18">
        <f ca="1">OFFSET(OtherTRA!AG$51,$E84,0)</f>
        <v>78.701077875844248</v>
      </c>
      <c r="AE84" s="18">
        <f ca="1">OFFSET(OtherTRA!AH$51,$E84,0)</f>
        <v>79.914074148708252</v>
      </c>
      <c r="AF84" s="18">
        <f ca="1">OFFSET(OtherTRA!AI$51,$E84,0)</f>
        <v>81.127070421572256</v>
      </c>
      <c r="AG84" s="18">
        <f ca="1">OFFSET(OtherTRA!AJ$51,$E84,0)</f>
        <v>82.34006669443626</v>
      </c>
      <c r="AH84" s="18">
        <f ca="1">OFFSET(OtherTRA!AK$51,$E84,0)</f>
        <v>83.553062967300264</v>
      </c>
      <c r="AJ84">
        <f t="shared" ca="1" si="3"/>
        <v>1.2119805309670251</v>
      </c>
    </row>
    <row r="85" spans="1:36">
      <c r="A85" s="27" t="s">
        <v>584</v>
      </c>
      <c r="B85">
        <f>[2]EB_2006!$AI$70/1000</f>
        <v>42.764908764899999</v>
      </c>
      <c r="C85" t="s">
        <v>724</v>
      </c>
      <c r="D85" t="s">
        <v>272</v>
      </c>
      <c r="E85" s="109">
        <f>MATCH(F85,OtherTRA!$D$52:$D$56,0)</f>
        <v>3</v>
      </c>
      <c r="F85" t="str">
        <f t="shared" ref="F85" si="4">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23.259159653977758</v>
      </c>
      <c r="L85" s="18">
        <f ca="1">OFFSET(OtherTRA!O$51,$E85,0)</f>
        <v>22.729420278848334</v>
      </c>
      <c r="M85" s="18">
        <f ca="1">OFFSET(OtherTRA!P$51,$E85,0)</f>
        <v>22.19968090371891</v>
      </c>
      <c r="N85" s="18">
        <f ca="1">OFFSET(OtherTRA!Q$51,$E85,0)</f>
        <v>21.669941528589487</v>
      </c>
      <c r="O85" s="18">
        <f ca="1">OFFSET(OtherTRA!R$51,$E85,0)</f>
        <v>21.140202153460063</v>
      </c>
      <c r="P85" s="18">
        <f ca="1">OFFSET(OtherTRA!S$51,$E85,0)</f>
        <v>20.610462778330639</v>
      </c>
      <c r="Q85" s="18">
        <f ca="1">OFFSET(OtherTRA!T$51,$E85,0)</f>
        <v>20.080723403201215</v>
      </c>
      <c r="R85" s="18">
        <f ca="1">OFFSET(OtherTRA!U$51,$E85,0)</f>
        <v>19.550984028071792</v>
      </c>
      <c r="S85" s="18">
        <f ca="1">OFFSET(OtherTRA!V$51,$E85,0)</f>
        <v>19.021244652942368</v>
      </c>
      <c r="T85" s="18">
        <f ca="1">OFFSET(OtherTRA!W$51,$E85,0)</f>
        <v>18.491505277812941</v>
      </c>
      <c r="U85" s="18">
        <f ca="1">OFFSET(OtherTRA!X$51,$E85,0)</f>
        <v>18.980703403378691</v>
      </c>
      <c r="V85" s="18">
        <f ca="1">OFFSET(OtherTRA!Y$51,$E85,0)</f>
        <v>19.46990152894444</v>
      </c>
      <c r="W85" s="18">
        <f ca="1">OFFSET(OtherTRA!Z$51,$E85,0)</f>
        <v>19.95909965451019</v>
      </c>
      <c r="X85" s="18">
        <f ca="1">OFFSET(OtherTRA!AA$51,$E85,0)</f>
        <v>20.44829778007594</v>
      </c>
      <c r="Y85" s="18">
        <f ca="1">OFFSET(OtherTRA!AB$51,$E85,0)</f>
        <v>20.93749590564169</v>
      </c>
      <c r="Z85" s="18">
        <f ca="1">OFFSET(OtherTRA!AC$51,$E85,0)</f>
        <v>21.42669403120744</v>
      </c>
      <c r="AA85" s="18">
        <f ca="1">OFFSET(OtherTRA!AD$51,$E85,0)</f>
        <v>21.915892156773189</v>
      </c>
      <c r="AB85" s="18">
        <f ca="1">OFFSET(OtherTRA!AE$51,$E85,0)</f>
        <v>22.405090282338939</v>
      </c>
      <c r="AC85" s="18">
        <f ca="1">OFFSET(OtherTRA!AF$51,$E85,0)</f>
        <v>22.894288407904689</v>
      </c>
      <c r="AD85" s="18">
        <f ca="1">OFFSET(OtherTRA!AG$51,$E85,0)</f>
        <v>23.383486533470428</v>
      </c>
      <c r="AE85" s="18">
        <f ca="1">OFFSET(OtherTRA!AH$51,$E85,0)</f>
        <v>23.743889246841285</v>
      </c>
      <c r="AF85" s="18">
        <f ca="1">OFFSET(OtherTRA!AI$51,$E85,0)</f>
        <v>24.104291960212141</v>
      </c>
      <c r="AG85" s="18">
        <f ca="1">OFFSET(OtherTRA!AJ$51,$E85,0)</f>
        <v>24.464694673582997</v>
      </c>
      <c r="AH85" s="18">
        <f ca="1">OFFSET(OtherTRA!AK$51,$E85,0)</f>
        <v>24.825097386953853</v>
      </c>
      <c r="AJ85">
        <f t="shared" ca="1" si="3"/>
        <v>1.2130379058175786</v>
      </c>
    </row>
    <row r="86" spans="1:36">
      <c r="A86" s="27" t="s">
        <v>365</v>
      </c>
      <c r="B86" s="18">
        <f>[2]EB_2006!$AG$68/1000</f>
        <v>0.74474625240000003</v>
      </c>
      <c r="C86" t="s">
        <v>724</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0.14887400255941624</v>
      </c>
      <c r="M86" s="18">
        <f ca="1">OFFSET(OtherTRA!P$51,$E86,0)</f>
        <v>0.29774800511883248</v>
      </c>
      <c r="N86" s="18">
        <f ca="1">OFFSET(OtherTRA!Q$51,$E86,0)</f>
        <v>0.44662200767824872</v>
      </c>
      <c r="O86" s="18">
        <f ca="1">OFFSET(OtherTRA!R$51,$E86,0)</f>
        <v>0.59549601023766496</v>
      </c>
      <c r="P86" s="18">
        <f ca="1">OFFSET(OtherTRA!S$51,$E86,0)</f>
        <v>0.74437001279708115</v>
      </c>
      <c r="Q86" s="18">
        <f ca="1">OFFSET(OtherTRA!T$51,$E86,0)</f>
        <v>0.89324401535649733</v>
      </c>
      <c r="R86" s="18">
        <f ca="1">OFFSET(OtherTRA!U$51,$E86,0)</f>
        <v>1.0421180179159135</v>
      </c>
      <c r="S86" s="18">
        <f ca="1">OFFSET(OtherTRA!V$51,$E86,0)</f>
        <v>1.1909920204753297</v>
      </c>
      <c r="T86" s="18">
        <f ca="1">OFFSET(OtherTRA!W$51,$E86,0)</f>
        <v>1.3398660230347461</v>
      </c>
      <c r="U86" s="18">
        <f ca="1">OFFSET(OtherTRA!X$51,$E86,0)</f>
        <v>1.3893258342777077</v>
      </c>
      <c r="V86" s="18">
        <f ca="1">OFFSET(OtherTRA!Y$51,$E86,0)</f>
        <v>1.4387856455206693</v>
      </c>
      <c r="W86" s="18">
        <f ca="1">OFFSET(OtherTRA!Z$51,$E86,0)</f>
        <v>1.488245456763631</v>
      </c>
      <c r="X86" s="18">
        <f ca="1">OFFSET(OtherTRA!AA$51,$E86,0)</f>
        <v>1.5377052680065926</v>
      </c>
      <c r="Y86" s="18">
        <f ca="1">OFFSET(OtherTRA!AB$51,$E86,0)</f>
        <v>1.5871650792495542</v>
      </c>
      <c r="Z86" s="18">
        <f ca="1">OFFSET(OtherTRA!AC$51,$E86,0)</f>
        <v>1.6366248904925158</v>
      </c>
      <c r="AA86" s="18">
        <f ca="1">OFFSET(OtherTRA!AD$51,$E86,0)</f>
        <v>1.6860847017354774</v>
      </c>
      <c r="AB86" s="18">
        <f ca="1">OFFSET(OtherTRA!AE$51,$E86,0)</f>
        <v>1.735544512978439</v>
      </c>
      <c r="AC86" s="18">
        <f ca="1">OFFSET(OtherTRA!AF$51,$E86,0)</f>
        <v>1.7850043242214007</v>
      </c>
      <c r="AD86" s="18">
        <f ca="1">OFFSET(OtherTRA!AG$51,$E86,0)</f>
        <v>1.8344641354643627</v>
      </c>
      <c r="AE86" s="18">
        <f ca="1">OFFSET(OtherTRA!AH$51,$E86,0)</f>
        <v>1.8818277347374135</v>
      </c>
      <c r="AF86" s="18">
        <f ca="1">OFFSET(OtherTRA!AI$51,$E86,0)</f>
        <v>1.9291913340104641</v>
      </c>
      <c r="AG86" s="18">
        <f ca="1">OFFSET(OtherTRA!AJ$51,$E86,0)</f>
        <v>1.9765549332835146</v>
      </c>
      <c r="AH86" s="18">
        <f ca="1">OFFSET(OtherTRA!AK$51,$E86,0)</f>
        <v>2.0239185325565652</v>
      </c>
      <c r="AJ86">
        <f t="shared" ca="1" si="3"/>
        <v>2.2258821903785639</v>
      </c>
    </row>
    <row r="87" spans="1:36">
      <c r="A87" s="27" t="s">
        <v>139</v>
      </c>
      <c r="B87" s="18">
        <v>52.28615900487997</v>
      </c>
      <c r="C87" t="s">
        <v>724</v>
      </c>
      <c r="D87" t="s">
        <v>272</v>
      </c>
      <c r="E87" s="110">
        <f>MATCH(F87,FTRA!$D$137:$D$149,0)</f>
        <v>1</v>
      </c>
      <c r="F87" t="str">
        <f>A87</f>
        <v>TFLCV</v>
      </c>
      <c r="G87" s="18">
        <f ca="1">OFFSET(FTRA!J$136,$E87,0)</f>
        <v>47.584820585749902</v>
      </c>
      <c r="H87" s="18">
        <f ca="1">OFFSET(FTRA!K$136,$E87,0)</f>
        <v>47.880977189748378</v>
      </c>
      <c r="I87" s="18">
        <f ca="1">OFFSET(FTRA!L$136,$E87,0)</f>
        <v>48.177133793746854</v>
      </c>
      <c r="J87" s="18">
        <f ca="1">OFFSET(FTRA!M$136,$E87,0)</f>
        <v>46.38666602024783</v>
      </c>
      <c r="K87" s="18">
        <f ca="1">OFFSET(FTRA!N$136,$E87,0)</f>
        <v>49.122602511704166</v>
      </c>
      <c r="L87" s="18">
        <f ca="1">OFFSET(FTRA!O$136,$E87,0)</f>
        <v>51.053478515716584</v>
      </c>
      <c r="M87" s="18">
        <f ca="1">OFFSET(FTRA!P$136,$E87,0)</f>
        <v>52.984354519729003</v>
      </c>
      <c r="N87" s="18">
        <f ca="1">OFFSET(FTRA!S$136,$E87,0)</f>
        <v>54.915230523741421</v>
      </c>
      <c r="O87" s="18">
        <f ca="1">OFFSET(FTRA!T$136,$E87,0)</f>
        <v>56.84610652775384</v>
      </c>
      <c r="P87" s="18">
        <f ca="1">OFFSET(FTRA!U$136,$E87,0)</f>
        <v>58.776982531766258</v>
      </c>
      <c r="Q87" s="18">
        <f ca="1">OFFSET(FTRA!V$136,$E87,0)</f>
        <v>60.707858535778676</v>
      </c>
      <c r="R87" s="18">
        <f ca="1">OFFSET(FTRA!W$136,$E87,0)</f>
        <v>62.638734539791095</v>
      </c>
      <c r="S87" s="18">
        <f ca="1">OFFSET(FTRA!X$136,$E87,0)</f>
        <v>64.569610543803506</v>
      </c>
      <c r="T87" s="18">
        <f ca="1">OFFSET(FTRA!Y$136,$E87,0)</f>
        <v>66.500486547815925</v>
      </c>
      <c r="U87" s="18">
        <f ca="1">OFFSET(FTRA!Z$136,$E87,0)</f>
        <v>69.036794130826422</v>
      </c>
      <c r="V87" s="18">
        <f ca="1">OFFSET(FTRA!AC$136,$E87,0)</f>
        <v>71.57310171383692</v>
      </c>
      <c r="W87" s="18">
        <f ca="1">OFFSET(FTRA!AD$136,$E87,0)</f>
        <v>74.109409296847417</v>
      </c>
      <c r="X87" s="18">
        <f ca="1">OFFSET(FTRA!AE$136,$E87,0)</f>
        <v>76.645716879857915</v>
      </c>
      <c r="Y87" s="18">
        <f ca="1">OFFSET(FTRA!AF$136,$E87,0)</f>
        <v>79.182024462868412</v>
      </c>
      <c r="Z87" s="18">
        <f ca="1">OFFSET(FTRA!AG$136,$E87,0)</f>
        <v>81.71833204587891</v>
      </c>
      <c r="AA87" s="18">
        <f ca="1">OFFSET(FTRA!AH$136,$E87,0)</f>
        <v>84.254639628889407</v>
      </c>
      <c r="AB87" s="18">
        <f ca="1">OFFSET(FTRA!AI$136,$E87,0)</f>
        <v>86.790947211899905</v>
      </c>
      <c r="AC87" s="18">
        <f ca="1">OFFSET(FTRA!AJ$136,$E87,0)</f>
        <v>89.327254794910402</v>
      </c>
      <c r="AD87" s="18">
        <f ca="1">OFFSET(FTRA!AK$136,$E87,0)</f>
        <v>91.863562377920857</v>
      </c>
      <c r="AE87" s="18">
        <f ca="1">OFFSET(FTRA!AL$136,$E87,0)</f>
        <v>103.52399711350546</v>
      </c>
      <c r="AF87" s="18">
        <f ca="1">OFFSET(FTRA!AM$136,$E87,0)</f>
        <v>115.18443184909002</v>
      </c>
      <c r="AG87" s="18">
        <f ca="1">OFFSET(FTRA!AN$136,$E87,0)</f>
        <v>138.87434908340714</v>
      </c>
      <c r="AH87" s="18">
        <f ca="1">OFFSET(FTRA!AO$136,$E87,0)</f>
        <v>149.18753233213039</v>
      </c>
      <c r="AJ87">
        <f t="shared" ca="1" si="3"/>
        <v>3.1351916534662143</v>
      </c>
    </row>
    <row r="88" spans="1:36">
      <c r="A88" s="27" t="s">
        <v>396</v>
      </c>
      <c r="B88" s="18">
        <v>4.134278411680218</v>
      </c>
      <c r="C88" t="s">
        <v>724</v>
      </c>
      <c r="D88" t="s">
        <v>272</v>
      </c>
      <c r="E88" s="109">
        <f>MATCH(F88,FTRA!$D$137:$D$149,0)</f>
        <v>2</v>
      </c>
      <c r="F88" t="str">
        <f>A88</f>
        <v>TFHCV1</v>
      </c>
      <c r="G88" s="18">
        <f ca="1">OFFSET(FTRA!J$136,$E88,0)</f>
        <v>3.6514783707452798</v>
      </c>
      <c r="H88" s="18">
        <f ca="1">OFFSET(FTRA!K$136,$E88,0)</f>
        <v>3.9360166491438862</v>
      </c>
      <c r="I88" s="18">
        <f ca="1">OFFSET(FTRA!L$136,$E88,0)</f>
        <v>4.2205549275424925</v>
      </c>
      <c r="J88" s="18">
        <f ca="1">OFFSET(FTRA!M$136,$E88,0)</f>
        <v>4.0637011052209129</v>
      </c>
      <c r="K88" s="18">
        <f ca="1">OFFSET(FTRA!N$136,$E88,0)</f>
        <v>4.3033826580898404</v>
      </c>
      <c r="L88" s="18">
        <f ca="1">OFFSET(FTRA!O$136,$E88,0)</f>
        <v>4.4725369350565183</v>
      </c>
      <c r="M88" s="18">
        <f ca="1">OFFSET(FTRA!P$136,$E88,0)</f>
        <v>4.6416912120231961</v>
      </c>
      <c r="N88" s="18">
        <f ca="1">OFFSET(FTRA!S$136,$E88,0)</f>
        <v>4.810845488989874</v>
      </c>
      <c r="O88" s="18">
        <f ca="1">OFFSET(FTRA!T$136,$E88,0)</f>
        <v>4.9799997659565518</v>
      </c>
      <c r="P88" s="18">
        <f ca="1">OFFSET(FTRA!U$136,$E88,0)</f>
        <v>5.1491540429232296</v>
      </c>
      <c r="Q88" s="18">
        <f ca="1">OFFSET(FTRA!V$136,$E88,0)</f>
        <v>5.3183083198899075</v>
      </c>
      <c r="R88" s="18">
        <f ca="1">OFFSET(FTRA!W$136,$E88,0)</f>
        <v>5.4874625968565853</v>
      </c>
      <c r="S88" s="18">
        <f ca="1">OFFSET(FTRA!X$136,$E88,0)</f>
        <v>5.6566168738232632</v>
      </c>
      <c r="T88" s="18">
        <f ca="1">OFFSET(FTRA!Y$136,$E88,0)</f>
        <v>5.8257711507899437</v>
      </c>
      <c r="U88" s="18">
        <f ca="1">OFFSET(FTRA!Z$136,$E88,0)</f>
        <v>5.9694991316000765</v>
      </c>
      <c r="V88" s="18">
        <f ca="1">OFFSET(FTRA!AC$136,$E88,0)</f>
        <v>6.1132271124102093</v>
      </c>
      <c r="W88" s="18">
        <f ca="1">OFFSET(FTRA!AD$136,$E88,0)</f>
        <v>6.2569550932203422</v>
      </c>
      <c r="X88" s="18">
        <f ca="1">OFFSET(FTRA!AE$136,$E88,0)</f>
        <v>6.400683074030475</v>
      </c>
      <c r="Y88" s="18">
        <f ca="1">OFFSET(FTRA!AF$136,$E88,0)</f>
        <v>6.5444110548406078</v>
      </c>
      <c r="Z88" s="18">
        <f ca="1">OFFSET(FTRA!AG$136,$E88,0)</f>
        <v>6.6881390356507406</v>
      </c>
      <c r="AA88" s="18">
        <f ca="1">OFFSET(FTRA!AH$136,$E88,0)</f>
        <v>6.8318670164608735</v>
      </c>
      <c r="AB88" s="18">
        <f ca="1">OFFSET(FTRA!AI$136,$E88,0)</f>
        <v>6.9755949972710063</v>
      </c>
      <c r="AC88" s="18">
        <f ca="1">OFFSET(FTRA!AJ$136,$E88,0)</f>
        <v>7.1193229780811391</v>
      </c>
      <c r="AD88" s="18">
        <f ca="1">OFFSET(FTRA!AK$136,$E88,0)</f>
        <v>7.2630509588912719</v>
      </c>
      <c r="AE88" s="18">
        <f ca="1">OFFSET(FTRA!AL$136,$E88,0)</f>
        <v>7.9572932687010747</v>
      </c>
      <c r="AF88" s="18">
        <f ca="1">OFFSET(FTRA!AM$136,$E88,0)</f>
        <v>8.6515355785108756</v>
      </c>
      <c r="AG88" s="18">
        <f ca="1">OFFSET(FTRA!AN$136,$E88,0)</f>
        <v>9.909347427534076</v>
      </c>
      <c r="AH88" s="18">
        <f ca="1">OFFSET(FTRA!AO$136,$E88,0)</f>
        <v>10.112980147293296</v>
      </c>
      <c r="AJ88">
        <f t="shared" ca="1" si="3"/>
        <v>2.7695577299090508</v>
      </c>
    </row>
    <row r="89" spans="1:36">
      <c r="A89" s="27" t="s">
        <v>397</v>
      </c>
      <c r="B89" s="18">
        <v>0.80954708483781546</v>
      </c>
      <c r="C89" t="s">
        <v>724</v>
      </c>
      <c r="D89" t="s">
        <v>272</v>
      </c>
      <c r="E89" s="109">
        <f>MATCH(F89,FTRA!$D$137:$D$149,0)</f>
        <v>3</v>
      </c>
      <c r="F89" t="str">
        <f t="shared" ref="F89:F96" si="5">A89</f>
        <v>TFHCV2</v>
      </c>
      <c r="G89" s="18">
        <f ca="1">OFFSET(FTRA!J$136,$E89,0)</f>
        <v>1.0030192144974699</v>
      </c>
      <c r="H89" s="18">
        <f ca="1">OFFSET(FTRA!K$136,$E89,0)</f>
        <v>1.009261767493451</v>
      </c>
      <c r="I89" s="18">
        <f ca="1">OFFSET(FTRA!L$136,$E89,0)</f>
        <v>1.0155043204894318</v>
      </c>
      <c r="J89" s="18">
        <f ca="1">OFFSET(FTRA!M$136,$E89,0)</f>
        <v>0.97776384868242405</v>
      </c>
      <c r="K89" s="18">
        <f ca="1">OFFSET(FTRA!N$136,$E89,0)</f>
        <v>1.0354334339996645</v>
      </c>
      <c r="L89" s="18">
        <f ca="1">OFFSET(FTRA!O$136,$E89,0)</f>
        <v>1.0683460966069067</v>
      </c>
      <c r="M89" s="18">
        <f ca="1">OFFSET(FTRA!P$136,$E89,0)</f>
        <v>1.101258759214149</v>
      </c>
      <c r="N89" s="18">
        <f ca="1">OFFSET(FTRA!S$136,$E89,0)</f>
        <v>1.1341714218213912</v>
      </c>
      <c r="O89" s="18">
        <f ca="1">OFFSET(FTRA!T$136,$E89,0)</f>
        <v>1.1670840844286334</v>
      </c>
      <c r="P89" s="18">
        <f ca="1">OFFSET(FTRA!U$136,$E89,0)</f>
        <v>1.1999967470358757</v>
      </c>
      <c r="Q89" s="18">
        <f ca="1">OFFSET(FTRA!V$136,$E89,0)</f>
        <v>1.2329094096431179</v>
      </c>
      <c r="R89" s="18">
        <f ca="1">OFFSET(FTRA!W$136,$E89,0)</f>
        <v>1.2658220722503601</v>
      </c>
      <c r="S89" s="18">
        <f ca="1">OFFSET(FTRA!X$136,$E89,0)</f>
        <v>1.2987347348576024</v>
      </c>
      <c r="T89" s="18">
        <f ca="1">OFFSET(FTRA!Y$136,$E89,0)</f>
        <v>1.331647397464844</v>
      </c>
      <c r="U89" s="18">
        <f ca="1">OFFSET(FTRA!Z$136,$E89,0)</f>
        <v>1.3732383416346363</v>
      </c>
      <c r="V89" s="18">
        <f ca="1">OFFSET(FTRA!AC$136,$E89,0)</f>
        <v>1.4148292858044287</v>
      </c>
      <c r="W89" s="18">
        <f ca="1">OFFSET(FTRA!AD$136,$E89,0)</f>
        <v>1.456420229974221</v>
      </c>
      <c r="X89" s="18">
        <f ca="1">OFFSET(FTRA!AE$136,$E89,0)</f>
        <v>1.4980111741440134</v>
      </c>
      <c r="Y89" s="18">
        <f ca="1">OFFSET(FTRA!AF$136,$E89,0)</f>
        <v>1.5396021183138058</v>
      </c>
      <c r="Z89" s="18">
        <f ca="1">OFFSET(FTRA!AG$136,$E89,0)</f>
        <v>1.5811930624835981</v>
      </c>
      <c r="AA89" s="18">
        <f ca="1">OFFSET(FTRA!AH$136,$E89,0)</f>
        <v>1.6227840066533905</v>
      </c>
      <c r="AB89" s="18">
        <f ca="1">OFFSET(FTRA!AI$136,$E89,0)</f>
        <v>1.6643749508231829</v>
      </c>
      <c r="AC89" s="18">
        <f ca="1">OFFSET(FTRA!AJ$136,$E89,0)</f>
        <v>1.7059658949929752</v>
      </c>
      <c r="AD89" s="18">
        <f ca="1">OFFSET(FTRA!AK$136,$E89,0)</f>
        <v>1.7475568391627665</v>
      </c>
      <c r="AE89" s="18">
        <f ca="1">OFFSET(FTRA!AL$136,$E89,0)</f>
        <v>1.9145979219544367</v>
      </c>
      <c r="AF89" s="18">
        <f ca="1">OFFSET(FTRA!AM$136,$E89,0)</f>
        <v>2.0816390047461075</v>
      </c>
      <c r="AG89" s="18">
        <f ca="1">OFFSET(FTRA!AN$136,$E89,0)</f>
        <v>2.3842801002831817</v>
      </c>
      <c r="AH89" s="18">
        <f ca="1">OFFSET(FTRA!AO$136,$E89,0)</f>
        <v>2.4332760049115123</v>
      </c>
      <c r="AJ89">
        <f t="shared" ca="1" si="3"/>
        <v>2.4259515368612616</v>
      </c>
    </row>
    <row r="90" spans="1:36">
      <c r="A90" s="27" t="s">
        <v>398</v>
      </c>
      <c r="B90" s="18">
        <v>2.7195831056144888</v>
      </c>
      <c r="C90" t="s">
        <v>724</v>
      </c>
      <c r="D90" t="s">
        <v>272</v>
      </c>
      <c r="E90" s="109">
        <f>MATCH(F90,FTRA!$D$137:$D$149,0)</f>
        <v>4</v>
      </c>
      <c r="F90" t="str">
        <f t="shared" si="5"/>
        <v>TFHCV3</v>
      </c>
      <c r="G90" s="18">
        <f ca="1">OFFSET(FTRA!J$136,$E90,0)</f>
        <v>3.29935437842208</v>
      </c>
      <c r="H90" s="18">
        <f ca="1">OFFSET(FTRA!K$136,$E90,0)</f>
        <v>3.3198887752333528</v>
      </c>
      <c r="I90" s="18">
        <f ca="1">OFFSET(FTRA!L$136,$E90,0)</f>
        <v>3.3404231720446251</v>
      </c>
      <c r="J90" s="18">
        <f ca="1">OFFSET(FTRA!M$136,$E90,0)</f>
        <v>3.2162787996334212</v>
      </c>
      <c r="K90" s="18">
        <f ca="1">OFFSET(FTRA!N$136,$E90,0)</f>
        <v>3.4059784545034963</v>
      </c>
      <c r="L90" s="18">
        <f ca="1">OFFSET(FTRA!O$136,$E90,0)</f>
        <v>3.5142421207515442</v>
      </c>
      <c r="M90" s="18">
        <f ca="1">OFFSET(FTRA!P$136,$E90,0)</f>
        <v>3.622505786999592</v>
      </c>
      <c r="N90" s="18">
        <f ca="1">OFFSET(FTRA!S$136,$E90,0)</f>
        <v>3.7307694532476399</v>
      </c>
      <c r="O90" s="18">
        <f ca="1">OFFSET(FTRA!T$136,$E90,0)</f>
        <v>3.8390331194956877</v>
      </c>
      <c r="P90" s="18">
        <f ca="1">OFFSET(FTRA!U$136,$E90,0)</f>
        <v>3.9472967857437355</v>
      </c>
      <c r="Q90" s="18">
        <f ca="1">OFFSET(FTRA!V$136,$E90,0)</f>
        <v>4.0555604519917834</v>
      </c>
      <c r="R90" s="18">
        <f ca="1">OFFSET(FTRA!W$136,$E90,0)</f>
        <v>4.1638241182398312</v>
      </c>
      <c r="S90" s="18">
        <f ca="1">OFFSET(FTRA!X$136,$E90,0)</f>
        <v>4.2720877844878791</v>
      </c>
      <c r="T90" s="18">
        <f ca="1">OFFSET(FTRA!Y$136,$E90,0)</f>
        <v>4.380351450735926</v>
      </c>
      <c r="U90" s="18">
        <f ca="1">OFFSET(FTRA!Z$136,$E90,0)</f>
        <v>4.5171616551327221</v>
      </c>
      <c r="V90" s="18">
        <f ca="1">OFFSET(FTRA!AC$136,$E90,0)</f>
        <v>4.6539718595295181</v>
      </c>
      <c r="W90" s="18">
        <f ca="1">OFFSET(FTRA!AD$136,$E90,0)</f>
        <v>4.7907820639263141</v>
      </c>
      <c r="X90" s="18">
        <f ca="1">OFFSET(FTRA!AE$136,$E90,0)</f>
        <v>4.9275922683231101</v>
      </c>
      <c r="Y90" s="18">
        <f ca="1">OFFSET(FTRA!AF$136,$E90,0)</f>
        <v>5.0644024727199062</v>
      </c>
      <c r="Z90" s="18">
        <f ca="1">OFFSET(FTRA!AG$136,$E90,0)</f>
        <v>5.2012126771167022</v>
      </c>
      <c r="AA90" s="18">
        <f ca="1">OFFSET(FTRA!AH$136,$E90,0)</f>
        <v>5.3380228815134982</v>
      </c>
      <c r="AB90" s="18">
        <f ca="1">OFFSET(FTRA!AI$136,$E90,0)</f>
        <v>5.4748330859102943</v>
      </c>
      <c r="AC90" s="18">
        <f ca="1">OFFSET(FTRA!AJ$136,$E90,0)</f>
        <v>5.6116432903070903</v>
      </c>
      <c r="AD90" s="18">
        <f ca="1">OFFSET(FTRA!AK$136,$E90,0)</f>
        <v>5.7484534947038837</v>
      </c>
      <c r="AE90" s="18">
        <f ca="1">OFFSET(FTRA!AL$136,$E90,0)</f>
        <v>6.2979222585312913</v>
      </c>
      <c r="AF90" s="18">
        <f ca="1">OFFSET(FTRA!AM$136,$E90,0)</f>
        <v>6.8473910223587025</v>
      </c>
      <c r="AG90" s="18">
        <f ca="1">OFFSET(FTRA!AN$136,$E90,0)</f>
        <v>7.8429055740425184</v>
      </c>
      <c r="AH90" s="18">
        <f ca="1">OFFSET(FTRA!AO$136,$E90,0)</f>
        <v>8.0040738249829779</v>
      </c>
      <c r="AJ90">
        <f t="shared" ca="1" si="3"/>
        <v>2.4259515368612616</v>
      </c>
    </row>
    <row r="91" spans="1:36">
      <c r="A91" s="27" t="s">
        <v>399</v>
      </c>
      <c r="B91" s="18">
        <v>0.66594475210557558</v>
      </c>
      <c r="C91" t="s">
        <v>724</v>
      </c>
      <c r="D91" t="s">
        <v>272</v>
      </c>
      <c r="E91" s="109">
        <f>MATCH(F91,FTRA!$D$137:$D$149,0)</f>
        <v>5</v>
      </c>
      <c r="F91" t="str">
        <f t="shared" si="5"/>
        <v>TFHCV4</v>
      </c>
      <c r="G91" s="18">
        <f ca="1">OFFSET(FTRA!J$136,$E91,0)</f>
        <v>0.59840698910616097</v>
      </c>
      <c r="H91" s="18">
        <f ca="1">OFFSET(FTRA!K$136,$E91,0)</f>
        <v>0.6021313318591881</v>
      </c>
      <c r="I91" s="18">
        <f ca="1">OFFSET(FTRA!L$136,$E91,0)</f>
        <v>0.60585567461221534</v>
      </c>
      <c r="J91" s="18">
        <f ca="1">OFFSET(FTRA!M$136,$E91,0)</f>
        <v>0.58333949369060389</v>
      </c>
      <c r="K91" s="18">
        <f ca="1">OFFSET(FTRA!N$136,$E91,0)</f>
        <v>0.61774549749780006</v>
      </c>
      <c r="L91" s="18">
        <f ca="1">OFFSET(FTRA!O$136,$E91,0)</f>
        <v>0.63738137989127375</v>
      </c>
      <c r="M91" s="18">
        <f ca="1">OFFSET(FTRA!P$136,$E91,0)</f>
        <v>0.65701726228474744</v>
      </c>
      <c r="N91" s="18">
        <f ca="1">OFFSET(FTRA!S$136,$E91,0)</f>
        <v>0.67665314467822113</v>
      </c>
      <c r="O91" s="18">
        <f ca="1">OFFSET(FTRA!T$136,$E91,0)</f>
        <v>0.69628902707169482</v>
      </c>
      <c r="P91" s="18">
        <f ca="1">OFFSET(FTRA!U$136,$E91,0)</f>
        <v>0.71592490946516851</v>
      </c>
      <c r="Q91" s="18">
        <f ca="1">OFFSET(FTRA!V$136,$E91,0)</f>
        <v>0.7355607918586422</v>
      </c>
      <c r="R91" s="18">
        <f ca="1">OFFSET(FTRA!W$136,$E91,0)</f>
        <v>0.7551966742521159</v>
      </c>
      <c r="S91" s="18">
        <f ca="1">OFFSET(FTRA!X$136,$E91,0)</f>
        <v>0.77483255664558959</v>
      </c>
      <c r="T91" s="18">
        <f ca="1">OFFSET(FTRA!Y$136,$E91,0)</f>
        <v>0.7944684390390635</v>
      </c>
      <c r="U91" s="18">
        <f ca="1">OFFSET(FTRA!Z$136,$E91,0)</f>
        <v>0.81928183375274033</v>
      </c>
      <c r="V91" s="18">
        <f ca="1">OFFSET(FTRA!AC$136,$E91,0)</f>
        <v>0.84409522846641716</v>
      </c>
      <c r="W91" s="18">
        <f ca="1">OFFSET(FTRA!AD$136,$E91,0)</f>
        <v>0.86890862318009399</v>
      </c>
      <c r="X91" s="18">
        <f ca="1">OFFSET(FTRA!AE$136,$E91,0)</f>
        <v>0.89372201789377081</v>
      </c>
      <c r="Y91" s="18">
        <f ca="1">OFFSET(FTRA!AF$136,$E91,0)</f>
        <v>0.91853541260744764</v>
      </c>
      <c r="Z91" s="18">
        <f ca="1">OFFSET(FTRA!AG$136,$E91,0)</f>
        <v>0.94334880732112447</v>
      </c>
      <c r="AA91" s="18">
        <f ca="1">OFFSET(FTRA!AH$136,$E91,0)</f>
        <v>0.9681622020348013</v>
      </c>
      <c r="AB91" s="18">
        <f ca="1">OFFSET(FTRA!AI$136,$E91,0)</f>
        <v>0.99297559674847813</v>
      </c>
      <c r="AC91" s="18">
        <f ca="1">OFFSET(FTRA!AJ$136,$E91,0)</f>
        <v>1.017788991462155</v>
      </c>
      <c r="AD91" s="18">
        <f ca="1">OFFSET(FTRA!AK$136,$E91,0)</f>
        <v>1.0426023861758322</v>
      </c>
      <c r="AE91" s="18">
        <f ca="1">OFFSET(FTRA!AL$136,$E91,0)</f>
        <v>1.1422600497236608</v>
      </c>
      <c r="AF91" s="18">
        <f ca="1">OFFSET(FTRA!AM$136,$E91,0)</f>
        <v>1.2419177132714898</v>
      </c>
      <c r="AG91" s="18">
        <f ca="1">OFFSET(FTRA!AN$136,$E91,0)</f>
        <v>1.4224751184961413</v>
      </c>
      <c r="AH91" s="18">
        <f ca="1">OFFSET(FTRA!AO$136,$E91,0)</f>
        <v>1.4517063548906119</v>
      </c>
      <c r="AJ91">
        <f t="shared" ca="1" si="3"/>
        <v>2.4259515368612625</v>
      </c>
    </row>
    <row r="92" spans="1:36">
      <c r="A92" s="27" t="s">
        <v>400</v>
      </c>
      <c r="B92" s="18">
        <v>0.33457448391316724</v>
      </c>
      <c r="C92" t="s">
        <v>724</v>
      </c>
      <c r="D92" t="s">
        <v>272</v>
      </c>
      <c r="E92" s="109">
        <f>MATCH(F92,FTRA!$D$137:$D$149,0)</f>
        <v>6</v>
      </c>
      <c r="F92" t="str">
        <f t="shared" si="5"/>
        <v>TFHCV5</v>
      </c>
      <c r="G92" s="18">
        <f ca="1">OFFSET(FTRA!J$136,$E92,0)</f>
        <v>0.29798809605332599</v>
      </c>
      <c r="H92" s="18">
        <f ca="1">OFFSET(FTRA!K$136,$E92,0)</f>
        <v>0.29984270307869226</v>
      </c>
      <c r="I92" s="18">
        <f ca="1">OFFSET(FTRA!L$136,$E92,0)</f>
        <v>0.30169731010405854</v>
      </c>
      <c r="J92" s="18">
        <f ca="1">OFFSET(FTRA!M$136,$E92,0)</f>
        <v>0.29048495128243912</v>
      </c>
      <c r="K92" s="18">
        <f ca="1">OFFSET(FTRA!N$136,$E92,0)</f>
        <v>0.30761807264291008</v>
      </c>
      <c r="L92" s="18">
        <f ca="1">OFFSET(FTRA!O$136,$E92,0)</f>
        <v>0.31739613224996494</v>
      </c>
      <c r="M92" s="18">
        <f ca="1">OFFSET(FTRA!P$136,$E92,0)</f>
        <v>0.32717419185701979</v>
      </c>
      <c r="N92" s="18">
        <f ca="1">OFFSET(FTRA!S$136,$E92,0)</f>
        <v>0.33695225146407465</v>
      </c>
      <c r="O92" s="18">
        <f ca="1">OFFSET(FTRA!T$136,$E92,0)</f>
        <v>0.3467303110711295</v>
      </c>
      <c r="P92" s="18">
        <f ca="1">OFFSET(FTRA!U$136,$E92,0)</f>
        <v>0.35650837067818436</v>
      </c>
      <c r="Q92" s="18">
        <f ca="1">OFFSET(FTRA!V$136,$E92,0)</f>
        <v>0.36628643028523922</v>
      </c>
      <c r="R92" s="18">
        <f ca="1">OFFSET(FTRA!W$136,$E92,0)</f>
        <v>0.37606448989229407</v>
      </c>
      <c r="S92" s="18">
        <f ca="1">OFFSET(FTRA!X$136,$E92,0)</f>
        <v>0.38584254949934893</v>
      </c>
      <c r="T92" s="18">
        <f ca="1">OFFSET(FTRA!Y$136,$E92,0)</f>
        <v>0.39562060910640362</v>
      </c>
      <c r="U92" s="18">
        <f ca="1">OFFSET(FTRA!Z$136,$E92,0)</f>
        <v>0.4079769090526873</v>
      </c>
      <c r="V92" s="18">
        <f ca="1">OFFSET(FTRA!AC$136,$E92,0)</f>
        <v>0.42033320899897098</v>
      </c>
      <c r="W92" s="18">
        <f ca="1">OFFSET(FTRA!AD$136,$E92,0)</f>
        <v>0.43268950894525465</v>
      </c>
      <c r="X92" s="18">
        <f ca="1">OFFSET(FTRA!AE$136,$E92,0)</f>
        <v>0.44504580889153833</v>
      </c>
      <c r="Y92" s="18">
        <f ca="1">OFFSET(FTRA!AF$136,$E92,0)</f>
        <v>0.45740210883782201</v>
      </c>
      <c r="Z92" s="18">
        <f ca="1">OFFSET(FTRA!AG$136,$E92,0)</f>
        <v>0.46975840878410569</v>
      </c>
      <c r="AA92" s="18">
        <f ca="1">OFFSET(FTRA!AH$136,$E92,0)</f>
        <v>0.48211470873038936</v>
      </c>
      <c r="AB92" s="18">
        <f ca="1">OFFSET(FTRA!AI$136,$E92,0)</f>
        <v>0.49447100867667304</v>
      </c>
      <c r="AC92" s="18">
        <f ca="1">OFFSET(FTRA!AJ$136,$E92,0)</f>
        <v>0.50682730862295666</v>
      </c>
      <c r="AD92" s="18">
        <f ca="1">OFFSET(FTRA!AK$136,$E92,0)</f>
        <v>0.51918360856924028</v>
      </c>
      <c r="AE92" s="18">
        <f ca="1">OFFSET(FTRA!AL$136,$E92,0)</f>
        <v>0.56881002998202923</v>
      </c>
      <c r="AF92" s="18">
        <f ca="1">OFFSET(FTRA!AM$136,$E92,0)</f>
        <v>0.61843645139481807</v>
      </c>
      <c r="AG92" s="18">
        <f ca="1">OFFSET(FTRA!AN$136,$E92,0)</f>
        <v>0.70834843168700923</v>
      </c>
      <c r="AH92" s="18">
        <f ca="1">OFFSET(FTRA!AO$136,$E92,0)</f>
        <v>0.7229046795869275</v>
      </c>
      <c r="AJ92">
        <f t="shared" ca="1" si="3"/>
        <v>2.4259515368612616</v>
      </c>
    </row>
    <row r="93" spans="1:36">
      <c r="A93" s="27" t="s">
        <v>401</v>
      </c>
      <c r="B93" s="18">
        <v>4.2080971938397562</v>
      </c>
      <c r="C93" t="s">
        <v>724</v>
      </c>
      <c r="D93" t="s">
        <v>272</v>
      </c>
      <c r="E93" s="109">
        <f>MATCH(F93,FTRA!$D$137:$D$149,0)</f>
        <v>7</v>
      </c>
      <c r="F93" t="str">
        <f t="shared" si="5"/>
        <v>TFHCV6</v>
      </c>
      <c r="G93" s="18">
        <f ca="1">OFFSET(FTRA!J$136,$E93,0)</f>
        <v>6.6621877646371201</v>
      </c>
      <c r="H93" s="18">
        <f ca="1">OFFSET(FTRA!K$136,$E93,0)</f>
        <v>6.7819219966270463</v>
      </c>
      <c r="I93" s="18">
        <f ca="1">OFFSET(FTRA!L$136,$E93,0)</f>
        <v>6.9016562286169734</v>
      </c>
      <c r="J93" s="18">
        <f ca="1">OFFSET(FTRA!M$136,$E93,0)</f>
        <v>6.7116128591697501</v>
      </c>
      <c r="K93" s="18">
        <f ca="1">OFFSET(FTRA!N$136,$E93,0)</f>
        <v>7.1543851555436984</v>
      </c>
      <c r="L93" s="18">
        <f ca="1">OFFSET(FTRA!O$136,$E93,0)</f>
        <v>7.3939540687914951</v>
      </c>
      <c r="M93" s="18">
        <f ca="1">OFFSET(FTRA!P$136,$E93,0)</f>
        <v>7.6335229820392918</v>
      </c>
      <c r="N93" s="18">
        <f ca="1">OFFSET(FTRA!S$136,$E93,0)</f>
        <v>7.8730918952870885</v>
      </c>
      <c r="O93" s="18">
        <f ca="1">OFFSET(FTRA!T$136,$E93,0)</f>
        <v>8.1126608085348852</v>
      </c>
      <c r="P93" s="18">
        <f ca="1">OFFSET(FTRA!U$136,$E93,0)</f>
        <v>8.3522297217826829</v>
      </c>
      <c r="Q93" s="18">
        <f ca="1">OFFSET(FTRA!V$136,$E93,0)</f>
        <v>8.5917986350304805</v>
      </c>
      <c r="R93" s="18">
        <f ca="1">OFFSET(FTRA!W$136,$E93,0)</f>
        <v>8.8313675482782781</v>
      </c>
      <c r="S93" s="18">
        <f ca="1">OFFSET(FTRA!X$136,$E93,0)</f>
        <v>9.0709364615260757</v>
      </c>
      <c r="T93" s="18">
        <f ca="1">OFFSET(FTRA!Y$136,$E93,0)</f>
        <v>9.3105053747738697</v>
      </c>
      <c r="U93" s="18">
        <f ca="1">OFFSET(FTRA!Z$136,$E93,0)</f>
        <v>9.5402054613721372</v>
      </c>
      <c r="V93" s="18">
        <f ca="1">OFFSET(FTRA!AC$136,$E93,0)</f>
        <v>9.7699055479704047</v>
      </c>
      <c r="W93" s="18">
        <f ca="1">OFFSET(FTRA!AD$136,$E93,0)</f>
        <v>9.9996056345686721</v>
      </c>
      <c r="X93" s="18">
        <f ca="1">OFFSET(FTRA!AE$136,$E93,0)</f>
        <v>10.22930572116694</v>
      </c>
      <c r="Y93" s="18">
        <f ca="1">OFFSET(FTRA!AF$136,$E93,0)</f>
        <v>10.459005807765207</v>
      </c>
      <c r="Z93" s="18">
        <f ca="1">OFFSET(FTRA!AG$136,$E93,0)</f>
        <v>10.688705894363475</v>
      </c>
      <c r="AA93" s="18">
        <f ca="1">OFFSET(FTRA!AH$136,$E93,0)</f>
        <v>10.918405980961742</v>
      </c>
      <c r="AB93" s="18">
        <f ca="1">OFFSET(FTRA!AI$136,$E93,0)</f>
        <v>11.148106067560009</v>
      </c>
      <c r="AC93" s="18">
        <f ca="1">OFFSET(FTRA!AJ$136,$E93,0)</f>
        <v>11.377806154158277</v>
      </c>
      <c r="AD93" s="18">
        <f ca="1">OFFSET(FTRA!AK$136,$E93,0)</f>
        <v>11.607506240756543</v>
      </c>
      <c r="AE93" s="18">
        <f ca="1">OFFSET(FTRA!AL$136,$E93,0)</f>
        <v>12.717015452425995</v>
      </c>
      <c r="AF93" s="18">
        <f ca="1">OFFSET(FTRA!AM$136,$E93,0)</f>
        <v>13.82652466409545</v>
      </c>
      <c r="AG93" s="18">
        <f ca="1">OFFSET(FTRA!AN$136,$E93,0)</f>
        <v>15.836707295316179</v>
      </c>
      <c r="AH93" s="18">
        <f ca="1">OFFSET(FTRA!AO$136,$E93,0)</f>
        <v>16.162144646479717</v>
      </c>
      <c r="AJ93">
        <f t="shared" ca="1" si="3"/>
        <v>2.4259515368612621</v>
      </c>
    </row>
    <row r="94" spans="1:36">
      <c r="A94" s="27" t="s">
        <v>402</v>
      </c>
      <c r="B94" s="18">
        <v>1.4910262867673953</v>
      </c>
      <c r="C94" t="s">
        <v>724</v>
      </c>
      <c r="D94" t="s">
        <v>272</v>
      </c>
      <c r="E94" s="109">
        <f>MATCH(F94,FTRA!$D$137:$D$149,0)</f>
        <v>8</v>
      </c>
      <c r="F94" t="str">
        <f t="shared" si="5"/>
        <v>TFHCV7</v>
      </c>
      <c r="G94" s="18">
        <f ca="1">OFFSET(FTRA!J$136,$E94,0)</f>
        <v>2.2261566306639899</v>
      </c>
      <c r="H94" s="18">
        <f ca="1">OFFSET(FTRA!K$136,$E94,0)</f>
        <v>2.2400116999821158</v>
      </c>
      <c r="I94" s="18">
        <f ca="1">OFFSET(FTRA!L$136,$E94,0)</f>
        <v>2.2538667693002417</v>
      </c>
      <c r="J94" s="18">
        <f ca="1">OFFSET(FTRA!M$136,$E94,0)</f>
        <v>2.1701034671189854</v>
      </c>
      <c r="K94" s="18">
        <f ca="1">OFFSET(FTRA!N$136,$E94,0)</f>
        <v>2.2980985522439892</v>
      </c>
      <c r="L94" s="18">
        <f ca="1">OFFSET(FTRA!O$136,$E94,0)</f>
        <v>2.3711467461737814</v>
      </c>
      <c r="M94" s="18">
        <f ca="1">OFFSET(FTRA!P$136,$E94,0)</f>
        <v>2.4441949401035736</v>
      </c>
      <c r="N94" s="18">
        <f ca="1">OFFSET(FTRA!S$136,$E94,0)</f>
        <v>2.5172431340333659</v>
      </c>
      <c r="O94" s="18">
        <f ca="1">OFFSET(FTRA!T$136,$E94,0)</f>
        <v>2.5902913279631581</v>
      </c>
      <c r="P94" s="18">
        <f ca="1">OFFSET(FTRA!U$136,$E94,0)</f>
        <v>2.6633395218929503</v>
      </c>
      <c r="Q94" s="18">
        <f ca="1">OFFSET(FTRA!V$136,$E94,0)</f>
        <v>2.7363877158227425</v>
      </c>
      <c r="R94" s="18">
        <f ca="1">OFFSET(FTRA!W$136,$E94,0)</f>
        <v>2.8094359097525348</v>
      </c>
      <c r="S94" s="18">
        <f ca="1">OFFSET(FTRA!X$136,$E94,0)</f>
        <v>2.882484103682327</v>
      </c>
      <c r="T94" s="18">
        <f ca="1">OFFSET(FTRA!Y$136,$E94,0)</f>
        <v>2.9555322976121179</v>
      </c>
      <c r="U94" s="18">
        <f ca="1">OFFSET(FTRA!Z$136,$E94,0)</f>
        <v>3.0478415523112385</v>
      </c>
      <c r="V94" s="18">
        <f ca="1">OFFSET(FTRA!AC$136,$E94,0)</f>
        <v>3.1401508070103592</v>
      </c>
      <c r="W94" s="18">
        <f ca="1">OFFSET(FTRA!AD$136,$E94,0)</f>
        <v>3.2324600617094799</v>
      </c>
      <c r="X94" s="18">
        <f ca="1">OFFSET(FTRA!AE$136,$E94,0)</f>
        <v>3.3247693164086005</v>
      </c>
      <c r="Y94" s="18">
        <f ca="1">OFFSET(FTRA!AF$136,$E94,0)</f>
        <v>3.4170785711077212</v>
      </c>
      <c r="Z94" s="18">
        <f ca="1">OFFSET(FTRA!AG$136,$E94,0)</f>
        <v>3.5093878258068418</v>
      </c>
      <c r="AA94" s="18">
        <f ca="1">OFFSET(FTRA!AH$136,$E94,0)</f>
        <v>3.6016970805059625</v>
      </c>
      <c r="AB94" s="18">
        <f ca="1">OFFSET(FTRA!AI$136,$E94,0)</f>
        <v>3.6940063352050831</v>
      </c>
      <c r="AC94" s="18">
        <f ca="1">OFFSET(FTRA!AJ$136,$E94,0)</f>
        <v>3.7863155899042038</v>
      </c>
      <c r="AD94" s="18">
        <f ca="1">OFFSET(FTRA!AK$136,$E94,0)</f>
        <v>3.878624844603324</v>
      </c>
      <c r="AE94" s="18">
        <f ca="1">OFFSET(FTRA!AL$136,$E94,0)</f>
        <v>4.2493651142563618</v>
      </c>
      <c r="AF94" s="18">
        <f ca="1">OFFSET(FTRA!AM$136,$E94,0)</f>
        <v>4.6201053839093991</v>
      </c>
      <c r="AG94" s="18">
        <f ca="1">OFFSET(FTRA!AN$136,$E94,0)</f>
        <v>5.2918038636626719</v>
      </c>
      <c r="AH94" s="18">
        <f ca="1">OFFSET(FTRA!AO$136,$E94,0)</f>
        <v>5.4005480994531956</v>
      </c>
      <c r="AJ94">
        <f t="shared" ca="1" si="3"/>
        <v>2.4259515368612621</v>
      </c>
    </row>
    <row r="95" spans="1:36">
      <c r="A95" s="27" t="s">
        <v>403</v>
      </c>
      <c r="B95" s="18">
        <v>0</v>
      </c>
      <c r="C95" t="s">
        <v>724</v>
      </c>
      <c r="D95" t="s">
        <v>272</v>
      </c>
      <c r="E95" s="109">
        <f>MATCH(F95,FTRA!$D$137:$D$149,0)</f>
        <v>9</v>
      </c>
      <c r="F95" t="str">
        <f t="shared" si="5"/>
        <v>TFHCV8</v>
      </c>
      <c r="G95" s="18">
        <f ca="1">OFFSET(FTRA!J$136,$E95,0)</f>
        <v>0.122213678849837</v>
      </c>
      <c r="H95" s="18">
        <f ca="1">OFFSET(FTRA!K$136,$E95,0)</f>
        <v>0.12297430771519344</v>
      </c>
      <c r="I95" s="18">
        <f ca="1">OFFSET(FTRA!L$136,$E95,0)</f>
        <v>0.12373493658054988</v>
      </c>
      <c r="J95" s="18">
        <f ca="1">OFFSET(FTRA!M$136,$E95,0)</f>
        <v>0.11913641859166579</v>
      </c>
      <c r="K95" s="18">
        <f ca="1">OFFSET(FTRA!N$136,$E95,0)</f>
        <v>0.12616321536434347</v>
      </c>
      <c r="L95" s="18">
        <f ca="1">OFFSET(FTRA!O$136,$E95,0)</f>
        <v>0.1301734850778602</v>
      </c>
      <c r="M95" s="18">
        <f ca="1">OFFSET(FTRA!P$136,$E95,0)</f>
        <v>0.13418375479137692</v>
      </c>
      <c r="N95" s="18">
        <f ca="1">OFFSET(FTRA!S$136,$E95,0)</f>
        <v>0.13819402450489365</v>
      </c>
      <c r="O95" s="18">
        <f ca="1">OFFSET(FTRA!T$136,$E95,0)</f>
        <v>0.14220429421841038</v>
      </c>
      <c r="P95" s="18">
        <f ca="1">OFFSET(FTRA!U$136,$E95,0)</f>
        <v>0.14621456393192711</v>
      </c>
      <c r="Q95" s="18">
        <f ca="1">OFFSET(FTRA!V$136,$E95,0)</f>
        <v>0.15022483364544384</v>
      </c>
      <c r="R95" s="18">
        <f ca="1">OFFSET(FTRA!W$136,$E95,0)</f>
        <v>0.15423510335896057</v>
      </c>
      <c r="S95" s="18">
        <f ca="1">OFFSET(FTRA!X$136,$E95,0)</f>
        <v>0.1582453730724773</v>
      </c>
      <c r="T95" s="18">
        <f ca="1">OFFSET(FTRA!Y$136,$E95,0)</f>
        <v>0.16225564278599394</v>
      </c>
      <c r="U95" s="18">
        <f ca="1">OFFSET(FTRA!Z$136,$E95,0)</f>
        <v>0.16732332466123614</v>
      </c>
      <c r="V95" s="18">
        <f ca="1">OFFSET(FTRA!AC$136,$E95,0)</f>
        <v>0.17239100653647835</v>
      </c>
      <c r="W95" s="18">
        <f ca="1">OFFSET(FTRA!AD$136,$E95,0)</f>
        <v>0.17745868841172055</v>
      </c>
      <c r="X95" s="18">
        <f ca="1">OFFSET(FTRA!AE$136,$E95,0)</f>
        <v>0.18252637028696275</v>
      </c>
      <c r="Y95" s="18">
        <f ca="1">OFFSET(FTRA!AF$136,$E95,0)</f>
        <v>0.18759405216220496</v>
      </c>
      <c r="Z95" s="18">
        <f ca="1">OFFSET(FTRA!AG$136,$E95,0)</f>
        <v>0.19266173403744716</v>
      </c>
      <c r="AA95" s="18">
        <f ca="1">OFFSET(FTRA!AH$136,$E95,0)</f>
        <v>0.19772941591268936</v>
      </c>
      <c r="AB95" s="18">
        <f ca="1">OFFSET(FTRA!AI$136,$E95,0)</f>
        <v>0.20279709778793156</v>
      </c>
      <c r="AC95" s="18">
        <f ca="1">OFFSET(FTRA!AJ$136,$E95,0)</f>
        <v>0.20786477966317377</v>
      </c>
      <c r="AD95" s="18">
        <f ca="1">OFFSET(FTRA!AK$136,$E95,0)</f>
        <v>0.21293246153841591</v>
      </c>
      <c r="AE95" s="18">
        <f ca="1">OFFSET(FTRA!AL$136,$E95,0)</f>
        <v>0.23328571594467212</v>
      </c>
      <c r="AF95" s="18">
        <f ca="1">OFFSET(FTRA!AM$136,$E95,0)</f>
        <v>0.25363897035092825</v>
      </c>
      <c r="AG95" s="18">
        <f ca="1">OFFSET(FTRA!AN$136,$E95,0)</f>
        <v>0.29051451682314805</v>
      </c>
      <c r="AH95" s="18">
        <f ca="1">OFFSET(FTRA!AO$136,$E95,0)</f>
        <v>0.29648446203123069</v>
      </c>
      <c r="AJ95">
        <f t="shared" ca="1" si="3"/>
        <v>2.4259515368612612</v>
      </c>
    </row>
    <row r="96" spans="1:36">
      <c r="A96" s="27" t="s">
        <v>404</v>
      </c>
      <c r="B96" s="18">
        <v>4.2946824044977329E-2</v>
      </c>
      <c r="C96" t="s">
        <v>724</v>
      </c>
      <c r="D96" t="s">
        <v>272</v>
      </c>
      <c r="E96" s="109">
        <f>MATCH(F96,FTRA!$D$137:$D$149,0)</f>
        <v>10</v>
      </c>
      <c r="F96" t="str">
        <f t="shared" si="5"/>
        <v>TFHCV9</v>
      </c>
      <c r="G96" s="18">
        <f ca="1">OFFSET(FTRA!J$136,$E96,0)</f>
        <v>2.9412068148240201E-2</v>
      </c>
      <c r="H96" s="18">
        <f ca="1">OFFSET(FTRA!K$136,$E96,0)</f>
        <v>2.9595121863944723E-2</v>
      </c>
      <c r="I96" s="18">
        <f ca="1">OFFSET(FTRA!L$136,$E96,0)</f>
        <v>2.9778175579649242E-2</v>
      </c>
      <c r="J96" s="18">
        <f ca="1">OFFSET(FTRA!M$136,$E96,0)</f>
        <v>2.8671491567328906E-2</v>
      </c>
      <c r="K96" s="18">
        <f ca="1">OFFSET(FTRA!N$136,$E96,0)</f>
        <v>3.036256761942752E-2</v>
      </c>
      <c r="L96" s="18">
        <f ca="1">OFFSET(FTRA!O$136,$E96,0)</f>
        <v>3.1327683204007063E-2</v>
      </c>
      <c r="M96" s="18">
        <f ca="1">OFFSET(FTRA!P$136,$E96,0)</f>
        <v>3.229279878858661E-2</v>
      </c>
      <c r="N96" s="18">
        <f ca="1">OFFSET(FTRA!S$136,$E96,0)</f>
        <v>3.3257914373166157E-2</v>
      </c>
      <c r="O96" s="18">
        <f ca="1">OFFSET(FTRA!T$136,$E96,0)</f>
        <v>3.4223029957745704E-2</v>
      </c>
      <c r="P96" s="18">
        <f ca="1">OFFSET(FTRA!U$136,$E96,0)</f>
        <v>3.5188145542325251E-2</v>
      </c>
      <c r="Q96" s="18">
        <f ca="1">OFFSET(FTRA!V$136,$E96,0)</f>
        <v>3.6153261126904798E-2</v>
      </c>
      <c r="R96" s="18">
        <f ca="1">OFFSET(FTRA!W$136,$E96,0)</f>
        <v>3.7118376711484345E-2</v>
      </c>
      <c r="S96" s="18">
        <f ca="1">OFFSET(FTRA!X$136,$E96,0)</f>
        <v>3.8083492296063892E-2</v>
      </c>
      <c r="T96" s="18">
        <f ca="1">OFFSET(FTRA!Y$136,$E96,0)</f>
        <v>3.9048607880643432E-2</v>
      </c>
      <c r="U96" s="18">
        <f ca="1">OFFSET(FTRA!Z$136,$E96,0)</f>
        <v>4.0268201350629418E-2</v>
      </c>
      <c r="V96" s="18">
        <f ca="1">OFFSET(FTRA!AC$136,$E96,0)</f>
        <v>4.1487794820615403E-2</v>
      </c>
      <c r="W96" s="18">
        <f ca="1">OFFSET(FTRA!AD$136,$E96,0)</f>
        <v>4.2707388290601389E-2</v>
      </c>
      <c r="X96" s="18">
        <f ca="1">OFFSET(FTRA!AE$136,$E96,0)</f>
        <v>4.3926981760587375E-2</v>
      </c>
      <c r="Y96" s="18">
        <f ca="1">OFFSET(FTRA!AF$136,$E96,0)</f>
        <v>4.514657523057336E-2</v>
      </c>
      <c r="Z96" s="18">
        <f ca="1">OFFSET(FTRA!AG$136,$E96,0)</f>
        <v>4.6366168700559346E-2</v>
      </c>
      <c r="AA96" s="18">
        <f ca="1">OFFSET(FTRA!AH$136,$E96,0)</f>
        <v>4.7585762170545332E-2</v>
      </c>
      <c r="AB96" s="18">
        <f ca="1">OFFSET(FTRA!AI$136,$E96,0)</f>
        <v>4.8805355640531317E-2</v>
      </c>
      <c r="AC96" s="18">
        <f ca="1">OFFSET(FTRA!AJ$136,$E96,0)</f>
        <v>5.0024949110517303E-2</v>
      </c>
      <c r="AD96" s="18">
        <f ca="1">OFFSET(FTRA!AK$136,$E96,0)</f>
        <v>5.1244542580503254E-2</v>
      </c>
      <c r="AE96" s="18">
        <f ca="1">OFFSET(FTRA!AL$136,$E96,0)</f>
        <v>5.6142777469339294E-2</v>
      </c>
      <c r="AF96" s="18">
        <f ca="1">OFFSET(FTRA!AM$136,$E96,0)</f>
        <v>6.1041012358175363E-2</v>
      </c>
      <c r="AG96" s="18">
        <f ca="1">OFFSET(FTRA!AN$136,$E96,0)</f>
        <v>6.991551884592416E-2</v>
      </c>
      <c r="AH96" s="18">
        <f ca="1">OFFSET(FTRA!AO$136,$E96,0)</f>
        <v>7.1352251926491458E-2</v>
      </c>
      <c r="AJ96">
        <f t="shared" ca="1" si="3"/>
        <v>2.4259515368612612</v>
      </c>
    </row>
    <row r="97" spans="1:36">
      <c r="A97" s="27" t="s">
        <v>366</v>
      </c>
      <c r="B97">
        <v>28</v>
      </c>
      <c r="C97" t="s">
        <v>724</v>
      </c>
      <c r="D97" t="s">
        <v>272</v>
      </c>
      <c r="E97" s="109">
        <f>MATCH(F97,FTRA!$D$137:$D$149,0)</f>
        <v>11</v>
      </c>
      <c r="F97" t="str">
        <f t="shared" si="2"/>
        <v>TFRCO</v>
      </c>
      <c r="G97" s="18">
        <f ca="1">OFFSET(FTRA!J$136,$E97,0)</f>
        <v>22</v>
      </c>
      <c r="H97" s="18">
        <f ca="1">OFFSET(FTRA!K$136,$E97,0)</f>
        <v>20.60902456349335</v>
      </c>
      <c r="I97" s="18">
        <f ca="1">OFFSET(FTRA!L$136,$E97,0)</f>
        <v>19.218049126986699</v>
      </c>
      <c r="J97" s="18">
        <f ca="1">OFFSET(FTRA!M$136,$E97,0)</f>
        <v>17.206637381742077</v>
      </c>
      <c r="K97" s="18">
        <f ca="1">OFFSET(FTRA!N$136,$E97,0)</f>
        <v>17.305706019659819</v>
      </c>
      <c r="L97" s="18">
        <f ca="1">OFFSET(FTRA!O$136,$E97,0)</f>
        <v>19.340387040183266</v>
      </c>
      <c r="M97" s="18">
        <f ca="1">OFFSET(FTRA!P$136,$E97,0)</f>
        <v>21.375068060706713</v>
      </c>
      <c r="N97" s="18">
        <f ca="1">OFFSET(FTRA!S$136,$E97,0)</f>
        <v>23.40974908123016</v>
      </c>
      <c r="O97" s="18">
        <f ca="1">OFFSET(FTRA!T$136,$E97,0)</f>
        <v>25.444430101753607</v>
      </c>
      <c r="P97" s="18">
        <f ca="1">OFFSET(FTRA!U$136,$E97,0)</f>
        <v>27.479111122277054</v>
      </c>
      <c r="Q97" s="18">
        <f ca="1">OFFSET(FTRA!V$136,$E97,0)</f>
        <v>29.513792142800501</v>
      </c>
      <c r="R97" s="18">
        <f ca="1">OFFSET(FTRA!W$136,$E97,0)</f>
        <v>31.548473163323948</v>
      </c>
      <c r="S97" s="18">
        <f ca="1">OFFSET(FTRA!X$136,$E97,0)</f>
        <v>33.583154183847398</v>
      </c>
      <c r="T97" s="18">
        <f ca="1">OFFSET(FTRA!Y$136,$E97,0)</f>
        <v>35.617835204370841</v>
      </c>
      <c r="U97" s="18">
        <f ca="1">OFFSET(FTRA!Z$136,$E97,0)</f>
        <v>40.063619642702491</v>
      </c>
      <c r="V97" s="18">
        <f ca="1">OFFSET(FTRA!AC$136,$E97,0)</f>
        <v>44.509404081034141</v>
      </c>
      <c r="W97" s="18">
        <f ca="1">OFFSET(FTRA!AD$136,$E97,0)</f>
        <v>48.955188519365791</v>
      </c>
      <c r="X97" s="18">
        <f ca="1">OFFSET(FTRA!AE$136,$E97,0)</f>
        <v>53.400972957697441</v>
      </c>
      <c r="Y97" s="18">
        <f ca="1">OFFSET(FTRA!AF$136,$E97,0)</f>
        <v>57.846757396029091</v>
      </c>
      <c r="Z97" s="18">
        <f ca="1">OFFSET(FTRA!AG$136,$E97,0)</f>
        <v>62.29254183436074</v>
      </c>
      <c r="AA97" s="18">
        <f ca="1">OFFSET(FTRA!AH$136,$E97,0)</f>
        <v>66.73832627269239</v>
      </c>
      <c r="AB97" s="18">
        <f ca="1">OFFSET(FTRA!AI$136,$E97,0)</f>
        <v>71.184110711024033</v>
      </c>
      <c r="AC97" s="18">
        <f ca="1">OFFSET(FTRA!AJ$136,$E97,0)</f>
        <v>75.629895149355676</v>
      </c>
      <c r="AD97" s="18">
        <f ca="1">OFFSET(FTRA!AK$136,$E97,0)</f>
        <v>80.075679587687318</v>
      </c>
      <c r="AE97" s="18">
        <f ca="1">OFFSET(FTRA!AL$136,$E97,0)</f>
        <v>101.15097293219293</v>
      </c>
      <c r="AF97" s="18">
        <f ca="1">OFFSET(FTRA!AM$136,$E97,0)</f>
        <v>122.22626627669857</v>
      </c>
      <c r="AG97" s="18">
        <f ca="1">OFFSET(FTRA!AN$136,$E97,0)</f>
        <v>172.35935946550941</v>
      </c>
      <c r="AH97" s="18">
        <f ca="1">OFFSET(FTRA!AO$136,$E97,0)</f>
        <v>210.66774949851762</v>
      </c>
      <c r="AJ97">
        <f t="shared" ca="1" si="3"/>
        <v>9.5758067953871642</v>
      </c>
    </row>
    <row r="98" spans="1:36">
      <c r="A98" s="27" t="s">
        <v>368</v>
      </c>
      <c r="B98">
        <v>26</v>
      </c>
      <c r="C98" t="s">
        <v>724</v>
      </c>
      <c r="D98" t="s">
        <v>272</v>
      </c>
      <c r="E98" s="111">
        <f>MATCH(F98,FTRA!$D$137:$D$149,0)</f>
        <v>12</v>
      </c>
      <c r="F98" t="str">
        <f>A98</f>
        <v>TFROT</v>
      </c>
      <c r="G98" s="18">
        <f ca="1">OFFSET(FTRA!J$136,$E98,0)</f>
        <v>27.142505514316699</v>
      </c>
      <c r="H98" s="18">
        <f ca="1">OFFSET(FTRA!K$136,$E98,0)</f>
        <v>26.922878309927583</v>
      </c>
      <c r="I98" s="18">
        <f ca="1">OFFSET(FTRA!L$136,$E98,0)</f>
        <v>26.703251105538467</v>
      </c>
      <c r="J98" s="18">
        <f ca="1">OFFSET(FTRA!M$136,$E98,0)</f>
        <v>25.710844401627732</v>
      </c>
      <c r="K98" s="18">
        <f ca="1">OFFSET(FTRA!N$136,$E98,0)</f>
        <v>27.227298233292721</v>
      </c>
      <c r="L98" s="18">
        <f ca="1">OFFSET(FTRA!O$136,$E98,0)</f>
        <v>28.29752933108988</v>
      </c>
      <c r="M98" s="18">
        <f ca="1">OFFSET(FTRA!P$136,$E98,0)</f>
        <v>29.367760428887038</v>
      </c>
      <c r="N98" s="18">
        <f ca="1">OFFSET(FTRA!S$136,$E98,0)</f>
        <v>30.437991526684197</v>
      </c>
      <c r="O98" s="18">
        <f ca="1">OFFSET(FTRA!T$136,$E98,0)</f>
        <v>31.508222624481355</v>
      </c>
      <c r="P98" s="18">
        <f ca="1">OFFSET(FTRA!U$136,$E98,0)</f>
        <v>32.57845372227851</v>
      </c>
      <c r="Q98" s="18">
        <f ca="1">OFFSET(FTRA!V$136,$E98,0)</f>
        <v>33.648684820075665</v>
      </c>
      <c r="R98" s="18">
        <f ca="1">OFFSET(FTRA!W$136,$E98,0)</f>
        <v>34.71891591787282</v>
      </c>
      <c r="S98" s="18">
        <f ca="1">OFFSET(FTRA!X$136,$E98,0)</f>
        <v>35.789147015669975</v>
      </c>
      <c r="T98" s="18">
        <f ca="1">OFFSET(FTRA!Y$136,$E98,0)</f>
        <v>36.859378113467145</v>
      </c>
      <c r="U98" s="18">
        <f ca="1">OFFSET(FTRA!Z$136,$E98,0)</f>
        <v>38.381633214656489</v>
      </c>
      <c r="V98" s="18">
        <f ca="1">OFFSET(FTRA!AC$136,$E98,0)</f>
        <v>39.903888315845833</v>
      </c>
      <c r="W98" s="18">
        <f ca="1">OFFSET(FTRA!AD$136,$E98,0)</f>
        <v>41.426143417035178</v>
      </c>
      <c r="X98" s="18">
        <f ca="1">OFFSET(FTRA!AE$136,$E98,0)</f>
        <v>42.948398518224522</v>
      </c>
      <c r="Y98" s="18">
        <f ca="1">OFFSET(FTRA!AF$136,$E98,0)</f>
        <v>44.470653619413866</v>
      </c>
      <c r="Z98" s="18">
        <f ca="1">OFFSET(FTRA!AG$136,$E98,0)</f>
        <v>45.992908720603211</v>
      </c>
      <c r="AA98" s="18">
        <f ca="1">OFFSET(FTRA!AH$136,$E98,0)</f>
        <v>47.515163821792555</v>
      </c>
      <c r="AB98" s="18">
        <f ca="1">OFFSET(FTRA!AI$136,$E98,0)</f>
        <v>49.0374189229819</v>
      </c>
      <c r="AC98" s="18">
        <f ca="1">OFFSET(FTRA!AJ$136,$E98,0)</f>
        <v>50.559674024171244</v>
      </c>
      <c r="AD98" s="18">
        <f ca="1">OFFSET(FTRA!AK$136,$E98,0)</f>
        <v>52.081929125360617</v>
      </c>
      <c r="AE98" s="18">
        <f ca="1">OFFSET(FTRA!AL$136,$E98,0)</f>
        <v>59.030685674691966</v>
      </c>
      <c r="AF98" s="18">
        <f ca="1">OFFSET(FTRA!AM$136,$E98,0)</f>
        <v>65.979442224023316</v>
      </c>
      <c r="AG98" s="18">
        <f ca="1">OFFSET(FTRA!AN$136,$E98,0)</f>
        <v>80.32342129408741</v>
      </c>
      <c r="AH98" s="18">
        <f ca="1">OFFSET(FTRA!AO$136,$E98,0)</f>
        <v>87.078385128486644</v>
      </c>
      <c r="AJ98">
        <f t="shared" ca="1" si="3"/>
        <v>3.2081925923366184</v>
      </c>
    </row>
    <row r="99" spans="1:36">
      <c r="A99" s="27" t="s">
        <v>367</v>
      </c>
      <c r="B99">
        <v>67</v>
      </c>
      <c r="C99" t="s">
        <v>724</v>
      </c>
      <c r="D99" t="s">
        <v>272</v>
      </c>
      <c r="E99" s="110">
        <f>MATCH(F99,FTRA!$D$137:$D$149,0)</f>
        <v>13</v>
      </c>
      <c r="F99" t="str">
        <f t="shared" si="2"/>
        <v>TFREX</v>
      </c>
      <c r="G99" s="18">
        <f ca="1">OFFSET(FTRA!J$136,$E99,0)</f>
        <v>88.672727178245694</v>
      </c>
      <c r="H99" s="18">
        <f ca="1">OFFSET(FTRA!K$136,$E99,0)</f>
        <v>88.015304929890732</v>
      </c>
      <c r="I99" s="18">
        <f ca="1">OFFSET(FTRA!L$136,$E99,0)</f>
        <v>87.357882681535756</v>
      </c>
      <c r="J99" s="18">
        <f ca="1">OFFSET(FTRA!M$136,$E99,0)</f>
        <v>84.559607459462228</v>
      </c>
      <c r="K99" s="18">
        <f ca="1">OFFSET(FTRA!N$136,$E99,0)</f>
        <v>89.797718408758314</v>
      </c>
      <c r="L99" s="18">
        <f ca="1">OFFSET(FTRA!O$136,$E99,0)</f>
        <v>90.08827546499478</v>
      </c>
      <c r="M99" s="18">
        <f ca="1">OFFSET(FTRA!P$136,$E99,0)</f>
        <v>90.378832521231246</v>
      </c>
      <c r="N99" s="18">
        <f ca="1">OFFSET(FTRA!S$136,$E99,0)</f>
        <v>90.669389577467712</v>
      </c>
      <c r="O99" s="18">
        <f ca="1">OFFSET(FTRA!T$136,$E99,0)</f>
        <v>90.959946633704178</v>
      </c>
      <c r="P99" s="18">
        <f ca="1">OFFSET(FTRA!U$136,$E99,0)</f>
        <v>91.250503689940643</v>
      </c>
      <c r="Q99" s="18">
        <f ca="1">OFFSET(FTRA!V$136,$E99,0)</f>
        <v>91.541060746177109</v>
      </c>
      <c r="R99" s="18">
        <f ca="1">OFFSET(FTRA!W$136,$E99,0)</f>
        <v>91.831617802413575</v>
      </c>
      <c r="S99" s="18">
        <f ca="1">OFFSET(FTRA!X$136,$E99,0)</f>
        <v>92.122174858650041</v>
      </c>
      <c r="T99" s="18">
        <f ca="1">OFFSET(FTRA!Y$136,$E99,0)</f>
        <v>92.412731914886479</v>
      </c>
      <c r="U99" s="18">
        <f ca="1">OFFSET(FTRA!Z$136,$E99,0)</f>
        <v>94.235705174545956</v>
      </c>
      <c r="V99" s="18">
        <f ca="1">OFFSET(FTRA!AC$136,$E99,0)</f>
        <v>96.058678434205433</v>
      </c>
      <c r="W99" s="18">
        <f ca="1">OFFSET(FTRA!AD$136,$E99,0)</f>
        <v>97.88165169386491</v>
      </c>
      <c r="X99" s="18">
        <f ca="1">OFFSET(FTRA!AE$136,$E99,0)</f>
        <v>99.704624953524387</v>
      </c>
      <c r="Y99" s="18">
        <f ca="1">OFFSET(FTRA!AF$136,$E99,0)</f>
        <v>101.52759821318386</v>
      </c>
      <c r="Z99" s="18">
        <f ca="1">OFFSET(FTRA!AG$136,$E99,0)</f>
        <v>103.35057147284334</v>
      </c>
      <c r="AA99" s="18">
        <f ca="1">OFFSET(FTRA!AH$136,$E99,0)</f>
        <v>105.17354473250282</v>
      </c>
      <c r="AB99" s="18">
        <f ca="1">OFFSET(FTRA!AI$136,$E99,0)</f>
        <v>106.9965179921623</v>
      </c>
      <c r="AC99" s="18">
        <f ca="1">OFFSET(FTRA!AJ$136,$E99,0)</f>
        <v>108.81949125182177</v>
      </c>
      <c r="AD99" s="18">
        <f ca="1">OFFSET(FTRA!AK$136,$E99,0)</f>
        <v>110.64246451148132</v>
      </c>
      <c r="AE99" s="18">
        <f ca="1">OFFSET(FTRA!AL$136,$E99,0)</f>
        <v>126.18448561624592</v>
      </c>
      <c r="AF99" s="18">
        <f ca="1">OFFSET(FTRA!AM$136,$E99,0)</f>
        <v>141.72650672101051</v>
      </c>
      <c r="AG99" s="18">
        <f ca="1">OFFSET(FTRA!AN$136,$E99,0)</f>
        <v>173.87745919247294</v>
      </c>
      <c r="AH99" s="18">
        <f ca="1">OFFSET(FTRA!AO$136,$E99,0)</f>
        <v>186.24392762406274</v>
      </c>
      <c r="AJ99">
        <f t="shared" ca="1" si="3"/>
        <v>2.1003518618490671</v>
      </c>
    </row>
    <row r="100" spans="1:36">
      <c r="A100" s="27" t="s">
        <v>116</v>
      </c>
      <c r="B100">
        <v>73.203613436309993</v>
      </c>
      <c r="C100" t="s">
        <v>724</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81.968538378024164</v>
      </c>
      <c r="L100" s="18">
        <f ca="1">OFFSET(PTRA!S$218,$E100,0)</f>
        <v>84.087928624096179</v>
      </c>
      <c r="M100" s="18">
        <f ca="1">OFFSET(PTRA!T$218,$E100,0)</f>
        <v>86.207318870168194</v>
      </c>
      <c r="N100" s="18">
        <f ca="1">OFFSET(PTRA!W$218,$E100,0)</f>
        <v>88.32670911624021</v>
      </c>
      <c r="O100" s="18">
        <f ca="1">OFFSET(PTRA!X$218,$E100,0)</f>
        <v>90.446099362312225</v>
      </c>
      <c r="P100" s="18">
        <f ca="1">OFFSET(PTRA!Y$218,$E100,0)</f>
        <v>92.56548960838424</v>
      </c>
      <c r="Q100" s="18">
        <f ca="1">OFFSET(PTRA!Z$218,$E100,0)</f>
        <v>94.684879854456256</v>
      </c>
      <c r="R100" s="18">
        <f ca="1">OFFSET(PTRA!AA$218,$E100,0)</f>
        <v>96.804270100528271</v>
      </c>
      <c r="S100" s="18">
        <f ca="1">OFFSET(PTRA!AB$218,$E100,0)</f>
        <v>98.923660346600286</v>
      </c>
      <c r="T100" s="18">
        <f ca="1">OFFSET(PTRA!AC$218,$E100,0)</f>
        <v>101.04305059267226</v>
      </c>
      <c r="U100" s="18">
        <f ca="1">OFFSET(PTRA!AD$218,$E100,0)</f>
        <v>103.79046437532821</v>
      </c>
      <c r="V100" s="18">
        <f ca="1">OFFSET(PTRA!AE$218,$E100,0)</f>
        <v>106.53787815798415</v>
      </c>
      <c r="W100" s="18">
        <f ca="1">OFFSET(PTRA!AH$218,$E100,0)</f>
        <v>109.28529194064009</v>
      </c>
      <c r="X100" s="18">
        <f ca="1">OFFSET(PTRA!AI$218,$E100,0)</f>
        <v>112.03270572329603</v>
      </c>
      <c r="Y100" s="18">
        <f ca="1">OFFSET(PTRA!AJ$218,$E100,0)</f>
        <v>114.78011950595197</v>
      </c>
      <c r="Z100" s="18">
        <f ca="1">OFFSET(PTRA!AK$218,$E100,0)</f>
        <v>117.52753328860791</v>
      </c>
      <c r="AA100" s="18">
        <f ca="1">OFFSET(PTRA!AL$218,$E100,0)</f>
        <v>120.27494707126385</v>
      </c>
      <c r="AB100" s="18">
        <f ca="1">OFFSET(PTRA!AM$218,$E100,0)</f>
        <v>123.02236085391979</v>
      </c>
      <c r="AC100" s="18">
        <f ca="1">OFFSET(PTRA!AO$218,$E100,0)</f>
        <v>125.76977463657573</v>
      </c>
      <c r="AD100" s="18">
        <f ca="1">OFFSET(PTRA!AQ$218,$E100,0)</f>
        <v>128.51718841923173</v>
      </c>
      <c r="AE100" s="18">
        <f ca="1">OFFSET(PTRA!AR$218,$E100,0)</f>
        <v>150.26942364464304</v>
      </c>
      <c r="AF100" s="18">
        <f ca="1">OFFSET(PTRA!AS$218,$E100,0)</f>
        <v>172.02165887005438</v>
      </c>
      <c r="AG100" s="18">
        <f ca="1">OFFSET(PTRA!AT$218,$E100,0)</f>
        <v>186.68969191056848</v>
      </c>
      <c r="AH100" s="18">
        <f ca="1">OFFSET(PTRA!AU$218,$E100,0)</f>
        <v>175.55218967661071</v>
      </c>
      <c r="AJ100">
        <f t="shared" ca="1" si="3"/>
        <v>2.1636087249967519</v>
      </c>
    </row>
    <row r="101" spans="1:36">
      <c r="A101" s="27" t="s">
        <v>171</v>
      </c>
      <c r="B101">
        <v>2.2210937076119999</v>
      </c>
      <c r="C101" t="s">
        <v>724</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3.0738201891759065</v>
      </c>
      <c r="L101" s="18">
        <f ca="1">OFFSET(PTRA!S$218,$E101,0)</f>
        <v>3.1532973234036068</v>
      </c>
      <c r="M101" s="18">
        <f ca="1">OFFSET(PTRA!T$218,$E101,0)</f>
        <v>3.2327744576313071</v>
      </c>
      <c r="N101" s="18">
        <f ca="1">OFFSET(PTRA!W$218,$E101,0)</f>
        <v>3.3122515918590074</v>
      </c>
      <c r="O101" s="18">
        <f ca="1">OFFSET(PTRA!X$218,$E101,0)</f>
        <v>3.3917287260867077</v>
      </c>
      <c r="P101" s="18">
        <f ca="1">OFFSET(PTRA!Y$218,$E101,0)</f>
        <v>3.471205860314408</v>
      </c>
      <c r="Q101" s="18">
        <f ca="1">OFFSET(PTRA!Z$218,$E101,0)</f>
        <v>3.5506829945421083</v>
      </c>
      <c r="R101" s="18">
        <f ca="1">OFFSET(PTRA!AA$218,$E101,0)</f>
        <v>3.6301601287698086</v>
      </c>
      <c r="S101" s="18">
        <f ca="1">OFFSET(PTRA!AB$218,$E101,0)</f>
        <v>3.709637262997509</v>
      </c>
      <c r="T101" s="18">
        <f ca="1">OFFSET(PTRA!AC$218,$E101,0)</f>
        <v>3.7891143972252102</v>
      </c>
      <c r="U101" s="18">
        <f ca="1">OFFSET(PTRA!AD$218,$E101,0)</f>
        <v>3.892142414074808</v>
      </c>
      <c r="V101" s="18">
        <f ca="1">OFFSET(PTRA!AE$218,$E101,0)</f>
        <v>3.9951704309244058</v>
      </c>
      <c r="W101" s="18">
        <f ca="1">OFFSET(PTRA!AH$218,$E101,0)</f>
        <v>4.0981984477740037</v>
      </c>
      <c r="X101" s="18">
        <f ca="1">OFFSET(PTRA!AI$218,$E101,0)</f>
        <v>4.2012264646236019</v>
      </c>
      <c r="Y101" s="18">
        <f ca="1">OFFSET(PTRA!AJ$218,$E101,0)</f>
        <v>4.3042544814732002</v>
      </c>
      <c r="Z101" s="18">
        <f ca="1">OFFSET(PTRA!AK$218,$E101,0)</f>
        <v>4.4072824983227985</v>
      </c>
      <c r="AA101" s="18">
        <f ca="1">OFFSET(PTRA!AL$218,$E101,0)</f>
        <v>4.5103105151723968</v>
      </c>
      <c r="AB101" s="18">
        <f ca="1">OFFSET(PTRA!AM$218,$E101,0)</f>
        <v>4.6133385320219951</v>
      </c>
      <c r="AC101" s="18">
        <f ca="1">OFFSET(PTRA!AO$218,$E101,0)</f>
        <v>4.7163665488715933</v>
      </c>
      <c r="AD101" s="18">
        <f ca="1">OFFSET(PTRA!AQ$218,$E101,0)</f>
        <v>4.8193945657211898</v>
      </c>
      <c r="AE101" s="18">
        <f ca="1">OFFSET(PTRA!AR$218,$E101,0)</f>
        <v>5.6351033866741149</v>
      </c>
      <c r="AF101" s="18">
        <f ca="1">OFFSET(PTRA!AS$218,$E101,0)</f>
        <v>6.45081220762704</v>
      </c>
      <c r="AG101" s="18">
        <f ca="1">OFFSET(PTRA!AT$218,$E101,0)</f>
        <v>7.000863446646318</v>
      </c>
      <c r="AH101" s="18">
        <f ca="1">OFFSET(PTRA!AU$218,$E101,0)</f>
        <v>6.5832071128729028</v>
      </c>
      <c r="AJ101">
        <f t="shared" ca="1" si="3"/>
        <v>1.1115041689055813</v>
      </c>
    </row>
    <row r="102" spans="1:36">
      <c r="A102" s="27" t="s">
        <v>115</v>
      </c>
      <c r="B102">
        <v>9.7306216335790001</v>
      </c>
      <c r="C102" t="s">
        <v>724</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17.41831440533014</v>
      </c>
      <c r="L102" s="18">
        <f ca="1">OFFSET(PTRA!S$218,$E102,0)</f>
        <v>17.868684832620442</v>
      </c>
      <c r="M102" s="18">
        <f ca="1">OFFSET(PTRA!T$218,$E102,0)</f>
        <v>18.319055259910744</v>
      </c>
      <c r="N102" s="18">
        <f ca="1">OFFSET(PTRA!W$218,$E102,0)</f>
        <v>18.769425687201046</v>
      </c>
      <c r="O102" s="18">
        <f ca="1">OFFSET(PTRA!X$218,$E102,0)</f>
        <v>19.219796114491349</v>
      </c>
      <c r="P102" s="18">
        <f ca="1">OFFSET(PTRA!Y$218,$E102,0)</f>
        <v>19.670166541781651</v>
      </c>
      <c r="Q102" s="18">
        <f ca="1">OFFSET(PTRA!Z$218,$E102,0)</f>
        <v>20.120536969071953</v>
      </c>
      <c r="R102" s="18">
        <f ca="1">OFFSET(PTRA!AA$218,$E102,0)</f>
        <v>20.570907396362255</v>
      </c>
      <c r="S102" s="18">
        <f ca="1">OFFSET(PTRA!AB$218,$E102,0)</f>
        <v>21.021277823652557</v>
      </c>
      <c r="T102" s="18">
        <f ca="1">OFFSET(PTRA!AC$218,$E102,0)</f>
        <v>21.471648250942859</v>
      </c>
      <c r="U102" s="18">
        <f ca="1">OFFSET(PTRA!AD$218,$E102,0)</f>
        <v>22.055473679757249</v>
      </c>
      <c r="V102" s="18">
        <f ca="1">OFFSET(PTRA!AE$218,$E102,0)</f>
        <v>22.639299108571638</v>
      </c>
      <c r="W102" s="18">
        <f ca="1">OFFSET(PTRA!AH$218,$E102,0)</f>
        <v>23.223124537386028</v>
      </c>
      <c r="X102" s="18">
        <f ca="1">OFFSET(PTRA!AI$218,$E102,0)</f>
        <v>23.806949966200417</v>
      </c>
      <c r="Y102" s="18">
        <f ca="1">OFFSET(PTRA!AJ$218,$E102,0)</f>
        <v>24.390775395014806</v>
      </c>
      <c r="Z102" s="18">
        <f ca="1">OFFSET(PTRA!AK$218,$E102,0)</f>
        <v>24.974600823829196</v>
      </c>
      <c r="AA102" s="18">
        <f ca="1">OFFSET(PTRA!AL$218,$E102,0)</f>
        <v>25.558426252643585</v>
      </c>
      <c r="AB102" s="18">
        <f ca="1">OFFSET(PTRA!AM$218,$E102,0)</f>
        <v>26.142251681457974</v>
      </c>
      <c r="AC102" s="18">
        <f ca="1">OFFSET(PTRA!AO$218,$E102,0)</f>
        <v>26.726077110272364</v>
      </c>
      <c r="AD102" s="18">
        <f ca="1">OFFSET(PTRA!AQ$218,$E102,0)</f>
        <v>27.309902539086746</v>
      </c>
      <c r="AE102" s="18">
        <f ca="1">OFFSET(PTRA!AR$218,$E102,0)</f>
        <v>31.932252524486657</v>
      </c>
      <c r="AF102" s="18">
        <f ca="1">OFFSET(PTRA!AS$218,$E102,0)</f>
        <v>36.554602509886564</v>
      </c>
      <c r="AG102" s="18">
        <f ca="1">OFFSET(PTRA!AT$218,$E102,0)</f>
        <v>39.671559530995808</v>
      </c>
      <c r="AH102" s="18">
        <f ca="1">OFFSET(PTRA!AU$218,$E102,0)</f>
        <v>37.304840306279786</v>
      </c>
      <c r="AJ102">
        <f t="shared" ca="1" si="3"/>
        <v>2.1011849326723246</v>
      </c>
    </row>
    <row r="103" spans="1:36">
      <c r="A103" s="27" t="s">
        <v>119</v>
      </c>
      <c r="B103" t="s">
        <v>370</v>
      </c>
      <c r="C103" t="s">
        <v>724</v>
      </c>
      <c r="D103" t="s">
        <v>272</v>
      </c>
      <c r="E103" s="110">
        <f>MATCH(F103,PTRA!$H$219:$H$226,0)</f>
        <v>6</v>
      </c>
      <c r="F103" t="str">
        <f t="shared" si="2"/>
        <v>TPPUBRT</v>
      </c>
      <c r="G103" s="18">
        <f ca="1">OFFSET(PTRA!N$218,$E103,0)</f>
        <v>7.2799982901224303E-2</v>
      </c>
      <c r="H103" s="18">
        <f ca="1">OFFSET(PTRA!O$218,$E103,0)</f>
        <v>9.2054765383727061E-2</v>
      </c>
      <c r="I103" s="18">
        <f ca="1">OFFSET(PTRA!P$218,$E103,0)</f>
        <v>0.1113095478662298</v>
      </c>
      <c r="J103" s="18">
        <f ca="1">OFFSET(PTRA!Q$218,$E103,0)</f>
        <v>0.11091277099762989</v>
      </c>
      <c r="K103" s="18">
        <f ca="1">OFFSET(PTRA!R$218,$E103,0)</f>
        <v>0.11321787750148378</v>
      </c>
      <c r="L103" s="18">
        <f ca="1">OFFSET(PTRA!S$218,$E103,0)</f>
        <v>0.11269197283348066</v>
      </c>
      <c r="M103" s="18">
        <f ca="1">OFFSET(PTRA!T$218,$E103,0)</f>
        <v>0.11216606816547754</v>
      </c>
      <c r="N103" s="18">
        <f ca="1">OFFSET(PTRA!W$218,$E103,0)</f>
        <v>0.11164016349747442</v>
      </c>
      <c r="O103" s="18">
        <f ca="1">OFFSET(PTRA!X$218,$E103,0)</f>
        <v>0.1111142588294713</v>
      </c>
      <c r="P103" s="18">
        <f ca="1">OFFSET(PTRA!Y$218,$E103,0)</f>
        <v>0.11058835416146819</v>
      </c>
      <c r="Q103" s="18">
        <f ca="1">OFFSET(PTRA!Z$218,$E103,0)</f>
        <v>0.11006244949346507</v>
      </c>
      <c r="R103" s="18">
        <f ca="1">OFFSET(PTRA!AA$218,$E103,0)</f>
        <v>0.10953654482546195</v>
      </c>
      <c r="S103" s="18">
        <f ca="1">OFFSET(PTRA!AB$218,$E103,0)</f>
        <v>0.10901064015745883</v>
      </c>
      <c r="T103" s="18">
        <f ca="1">OFFSET(PTRA!AC$218,$E103,0)</f>
        <v>0.10848473548945574</v>
      </c>
      <c r="U103" s="18">
        <f ca="1">OFFSET(PTRA!AD$218,$E103,0)</f>
        <v>0.10934665020322129</v>
      </c>
      <c r="V103" s="18">
        <f ca="1">OFFSET(PTRA!AE$218,$E103,0)</f>
        <v>0.11020856491698686</v>
      </c>
      <c r="W103" s="18">
        <f ca="1">OFFSET(PTRA!AH$218,$E103,0)</f>
        <v>0.11107047963075242</v>
      </c>
      <c r="X103" s="18">
        <f ca="1">OFFSET(PTRA!AI$218,$E103,0)</f>
        <v>0.11193239434451799</v>
      </c>
      <c r="Y103" s="18">
        <f ca="1">OFFSET(PTRA!AJ$218,$E103,0)</f>
        <v>0.11279430905828355</v>
      </c>
      <c r="Z103" s="18">
        <f ca="1">OFFSET(PTRA!AK$218,$E103,0)</f>
        <v>0.11365622377204912</v>
      </c>
      <c r="AA103" s="18">
        <f ca="1">OFFSET(PTRA!AL$218,$E103,0)</f>
        <v>0.11451813848581469</v>
      </c>
      <c r="AB103" s="18">
        <f ca="1">OFFSET(PTRA!AM$218,$E103,0)</f>
        <v>0.11538005319958025</v>
      </c>
      <c r="AC103" s="18">
        <f ca="1">OFFSET(PTRA!AO$218,$E103,0)</f>
        <v>0.11624196791334582</v>
      </c>
      <c r="AD103" s="18">
        <f ca="1">OFFSET(PTRA!AQ$218,$E103,0)</f>
        <v>0.11710388262711133</v>
      </c>
      <c r="AE103" s="18">
        <f ca="1">OFFSET(PTRA!AR$218,$E103,0)</f>
        <v>0.12035173605626301</v>
      </c>
      <c r="AF103" s="18">
        <f ca="1">OFFSET(PTRA!AS$218,$E103,0)</f>
        <v>0.12359958948541468</v>
      </c>
      <c r="AG103" s="18">
        <f ca="1">OFFSET(PTRA!AT$218,$E103,0)</f>
        <v>0.12724652598918682</v>
      </c>
      <c r="AH103" s="18">
        <f ca="1">OFFSET(PTRA!AU$218,$E103,0)</f>
        <v>0.12871195614866676</v>
      </c>
      <c r="AJ103">
        <f t="shared" ca="1" si="3"/>
        <v>1.7680217909295988</v>
      </c>
    </row>
    <row r="104" spans="1:36">
      <c r="A104" s="27" t="s">
        <v>117</v>
      </c>
      <c r="B104">
        <v>0.62801975359410001</v>
      </c>
      <c r="C104" t="s">
        <v>724</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0.67620071242540647</v>
      </c>
      <c r="L104" s="18">
        <f ca="1">OFFSET(PTRA!S$218,$E104,0)</f>
        <v>0.67955066424642951</v>
      </c>
      <c r="M104" s="18">
        <f ca="1">OFFSET(PTRA!T$218,$E104,0)</f>
        <v>0.68290061606745256</v>
      </c>
      <c r="N104" s="18">
        <f ca="1">OFFSET(PTRA!W$218,$E104,0)</f>
        <v>0.6862505678884756</v>
      </c>
      <c r="O104" s="18">
        <f ca="1">OFFSET(PTRA!X$218,$E104,0)</f>
        <v>0.68960051970949865</v>
      </c>
      <c r="P104" s="18">
        <f ca="1">OFFSET(PTRA!Y$218,$E104,0)</f>
        <v>0.69295047153052169</v>
      </c>
      <c r="Q104" s="18">
        <f ca="1">OFFSET(PTRA!Z$218,$E104,0)</f>
        <v>0.69630042335154474</v>
      </c>
      <c r="R104" s="18">
        <f ca="1">OFFSET(PTRA!AA$218,$E104,0)</f>
        <v>0.69965037517256778</v>
      </c>
      <c r="S104" s="18">
        <f ca="1">OFFSET(PTRA!AB$218,$E104,0)</f>
        <v>0.70300032699359083</v>
      </c>
      <c r="T104" s="18">
        <f ca="1">OFFSET(PTRA!AC$218,$E104,0)</f>
        <v>0.70635027881461387</v>
      </c>
      <c r="U104" s="18">
        <f ca="1">OFFSET(PTRA!AD$218,$E104,0)</f>
        <v>0.70722529850125093</v>
      </c>
      <c r="V104" s="18">
        <f ca="1">OFFSET(PTRA!AE$218,$E104,0)</f>
        <v>0.70810031818788799</v>
      </c>
      <c r="W104" s="18">
        <f ca="1">OFFSET(PTRA!AH$218,$E104,0)</f>
        <v>0.70897533787452505</v>
      </c>
      <c r="X104" s="18">
        <f ca="1">OFFSET(PTRA!AI$218,$E104,0)</f>
        <v>0.7098503575611621</v>
      </c>
      <c r="Y104" s="18">
        <f ca="1">OFFSET(PTRA!AJ$218,$E104,0)</f>
        <v>0.71072537724779916</v>
      </c>
      <c r="Z104" s="18">
        <f ca="1">OFFSET(PTRA!AK$218,$E104,0)</f>
        <v>0.71160039693443622</v>
      </c>
      <c r="AA104" s="18">
        <f ca="1">OFFSET(PTRA!AL$218,$E104,0)</f>
        <v>0.71247541662107328</v>
      </c>
      <c r="AB104" s="18">
        <f ca="1">OFFSET(PTRA!AM$218,$E104,0)</f>
        <v>0.71335043630771033</v>
      </c>
      <c r="AC104" s="18">
        <f ca="1">OFFSET(PTRA!AO$218,$E104,0)</f>
        <v>0.71422545599434739</v>
      </c>
      <c r="AD104" s="18">
        <f ca="1">OFFSET(PTRA!AQ$218,$E104,0)</f>
        <v>0.71510047568098489</v>
      </c>
      <c r="AE104" s="18">
        <f ca="1">OFFSET(PTRA!AR$218,$E104,0)</f>
        <v>0.69155953684577742</v>
      </c>
      <c r="AF104" s="18">
        <f ca="1">OFFSET(PTRA!AS$218,$E104,0)</f>
        <v>0.66801859801056995</v>
      </c>
      <c r="AG104" s="18">
        <f ca="1">OFFSET(PTRA!AT$218,$E104,0)</f>
        <v>0.66153964240051011</v>
      </c>
      <c r="AH104" s="18">
        <f ca="1">OFFSET(PTRA!AU$218,$E104,0)</f>
        <v>0.69553202688274296</v>
      </c>
      <c r="AJ104">
        <f t="shared" ca="1" si="3"/>
        <v>1.0817538962347091</v>
      </c>
    </row>
    <row r="105" spans="1:36">
      <c r="A105" s="27" t="s">
        <v>121</v>
      </c>
      <c r="B105" t="s">
        <v>370</v>
      </c>
      <c r="C105" t="s">
        <v>724</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0.6528281316673451</v>
      </c>
      <c r="L105" s="18">
        <f ca="1">OFFSET(PTRA!S$218,$E105,0)</f>
        <v>0.75920400441386882</v>
      </c>
      <c r="M105" s="18">
        <f ca="1">OFFSET(PTRA!T$218,$E105,0)</f>
        <v>0.86557987716039264</v>
      </c>
      <c r="N105" s="18">
        <f ca="1">OFFSET(PTRA!W$218,$E105,0)</f>
        <v>0.97195574990691647</v>
      </c>
      <c r="O105" s="18">
        <f ca="1">OFFSET(PTRA!X$218,$E105,0)</f>
        <v>1.0783316226534403</v>
      </c>
      <c r="P105" s="18">
        <f ca="1">OFFSET(PTRA!Y$218,$E105,0)</f>
        <v>1.1847074953999641</v>
      </c>
      <c r="Q105" s="18">
        <f ca="1">OFFSET(PTRA!Z$218,$E105,0)</f>
        <v>1.2910833681464879</v>
      </c>
      <c r="R105" s="18">
        <f ca="1">OFFSET(PTRA!AA$218,$E105,0)</f>
        <v>1.3974592408930118</v>
      </c>
      <c r="S105" s="18">
        <f ca="1">OFFSET(PTRA!AB$218,$E105,0)</f>
        <v>1.5038351136395356</v>
      </c>
      <c r="T105" s="18">
        <f ca="1">OFFSET(PTRA!AC$218,$E105,0)</f>
        <v>1.610210986386059</v>
      </c>
      <c r="U105" s="18">
        <f ca="1">OFFSET(PTRA!AD$218,$E105,0)</f>
        <v>1.7300890942780629</v>
      </c>
      <c r="V105" s="18">
        <f ca="1">OFFSET(PTRA!AE$218,$E105,0)</f>
        <v>1.8499672021700668</v>
      </c>
      <c r="W105" s="18">
        <f ca="1">OFFSET(PTRA!AH$218,$E105,0)</f>
        <v>1.9698453100620708</v>
      </c>
      <c r="X105" s="18">
        <f ca="1">OFFSET(PTRA!AI$218,$E105,0)</f>
        <v>2.0897234179540747</v>
      </c>
      <c r="Y105" s="18">
        <f ca="1">OFFSET(PTRA!AJ$218,$E105,0)</f>
        <v>2.2096015258460784</v>
      </c>
      <c r="Z105" s="18">
        <f ca="1">OFFSET(PTRA!AK$218,$E105,0)</f>
        <v>2.3294796337380821</v>
      </c>
      <c r="AA105" s="18">
        <f ca="1">OFFSET(PTRA!AL$218,$E105,0)</f>
        <v>2.4493577416300858</v>
      </c>
      <c r="AB105" s="18">
        <f ca="1">OFFSET(PTRA!AM$218,$E105,0)</f>
        <v>2.5692358495220895</v>
      </c>
      <c r="AC105" s="18">
        <f ca="1">OFFSET(PTRA!AO$218,$E105,0)</f>
        <v>2.6891139574140932</v>
      </c>
      <c r="AD105" s="18">
        <f ca="1">OFFSET(PTRA!AQ$218,$E105,0)</f>
        <v>2.8089920653060978</v>
      </c>
      <c r="AE105" s="18">
        <f ca="1">OFFSET(PTRA!AR$218,$E105,0)</f>
        <v>3.7690936687048566</v>
      </c>
      <c r="AF105" s="18">
        <f ca="1">OFFSET(PTRA!AS$218,$E105,0)</f>
        <v>4.729195272103615</v>
      </c>
      <c r="AG105" s="18">
        <f ca="1">OFFSET(PTRA!AT$218,$E105,0)</f>
        <v>6.0843487560592608</v>
      </c>
      <c r="AH105" s="18">
        <f ca="1">OFFSET(PTRA!AU$218,$E105,0)</f>
        <v>6.9301888327392636</v>
      </c>
      <c r="AJ105">
        <f t="shared" ca="1" si="3"/>
        <v>10.685808447224728</v>
      </c>
    </row>
    <row r="106" spans="1:36">
      <c r="A106" s="27" t="s">
        <v>118</v>
      </c>
      <c r="B106">
        <v>8.3842691666009994</v>
      </c>
      <c r="C106" t="s">
        <v>724</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7.5870385099150655</v>
      </c>
      <c r="L106" s="18">
        <f ca="1">OFFSET(PTRA!S$218,$E106,0)</f>
        <v>7.596332335549608</v>
      </c>
      <c r="M106" s="18">
        <f ca="1">OFFSET(PTRA!T$218,$E106,0)</f>
        <v>7.6056261611841505</v>
      </c>
      <c r="N106" s="18">
        <f ca="1">OFFSET(PTRA!W$218,$E106,0)</f>
        <v>7.614919986818693</v>
      </c>
      <c r="O106" s="18">
        <f ca="1">OFFSET(PTRA!X$218,$E106,0)</f>
        <v>7.6242138124532355</v>
      </c>
      <c r="P106" s="18">
        <f ca="1">OFFSET(PTRA!Y$218,$E106,0)</f>
        <v>7.633507638087778</v>
      </c>
      <c r="Q106" s="18">
        <f ca="1">OFFSET(PTRA!Z$218,$E106,0)</f>
        <v>7.6428014637223205</v>
      </c>
      <c r="R106" s="18">
        <f ca="1">OFFSET(PTRA!AA$218,$E106,0)</f>
        <v>7.652095289356863</v>
      </c>
      <c r="S106" s="18">
        <f ca="1">OFFSET(PTRA!AB$218,$E106,0)</f>
        <v>7.6613891149914055</v>
      </c>
      <c r="T106" s="18">
        <f ca="1">OFFSET(PTRA!AC$218,$E106,0)</f>
        <v>7.6706829406259498</v>
      </c>
      <c r="U106" s="18">
        <f ca="1">OFFSET(PTRA!AD$218,$E106,0)</f>
        <v>7.6602015012828408</v>
      </c>
      <c r="V106" s="18">
        <f ca="1">OFFSET(PTRA!AE$218,$E106,0)</f>
        <v>7.6497200619397319</v>
      </c>
      <c r="W106" s="18">
        <f ca="1">OFFSET(PTRA!AH$218,$E106,0)</f>
        <v>7.6392386225966229</v>
      </c>
      <c r="X106" s="18">
        <f ca="1">OFFSET(PTRA!AI$218,$E106,0)</f>
        <v>7.6287571832535139</v>
      </c>
      <c r="Y106" s="18">
        <f ca="1">OFFSET(PTRA!AJ$218,$E106,0)</f>
        <v>7.618275743910405</v>
      </c>
      <c r="Z106" s="18">
        <f ca="1">OFFSET(PTRA!AK$218,$E106,0)</f>
        <v>7.607794304567296</v>
      </c>
      <c r="AA106" s="18">
        <f ca="1">OFFSET(PTRA!AL$218,$E106,0)</f>
        <v>7.597312865224187</v>
      </c>
      <c r="AB106" s="18">
        <f ca="1">OFFSET(PTRA!AM$218,$E106,0)</f>
        <v>7.5868314258810781</v>
      </c>
      <c r="AC106" s="18">
        <f ca="1">OFFSET(PTRA!AO$218,$E106,0)</f>
        <v>7.5763499865379691</v>
      </c>
      <c r="AD106" s="18">
        <f ca="1">OFFSET(PTRA!AQ$218,$E106,0)</f>
        <v>7.565868547194861</v>
      </c>
      <c r="AE106" s="18">
        <f ca="1">OFFSET(PTRA!AR$218,$E106,0)</f>
        <v>7.3168019408062639</v>
      </c>
      <c r="AF106" s="18">
        <f ca="1">OFFSET(PTRA!AS$218,$E106,0)</f>
        <v>7.0677353344176668</v>
      </c>
      <c r="AG106" s="18">
        <f ca="1">OFFSET(PTRA!AT$218,$E106,0)</f>
        <v>6.9991870280805148</v>
      </c>
      <c r="AH106" s="18">
        <f ca="1">OFFSET(PTRA!AU$218,$E106,0)</f>
        <v>7.3588314715461243</v>
      </c>
      <c r="AJ106">
        <f t="shared" ca="1" si="3"/>
        <v>1.0202107173768058</v>
      </c>
    </row>
    <row r="107" spans="1:36">
      <c r="A107" s="27" t="s">
        <v>120</v>
      </c>
      <c r="B107">
        <v>13.9</v>
      </c>
      <c r="C107" t="s">
        <v>724</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9.1535777190606566</v>
      </c>
      <c r="L107" s="18">
        <f ca="1">OFFSET(PTRA!S$218,$E107,0)</f>
        <v>9.5950267537405001</v>
      </c>
      <c r="M107" s="18">
        <f ca="1">OFFSET(PTRA!T$218,$E107,0)</f>
        <v>10.036475788420343</v>
      </c>
      <c r="N107" s="18">
        <f ca="1">OFFSET(PTRA!W$218,$E107,0)</f>
        <v>10.477924823100187</v>
      </c>
      <c r="O107" s="18">
        <f ca="1">OFFSET(PTRA!X$218,$E107,0)</f>
        <v>10.91937385778003</v>
      </c>
      <c r="P107" s="18">
        <f ca="1">OFFSET(PTRA!Y$218,$E107,0)</f>
        <v>11.360822892459874</v>
      </c>
      <c r="Q107" s="18">
        <f ca="1">OFFSET(PTRA!Z$218,$E107,0)</f>
        <v>11.802271927139717</v>
      </c>
      <c r="R107" s="18">
        <f ca="1">OFFSET(PTRA!AA$218,$E107,0)</f>
        <v>12.243720961819561</v>
      </c>
      <c r="S107" s="18">
        <f ca="1">OFFSET(PTRA!AB$218,$E107,0)</f>
        <v>12.685169996499404</v>
      </c>
      <c r="T107" s="18">
        <f ca="1">OFFSET(PTRA!AC$218,$E107,0)</f>
        <v>13.126619031179249</v>
      </c>
      <c r="U107" s="18">
        <f ca="1">OFFSET(PTRA!AD$218,$E107,0)</f>
        <v>13.422653425074495</v>
      </c>
      <c r="V107" s="18">
        <f ca="1">OFFSET(PTRA!AE$218,$E107,0)</f>
        <v>13.718687818969741</v>
      </c>
      <c r="W107" s="18">
        <f ca="1">OFFSET(PTRA!AH$218,$E107,0)</f>
        <v>14.014722212864987</v>
      </c>
      <c r="X107" s="18">
        <f ca="1">OFFSET(PTRA!AI$218,$E107,0)</f>
        <v>14.310756606760233</v>
      </c>
      <c r="Y107" s="18">
        <f ca="1">OFFSET(PTRA!AJ$218,$E107,0)</f>
        <v>14.606791000655479</v>
      </c>
      <c r="Z107" s="18">
        <f ca="1">OFFSET(PTRA!AK$218,$E107,0)</f>
        <v>14.902825394550725</v>
      </c>
      <c r="AA107" s="18">
        <f ca="1">OFFSET(PTRA!AL$218,$E107,0)</f>
        <v>15.19885978844597</v>
      </c>
      <c r="AB107" s="18">
        <f ca="1">OFFSET(PTRA!AM$218,$E107,0)</f>
        <v>15.494894182341216</v>
      </c>
      <c r="AC107" s="18">
        <f ca="1">OFFSET(PTRA!AO$218,$E107,0)</f>
        <v>15.790928576236462</v>
      </c>
      <c r="AD107" s="18">
        <f ca="1">OFFSET(PTRA!AQ$218,$E107,0)</f>
        <v>16.086962970131705</v>
      </c>
      <c r="AE107" s="18">
        <f ca="1">OFFSET(PTRA!AR$218,$E107,0)</f>
        <v>15.557383947039204</v>
      </c>
      <c r="AF107" s="18">
        <f ca="1">OFFSET(PTRA!AS$218,$E107,0)</f>
        <v>15.027804923946704</v>
      </c>
      <c r="AG107" s="18">
        <f ca="1">OFFSET(PTRA!AT$218,$E107,0)</f>
        <v>14.882053770747001</v>
      </c>
      <c r="AH107" s="18">
        <f ca="1">OFFSET(PTRA!AU$218,$E107,0)</f>
        <v>15.646749431047624</v>
      </c>
      <c r="AJ107">
        <f t="shared" ca="1" si="3"/>
        <v>1.79747867234253</v>
      </c>
    </row>
    <row r="108" spans="1:36">
      <c r="A108" s="27" t="s">
        <v>146</v>
      </c>
      <c r="B108">
        <v>0.1024485696</v>
      </c>
      <c r="C108" t="s">
        <v>724</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4.6283316988252743</v>
      </c>
      <c r="L108" s="18">
        <f ca="1">OFFSET(OtherTRA!O$51,$E108,0)</f>
        <v>4.9307062921517542</v>
      </c>
      <c r="M108" s="18">
        <f ca="1">OFFSET(OtherTRA!P$51,$E108,0)</f>
        <v>5.233080885478234</v>
      </c>
      <c r="N108" s="18">
        <f ca="1">OFFSET(OtherTRA!Q$51,$E108,0)</f>
        <v>5.5354554788047139</v>
      </c>
      <c r="O108" s="18">
        <f ca="1">OFFSET(OtherTRA!R$51,$E108,0)</f>
        <v>5.8378300721311938</v>
      </c>
      <c r="P108" s="18">
        <f ca="1">OFFSET(OtherTRA!S$51,$E108,0)</f>
        <v>6.1402046654576736</v>
      </c>
      <c r="Q108" s="18">
        <f ca="1">OFFSET(OtherTRA!T$51,$E108,0)</f>
        <v>6.4425792587841535</v>
      </c>
      <c r="R108" s="18">
        <f ca="1">OFFSET(OtherTRA!U$51,$E108,0)</f>
        <v>6.7449538521106334</v>
      </c>
      <c r="S108" s="18">
        <f ca="1">OFFSET(OtherTRA!V$51,$E108,0)</f>
        <v>7.0473284454371132</v>
      </c>
      <c r="T108" s="18">
        <f ca="1">OFFSET(OtherTRA!W$51,$E108,0)</f>
        <v>7.3497030387635922</v>
      </c>
      <c r="U108" s="18">
        <f ca="1">OFFSET(OtherTRA!X$51,$E108,0)</f>
        <v>7.6210099595598386</v>
      </c>
      <c r="V108" s="18">
        <f ca="1">OFFSET(OtherTRA!Y$51,$E108,0)</f>
        <v>7.8923168803560841</v>
      </c>
      <c r="W108" s="18">
        <f ca="1">OFFSET(OtherTRA!Z$51,$E108,0)</f>
        <v>8.1636238011523297</v>
      </c>
      <c r="X108" s="18">
        <f ca="1">OFFSET(OtherTRA!AA$51,$E108,0)</f>
        <v>8.4349307219485752</v>
      </c>
      <c r="Y108" s="18">
        <f ca="1">OFFSET(OtherTRA!AB$51,$E108,0)</f>
        <v>8.7062376427448207</v>
      </c>
      <c r="Z108" s="18">
        <f ca="1">OFFSET(OtherTRA!AC$51,$E108,0)</f>
        <v>8.9775445635410662</v>
      </c>
      <c r="AA108" s="18">
        <f ca="1">OFFSET(OtherTRA!AD$51,$E108,0)</f>
        <v>9.2488514843373117</v>
      </c>
      <c r="AB108" s="18">
        <f ca="1">OFFSET(OtherTRA!AE$51,$E108,0)</f>
        <v>9.5201584051335573</v>
      </c>
      <c r="AC108" s="18">
        <f ca="1">OFFSET(OtherTRA!AF$51,$E108,0)</f>
        <v>9.7914653259298028</v>
      </c>
      <c r="AD108" s="18">
        <f ca="1">OFFSET(OtherTRA!AG$51,$E108,0)</f>
        <v>10.062772246726052</v>
      </c>
      <c r="AE108" s="18">
        <f ca="1">OFFSET(OtherTRA!AH$51,$E108,0)</f>
        <v>10.322580603322384</v>
      </c>
      <c r="AF108" s="18">
        <f ca="1">OFFSET(OtherTRA!AI$51,$E108,0)</f>
        <v>10.582388959918717</v>
      </c>
      <c r="AG108" s="18">
        <f ca="1">OFFSET(OtherTRA!AJ$51,$E108,0)</f>
        <v>10.842197316515049</v>
      </c>
      <c r="AH108" s="18">
        <f ca="1">OFFSET(OtherTRA!AK$51,$E108,0)</f>
        <v>11.102005673111382</v>
      </c>
      <c r="AJ108">
        <f t="shared" ca="1" si="3"/>
        <v>2.4623987878508542</v>
      </c>
    </row>
    <row r="109" spans="1:36">
      <c r="A109" s="27" t="s">
        <v>225</v>
      </c>
      <c r="B109">
        <v>82.184767358499997</v>
      </c>
      <c r="C109" t="s">
        <v>724</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2">
        <f ca="1">OFFSET(COM!T$247,$E109,0)</f>
        <v>125.66790009395055</v>
      </c>
      <c r="K109" s="18">
        <f ca="1">OFFSET(COM!U$247,$E109,0)</f>
        <v>125.82446386913696</v>
      </c>
      <c r="L109" s="18">
        <f ca="1">OFFSET(COM!V$247,$E109,0)</f>
        <v>126.00915323428573</v>
      </c>
      <c r="M109" s="18">
        <f ca="1">OFFSET(COM!W$247,$E109,0)</f>
        <v>125.89137541830218</v>
      </c>
      <c r="N109" s="18">
        <f ca="1">OFFSET(COM!X$247,$E109,0)</f>
        <v>125.81546453342236</v>
      </c>
      <c r="O109" s="162">
        <f ca="1">OFFSET(COM!Y$247,$E109,0)</f>
        <v>125.72168080325004</v>
      </c>
      <c r="P109" s="18">
        <f ca="1">OFFSET(COM!Z$247,$E109,0)</f>
        <v>125.64466840765294</v>
      </c>
      <c r="Q109" s="18">
        <f ca="1">OFFSET(COM!AA$247,$E109,0)</f>
        <v>125.62701535893945</v>
      </c>
      <c r="R109" s="18">
        <f ca="1">OFFSET(COM!AB$247,$E109,0)</f>
        <v>125.62806322903805</v>
      </c>
      <c r="S109" s="18">
        <f ca="1">OFFSET(COM!AC$247,$E109,0)</f>
        <v>125.64429383956727</v>
      </c>
      <c r="T109" s="18">
        <f ca="1">OFFSET(COM!AD$247,$E109,0)</f>
        <v>125.70136804325334</v>
      </c>
      <c r="U109" s="18">
        <f ca="1">OFFSET(COM!AE$247,$E109,0)</f>
        <v>125.01308959182597</v>
      </c>
      <c r="V109" s="18">
        <f ca="1">OFFSET(COM!AF$247,$E109,0)</f>
        <v>124.34261585385154</v>
      </c>
      <c r="W109" s="18">
        <f ca="1">OFFSET(COM!AG$247,$E109,0)</f>
        <v>123.67175737287899</v>
      </c>
      <c r="X109" s="18">
        <f ca="1">OFFSET(COM!AH$247,$E109,0)</f>
        <v>123.0149180210058</v>
      </c>
      <c r="Y109" s="18">
        <f ca="1">OFFSET(COM!AI$247,$E109,0)</f>
        <v>122.38165247203102</v>
      </c>
      <c r="Z109" s="18">
        <f ca="1">OFFSET(COM!AJ$247,$E109,0)</f>
        <v>121.74600585639419</v>
      </c>
      <c r="AA109" s="18">
        <f ca="1">OFFSET(COM!AK$247,$E109,0)</f>
        <v>121.12048210751405</v>
      </c>
      <c r="AB109" s="18">
        <f ca="1">OFFSET(COM!AL$247,$E109,0)</f>
        <v>120.51011280734417</v>
      </c>
      <c r="AC109" s="18">
        <f ca="1">OFFSET(COM!AM$247,$E109,0)</f>
        <v>119.90808338340645</v>
      </c>
      <c r="AD109" s="18">
        <f ca="1">OFFSET(COM!AN$247,$E109,0)</f>
        <v>119.30550109179261</v>
      </c>
      <c r="AE109" s="18">
        <f ca="1">OFFSET(COM!AO$247,$E109,0)</f>
        <v>116.63587094717191</v>
      </c>
      <c r="AF109" s="18">
        <f ca="1">OFFSET(COM!AP$247,$E109,0)</f>
        <v>113.76354364512946</v>
      </c>
      <c r="AG109" s="18">
        <f ca="1">OFFSET(COM!AQ$247,$E109,0)</f>
        <v>107.430893767689</v>
      </c>
      <c r="AH109" s="18">
        <f ca="1">OFFSET(COM!AR$247,$E109,0)</f>
        <v>98.002041829350077</v>
      </c>
      <c r="AJ109">
        <f t="shared" ca="1" si="3"/>
        <v>0.76318017667210769</v>
      </c>
    </row>
    <row r="110" spans="1:36">
      <c r="A110" s="27" t="s">
        <v>231</v>
      </c>
      <c r="B110">
        <v>9.1664843454099998</v>
      </c>
      <c r="C110" t="s">
        <v>724</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2">
        <f ca="1">OFFSET(COM!T$247,$E110,0)</f>
        <v>9.5950215040281002</v>
      </c>
      <c r="K110" s="18">
        <f ca="1">OFFSET(COM!U$247,$E110,0)</f>
        <v>9.7477819087863704</v>
      </c>
      <c r="L110" s="18">
        <f ca="1">OFFSET(COM!V$247,$E110,0)</f>
        <v>9.9180496228188275</v>
      </c>
      <c r="M110" s="18">
        <f ca="1">OFFSET(COM!W$247,$E110,0)</f>
        <v>9.9832054611891152</v>
      </c>
      <c r="N110" s="18">
        <f ca="1">OFFSET(COM!X$247,$E110,0)</f>
        <v>10.070663595045366</v>
      </c>
      <c r="O110" s="162">
        <f ca="1">OFFSET(COM!Y$247,$E110,0)</f>
        <v>10.158295931578795</v>
      </c>
      <c r="P110" s="18">
        <f ca="1">OFFSET(COM!Z$247,$E110,0)</f>
        <v>10.259053909182397</v>
      </c>
      <c r="Q110" s="18">
        <f ca="1">OFFSET(COM!AA$247,$E110,0)</f>
        <v>10.388983644992319</v>
      </c>
      <c r="R110" s="18">
        <f ca="1">OFFSET(COM!AB$247,$E110,0)</f>
        <v>10.533017595044042</v>
      </c>
      <c r="S110" s="18">
        <f ca="1">OFFSET(COM!AC$247,$E110,0)</f>
        <v>10.68992874928932</v>
      </c>
      <c r="T110" s="18">
        <f ca="1">OFFSET(COM!AD$247,$E110,0)</f>
        <v>10.869486560056904</v>
      </c>
      <c r="U110" s="18">
        <f ca="1">OFFSET(COM!AE$247,$E110,0)</f>
        <v>11.055410489142012</v>
      </c>
      <c r="V110" s="18">
        <f ca="1">OFFSET(COM!AF$247,$E110,0)</f>
        <v>11.248942166845541</v>
      </c>
      <c r="W110" s="18">
        <f ca="1">OFFSET(COM!AG$247,$E110,0)</f>
        <v>11.443224825115387</v>
      </c>
      <c r="X110" s="18">
        <f ca="1">OFFSET(COM!AH$247,$E110,0)</f>
        <v>11.643748039178451</v>
      </c>
      <c r="Y110" s="18">
        <f ca="1">OFFSET(COM!AI$247,$E110,0)</f>
        <v>11.854201861949578</v>
      </c>
      <c r="Z110" s="18">
        <f ca="1">OFFSET(COM!AJ$247,$E110,0)</f>
        <v>12.064727259383579</v>
      </c>
      <c r="AA110" s="18">
        <f ca="1">OFFSET(COM!AK$247,$E110,0)</f>
        <v>12.280119078963093</v>
      </c>
      <c r="AB110" s="18">
        <f ca="1">OFFSET(COM!AL$247,$E110,0)</f>
        <v>12.502345323728193</v>
      </c>
      <c r="AC110" s="18">
        <f ca="1">OFFSET(COM!AM$247,$E110,0)</f>
        <v>12.728829012383823</v>
      </c>
      <c r="AD110" s="18">
        <f ca="1">OFFSET(COM!AN$247,$E110,0)</f>
        <v>12.956166418977189</v>
      </c>
      <c r="AE110" s="18">
        <f ca="1">OFFSET(COM!AO$247,$E110,0)</f>
        <v>14.075460144484714</v>
      </c>
      <c r="AF110" s="18">
        <f ca="1">OFFSET(COM!AP$247,$E110,0)</f>
        <v>15.116484989074081</v>
      </c>
      <c r="AG110" s="18">
        <f ca="1">OFFSET(COM!AQ$247,$E110,0)</f>
        <v>16.971487922313639</v>
      </c>
      <c r="AH110" s="18">
        <f ca="1">OFFSET(COM!AR$247,$E110,0)</f>
        <v>17.630932548345314</v>
      </c>
      <c r="AJ110">
        <f t="shared" ca="1" si="3"/>
        <v>1.8616258795246448</v>
      </c>
    </row>
    <row r="111" spans="1:36">
      <c r="A111" s="27" t="s">
        <v>226</v>
      </c>
      <c r="B111">
        <v>29.897246584059999</v>
      </c>
      <c r="C111" t="s">
        <v>724</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2">
        <f ca="1">OFFSET(COM!T$247,$E111,0)</f>
        <v>11.736559424532528</v>
      </c>
      <c r="K111" s="18">
        <f ca="1">OFFSET(COM!U$247,$E111,0)</f>
        <v>11.500387876034136</v>
      </c>
      <c r="L111" s="18">
        <f ca="1">OFFSET(COM!V$247,$E111,0)</f>
        <v>11.272067939827416</v>
      </c>
      <c r="M111" s="18">
        <f ca="1">OFFSET(COM!W$247,$E111,0)</f>
        <v>11.020724414684583</v>
      </c>
      <c r="N111" s="18">
        <f ca="1">OFFSET(COM!X$247,$E111,0)</f>
        <v>10.778515853164649</v>
      </c>
      <c r="O111" s="162">
        <f ca="1">OFFSET(COM!Y$247,$E111,0)</f>
        <v>10.539862951124253</v>
      </c>
      <c r="P111" s="18">
        <f ca="1">OFFSET(COM!Z$247,$E111,0)</f>
        <v>10.308001248231252</v>
      </c>
      <c r="Q111" s="18">
        <f ca="1">OFFSET(COM!AA$247,$E111,0)</f>
        <v>10.086908186114391</v>
      </c>
      <c r="R111" s="18">
        <f ca="1">OFFSET(COM!AB$247,$E111,0)</f>
        <v>9.8727865336843283</v>
      </c>
      <c r="S111" s="18">
        <f ca="1">OFFSET(COM!AC$247,$E111,0)</f>
        <v>9.6653077161052465</v>
      </c>
      <c r="T111" s="18">
        <f ca="1">OFFSET(COM!AD$247,$E111,0)</f>
        <v>9.466868289082143</v>
      </c>
      <c r="U111" s="18">
        <f ca="1">OFFSET(COM!AE$247,$E111,0)</f>
        <v>9.428711917513084</v>
      </c>
      <c r="V111" s="18">
        <f ca="1">OFFSET(COM!AF$247,$E111,0)</f>
        <v>9.3922183896560654</v>
      </c>
      <c r="W111" s="18">
        <f ca="1">OFFSET(COM!AG$247,$E111,0)</f>
        <v>9.3556889293210066</v>
      </c>
      <c r="X111" s="18">
        <f ca="1">OFFSET(COM!AH$247,$E111,0)</f>
        <v>9.3204687638944481</v>
      </c>
      <c r="Y111" s="18">
        <f ca="1">OFFSET(COM!AI$247,$E111,0)</f>
        <v>9.2874502373778487</v>
      </c>
      <c r="Z111" s="18">
        <f ca="1">OFFSET(COM!AJ$247,$E111,0)</f>
        <v>9.2542093348181034</v>
      </c>
      <c r="AA111" s="18">
        <f ca="1">OFFSET(COM!AK$247,$E111,0)</f>
        <v>9.2219138417634721</v>
      </c>
      <c r="AB111" s="18">
        <f ca="1">OFFSET(COM!AL$247,$E111,0)</f>
        <v>9.1910336750388062</v>
      </c>
      <c r="AC111" s="18">
        <f ca="1">OFFSET(COM!AM$247,$E111,0)</f>
        <v>9.1609323981731912</v>
      </c>
      <c r="AD111" s="18">
        <f ca="1">OFFSET(COM!AN$247,$E111,0)</f>
        <v>9.1307794870849168</v>
      </c>
      <c r="AE111" s="18">
        <f ca="1">OFFSET(COM!AO$247,$E111,0)</f>
        <v>9.0120751596859385</v>
      </c>
      <c r="AF111" s="18">
        <f ca="1">OFFSET(COM!AP$247,$E111,0)</f>
        <v>8.8744402443525257</v>
      </c>
      <c r="AG111" s="18">
        <f ca="1">OFFSET(COM!AQ$247,$E111,0)</f>
        <v>8.5442555033392829</v>
      </c>
      <c r="AH111" s="18">
        <f ca="1">OFFSET(COM!AR$247,$E111,0)</f>
        <v>7.9249057531954072</v>
      </c>
      <c r="AJ111">
        <f t="shared" ca="1" si="3"/>
        <v>0.66079936843207454</v>
      </c>
    </row>
    <row r="112" spans="1:36">
      <c r="A112" s="27" t="s">
        <v>227</v>
      </c>
      <c r="B112">
        <v>0.29916376652240001</v>
      </c>
      <c r="C112" t="s">
        <v>724</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2">
        <f ca="1">OFFSET(COM!T$247,$E112,0)</f>
        <v>8.7714054073238561</v>
      </c>
      <c r="K112" s="18">
        <f ca="1">OFFSET(COM!U$247,$E112,0)</f>
        <v>8.7935448819082325</v>
      </c>
      <c r="L112" s="18">
        <f ca="1">OFFSET(COM!V$247,$E112,0)</f>
        <v>8.8176454118838201</v>
      </c>
      <c r="M112" s="18">
        <f ca="1">OFFSET(COM!W$247,$E112,0)</f>
        <v>8.8204978911741261</v>
      </c>
      <c r="N112" s="18">
        <f ca="1">OFFSET(COM!X$247,$E112,0)</f>
        <v>8.8262190109426086</v>
      </c>
      <c r="O112" s="162">
        <f ca="1">OFFSET(COM!Y$247,$E112,0)</f>
        <v>8.8306204114840892</v>
      </c>
      <c r="P112" s="18">
        <f ca="1">OFFSET(COM!Z$247,$E112,0)</f>
        <v>8.8361535143086876</v>
      </c>
      <c r="Q112" s="18">
        <f ca="1">OFFSET(COM!AA$247,$E112,0)</f>
        <v>8.8458554953275126</v>
      </c>
      <c r="R112" s="18">
        <f ca="1">OFFSET(COM!AB$247,$E112,0)</f>
        <v>8.8568744009383096</v>
      </c>
      <c r="S112" s="18">
        <f ca="1">OFFSET(COM!AC$247,$E112,0)</f>
        <v>8.8689779852133181</v>
      </c>
      <c r="T112" s="18">
        <f ca="1">OFFSET(COM!AD$247,$E112,0)</f>
        <v>8.8840153899122463</v>
      </c>
      <c r="U112" s="18">
        <f ca="1">OFFSET(COM!AE$247,$E112,0)</f>
        <v>8.8407393145402651</v>
      </c>
      <c r="V112" s="18">
        <f ca="1">OFFSET(COM!AF$247,$E112,0)</f>
        <v>8.7989032181143187</v>
      </c>
      <c r="W112" s="18">
        <f ca="1">OFFSET(COM!AG$247,$E112,0)</f>
        <v>8.7572092657389469</v>
      </c>
      <c r="X112" s="18">
        <f ca="1">OFFSET(COM!AH$247,$E112,0)</f>
        <v>8.71669651287535</v>
      </c>
      <c r="Y112" s="18">
        <f ca="1">OFFSET(COM!AI$247,$E112,0)</f>
        <v>8.6780634051180989</v>
      </c>
      <c r="Z112" s="18">
        <f ca="1">OFFSET(COM!AJ$247,$E112,0)</f>
        <v>8.6394438448652107</v>
      </c>
      <c r="AA112" s="18">
        <f ca="1">OFFSET(COM!AK$247,$E112,0)</f>
        <v>8.6017453909452914</v>
      </c>
      <c r="AB112" s="18">
        <f ca="1">OFFSET(COM!AL$247,$E112,0)</f>
        <v>8.5653405429092011</v>
      </c>
      <c r="AC112" s="18">
        <f ca="1">OFFSET(COM!AM$247,$E112,0)</f>
        <v>8.5297415350597117</v>
      </c>
      <c r="AD112" s="18">
        <f ca="1">OFFSET(COM!AN$247,$E112,0)</f>
        <v>8.4943041171782756</v>
      </c>
      <c r="AE112" s="18">
        <f ca="1">OFFSET(COM!AO$247,$E112,0)</f>
        <v>8.313824858457993</v>
      </c>
      <c r="AF112" s="18">
        <f ca="1">OFFSET(COM!AP$247,$E112,0)</f>
        <v>8.1185310276080642</v>
      </c>
      <c r="AG112" s="18">
        <f ca="1">OFFSET(COM!AQ$247,$E112,0)</f>
        <v>7.6849684248689956</v>
      </c>
      <c r="AH112" s="18">
        <f ca="1">OFFSET(COM!AR$247,$E112,0)</f>
        <v>7.0251130149560366</v>
      </c>
      <c r="AJ112">
        <f t="shared" ca="1" si="3"/>
        <v>0.78379131383414313</v>
      </c>
    </row>
    <row r="113" spans="1:36">
      <c r="A113" s="27" t="s">
        <v>228</v>
      </c>
      <c r="B113">
        <v>177.48088542799999</v>
      </c>
      <c r="C113" t="s">
        <v>724</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2">
        <f ca="1">OFFSET(COM!T$247,$E113,0)</f>
        <v>109.3600900780397</v>
      </c>
      <c r="K113" s="18">
        <f ca="1">OFFSET(COM!U$247,$E113,0)</f>
        <v>109.53659298188387</v>
      </c>
      <c r="L113" s="18">
        <f ca="1">OFFSET(COM!V$247,$E113,0)</f>
        <v>109.7389779822324</v>
      </c>
      <c r="M113" s="18">
        <f ca="1">OFFSET(COM!W$247,$E113,0)</f>
        <v>109.67825076447929</v>
      </c>
      <c r="N113" s="18">
        <f ca="1">OFFSET(COM!X$247,$E113,0)</f>
        <v>109.65486401846589</v>
      </c>
      <c r="O113" s="162">
        <f ca="1">OFFSET(COM!Y$247,$E113,0)</f>
        <v>109.61664973429598</v>
      </c>
      <c r="P113" s="18">
        <f ca="1">OFFSET(COM!Z$247,$E113,0)</f>
        <v>109.59407942626771</v>
      </c>
      <c r="Q113" s="18">
        <f ca="1">OFFSET(COM!AA$247,$E113,0)</f>
        <v>109.62484098646863</v>
      </c>
      <c r="R113" s="18">
        <f ca="1">OFFSET(COM!AB$247,$E113,0)</f>
        <v>109.67341580780275</v>
      </c>
      <c r="S113" s="18">
        <f ca="1">OFFSET(COM!AC$247,$E113,0)</f>
        <v>109.73687139933122</v>
      </c>
      <c r="T113" s="18">
        <f ca="1">OFFSET(COM!AD$247,$E113,0)</f>
        <v>109.83810162605411</v>
      </c>
      <c r="U113" s="18">
        <f ca="1">OFFSET(COM!AE$247,$E113,0)</f>
        <v>109.29247520835742</v>
      </c>
      <c r="V113" s="18">
        <f ca="1">OFFSET(COM!AF$247,$E113,0)</f>
        <v>108.76425567580075</v>
      </c>
      <c r="W113" s="18">
        <f ca="1">OFFSET(COM!AG$247,$E113,0)</f>
        <v>108.23734013550227</v>
      </c>
      <c r="X113" s="18">
        <f ca="1">OFFSET(COM!AH$247,$E113,0)</f>
        <v>107.72458997715641</v>
      </c>
      <c r="Y113" s="18">
        <f ca="1">OFFSET(COM!AI$247,$E113,0)</f>
        <v>107.23462587669248</v>
      </c>
      <c r="Z113" s="18">
        <f ca="1">OFFSET(COM!AJ$247,$E113,0)</f>
        <v>106.74433268700982</v>
      </c>
      <c r="AA113" s="18">
        <f ca="1">OFFSET(COM!AK$247,$E113,0)</f>
        <v>106.26492923305878</v>
      </c>
      <c r="AB113" s="18">
        <f ca="1">OFFSET(COM!AL$247,$E113,0)</f>
        <v>105.80100073863208</v>
      </c>
      <c r="AC113" s="18">
        <f ca="1">OFFSET(COM!AM$247,$E113,0)</f>
        <v>105.34649942102544</v>
      </c>
      <c r="AD113" s="18">
        <f ca="1">OFFSET(COM!AN$247,$E113,0)</f>
        <v>104.89345815339864</v>
      </c>
      <c r="AE113" s="18">
        <f ca="1">OFFSET(COM!AO$247,$E113,0)</f>
        <v>102.66271241024442</v>
      </c>
      <c r="AF113" s="18">
        <f ca="1">OFFSET(COM!AP$247,$E113,0)</f>
        <v>100.24910865988869</v>
      </c>
      <c r="AG113" s="18">
        <f ca="1">OFFSET(COM!AQ$247,$E113,0)</f>
        <v>94.891456404562319</v>
      </c>
      <c r="AH113" s="18">
        <f ca="1">OFFSET(COM!AR$247,$E113,0)</f>
        <v>86.740645399746768</v>
      </c>
      <c r="AJ113">
        <f t="shared" ca="1" si="3"/>
        <v>0.77621155782878193</v>
      </c>
    </row>
    <row r="114" spans="1:36">
      <c r="A114" s="27" t="s">
        <v>233</v>
      </c>
      <c r="B114">
        <v>30.831061307799999</v>
      </c>
      <c r="C114" t="s">
        <v>724</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2">
        <f ca="1">OFFSET(COM!T$247,$E114,0)</f>
        <v>19.767208245074805</v>
      </c>
      <c r="K114" s="18">
        <f ca="1">OFFSET(COM!U$247,$E114,0)</f>
        <v>19.646200969169087</v>
      </c>
      <c r="L114" s="18">
        <f ca="1">OFFSET(COM!V$247,$E114,0)</f>
        <v>19.533173552383825</v>
      </c>
      <c r="M114" s="18">
        <f ca="1">OFFSET(COM!W$247,$E114,0)</f>
        <v>19.375822035240297</v>
      </c>
      <c r="N114" s="18">
        <f ca="1">OFFSET(COM!X$247,$E114,0)</f>
        <v>19.228495707763599</v>
      </c>
      <c r="O114" s="162">
        <f ca="1">OFFSET(COM!Y$247,$E114,0)</f>
        <v>19.081755697315536</v>
      </c>
      <c r="P114" s="18">
        <f ca="1">OFFSET(COM!Z$247,$E114,0)</f>
        <v>18.941126518752839</v>
      </c>
      <c r="Q114" s="18">
        <f ca="1">OFFSET(COM!AA$247,$E114,0)</f>
        <v>18.813452740981369</v>
      </c>
      <c r="R114" s="18">
        <f ca="1">OFFSET(COM!AB$247,$E114,0)</f>
        <v>18.69230721143628</v>
      </c>
      <c r="S114" s="18">
        <f ca="1">OFFSET(COM!AC$247,$E114,0)</f>
        <v>18.577166541515069</v>
      </c>
      <c r="T114" s="18">
        <f ca="1">OFFSET(COM!AD$247,$E114,0)</f>
        <v>18.4721979505562</v>
      </c>
      <c r="U114" s="18">
        <f ca="1">OFFSET(COM!AE$247,$E114,0)</f>
        <v>18.392473298036958</v>
      </c>
      <c r="V114" s="18">
        <f ca="1">OFFSET(COM!AF$247,$E114,0)</f>
        <v>18.315993776984449</v>
      </c>
      <c r="W114" s="18">
        <f ca="1">OFFSET(COM!AG$247,$E114,0)</f>
        <v>18.239834591262262</v>
      </c>
      <c r="X114" s="18">
        <f ca="1">OFFSET(COM!AH$247,$E114,0)</f>
        <v>18.166337352587774</v>
      </c>
      <c r="Y114" s="18">
        <f ca="1">OFFSET(COM!AI$247,$E114,0)</f>
        <v>18.097076075485983</v>
      </c>
      <c r="Z114" s="18">
        <f ca="1">OFFSET(COM!AJ$247,$E114,0)</f>
        <v>18.027845328992179</v>
      </c>
      <c r="AA114" s="18">
        <f ca="1">OFFSET(COM!AK$247,$E114,0)</f>
        <v>17.960690384476976</v>
      </c>
      <c r="AB114" s="18">
        <f ca="1">OFFSET(COM!AL$247,$E114,0)</f>
        <v>17.896450705612516</v>
      </c>
      <c r="AC114" s="18">
        <f ca="1">OFFSET(COM!AM$247,$E114,0)</f>
        <v>17.834027065346326</v>
      </c>
      <c r="AD114" s="18">
        <f ca="1">OFFSET(COM!AN$247,$E114,0)</f>
        <v>17.7719675836614</v>
      </c>
      <c r="AE114" s="18">
        <f ca="1">OFFSET(COM!AO$247,$E114,0)</f>
        <v>17.454250954100807</v>
      </c>
      <c r="AF114" s="18">
        <f ca="1">OFFSET(COM!AP$247,$E114,0)</f>
        <v>17.103148257114363</v>
      </c>
      <c r="AG114" s="18">
        <f ca="1">OFFSET(COM!AQ$247,$E114,0)</f>
        <v>16.304094687804305</v>
      </c>
      <c r="AH114" s="18">
        <f ca="1">OFFSET(COM!AR$247,$E114,0)</f>
        <v>14.99506844752023</v>
      </c>
      <c r="AJ114">
        <f t="shared" ca="1" si="3"/>
        <v>0.7423683195490004</v>
      </c>
    </row>
    <row r="115" spans="1:36">
      <c r="A115" s="27" t="s">
        <v>229</v>
      </c>
      <c r="B115">
        <v>7.3604096683640003</v>
      </c>
      <c r="C115" t="s">
        <v>724</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2">
        <f ca="1">OFFSET(COM!T$247,$E115,0)</f>
        <v>26.603388850935517</v>
      </c>
      <c r="K115" s="18">
        <f ca="1">OFFSET(COM!U$247,$E115,0)</f>
        <v>26.649123652353893</v>
      </c>
      <c r="L115" s="18">
        <f ca="1">OFFSET(COM!V$247,$E115,0)</f>
        <v>26.701252386101512</v>
      </c>
      <c r="M115" s="18">
        <f ca="1">OFFSET(COM!W$247,$E115,0)</f>
        <v>26.689382584248435</v>
      </c>
      <c r="N115" s="18">
        <f ca="1">OFFSET(COM!X$247,$E115,0)</f>
        <v>26.686659390933571</v>
      </c>
      <c r="O115" s="162">
        <f ca="1">OFFSET(COM!Y$247,$E115,0)</f>
        <v>26.68037964666193</v>
      </c>
      <c r="P115" s="18">
        <f ca="1">OFFSET(COM!Z$247,$E115,0)</f>
        <v>26.677978433571738</v>
      </c>
      <c r="Q115" s="18">
        <f ca="1">OFFSET(COM!AA$247,$E115,0)</f>
        <v>26.688667407950661</v>
      </c>
      <c r="R115" s="18">
        <f ca="1">OFFSET(COM!AB$247,$E115,0)</f>
        <v>26.70379668678197</v>
      </c>
      <c r="S115" s="18">
        <f ca="1">OFFSET(COM!AC$247,$E115,0)</f>
        <v>26.722661875679783</v>
      </c>
      <c r="T115" s="18">
        <f ca="1">OFFSET(COM!AD$247,$E115,0)</f>
        <v>26.750871361782707</v>
      </c>
      <c r="U115" s="18">
        <f ca="1">OFFSET(COM!AE$247,$E115,0)</f>
        <v>26.621846998966564</v>
      </c>
      <c r="V115" s="18">
        <f ca="1">OFFSET(COM!AF$247,$E115,0)</f>
        <v>26.497190045711331</v>
      </c>
      <c r="W115" s="18">
        <f ca="1">OFFSET(COM!AG$247,$E115,0)</f>
        <v>26.372964210763222</v>
      </c>
      <c r="X115" s="18">
        <f ca="1">OFFSET(COM!AH$247,$E115,0)</f>
        <v>26.252320915723256</v>
      </c>
      <c r="Y115" s="18">
        <f ca="1">OFFSET(COM!AI$247,$E115,0)</f>
        <v>26.137378523485488</v>
      </c>
      <c r="Z115" s="18">
        <f ca="1">OFFSET(COM!AJ$247,$E115,0)</f>
        <v>26.022477220390215</v>
      </c>
      <c r="AA115" s="18">
        <f ca="1">OFFSET(COM!AK$247,$E115,0)</f>
        <v>25.910369603005609</v>
      </c>
      <c r="AB115" s="18">
        <f ca="1">OFFSET(COM!AL$247,$E115,0)</f>
        <v>25.802185450419323</v>
      </c>
      <c r="AC115" s="18">
        <f ca="1">OFFSET(COM!AM$247,$E115,0)</f>
        <v>25.69644538505057</v>
      </c>
      <c r="AD115" s="18">
        <f ca="1">OFFSET(COM!AN$247,$E115,0)</f>
        <v>25.591195416827585</v>
      </c>
      <c r="AE115" s="18">
        <f ca="1">OFFSET(COM!AO$247,$E115,0)</f>
        <v>25.054960532685662</v>
      </c>
      <c r="AF115" s="18">
        <f ca="1">OFFSET(COM!AP$247,$E115,0)</f>
        <v>24.473793530516655</v>
      </c>
      <c r="AG115" s="18">
        <f ca="1">OFFSET(COM!AQ$247,$E115,0)</f>
        <v>23.181117920219165</v>
      </c>
      <c r="AH115" s="18">
        <f ca="1">OFFSET(COM!AR$247,$E115,0)</f>
        <v>21.202103546194021</v>
      </c>
      <c r="AJ115">
        <f t="shared" ca="1" si="3"/>
        <v>0.77993480958783024</v>
      </c>
    </row>
    <row r="116" spans="1:36">
      <c r="A116" s="27" t="s">
        <v>232</v>
      </c>
      <c r="B116">
        <v>3.1678360284579998</v>
      </c>
      <c r="C116" t="s">
        <v>724</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2">
        <f ca="1">OFFSET(COM!T$247,$E116,0)</f>
        <v>3.3155552124891114</v>
      </c>
      <c r="K116" s="18">
        <f ca="1">OFFSET(COM!U$247,$E116,0)</f>
        <v>3.3683414992155769</v>
      </c>
      <c r="L116" s="18">
        <f ca="1">OFFSET(COM!V$247,$E116,0)</f>
        <v>3.4271774285089007</v>
      </c>
      <c r="M116" s="18">
        <f ca="1">OFFSET(COM!W$247,$E116,0)</f>
        <v>3.4496919981158594</v>
      </c>
      <c r="N116" s="18">
        <f ca="1">OFFSET(COM!X$247,$E116,0)</f>
        <v>3.4799131155422169</v>
      </c>
      <c r="O116" s="162">
        <f ca="1">OFFSET(COM!Y$247,$E116,0)</f>
        <v>3.5101944286225515</v>
      </c>
      <c r="P116" s="18">
        <f ca="1">OFFSET(COM!Z$247,$E116,0)</f>
        <v>3.5450113008623103</v>
      </c>
      <c r="Q116" s="18">
        <f ca="1">OFFSET(COM!AA$247,$E116,0)</f>
        <v>3.5899084605655025</v>
      </c>
      <c r="R116" s="18">
        <f ca="1">OFFSET(COM!AB$247,$E116,0)</f>
        <v>3.6396793249318731</v>
      </c>
      <c r="S116" s="18">
        <f ca="1">OFFSET(COM!AC$247,$E116,0)</f>
        <v>3.6938999012106453</v>
      </c>
      <c r="T116" s="18">
        <f ca="1">OFFSET(COM!AD$247,$E116,0)</f>
        <v>3.7559460191045617</v>
      </c>
      <c r="U116" s="18">
        <f ca="1">OFFSET(COM!AE$247,$E116,0)</f>
        <v>3.8201919462185137</v>
      </c>
      <c r="V116" s="18">
        <f ca="1">OFFSET(COM!AF$247,$E116,0)</f>
        <v>3.8870667273247697</v>
      </c>
      <c r="W116" s="18">
        <f ca="1">OFFSET(COM!AG$247,$E116,0)</f>
        <v>3.9542010094159976</v>
      </c>
      <c r="X116" s="18">
        <f ca="1">OFFSET(COM!AH$247,$E116,0)</f>
        <v>4.0234917126554599</v>
      </c>
      <c r="Y116" s="18">
        <f ca="1">OFFSET(COM!AI$247,$E116,0)</f>
        <v>4.096213933109488</v>
      </c>
      <c r="Z116" s="18">
        <f ca="1">OFFSET(COM!AJ$247,$E116,0)</f>
        <v>4.1689608861549408</v>
      </c>
      <c r="AA116" s="18">
        <f ca="1">OFFSET(COM!AK$247,$E116,0)</f>
        <v>4.2433894291065704</v>
      </c>
      <c r="AB116" s="18">
        <f ca="1">OFFSET(COM!AL$247,$E116,0)</f>
        <v>4.3201796044984118</v>
      </c>
      <c r="AC116" s="18">
        <f ca="1">OFFSET(COM!AM$247,$E116,0)</f>
        <v>4.398440937644013</v>
      </c>
      <c r="AD116" s="18">
        <f ca="1">OFFSET(COM!AN$247,$E116,0)</f>
        <v>4.4769972726254359</v>
      </c>
      <c r="AE116" s="18">
        <f ca="1">OFFSET(COM!AO$247,$E116,0)</f>
        <v>4.8637686982397375</v>
      </c>
      <c r="AF116" s="18">
        <f ca="1">OFFSET(COM!AP$247,$E116,0)</f>
        <v>5.2234943485011698</v>
      </c>
      <c r="AG116" s="18">
        <f ca="1">OFFSET(COM!AQ$247,$E116,0)</f>
        <v>5.8644897482408176</v>
      </c>
      <c r="AH116" s="18">
        <f ca="1">OFFSET(COM!AR$247,$E116,0)</f>
        <v>6.0923605316746405</v>
      </c>
      <c r="AJ116">
        <f t="shared" ca="1" si="3"/>
        <v>1.861625879524645</v>
      </c>
    </row>
    <row r="117" spans="1:36">
      <c r="A117" s="27" t="s">
        <v>230</v>
      </c>
      <c r="B117">
        <v>31.577350492680001</v>
      </c>
      <c r="C117" t="s">
        <v>724</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2">
        <f ca="1">OFFSET(COM!T$247,$E117,0)</f>
        <v>14.08450224479915</v>
      </c>
      <c r="K117" s="18">
        <f ca="1">OFFSET(COM!U$247,$E117,0)</f>
        <v>13.820336720794826</v>
      </c>
      <c r="L117" s="18">
        <f ca="1">OFFSET(COM!V$247,$E117,0)</f>
        <v>13.565564194254939</v>
      </c>
      <c r="M117" s="18">
        <f ca="1">OFFSET(COM!W$247,$E117,0)</f>
        <v>13.282917124636764</v>
      </c>
      <c r="N117" s="18">
        <f ca="1">OFFSET(COM!X$247,$E117,0)</f>
        <v>13.011120388405965</v>
      </c>
      <c r="O117" s="162">
        <f ca="1">OFFSET(COM!Y$247,$E117,0)</f>
        <v>12.743448613865509</v>
      </c>
      <c r="P117" s="18">
        <f ca="1">OFFSET(COM!Z$247,$E117,0)</f>
        <v>12.483838120243483</v>
      </c>
      <c r="Q117" s="18">
        <f ca="1">OFFSET(COM!AA$247,$E117,0)</f>
        <v>12.237165789744212</v>
      </c>
      <c r="R117" s="18">
        <f ca="1">OFFSET(COM!AB$247,$E117,0)</f>
        <v>11.998852157042849</v>
      </c>
      <c r="S117" s="18">
        <f ca="1">OFFSET(COM!AC$247,$E117,0)</f>
        <v>11.768524298059502</v>
      </c>
      <c r="T117" s="18">
        <f ca="1">OFFSET(COM!AD$247,$E117,0)</f>
        <v>11.549151433809065</v>
      </c>
      <c r="U117" s="18">
        <f ca="1">OFFSET(COM!AE$247,$E117,0)</f>
        <v>11.510882140955713</v>
      </c>
      <c r="V117" s="18">
        <f ca="1">OFFSET(COM!AF$247,$E117,0)</f>
        <v>11.474925064418457</v>
      </c>
      <c r="W117" s="18">
        <f ca="1">OFFSET(COM!AG$247,$E117,0)</f>
        <v>11.439196232741223</v>
      </c>
      <c r="X117" s="18">
        <f ca="1">OFFSET(COM!AH$247,$E117,0)</f>
        <v>11.405364087672643</v>
      </c>
      <c r="Y117" s="18">
        <f ca="1">OFFSET(COM!AI$247,$E117,0)</f>
        <v>11.374550143734936</v>
      </c>
      <c r="Z117" s="18">
        <f ca="1">OFFSET(COM!AJ$247,$E117,0)</f>
        <v>11.343757953421283</v>
      </c>
      <c r="AA117" s="18">
        <f ca="1">OFFSET(COM!AK$247,$E117,0)</f>
        <v>11.314444810490793</v>
      </c>
      <c r="AB117" s="18">
        <f ca="1">OFFSET(COM!AL$247,$E117,0)</f>
        <v>11.287208848368692</v>
      </c>
      <c r="AC117" s="18">
        <f ca="1">OFFSET(COM!AM$247,$E117,0)</f>
        <v>11.261266847406755</v>
      </c>
      <c r="AD117" s="18">
        <f ca="1">OFFSET(COM!AN$247,$E117,0)</f>
        <v>11.23558431618337</v>
      </c>
      <c r="AE117" s="18">
        <f ca="1">OFFSET(COM!AO$247,$E117,0)</f>
        <v>11.101885327497449</v>
      </c>
      <c r="AF117" s="18">
        <f ca="1">OFFSET(COM!AP$247,$E117,0)</f>
        <v>10.944398146985222</v>
      </c>
      <c r="AG117" s="18">
        <f ca="1">OFFSET(COM!AQ$247,$E117,0)</f>
        <v>10.560417666025696</v>
      </c>
      <c r="AH117" s="18">
        <f ca="1">OFFSET(COM!AR$247,$E117,0)</f>
        <v>9.8130722050412675</v>
      </c>
      <c r="AJ117">
        <f t="shared" ca="1" si="3"/>
        <v>0.68183580939221622</v>
      </c>
    </row>
    <row r="118" spans="1:36">
      <c r="A118" s="27" t="s">
        <v>234</v>
      </c>
      <c r="B118" t="s">
        <v>370</v>
      </c>
      <c r="C118" t="s">
        <v>724</v>
      </c>
      <c r="D118" t="s">
        <v>272</v>
      </c>
      <c r="E118" s="109">
        <f>MATCH(F118,COM!$D$248:$D$266,0)</f>
        <v>11</v>
      </c>
      <c r="F118" t="str">
        <f t="shared" si="2"/>
        <v>CNC</v>
      </c>
      <c r="G118" s="18">
        <f ca="1">OFFSET(COM!Q$247,$E118,0)</f>
        <v>0</v>
      </c>
      <c r="H118" s="18">
        <f ca="1">OFFSET(COM!R$247,$E118,0)</f>
        <v>1.7663141176431716</v>
      </c>
      <c r="I118" s="18">
        <f ca="1">OFFSET(COM!S$247,$E118,0)</f>
        <v>3.4029475996970713</v>
      </c>
      <c r="J118" s="162">
        <f ca="1">OFFSET(COM!T$247,$E118,0)</f>
        <v>4.4302493543804173</v>
      </c>
      <c r="K118" s="18">
        <f ca="1">OFFSET(COM!U$247,$E118,0)</f>
        <v>7.1917286123115618</v>
      </c>
      <c r="L118" s="18">
        <f ca="1">OFFSET(COM!V$247,$E118,0)</f>
        <v>10.205459457953769</v>
      </c>
      <c r="M118" s="18">
        <f ca="1">OFFSET(COM!W$247,$E118,0)</f>
        <v>12.104276183044473</v>
      </c>
      <c r="N118" s="18">
        <f ca="1">OFFSET(COM!X$247,$E118,0)</f>
        <v>14.293119281054754</v>
      </c>
      <c r="O118" s="162">
        <f ca="1">OFFSET(COM!Y$247,$E118,0)</f>
        <v>16.526817125544348</v>
      </c>
      <c r="P118" s="18">
        <f ca="1">OFFSET(COM!Z$247,$E118,0)</f>
        <v>18.955059480624989</v>
      </c>
      <c r="Q118" s="18">
        <f ca="1">OFFSET(COM!AA$247,$E118,0)</f>
        <v>21.769747920407127</v>
      </c>
      <c r="R118" s="18">
        <f ca="1">OFFSET(COM!AB$247,$E118,0)</f>
        <v>24.803557394929335</v>
      </c>
      <c r="S118" s="18">
        <f ca="1">OFFSET(COM!AC$247,$E118,0)</f>
        <v>28.046857149372503</v>
      </c>
      <c r="T118" s="18">
        <f ca="1">OFFSET(COM!AD$247,$E118,0)</f>
        <v>31.621656240192273</v>
      </c>
      <c r="U118" s="18">
        <f ca="1">OFFSET(COM!AE$247,$E118,0)</f>
        <v>34.724467973747593</v>
      </c>
      <c r="V118" s="18">
        <f ca="1">OFFSET(COM!AF$247,$E118,0)</f>
        <v>37.86500059919149</v>
      </c>
      <c r="W118" s="18">
        <f ca="1">OFFSET(COM!AG$247,$E118,0)</f>
        <v>40.960600908550944</v>
      </c>
      <c r="X118" s="18">
        <f ca="1">OFFSET(COM!AH$247,$E118,0)</f>
        <v>44.075015944502361</v>
      </c>
      <c r="Y118" s="18">
        <f ca="1">OFFSET(COM!AI$247,$E118,0)</f>
        <v>47.24914750962936</v>
      </c>
      <c r="Z118" s="18">
        <f ca="1">OFFSET(COM!AJ$247,$E118,0)</f>
        <v>50.367192170748794</v>
      </c>
      <c r="AA118" s="18">
        <f ca="1">OFFSET(COM!AK$247,$E118,0)</f>
        <v>53.483651749809965</v>
      </c>
      <c r="AB118" s="18">
        <f ca="1">OFFSET(COM!AL$247,$E118,0)</f>
        <v>56.619359498490226</v>
      </c>
      <c r="AC118" s="18">
        <f ca="1">OFFSET(COM!AM$247,$E118,0)</f>
        <v>59.743581564299944</v>
      </c>
      <c r="AD118" s="18">
        <f ca="1">OFFSET(COM!AN$247,$E118,0)</f>
        <v>62.81737563406007</v>
      </c>
      <c r="AE118" s="18">
        <f ca="1">OFFSET(COM!AO$247,$E118,0)</f>
        <v>82.229613656649164</v>
      </c>
      <c r="AF118" s="18">
        <f ca="1">OFFSET(COM!AP$247,$E118,0)</f>
        <v>101.50253119469508</v>
      </c>
      <c r="AG118" s="18">
        <f ca="1">OFFSET(COM!AQ$247,$E118,0)</f>
        <v>139.49797088309612</v>
      </c>
      <c r="AH118" s="18">
        <f ca="1">OFFSET(COM!AR$247,$E118,0)</f>
        <v>165.20400313695853</v>
      </c>
      <c r="AJ118" t="e">
        <f t="shared" ca="1" si="3"/>
        <v>#DIV/0!</v>
      </c>
    </row>
    <row r="119" spans="1:36">
      <c r="A119" s="27" t="s">
        <v>240</v>
      </c>
      <c r="B119" t="s">
        <v>370</v>
      </c>
      <c r="C119" t="s">
        <v>724</v>
      </c>
      <c r="D119" t="s">
        <v>272</v>
      </c>
      <c r="E119" s="109">
        <f>MATCH(F119,COM!$D$248:$D$266,0)</f>
        <v>17</v>
      </c>
      <c r="F119" t="str">
        <f t="shared" si="2"/>
        <v>CNG</v>
      </c>
      <c r="G119" s="18">
        <f ca="1">OFFSET(COM!Q$247,$E119,0)</f>
        <v>0</v>
      </c>
      <c r="H119" s="18">
        <f ca="1">OFFSET(COM!R$247,$E119,0)</f>
        <v>0</v>
      </c>
      <c r="I119" s="18">
        <f ca="1">OFFSET(COM!S$247,$E119,0)</f>
        <v>0</v>
      </c>
      <c r="J119" s="162">
        <f ca="1">OFFSET(COM!T$247,$E119,0)</f>
        <v>0</v>
      </c>
      <c r="K119" s="18">
        <f ca="1">OFFSET(COM!U$247,$E119,0)</f>
        <v>0</v>
      </c>
      <c r="L119" s="18">
        <f ca="1">OFFSET(COM!V$247,$E119,0)</f>
        <v>0</v>
      </c>
      <c r="M119" s="18">
        <f ca="1">OFFSET(COM!W$247,$E119,0)</f>
        <v>0</v>
      </c>
      <c r="N119" s="18">
        <f ca="1">OFFSET(COM!X$247,$E119,0)</f>
        <v>0</v>
      </c>
      <c r="O119" s="162">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c r="A120" s="27" t="s">
        <v>235</v>
      </c>
      <c r="B120" t="s">
        <v>370</v>
      </c>
      <c r="C120" t="s">
        <v>724</v>
      </c>
      <c r="D120" t="s">
        <v>272</v>
      </c>
      <c r="E120" s="109">
        <f>MATCH(F120,COM!$D$248:$D$266,0)</f>
        <v>12</v>
      </c>
      <c r="F120" t="str">
        <f t="shared" si="2"/>
        <v>CNH</v>
      </c>
      <c r="G120" s="18">
        <f ca="1">OFFSET(COM!Q$247,$E120,0)</f>
        <v>0</v>
      </c>
      <c r="H120" s="18">
        <f ca="1">OFFSET(COM!R$247,$E120,0)</f>
        <v>0.16496217879515399</v>
      </c>
      <c r="I120" s="18">
        <f ca="1">OFFSET(COM!S$247,$E120,0)</f>
        <v>0.31781303493220059</v>
      </c>
      <c r="J120" s="162">
        <f ca="1">OFFSET(COM!T$247,$E120,0)</f>
        <v>0.4137562955560648</v>
      </c>
      <c r="K120" s="18">
        <f ca="1">OFFSET(COM!U$247,$E120,0)</f>
        <v>0.65316093726803881</v>
      </c>
      <c r="L120" s="18">
        <f ca="1">OFFSET(COM!V$247,$E120,0)</f>
        <v>0.90117700952821456</v>
      </c>
      <c r="M120" s="18">
        <f ca="1">OFFSET(COM!W$247,$E120,0)</f>
        <v>1.0390142142263863</v>
      </c>
      <c r="N120" s="18">
        <f ca="1">OFFSET(COM!X$247,$E120,0)</f>
        <v>1.1924039793403594</v>
      </c>
      <c r="O120" s="162">
        <f ca="1">OFFSET(COM!Y$247,$E120,0)</f>
        <v>1.3396823836969087</v>
      </c>
      <c r="P120" s="18">
        <f ca="1">OFFSET(COM!Z$247,$E120,0)</f>
        <v>1.4926229619715241</v>
      </c>
      <c r="Q120" s="18">
        <f ca="1">OFFSET(COM!AA$247,$E120,0)</f>
        <v>1.6648693787524804</v>
      </c>
      <c r="R120" s="18">
        <f ca="1">OFFSET(COM!AB$247,$E120,0)</f>
        <v>1.8417260407143445</v>
      </c>
      <c r="S120" s="18">
        <f ca="1">OFFSET(COM!AC$247,$E120,0)</f>
        <v>2.0214115416406555</v>
      </c>
      <c r="T120" s="18">
        <f ca="1">OFFSET(COM!AD$247,$E120,0)</f>
        <v>2.2114756545018097</v>
      </c>
      <c r="U120" s="18">
        <f ca="1">OFFSET(COM!AE$247,$E120,0)</f>
        <v>2.5041992491847194</v>
      </c>
      <c r="V120" s="18">
        <f ca="1">OFFSET(COM!AF$247,$E120,0)</f>
        <v>2.8145595007803763</v>
      </c>
      <c r="W120" s="18">
        <f ca="1">OFFSET(COM!AG$247,$E120,0)</f>
        <v>3.1368346340326294</v>
      </c>
      <c r="X120" s="18">
        <f ca="1">OFFSET(COM!AH$247,$E120,0)</f>
        <v>3.4761127498929412</v>
      </c>
      <c r="Y120" s="18">
        <f ca="1">OFFSET(COM!AI$247,$E120,0)</f>
        <v>3.836221463944951</v>
      </c>
      <c r="Z120" s="18">
        <f ca="1">OFFSET(COM!AJ$247,$E120,0)</f>
        <v>4.2082980659291858</v>
      </c>
      <c r="AA120" s="18">
        <f ca="1">OFFSET(COM!AK$247,$E120,0)</f>
        <v>4.5970330100368715</v>
      </c>
      <c r="AB120" s="18">
        <f ca="1">OFFSET(COM!AL$247,$E120,0)</f>
        <v>5.0046727425549635</v>
      </c>
      <c r="AC120" s="18">
        <f ca="1">OFFSET(COM!AM$247,$E120,0)</f>
        <v>5.428997900724819</v>
      </c>
      <c r="AD120" s="18">
        <f ca="1">OFFSET(COM!AN$247,$E120,0)</f>
        <v>5.8667317705726347</v>
      </c>
      <c r="AE120" s="18">
        <f ca="1">OFFSET(COM!AO$247,$E120,0)</f>
        <v>7.2611564070254566</v>
      </c>
      <c r="AF120" s="18">
        <f ca="1">OFFSET(COM!AP$247,$E120,0)</f>
        <v>8.4678522392308739</v>
      </c>
      <c r="AG120" s="18">
        <f ca="1">OFFSET(COM!AQ$247,$E120,0)</f>
        <v>10.358072493856554</v>
      </c>
      <c r="AH120" s="18">
        <f ca="1">OFFSET(COM!AR$247,$E120,0)</f>
        <v>10.867810059098403</v>
      </c>
      <c r="AJ120" t="e">
        <f t="shared" ca="1" si="3"/>
        <v>#DIV/0!</v>
      </c>
    </row>
    <row r="121" spans="1:36">
      <c r="A121" s="27" t="s">
        <v>236</v>
      </c>
      <c r="B121" t="s">
        <v>370</v>
      </c>
      <c r="C121" t="s">
        <v>724</v>
      </c>
      <c r="D121" t="s">
        <v>272</v>
      </c>
      <c r="E121" s="109">
        <f>MATCH(F121,COM!$D$248:$D$266,0)</f>
        <v>13</v>
      </c>
      <c r="F121" t="str">
        <f t="shared" si="2"/>
        <v>CNK</v>
      </c>
      <c r="G121" s="18">
        <f ca="1">OFFSET(COM!Q$247,$E121,0)</f>
        <v>0</v>
      </c>
      <c r="H121" s="18">
        <f ca="1">OFFSET(COM!R$247,$E121,0)</f>
        <v>0.12328571728297376</v>
      </c>
      <c r="I121" s="18">
        <f ca="1">OFFSET(COM!S$247,$E121,0)</f>
        <v>0.23751994705495594</v>
      </c>
      <c r="J121" s="162">
        <f ca="1">OFFSET(COM!T$247,$E121,0)</f>
        <v>0.3092238599813768</v>
      </c>
      <c r="K121" s="18">
        <f ca="1">OFFSET(COM!U$247,$E121,0)</f>
        <v>0.50126849336187362</v>
      </c>
      <c r="L121" s="18">
        <f ca="1">OFFSET(COM!V$247,$E121,0)</f>
        <v>0.71035272273862615</v>
      </c>
      <c r="M121" s="18">
        <f ca="1">OFFSET(COM!W$247,$E121,0)</f>
        <v>0.84138817209163819</v>
      </c>
      <c r="N121" s="18">
        <f ca="1">OFFSET(COM!X$247,$E121,0)</f>
        <v>0.99222933902116983</v>
      </c>
      <c r="O121" s="162">
        <f ca="1">OFFSET(COM!Y$247,$E121,0)</f>
        <v>1.1458104638122655</v>
      </c>
      <c r="P121" s="18">
        <f ca="1">OFFSET(COM!Z$247,$E121,0)</f>
        <v>1.3124959165115861</v>
      </c>
      <c r="Q121" s="18">
        <f ca="1">OFFSET(COM!AA$247,$E121,0)</f>
        <v>1.5055177559806767</v>
      </c>
      <c r="R121" s="18">
        <f ca="1">OFFSET(COM!AB$247,$E121,0)</f>
        <v>1.7132323210726008</v>
      </c>
      <c r="S121" s="18">
        <f ca="1">OFFSET(COM!AC$247,$E121,0)</f>
        <v>1.9349339378321841</v>
      </c>
      <c r="T121" s="18">
        <f ca="1">OFFSET(COM!AD$247,$E121,0)</f>
        <v>2.1789927387601393</v>
      </c>
      <c r="U121" s="18">
        <f ca="1">OFFSET(COM!AE$247,$E121,0)</f>
        <v>2.3907171130874225</v>
      </c>
      <c r="V121" s="18">
        <f ca="1">OFFSET(COM!AF$247,$E121,0)</f>
        <v>2.604627823086255</v>
      </c>
      <c r="W121" s="18">
        <f ca="1">OFFSET(COM!AG$247,$E121,0)</f>
        <v>2.81502776766881</v>
      </c>
      <c r="X121" s="18">
        <f ca="1">OFFSET(COM!AH$247,$E121,0)</f>
        <v>3.0262923003866025</v>
      </c>
      <c r="Y121" s="18">
        <f ca="1">OFFSET(COM!AI$247,$E121,0)</f>
        <v>3.2412132654099777</v>
      </c>
      <c r="Z121" s="18">
        <f ca="1">OFFSET(COM!AJ$247,$E121,0)</f>
        <v>3.4518318847165848</v>
      </c>
      <c r="AA121" s="18">
        <f ca="1">OFFSET(COM!AK$247,$E121,0)</f>
        <v>3.6618795865855285</v>
      </c>
      <c r="AB121" s="18">
        <f ca="1">OFFSET(COM!AL$247,$E121,0)</f>
        <v>3.8727702181438133</v>
      </c>
      <c r="AC121" s="18">
        <f ca="1">OFFSET(COM!AM$247,$E121,0)</f>
        <v>4.082387890241244</v>
      </c>
      <c r="AD121" s="18">
        <f ca="1">OFFSET(COM!AN$247,$E121,0)</f>
        <v>4.2880643891125363</v>
      </c>
      <c r="AE121" s="18">
        <f ca="1">OFFSET(COM!AO$247,$E121,0)</f>
        <v>5.5976587721299413</v>
      </c>
      <c r="AF121" s="18">
        <f ca="1">OFFSET(COM!AP$247,$E121,0)</f>
        <v>6.8912594685527075</v>
      </c>
      <c r="AG121" s="18">
        <f ca="1">OFFSET(COM!AQ$247,$E121,0)</f>
        <v>9.4233833695119706</v>
      </c>
      <c r="AH121" s="18">
        <f ca="1">OFFSET(COM!AR$247,$E121,0)</f>
        <v>11.107966763906996</v>
      </c>
      <c r="AJ121" t="e">
        <f t="shared" ca="1" si="3"/>
        <v>#DIV/0!</v>
      </c>
    </row>
    <row r="122" spans="1:36">
      <c r="A122" s="27" t="s">
        <v>237</v>
      </c>
      <c r="B122" t="s">
        <v>370</v>
      </c>
      <c r="C122" t="s">
        <v>724</v>
      </c>
      <c r="D122" t="s">
        <v>272</v>
      </c>
      <c r="E122" s="109">
        <f>MATCH(F122,COM!$D$248:$D$266,0)</f>
        <v>14</v>
      </c>
      <c r="F122" t="str">
        <f t="shared" si="2"/>
        <v>CNL</v>
      </c>
      <c r="G122" s="18">
        <f ca="1">OFFSET(COM!Q$247,$E122,0)</f>
        <v>0</v>
      </c>
      <c r="H122" s="18">
        <f ca="1">OFFSET(COM!R$247,$E122,0)</f>
        <v>1.5371011281891316</v>
      </c>
      <c r="I122" s="18">
        <f ca="1">OFFSET(COM!S$247,$E122,0)</f>
        <v>2.9613501598697858</v>
      </c>
      <c r="J122" s="162">
        <f ca="1">OFFSET(COM!T$247,$E122,0)</f>
        <v>3.8553398926934275</v>
      </c>
      <c r="K122" s="18">
        <f ca="1">OFFSET(COM!U$247,$E122,0)</f>
        <v>6.2467188180737221</v>
      </c>
      <c r="L122" s="18">
        <f ca="1">OFFSET(COM!V$247,$E122,0)</f>
        <v>8.848124590542696</v>
      </c>
      <c r="M122" s="18">
        <f ca="1">OFFSET(COM!W$247,$E122,0)</f>
        <v>10.475454356489587</v>
      </c>
      <c r="N122" s="18">
        <f ca="1">OFFSET(COM!X$247,$E122,0)</f>
        <v>12.347850869938128</v>
      </c>
      <c r="O122" s="162">
        <f ca="1">OFFSET(COM!Y$247,$E122,0)</f>
        <v>14.252741381095079</v>
      </c>
      <c r="P122" s="18">
        <f ca="1">OFFSET(COM!Z$247,$E122,0)</f>
        <v>16.318989592409707</v>
      </c>
      <c r="Q122" s="18">
        <f ca="1">OFFSET(COM!AA$247,$E122,0)</f>
        <v>18.710877562290896</v>
      </c>
      <c r="R122" s="18">
        <f ca="1">OFFSET(COM!AB$247,$E122,0)</f>
        <v>21.283385270832824</v>
      </c>
      <c r="S122" s="18">
        <f ca="1">OFFSET(COM!AC$247,$E122,0)</f>
        <v>24.027571766031677</v>
      </c>
      <c r="T122" s="18">
        <f ca="1">OFFSET(COM!AD$247,$E122,0)</f>
        <v>27.047171786392191</v>
      </c>
      <c r="U122" s="18">
        <f ca="1">OFFSET(COM!AE$247,$E122,0)</f>
        <v>29.701121387919876</v>
      </c>
      <c r="V122" s="18">
        <f ca="1">OFFSET(COM!AF$247,$E122,0)</f>
        <v>32.387335063001984</v>
      </c>
      <c r="W122" s="18">
        <f ca="1">OFFSET(COM!AG$247,$E122,0)</f>
        <v>35.035116466774028</v>
      </c>
      <c r="X122" s="18">
        <f ca="1">OFFSET(COM!AH$247,$E122,0)</f>
        <v>37.698990801870785</v>
      </c>
      <c r="Y122" s="18">
        <f ca="1">OFFSET(COM!AI$247,$E122,0)</f>
        <v>40.413942892377648</v>
      </c>
      <c r="Z122" s="18">
        <f ca="1">OFFSET(COM!AJ$247,$E122,0)</f>
        <v>43.080921780085227</v>
      </c>
      <c r="AA122" s="18">
        <f ca="1">OFFSET(COM!AK$247,$E122,0)</f>
        <v>45.746544888500296</v>
      </c>
      <c r="AB122" s="18">
        <f ca="1">OFFSET(COM!AL$247,$E122,0)</f>
        <v>48.428631668087647</v>
      </c>
      <c r="AC122" s="18">
        <f ca="1">OFFSET(COM!AM$247,$E122,0)</f>
        <v>51.100894318435081</v>
      </c>
      <c r="AD122" s="18">
        <f ca="1">OFFSET(COM!AN$247,$E122,0)</f>
        <v>53.730024039196635</v>
      </c>
      <c r="AE122" s="18">
        <f ca="1">OFFSET(COM!AO$247,$E122,0)</f>
        <v>70.072830790881483</v>
      </c>
      <c r="AF122" s="18">
        <f ca="1">OFFSET(COM!AP$247,$E122,0)</f>
        <v>86.18743881250218</v>
      </c>
      <c r="AG122" s="18">
        <f ca="1">OFFSET(COM!AQ$247,$E122,0)</f>
        <v>117.65147307980342</v>
      </c>
      <c r="AH122" s="18">
        <f ca="1">OFFSET(COM!AR$247,$E122,0)</f>
        <v>138.45868539601972</v>
      </c>
      <c r="AJ122" t="e">
        <f t="shared" ca="1" si="3"/>
        <v>#DIV/0!</v>
      </c>
    </row>
    <row r="123" spans="1:36">
      <c r="A123" s="27" t="s">
        <v>242</v>
      </c>
      <c r="B123" t="s">
        <v>370</v>
      </c>
      <c r="C123" t="s">
        <v>724</v>
      </c>
      <c r="D123" t="s">
        <v>272</v>
      </c>
      <c r="E123" s="109">
        <f>MATCH(F123,COM!$D$248:$D$266,0)</f>
        <v>19</v>
      </c>
      <c r="F123" t="str">
        <f t="shared" si="2"/>
        <v>CNO</v>
      </c>
      <c r="G123" s="18">
        <f ca="1">OFFSET(COM!Q$247,$E123,0)</f>
        <v>0</v>
      </c>
      <c r="H123" s="18">
        <f ca="1">OFFSET(COM!R$247,$E123,0)</f>
        <v>0.27783625702001274</v>
      </c>
      <c r="I123" s="18">
        <f ca="1">OFFSET(COM!S$247,$E123,0)</f>
        <v>0.53527411375538358</v>
      </c>
      <c r="J123" s="162">
        <f ca="1">OFFSET(COM!T$247,$E123,0)</f>
        <v>0.69686579866596787</v>
      </c>
      <c r="K123" s="18">
        <f ca="1">OFFSET(COM!U$247,$E123,0)</f>
        <v>1.1173280459028756</v>
      </c>
      <c r="L123" s="18">
        <f ca="1">OFFSET(COM!V$247,$E123,0)</f>
        <v>1.5662291722212769</v>
      </c>
      <c r="M123" s="18">
        <f ca="1">OFFSET(COM!W$247,$E123,0)</f>
        <v>1.8352057299228939</v>
      </c>
      <c r="N123" s="18">
        <f ca="1">OFFSET(COM!X$247,$E123,0)</f>
        <v>2.1411296058620501</v>
      </c>
      <c r="O123" s="162">
        <f ca="1">OFFSET(COM!Y$247,$E123,0)</f>
        <v>2.4463635266187609</v>
      </c>
      <c r="P123" s="18">
        <f ca="1">OFFSET(COM!Z$247,$E123,0)</f>
        <v>2.7727940831509161</v>
      </c>
      <c r="Q123" s="18">
        <f ca="1">OFFSET(COM!AA$247,$E123,0)</f>
        <v>3.1473894883873554</v>
      </c>
      <c r="R123" s="18">
        <f ca="1">OFFSET(COM!AB$247,$E123,0)</f>
        <v>3.5445304028335625</v>
      </c>
      <c r="S123" s="18">
        <f ca="1">OFFSET(COM!AC$247,$E123,0)</f>
        <v>3.9620387467098332</v>
      </c>
      <c r="T123" s="18">
        <f ca="1">OFFSET(COM!AD$247,$E123,0)</f>
        <v>4.4162148913892567</v>
      </c>
      <c r="U123" s="18">
        <f ca="1">OFFSET(COM!AE$247,$E123,0)</f>
        <v>4.8953163977715919</v>
      </c>
      <c r="V123" s="18">
        <f ca="1">OFFSET(COM!AF$247,$E123,0)</f>
        <v>5.3887510721344878</v>
      </c>
      <c r="W123" s="18">
        <f ca="1">OFFSET(COM!AG$247,$E123,0)</f>
        <v>5.8850111666122782</v>
      </c>
      <c r="X123" s="18">
        <f ca="1">OFFSET(COM!AH$247,$E123,0)</f>
        <v>6.3933801841455704</v>
      </c>
      <c r="Y123" s="18">
        <f ca="1">OFFSET(COM!AI$247,$E123,0)</f>
        <v>6.920154916468821</v>
      </c>
      <c r="Z123" s="18">
        <f ca="1">OFFSET(COM!AJ$247,$E123,0)</f>
        <v>7.4487007712514313</v>
      </c>
      <c r="AA123" s="18">
        <f ca="1">OFFSET(COM!AK$247,$E123,0)</f>
        <v>7.9871605312482519</v>
      </c>
      <c r="AB123" s="18">
        <f ca="1">OFFSET(COM!AL$247,$E123,0)</f>
        <v>8.5389208752261716</v>
      </c>
      <c r="AC123" s="18">
        <f ca="1">OFFSET(COM!AM$247,$E123,0)</f>
        <v>9.0996472836921214</v>
      </c>
      <c r="AD123" s="18">
        <f ca="1">OFFSET(COM!AN$247,$E123,0)</f>
        <v>9.6635667617303849</v>
      </c>
      <c r="AE123" s="18">
        <f ca="1">OFFSET(COM!AO$247,$E123,0)</f>
        <v>12.342060759969995</v>
      </c>
      <c r="AF123" s="18">
        <f ca="1">OFFSET(COM!AP$247,$E123,0)</f>
        <v>14.870634327696049</v>
      </c>
      <c r="AG123" s="18">
        <f ca="1">OFFSET(COM!AQ$247,$E123,0)</f>
        <v>19.496170157401476</v>
      </c>
      <c r="AH123" s="18">
        <f ca="1">OFFSET(COM!AR$247,$E123,0)</f>
        <v>22.060001396893494</v>
      </c>
      <c r="AJ123" t="e">
        <f t="shared" ca="1" si="3"/>
        <v>#DIV/0!</v>
      </c>
    </row>
    <row r="124" spans="1:36">
      <c r="A124" s="27" t="s">
        <v>238</v>
      </c>
      <c r="B124" t="s">
        <v>370</v>
      </c>
      <c r="C124" t="s">
        <v>724</v>
      </c>
      <c r="D124" t="s">
        <v>272</v>
      </c>
      <c r="E124" s="109">
        <f>MATCH(F124,COM!$D$248:$D$266,0)</f>
        <v>15</v>
      </c>
      <c r="F124" t="str">
        <f t="shared" si="2"/>
        <v>CNR</v>
      </c>
      <c r="G124" s="18">
        <f ca="1">OFFSET(COM!Q$247,$E124,0)</f>
        <v>0</v>
      </c>
      <c r="H124" s="18">
        <f ca="1">OFFSET(COM!R$247,$E124,0)</f>
        <v>0.37392159230343008</v>
      </c>
      <c r="I124" s="18">
        <f ca="1">OFFSET(COM!S$247,$E124,0)</f>
        <v>0.72039031579598123</v>
      </c>
      <c r="J124" s="162">
        <f ca="1">OFFSET(COM!T$247,$E124,0)</f>
        <v>0.93786596412508894</v>
      </c>
      <c r="K124" s="18">
        <f ca="1">OFFSET(COM!U$247,$E124,0)</f>
        <v>1.5187863437861393</v>
      </c>
      <c r="L124" s="18">
        <f ca="1">OFFSET(COM!V$247,$E124,0)</f>
        <v>2.1501391121175994</v>
      </c>
      <c r="M124" s="18">
        <f ca="1">OFFSET(COM!W$247,$E124,0)</f>
        <v>2.5442669893171557</v>
      </c>
      <c r="N124" s="18">
        <f ca="1">OFFSET(COM!X$247,$E124,0)</f>
        <v>2.9975018298660734</v>
      </c>
      <c r="O124" s="162">
        <f ca="1">OFFSET(COM!Y$247,$E124,0)</f>
        <v>3.4581867393449137</v>
      </c>
      <c r="P124" s="18">
        <f ca="1">OFFSET(COM!Z$247,$E124,0)</f>
        <v>3.9575722640940083</v>
      </c>
      <c r="Q124" s="18">
        <f ca="1">OFFSET(COM!AA$247,$E124,0)</f>
        <v>4.5354335224744728</v>
      </c>
      <c r="R124" s="18">
        <f ca="1">OFFSET(COM!AB$247,$E124,0)</f>
        <v>5.1565334486172025</v>
      </c>
      <c r="S124" s="18">
        <f ca="1">OFFSET(COM!AC$247,$E124,0)</f>
        <v>5.8186581091883864</v>
      </c>
      <c r="T124" s="18">
        <f ca="1">OFFSET(COM!AD$247,$E124,0)</f>
        <v>6.546872765591667</v>
      </c>
      <c r="U124" s="18">
        <f ca="1">OFFSET(COM!AE$247,$E124,0)</f>
        <v>7.1892715533361278</v>
      </c>
      <c r="V124" s="18">
        <f ca="1">OFFSET(COM!AF$247,$E124,0)</f>
        <v>7.8394799851398131</v>
      </c>
      <c r="W124" s="18">
        <f ca="1">OFFSET(COM!AG$247,$E124,0)</f>
        <v>8.4803857367096178</v>
      </c>
      <c r="X124" s="18">
        <f ca="1">OFFSET(COM!AH$247,$E124,0)</f>
        <v>9.1251868446826858</v>
      </c>
      <c r="Y124" s="18">
        <f ca="1">OFFSET(COM!AI$247,$E124,0)</f>
        <v>9.7823515213298791</v>
      </c>
      <c r="Z124" s="18">
        <f ca="1">OFFSET(COM!AJ$247,$E124,0)</f>
        <v>10.427904098295627</v>
      </c>
      <c r="AA124" s="18">
        <f ca="1">OFFSET(COM!AK$247,$E124,0)</f>
        <v>11.073128503628631</v>
      </c>
      <c r="AB124" s="18">
        <f ca="1">OFFSET(COM!AL$247,$E124,0)</f>
        <v>11.722338004381985</v>
      </c>
      <c r="AC124" s="18">
        <f ca="1">OFFSET(COM!AM$247,$E124,0)</f>
        <v>12.369169536574546</v>
      </c>
      <c r="AD124" s="18">
        <f ca="1">OFFSET(COM!AN$247,$E124,0)</f>
        <v>13.005560575977851</v>
      </c>
      <c r="AE124" s="18">
        <f ca="1">OFFSET(COM!AO$247,$E124,0)</f>
        <v>16.943336284885756</v>
      </c>
      <c r="AF124" s="18">
        <f ca="1">OFFSET(COM!AP$247,$E124,0)</f>
        <v>20.818335091206073</v>
      </c>
      <c r="AG124" s="18">
        <f ca="1">OFFSET(COM!AQ$247,$E124,0)</f>
        <v>28.362756729694176</v>
      </c>
      <c r="AH124" s="18">
        <f ca="1">OFFSET(COM!AR$247,$E124,0)</f>
        <v>33.317608946471694</v>
      </c>
      <c r="AJ124" t="e">
        <f t="shared" ca="1" si="3"/>
        <v>#DIV/0!</v>
      </c>
    </row>
    <row r="125" spans="1:36">
      <c r="A125" s="27" t="s">
        <v>241</v>
      </c>
      <c r="B125" t="s">
        <v>370</v>
      </c>
      <c r="C125" t="s">
        <v>724</v>
      </c>
      <c r="D125" t="s">
        <v>272</v>
      </c>
      <c r="E125" s="109">
        <f>MATCH(F125,COM!$D$248:$D$266,0)</f>
        <v>18</v>
      </c>
      <c r="F125" t="str">
        <f t="shared" si="2"/>
        <v>CNT</v>
      </c>
      <c r="G125" s="18">
        <f ca="1">OFFSET(COM!Q$247,$E125,0)</f>
        <v>0</v>
      </c>
      <c r="H125" s="18">
        <f ca="1">OFFSET(COM!R$247,$E125,0)</f>
        <v>0</v>
      </c>
      <c r="I125" s="18">
        <f ca="1">OFFSET(COM!S$247,$E125,0)</f>
        <v>0</v>
      </c>
      <c r="J125" s="162">
        <f ca="1">OFFSET(COM!T$247,$E125,0)</f>
        <v>0</v>
      </c>
      <c r="K125" s="18">
        <f ca="1">OFFSET(COM!U$247,$E125,0)</f>
        <v>0</v>
      </c>
      <c r="L125" s="18">
        <f ca="1">OFFSET(COM!V$247,$E125,0)</f>
        <v>0</v>
      </c>
      <c r="M125" s="18">
        <f ca="1">OFFSET(COM!W$247,$E125,0)</f>
        <v>0</v>
      </c>
      <c r="N125" s="18">
        <f ca="1">OFFSET(COM!X$247,$E125,0)</f>
        <v>0</v>
      </c>
      <c r="O125" s="162">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c r="A126" s="27" t="s">
        <v>239</v>
      </c>
      <c r="B126" t="s">
        <v>370</v>
      </c>
      <c r="C126" t="s">
        <v>724</v>
      </c>
      <c r="D126" t="s">
        <v>272</v>
      </c>
      <c r="E126" s="109">
        <f>MATCH(F126,COM!$D$248:$D$266,0)</f>
        <v>16</v>
      </c>
      <c r="F126" t="str">
        <f t="shared" si="2"/>
        <v>CNW</v>
      </c>
      <c r="G126" s="18">
        <f ca="1">OFFSET(COM!Q$247,$E126,0)</f>
        <v>0</v>
      </c>
      <c r="H126" s="18">
        <f ca="1">OFFSET(COM!R$247,$E126,0)</f>
        <v>0.19796348261065</v>
      </c>
      <c r="I126" s="18">
        <f ca="1">OFFSET(COM!S$247,$E126,0)</f>
        <v>0.38139272694964443</v>
      </c>
      <c r="J126" s="162">
        <f ca="1">OFFSET(COM!T$247,$E126,0)</f>
        <v>0.49652979742751913</v>
      </c>
      <c r="K126" s="18">
        <f ca="1">OFFSET(COM!U$247,$E126,0)</f>
        <v>0.78327986028250074</v>
      </c>
      <c r="L126" s="18">
        <f ca="1">OFFSET(COM!V$247,$E126,0)</f>
        <v>1.0799210239974737</v>
      </c>
      <c r="M126" s="18">
        <f ca="1">OFFSET(COM!W$247,$E126,0)</f>
        <v>1.2441621897108941</v>
      </c>
      <c r="N126" s="18">
        <f ca="1">OFFSET(COM!X$247,$E126,0)</f>
        <v>1.4267253627459495</v>
      </c>
      <c r="O126" s="162">
        <f ca="1">OFFSET(COM!Y$247,$E126,0)</f>
        <v>1.6016492377143454</v>
      </c>
      <c r="P126" s="18">
        <f ca="1">OFFSET(COM!Z$247,$E126,0)</f>
        <v>1.7829972818233779</v>
      </c>
      <c r="Q126" s="18">
        <f ca="1">OFFSET(COM!AA$247,$E126,0)</f>
        <v>1.9870157933952377</v>
      </c>
      <c r="R126" s="18">
        <f ca="1">OFFSET(COM!AB$247,$E126,0)</f>
        <v>2.1960968819339595</v>
      </c>
      <c r="S126" s="18">
        <f ca="1">OFFSET(COM!AC$247,$E126,0)</f>
        <v>2.4080766204663582</v>
      </c>
      <c r="T126" s="18">
        <f ca="1">OFFSET(COM!AD$247,$E126,0)</f>
        <v>2.6319011632939842</v>
      </c>
      <c r="U126" s="18">
        <f ca="1">OFFSET(COM!AE$247,$E126,0)</f>
        <v>2.9753108742433754</v>
      </c>
      <c r="V126" s="18">
        <f ca="1">OFFSET(COM!AF$247,$E126,0)</f>
        <v>3.3387270194021577</v>
      </c>
      <c r="W126" s="18">
        <f ca="1">OFFSET(COM!AG$247,$E126,0)</f>
        <v>3.7153362097416949</v>
      </c>
      <c r="X126" s="18">
        <f ca="1">OFFSET(COM!AH$247,$E126,0)</f>
        <v>4.1111525588085147</v>
      </c>
      <c r="Y126" s="18">
        <f ca="1">OFFSET(COM!AI$247,$E126,0)</f>
        <v>4.5306679592900654</v>
      </c>
      <c r="Z126" s="18">
        <f ca="1">OFFSET(COM!AJ$247,$E126,0)</f>
        <v>4.963384879062958</v>
      </c>
      <c r="AA126" s="18">
        <f ca="1">OFFSET(COM!AK$247,$E126,0)</f>
        <v>5.41482787139498</v>
      </c>
      <c r="AB126" s="18">
        <f ca="1">OFFSET(COM!AL$247,$E126,0)</f>
        <v>5.8876187080142408</v>
      </c>
      <c r="AC126" s="18">
        <f ca="1">OFFSET(COM!AM$247,$E126,0)</f>
        <v>6.3791206880794338</v>
      </c>
      <c r="AD126" s="18">
        <f ca="1">OFFSET(COM!AN$247,$E126,0)</f>
        <v>6.8854704245993039</v>
      </c>
      <c r="AE126" s="18">
        <f ca="1">OFFSET(COM!AO$247,$E126,0)</f>
        <v>8.5098982515074653</v>
      </c>
      <c r="AF126" s="18">
        <f ca="1">OFFSET(COM!AP$247,$E126,0)</f>
        <v>9.9089336289395291</v>
      </c>
      <c r="AG126" s="18">
        <f ca="1">OFFSET(COM!AQ$247,$E126,0)</f>
        <v>12.079309140103804</v>
      </c>
      <c r="AH126" s="18">
        <f ca="1">OFFSET(COM!AR$247,$E126,0)</f>
        <v>12.622738633992434</v>
      </c>
      <c r="AJ126" t="e">
        <f t="shared" ca="1" si="3"/>
        <v>#DIV/0!</v>
      </c>
    </row>
    <row r="127" spans="1:36">
      <c r="A127" s="27" t="s">
        <v>276</v>
      </c>
      <c r="B127">
        <v>9</v>
      </c>
      <c r="C127" t="s">
        <v>724</v>
      </c>
      <c r="D127" t="s">
        <v>272</v>
      </c>
      <c r="E127" s="110">
        <f>MATCH(F127,IND!$D$29:$D$137,0)</f>
        <v>5</v>
      </c>
      <c r="F127" t="str">
        <f t="shared" si="2"/>
        <v>IISCRS</v>
      </c>
      <c r="G127" s="5">
        <f ca="1">OFFSET(IND!P$28,$E127,0)</f>
        <v>6.23</v>
      </c>
      <c r="H127" s="8">
        <f ca="1">OFFSET(IND!Q$28,$E127,0)</f>
        <v>6.3</v>
      </c>
      <c r="I127" s="8">
        <f ca="1">OFFSET(IND!R$28,$E127,0)</f>
        <v>6.1267974837582679</v>
      </c>
      <c r="J127" s="171">
        <f ca="1">OFFSET(IND!S$28,$E127,0)</f>
        <v>4.43</v>
      </c>
      <c r="K127" s="8">
        <f ca="1">OFFSET(IND!T$28,$E127,0)</f>
        <v>5.4589999999999996</v>
      </c>
      <c r="L127" s="8">
        <f ca="1">OFFSET(IND!U$28,$E127,0)</f>
        <v>4.923</v>
      </c>
      <c r="M127" s="8">
        <f ca="1">OFFSET(IND!V$28,$E127,0)</f>
        <v>4.9770000000000003</v>
      </c>
      <c r="N127" s="8">
        <f ca="1">OFFSET(IND!W$28,$E127,0)</f>
        <v>5.0254225704245643</v>
      </c>
      <c r="O127" s="171">
        <f ca="1">OFFSET(IND!X$28,$E127,0)</f>
        <v>5.1328087710643171</v>
      </c>
      <c r="P127" s="8">
        <f ca="1">OFFSET(IND!Y$28,$E127,0)</f>
        <v>5.402729480380339</v>
      </c>
      <c r="Q127" s="8">
        <f ca="1">OFFSET(IND!Z$28,$E127,0)</f>
        <v>5.490227183140596</v>
      </c>
      <c r="R127" s="8">
        <f ca="1">OFFSET(IND!AA$28,$E127,0)</f>
        <v>5.626713177742567</v>
      </c>
      <c r="S127" s="8">
        <f ca="1">OFFSET(IND!AB$28,$E127,0)</f>
        <v>5.74660601602403</v>
      </c>
      <c r="T127" s="8">
        <f ca="1">OFFSET(IND!AC$28,$E127,0)</f>
        <v>5.9750637752685192</v>
      </c>
      <c r="U127" s="8">
        <f ca="1">OFFSET(IND!AD$28,$E127,0)</f>
        <v>6.174344446735712</v>
      </c>
      <c r="V127" s="8">
        <f ca="1">OFFSET(IND!AE$28,$E127,0)</f>
        <v>6.4075070920905164</v>
      </c>
      <c r="W127" s="8">
        <f ca="1">OFFSET(IND!AF$28,$E127,0)</f>
        <v>6.569439373783041</v>
      </c>
      <c r="X127" s="8">
        <f ca="1">OFFSET(IND!AG$28,$E127,0)</f>
        <v>6.7470121697549796</v>
      </c>
      <c r="Y127" s="8">
        <f ca="1">OFFSET(IND!AH$28,$E127,0)</f>
        <v>7.0046968949516133</v>
      </c>
      <c r="Z127" s="8">
        <f ca="1">OFFSET(IND!AI$28,$E127,0)</f>
        <v>7.2864528237660853</v>
      </c>
      <c r="AA127" s="8">
        <f ca="1">OFFSET(IND!AJ$28,$E127,0)</f>
        <v>7.5417164325989319</v>
      </c>
      <c r="AB127" s="8">
        <f ca="1">OFFSET(IND!AK$28,$E127,0)</f>
        <v>7.8147101923873539</v>
      </c>
      <c r="AC127" s="8">
        <f ca="1">OFFSET(IND!AL$28,$E127,0)</f>
        <v>8.0826054244486745</v>
      </c>
      <c r="AD127" s="8">
        <f ca="1">OFFSET(IND!AM$28,$E127,0)</f>
        <v>8.3779595966329357</v>
      </c>
      <c r="AE127" s="8">
        <f ca="1">OFFSET(IND!AN$28,$E127,0)</f>
        <v>9.8540056218737231</v>
      </c>
      <c r="AF127" s="8">
        <f ca="1">OFFSET(IND!AO$28,$E127,0)</f>
        <v>11.22675264167391</v>
      </c>
      <c r="AG127" s="8">
        <f ca="1">OFFSET(IND!AP$28,$E127,0)</f>
        <v>13.032962833468115</v>
      </c>
      <c r="AH127" s="8">
        <f ca="1">OFFSET(IND!AQ$28,$E127,0)</f>
        <v>13.776673345020578</v>
      </c>
      <c r="AJ127">
        <f t="shared" ca="1" si="3"/>
        <v>2.2113440361188728</v>
      </c>
    </row>
    <row r="128" spans="1:36">
      <c r="A128" s="27" t="s">
        <v>283</v>
      </c>
      <c r="B128">
        <v>3.4</v>
      </c>
      <c r="C128" t="s">
        <v>724</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1">
        <f ca="1">OFFSET(IND!S$28,$E128,0)</f>
        <v>9.0791372679742341</v>
      </c>
      <c r="K128" s="8">
        <f ca="1">OFFSET(IND!T$28,$E128,0)</f>
        <v>9.6670408532192784</v>
      </c>
      <c r="L128" s="8">
        <f ca="1">OFFSET(IND!U$28,$E128,0)</f>
        <v>10.048666899655725</v>
      </c>
      <c r="M128" s="8">
        <f ca="1">OFFSET(IND!V$28,$E128,0)</f>
        <v>10.073740825477422</v>
      </c>
      <c r="N128" s="8">
        <f ca="1">OFFSET(IND!W$28,$E128,0)</f>
        <v>10.155937159430811</v>
      </c>
      <c r="O128" s="171">
        <f ca="1">OFFSET(IND!X$28,$E128,0)</f>
        <v>10.415684405759814</v>
      </c>
      <c r="P128" s="8">
        <f ca="1">OFFSET(IND!Y$28,$E128,0)</f>
        <v>10.855586171010064</v>
      </c>
      <c r="Q128" s="8">
        <f ca="1">OFFSET(IND!Z$28,$E128,0)</f>
        <v>11.046025718275704</v>
      </c>
      <c r="R128" s="8">
        <f ca="1">OFFSET(IND!AA$28,$E128,0)</f>
        <v>11.263343725545399</v>
      </c>
      <c r="S128" s="8">
        <f ca="1">OFFSET(IND!AB$28,$E128,0)</f>
        <v>11.591908730201062</v>
      </c>
      <c r="T128" s="8">
        <f ca="1">OFFSET(IND!AC$28,$E128,0)</f>
        <v>11.997520463016974</v>
      </c>
      <c r="U128" s="8">
        <f ca="1">OFFSET(IND!AD$28,$E128,0)</f>
        <v>12.423030871965306</v>
      </c>
      <c r="V128" s="8">
        <f ca="1">OFFSET(IND!AE$28,$E128,0)</f>
        <v>12.859460609189696</v>
      </c>
      <c r="W128" s="8">
        <f ca="1">OFFSET(IND!AF$28,$E128,0)</f>
        <v>13.356861817459011</v>
      </c>
      <c r="X128" s="8">
        <f ca="1">OFFSET(IND!AG$28,$E128,0)</f>
        <v>13.903549926260411</v>
      </c>
      <c r="Y128" s="8">
        <f ca="1">OFFSET(IND!AH$28,$E128,0)</f>
        <v>14.57511333573488</v>
      </c>
      <c r="Z128" s="8">
        <f ca="1">OFFSET(IND!AI$28,$E128,0)</f>
        <v>15.122687758977948</v>
      </c>
      <c r="AA128" s="8">
        <f ca="1">OFFSET(IND!AJ$28,$E128,0)</f>
        <v>15.683227923200759</v>
      </c>
      <c r="AB128" s="8">
        <f ca="1">OFFSET(IND!AK$28,$E128,0)</f>
        <v>16.25549953209736</v>
      </c>
      <c r="AC128" s="8">
        <f ca="1">OFFSET(IND!AL$28,$E128,0)</f>
        <v>16.818385807410863</v>
      </c>
      <c r="AD128" s="8">
        <f ca="1">OFFSET(IND!AM$28,$E128,0)</f>
        <v>17.387993856472416</v>
      </c>
      <c r="AE128" s="8">
        <f ca="1">OFFSET(IND!AN$28,$E128,0)</f>
        <v>20.322903658963863</v>
      </c>
      <c r="AF128" s="8">
        <f ca="1">OFFSET(IND!AO$28,$E128,0)</f>
        <v>20.114278025483827</v>
      </c>
      <c r="AG128" s="8">
        <f ca="1">OFFSET(IND!AP$28,$E128,0)</f>
        <v>23.849738537314341</v>
      </c>
      <c r="AH128" s="8">
        <f ca="1">OFFSET(IND!AQ$28,$E128,0)</f>
        <v>26.706475443153742</v>
      </c>
      <c r="AJ128">
        <f t="shared" ca="1" si="3"/>
        <v>2.7786889628791256</v>
      </c>
    </row>
    <row r="129" spans="1:36">
      <c r="A129" s="27" t="s">
        <v>277</v>
      </c>
      <c r="B129">
        <v>10</v>
      </c>
      <c r="C129" t="s">
        <v>724</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1">
        <f ca="1">OFFSET(IND!S$28,$E129,0)</f>
        <v>13.942901152088583</v>
      </c>
      <c r="K129" s="8">
        <f ca="1">OFFSET(IND!T$28,$E129,0)</f>
        <v>14.845749223892115</v>
      </c>
      <c r="L129" s="8">
        <f ca="1">OFFSET(IND!U$28,$E129,0)</f>
        <v>15.431815287822548</v>
      </c>
      <c r="M129" s="8">
        <f ca="1">OFFSET(IND!V$28,$E129,0)</f>
        <v>15.470321509163634</v>
      </c>
      <c r="N129" s="8">
        <f ca="1">OFFSET(IND!W$28,$E129,0)</f>
        <v>15.596551053397837</v>
      </c>
      <c r="O129" s="171">
        <f ca="1">OFFSET(IND!X$28,$E129,0)</f>
        <v>15.995446903653065</v>
      </c>
      <c r="P129" s="8">
        <f ca="1">OFFSET(IND!Y$28,$E129,0)</f>
        <v>16.671007438589449</v>
      </c>
      <c r="Q129" s="8">
        <f ca="1">OFFSET(IND!Z$28,$E129,0)</f>
        <v>16.963466920652746</v>
      </c>
      <c r="R129" s="8">
        <f ca="1">OFFSET(IND!AA$28,$E129,0)</f>
        <v>17.297203861123776</v>
      </c>
      <c r="S129" s="8">
        <f ca="1">OFFSET(IND!AB$28,$E129,0)</f>
        <v>17.801783673801467</v>
      </c>
      <c r="T129" s="8">
        <f ca="1">OFFSET(IND!AC$28,$E129,0)</f>
        <v>18.424684741365287</v>
      </c>
      <c r="U129" s="8">
        <f ca="1">OFFSET(IND!AD$28,$E129,0)</f>
        <v>19.078144359392972</v>
      </c>
      <c r="V129" s="8">
        <f ca="1">OFFSET(IND!AE$28,$E129,0)</f>
        <v>19.748372874101772</v>
      </c>
      <c r="W129" s="8">
        <f ca="1">OFFSET(IND!AF$28,$E129,0)</f>
        <v>20.512235747316808</v>
      </c>
      <c r="X129" s="8">
        <f ca="1">OFFSET(IND!AG$28,$E129,0)</f>
        <v>21.351788893949749</v>
      </c>
      <c r="Y129" s="8">
        <f ca="1">OFFSET(IND!AH$28,$E129,0)</f>
        <v>22.383114003295891</v>
      </c>
      <c r="Z129" s="8">
        <f ca="1">OFFSET(IND!AI$28,$E129,0)</f>
        <v>23.224028269855218</v>
      </c>
      <c r="AA129" s="8">
        <f ca="1">OFFSET(IND!AJ$28,$E129,0)</f>
        <v>24.084854124873708</v>
      </c>
      <c r="AB129" s="8">
        <f ca="1">OFFSET(IND!AK$28,$E129,0)</f>
        <v>24.963696049991157</v>
      </c>
      <c r="AC129" s="8">
        <f ca="1">OFFSET(IND!AL$28,$E129,0)</f>
        <v>25.828124845912932</v>
      </c>
      <c r="AD129" s="8">
        <f ca="1">OFFSET(IND!AM$28,$E129,0)</f>
        <v>26.702876321641117</v>
      </c>
      <c r="AE129" s="8">
        <f ca="1">OFFSET(IND!AN$28,$E129,0)</f>
        <v>31.210039949487065</v>
      </c>
      <c r="AF129" s="8">
        <f ca="1">OFFSET(IND!AO$28,$E129,0)</f>
        <v>30.889651954510416</v>
      </c>
      <c r="AG129" s="8">
        <f ca="1">OFFSET(IND!AP$28,$E129,0)</f>
        <v>36.626227483300063</v>
      </c>
      <c r="AH129" s="8">
        <f ca="1">OFFSET(IND!AQ$28,$E129,0)</f>
        <v>41.013340390618126</v>
      </c>
      <c r="AJ129">
        <f t="shared" ca="1" si="3"/>
        <v>2.7786889628791269</v>
      </c>
    </row>
    <row r="130" spans="1:36">
      <c r="A130" s="27" t="s">
        <v>690</v>
      </c>
      <c r="C130" t="s">
        <v>724</v>
      </c>
      <c r="D130" t="s">
        <v>272</v>
      </c>
      <c r="E130" s="110">
        <f>MATCH(F130,IND!$D$29:$D$137,0)</f>
        <v>7</v>
      </c>
      <c r="F130" t="str">
        <f t="shared" ref="F130" si="6">A130</f>
        <v>ICPNH3</v>
      </c>
      <c r="G130" s="8">
        <f ca="1">OFFSET(IND!P$28,$E130,0)</f>
        <v>8.4021746293245503</v>
      </c>
      <c r="H130" s="8">
        <f ca="1">OFFSET(IND!Q$28,$E130,0)</f>
        <v>8.441093148891408</v>
      </c>
      <c r="I130" s="8">
        <f ca="1">OFFSET(IND!R$28,$E130,0)</f>
        <v>8.3458050196862974</v>
      </c>
      <c r="J130" s="171">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1">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c r="A131" s="27" t="s">
        <v>282</v>
      </c>
      <c r="B131">
        <v>0.63500000000000001</v>
      </c>
      <c r="C131" t="s">
        <v>724</v>
      </c>
      <c r="D131" t="s">
        <v>272</v>
      </c>
      <c r="E131" s="110">
        <f>MATCH(F131,IND!$D$29:$D$137,0)</f>
        <v>11</v>
      </c>
      <c r="F131" t="str">
        <f t="shared" si="2"/>
        <v>INMGLA</v>
      </c>
      <c r="G131" s="8">
        <f ca="1">OFFSET(IND!P$28,$E131,0)</f>
        <v>1.1624356</v>
      </c>
      <c r="H131" s="8">
        <f ca="1">OFFSET(IND!Q$28,$E131,0)</f>
        <v>1.1774046535099847</v>
      </c>
      <c r="I131" s="8">
        <f ca="1">OFFSET(IND!R$28,$E131,0)</f>
        <v>1.1761408259119843</v>
      </c>
      <c r="J131" s="171">
        <f ca="1">OFFSET(IND!S$28,$E131,0)</f>
        <v>1.098087237351745</v>
      </c>
      <c r="K131" s="8">
        <f ca="1">OFFSET(IND!T$28,$E131,0)</f>
        <v>1.1691919474906807</v>
      </c>
      <c r="L131" s="8">
        <f ca="1">OFFSET(IND!U$28,$E131,0)</f>
        <v>1.2153481712225385</v>
      </c>
      <c r="M131" s="8">
        <f ca="1">OFFSET(IND!V$28,$E131,0)</f>
        <v>1.2183807675059135</v>
      </c>
      <c r="N131" s="8">
        <f ca="1">OFFSET(IND!W$28,$E131,0)</f>
        <v>1.2283221025256732</v>
      </c>
      <c r="O131" s="171">
        <f ca="1">OFFSET(IND!X$28,$E131,0)</f>
        <v>1.2597375473760601</v>
      </c>
      <c r="P131" s="8">
        <f ca="1">OFFSET(IND!Y$28,$E131,0)</f>
        <v>1.312941998399586</v>
      </c>
      <c r="Q131" s="8">
        <f ca="1">OFFSET(IND!Z$28,$E131,0)</f>
        <v>1.3359749397647409</v>
      </c>
      <c r="R131" s="8">
        <f ca="1">OFFSET(IND!AA$28,$E131,0)</f>
        <v>1.3622587289823933</v>
      </c>
      <c r="S131" s="8">
        <f ca="1">OFFSET(IND!AB$28,$E131,0)</f>
        <v>1.4019974208430686</v>
      </c>
      <c r="T131" s="8">
        <f ca="1">OFFSET(IND!AC$28,$E131,0)</f>
        <v>1.4510546224228236</v>
      </c>
      <c r="U131" s="8">
        <f ca="1">OFFSET(IND!AD$28,$E131,0)</f>
        <v>1.5025184934532412</v>
      </c>
      <c r="V131" s="8">
        <f ca="1">OFFSET(IND!AE$28,$E131,0)</f>
        <v>1.5553030158480445</v>
      </c>
      <c r="W131" s="8">
        <f ca="1">OFFSET(IND!AF$28,$E131,0)</f>
        <v>1.6154618065484014</v>
      </c>
      <c r="X131" s="8">
        <f ca="1">OFFSET(IND!AG$28,$E131,0)</f>
        <v>1.6815816610421008</v>
      </c>
      <c r="Y131" s="8">
        <f ca="1">OFFSET(IND!AH$28,$E131,0)</f>
        <v>1.7628047098022039</v>
      </c>
      <c r="Z131" s="8">
        <f ca="1">OFFSET(IND!AI$28,$E131,0)</f>
        <v>1.829031760667976</v>
      </c>
      <c r="AA131" s="8">
        <f ca="1">OFFSET(IND!AJ$28,$E131,0)</f>
        <v>1.8968269687575501</v>
      </c>
      <c r="AB131" s="8">
        <f ca="1">OFFSET(IND!AK$28,$E131,0)</f>
        <v>1.9660410506114223</v>
      </c>
      <c r="AC131" s="8">
        <f ca="1">OFFSET(IND!AL$28,$E131,0)</f>
        <v>2.0341200119442902</v>
      </c>
      <c r="AD131" s="8">
        <f ca="1">OFFSET(IND!AM$28,$E131,0)</f>
        <v>2.1030119463325532</v>
      </c>
      <c r="AE131" s="8">
        <f ca="1">OFFSET(IND!AN$28,$E131,0)</f>
        <v>2.4579781619291006</v>
      </c>
      <c r="AF131" s="8">
        <f ca="1">OFFSET(IND!AO$28,$E131,0)</f>
        <v>2.4327456823721563</v>
      </c>
      <c r="AG131" s="8">
        <f ca="1">OFFSET(IND!AP$28,$E131,0)</f>
        <v>2.8845354717105574</v>
      </c>
      <c r="AH131" s="8">
        <f ca="1">OFFSET(IND!AQ$28,$E131,0)</f>
        <v>3.2300469717777758</v>
      </c>
      <c r="AJ131">
        <f t="shared" ca="1" si="3"/>
        <v>2.7786889628791269</v>
      </c>
    </row>
    <row r="132" spans="1:36">
      <c r="A132" s="27" t="s">
        <v>281</v>
      </c>
      <c r="B132">
        <v>1.53</v>
      </c>
      <c r="C132" t="s">
        <v>724</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1">
        <f ca="1">OFFSET(IND!S$28,$E132,0)</f>
        <v>1.2839326661749679</v>
      </c>
      <c r="K132" s="8">
        <f ca="1">OFFSET(IND!T$28,$E132,0)</f>
        <v>1.3670714705986082</v>
      </c>
      <c r="L132" s="8">
        <f ca="1">OFFSET(IND!U$28,$E132,0)</f>
        <v>1.421039389886636</v>
      </c>
      <c r="M132" s="8">
        <f ca="1">OFFSET(IND!V$28,$E132,0)</f>
        <v>1.4245852369733722</v>
      </c>
      <c r="N132" s="8">
        <f ca="1">OFFSET(IND!W$28,$E132,0)</f>
        <v>1.4362090901091591</v>
      </c>
      <c r="O132" s="171">
        <f ca="1">OFFSET(IND!X$28,$E132,0)</f>
        <v>1.4729414320341108</v>
      </c>
      <c r="P132" s="8">
        <f ca="1">OFFSET(IND!Y$28,$E132,0)</f>
        <v>1.5351504536231027</v>
      </c>
      <c r="Q132" s="8">
        <f ca="1">OFFSET(IND!Z$28,$E132,0)</f>
        <v>1.5620815978991582</v>
      </c>
      <c r="R132" s="8">
        <f ca="1">OFFSET(IND!AA$28,$E132,0)</f>
        <v>1.5928137787491861</v>
      </c>
      <c r="S132" s="8">
        <f ca="1">OFFSET(IND!AB$28,$E132,0)</f>
        <v>1.6392780330046417</v>
      </c>
      <c r="T132" s="8">
        <f ca="1">OFFSET(IND!AC$28,$E132,0)</f>
        <v>1.6966379052232474</v>
      </c>
      <c r="U132" s="8">
        <f ca="1">OFFSET(IND!AD$28,$E132,0)</f>
        <v>1.7568117629061075</v>
      </c>
      <c r="V132" s="8">
        <f ca="1">OFFSET(IND!AE$28,$E132,0)</f>
        <v>1.8185297851777962</v>
      </c>
      <c r="W132" s="8">
        <f ca="1">OFFSET(IND!AF$28,$E132,0)</f>
        <v>1.8888701314730962</v>
      </c>
      <c r="X132" s="8">
        <f ca="1">OFFSET(IND!AG$28,$E132,0)</f>
        <v>1.9661804199269843</v>
      </c>
      <c r="Y132" s="8">
        <f ca="1">OFFSET(IND!AH$28,$E132,0)</f>
        <v>2.061150038006621</v>
      </c>
      <c r="Z132" s="8">
        <f ca="1">OFFSET(IND!AI$28,$E132,0)</f>
        <v>2.1385856652488293</v>
      </c>
      <c r="AA132" s="8">
        <f ca="1">OFFSET(IND!AJ$28,$E132,0)</f>
        <v>2.2178548519905479</v>
      </c>
      <c r="AB132" s="8">
        <f ca="1">OFFSET(IND!AK$28,$E132,0)</f>
        <v>2.2987830493401615</v>
      </c>
      <c r="AC132" s="8">
        <f ca="1">OFFSET(IND!AL$28,$E132,0)</f>
        <v>2.3783840130535139</v>
      </c>
      <c r="AD132" s="8">
        <f ca="1">OFFSET(IND!AM$28,$E132,0)</f>
        <v>2.4589355411911096</v>
      </c>
      <c r="AE132" s="8">
        <f ca="1">OFFSET(IND!AN$28,$E132,0)</f>
        <v>2.8739779022079368</v>
      </c>
      <c r="AF132" s="8">
        <f ca="1">OFFSET(IND!AO$28,$E132,0)</f>
        <v>2.844474959591206</v>
      </c>
      <c r="AG132" s="8">
        <f ca="1">OFFSET(IND!AP$28,$E132,0)</f>
        <v>3.3727277696091313</v>
      </c>
      <c r="AH132" s="8">
        <f ca="1">OFFSET(IND!AQ$28,$E132,0)</f>
        <v>3.7767152547430793</v>
      </c>
      <c r="AJ132">
        <f t="shared" ca="1" si="3"/>
        <v>2.7786889628791265</v>
      </c>
    </row>
    <row r="133" spans="1:36">
      <c r="A133" s="27" t="s">
        <v>369</v>
      </c>
      <c r="B133">
        <v>7.8658203618</v>
      </c>
      <c r="C133" t="s">
        <v>724</v>
      </c>
      <c r="D133" t="s">
        <v>272</v>
      </c>
      <c r="E133" s="110">
        <f>MATCH(F133,IND!$D$29:$D$137,0)</f>
        <v>108</v>
      </c>
      <c r="F133" t="str">
        <f>A133</f>
        <v>IOTR</v>
      </c>
      <c r="G133" s="8">
        <f ca="1">OFFSET(IND!P$28,$E133,0)</f>
        <v>4.2</v>
      </c>
      <c r="H133" s="8">
        <f ca="1">OFFSET(IND!Q$28,$E133,0)</f>
        <v>4.2483911250736304</v>
      </c>
      <c r="I133" s="8">
        <f ca="1">OFFSET(IND!R$28,$E133,0)</f>
        <v>4.2438389946986064</v>
      </c>
      <c r="J133" s="171">
        <f ca="1">OFFSET(IND!S$28,$E133,0)</f>
        <v>3.9366011074382827</v>
      </c>
      <c r="K133" s="8">
        <f ca="1">OFFSET(IND!T$28,$E133,0)</f>
        <v>4.3157405692502513</v>
      </c>
      <c r="L133" s="8">
        <f ca="1">OFFSET(IND!U$28,$E133,0)</f>
        <v>4.4604107562339959</v>
      </c>
      <c r="M133" s="8">
        <f ca="1">OFFSET(IND!V$28,$E133,0)</f>
        <v>4.4332229386124924</v>
      </c>
      <c r="N133" s="8">
        <f ca="1">OFFSET(IND!W$28,$E133,0)</f>
        <v>4.4363254535885845</v>
      </c>
      <c r="O133" s="171">
        <f ca="1">OFFSET(IND!X$28,$E133,0)</f>
        <v>4.5592510730163021</v>
      </c>
      <c r="P133" s="8">
        <f ca="1">OFFSET(IND!Y$28,$E133,0)</f>
        <v>4.8080509823522739</v>
      </c>
      <c r="Q133" s="8">
        <f ca="1">OFFSET(IND!Z$28,$E133,0)</f>
        <v>4.8678137918117788</v>
      </c>
      <c r="R133" s="8">
        <f ca="1">OFFSET(IND!AA$28,$E133,0)</f>
        <v>4.9456581756469573</v>
      </c>
      <c r="S133" s="8">
        <f ca="1">OFFSET(IND!AB$28,$E133,0)</f>
        <v>5.0887545293519887</v>
      </c>
      <c r="T133" s="8">
        <f ca="1">OFFSET(IND!AC$28,$E133,0)</f>
        <v>5.2684155145232143</v>
      </c>
      <c r="U133" s="8">
        <f ca="1">OFFSET(IND!AD$28,$E133,0)</f>
        <v>5.4513177571949019</v>
      </c>
      <c r="V133" s="8">
        <f ca="1">OFFSET(IND!AE$28,$E133,0)</f>
        <v>5.6367803642422531</v>
      </c>
      <c r="W133" s="8">
        <f ca="1">OFFSET(IND!AF$28,$E133,0)</f>
        <v>5.8503895737662175</v>
      </c>
      <c r="X133" s="8">
        <f ca="1">OFFSET(IND!AG$28,$E133,0)</f>
        <v>6.093910773299843</v>
      </c>
      <c r="Y133" s="8">
        <f ca="1">OFFSET(IND!AH$28,$E133,0)</f>
        <v>6.3714010646509109</v>
      </c>
      <c r="Z133" s="8">
        <f ca="1">OFFSET(IND!AI$28,$E133,0)</f>
        <v>6.6080524502466602</v>
      </c>
      <c r="AA133" s="8">
        <f ca="1">OFFSET(IND!AJ$28,$E133,0)</f>
        <v>6.8436199474890094</v>
      </c>
      <c r="AB133" s="8">
        <f ca="1">OFFSET(IND!AK$28,$E133,0)</f>
        <v>7.0744421516440967</v>
      </c>
      <c r="AC133" s="8">
        <f ca="1">OFFSET(IND!AL$28,$E133,0)</f>
        <v>7.285534256053996</v>
      </c>
      <c r="AD133" s="8">
        <f ca="1">OFFSET(IND!AM$28,$E133,0)</f>
        <v>7.500275387818955</v>
      </c>
      <c r="AE133" s="8">
        <f ca="1">OFFSET(IND!AN$28,$E133,0)</f>
        <v>8.6880951362560452</v>
      </c>
      <c r="AF133" s="8">
        <f ca="1">OFFSET(IND!AO$28,$E133,0)</f>
        <v>10.146706649395094</v>
      </c>
      <c r="AG133" s="8">
        <f ca="1">OFFSET(IND!AP$28,$E133,0)</f>
        <v>12.088988451710309</v>
      </c>
      <c r="AH133" s="8">
        <f ca="1">OFFSET(IND!AQ$28,$E133,0)</f>
        <v>13.537015205137186</v>
      </c>
      <c r="AJ133">
        <f t="shared" ca="1" si="3"/>
        <v>3.2230988583659963</v>
      </c>
    </row>
    <row r="134" spans="1:36">
      <c r="A134" s="27" t="s">
        <v>284</v>
      </c>
      <c r="C134" t="s">
        <v>724</v>
      </c>
      <c r="D134" t="s">
        <v>272</v>
      </c>
      <c r="E134" s="110">
        <f>MATCH(F134,IND!$D$29:$D$137,0)</f>
        <v>14</v>
      </c>
      <c r="F134" t="str">
        <f>A134</f>
        <v>IPPPAP</v>
      </c>
      <c r="G134" s="8">
        <f ca="1">OFFSET(IND!P$28,$E134,0)</f>
        <v>2.1800600000000001</v>
      </c>
      <c r="H134" s="8">
        <f ca="1">OFFSET(IND!Q$28,$E134,0)</f>
        <v>2.2166294765726118</v>
      </c>
      <c r="I134" s="8">
        <f ca="1">OFFSET(IND!R$28,$E134,0)</f>
        <v>2.2151621827595136</v>
      </c>
      <c r="J134" s="171">
        <f ca="1">OFFSET(IND!S$28,$E134,0)</f>
        <v>2.1156043318489735</v>
      </c>
      <c r="K134" s="8">
        <f ca="1">OFFSET(IND!T$28,$E134,0)</f>
        <v>2.1851033082423212</v>
      </c>
      <c r="L134" s="8">
        <f ca="1">OFFSET(IND!U$28,$E134,0)</f>
        <v>2.3759796239120692</v>
      </c>
      <c r="M134" s="8">
        <f ca="1">OFFSET(IND!V$28,$E134,0)</f>
        <v>2.3921155773101566</v>
      </c>
      <c r="N134" s="8">
        <f ca="1">OFFSET(IND!W$28,$E134,0)</f>
        <v>2.4323527047062026</v>
      </c>
      <c r="O134" s="171">
        <f ca="1">OFFSET(IND!X$28,$E134,0)</f>
        <v>2.4698759987523076</v>
      </c>
      <c r="P134" s="8">
        <f ca="1">OFFSET(IND!Y$28,$E134,0)</f>
        <v>2.5101917061905428</v>
      </c>
      <c r="Q134" s="8">
        <f ca="1">OFFSET(IND!Z$28,$E134,0)</f>
        <v>2.5620149878150387</v>
      </c>
      <c r="R134" s="8">
        <f ca="1">OFFSET(IND!AA$28,$E134,0)</f>
        <v>2.6214925660316619</v>
      </c>
      <c r="S134" s="8">
        <f ca="1">OFFSET(IND!AB$28,$E134,0)</f>
        <v>2.6906048423153424</v>
      </c>
      <c r="T134" s="8">
        <f ca="1">OFFSET(IND!AC$28,$E134,0)</f>
        <v>2.781959978083262</v>
      </c>
      <c r="U134" s="8">
        <f ca="1">OFFSET(IND!AD$28,$E134,0)</f>
        <v>2.8786692006825105</v>
      </c>
      <c r="V134" s="8">
        <f ca="1">OFFSET(IND!AE$28,$E134,0)</f>
        <v>2.9787913258362182</v>
      </c>
      <c r="W134" s="8">
        <f ca="1">OFFSET(IND!AF$28,$E134,0)</f>
        <v>3.0812531323315584</v>
      </c>
      <c r="X134" s="8">
        <f ca="1">OFFSET(IND!AG$28,$E134,0)</f>
        <v>3.1864243710281159</v>
      </c>
      <c r="Y134" s="8">
        <f ca="1">OFFSET(IND!AH$28,$E134,0)</f>
        <v>3.3263388386922825</v>
      </c>
      <c r="Z134" s="8">
        <f ca="1">OFFSET(IND!AI$28,$E134,0)</f>
        <v>3.4354877363622069</v>
      </c>
      <c r="AA134" s="8">
        <f ca="1">OFFSET(IND!AJ$28,$E134,0)</f>
        <v>3.5499318310687014</v>
      </c>
      <c r="AB134" s="8">
        <f ca="1">OFFSET(IND!AK$28,$E134,0)</f>
        <v>3.6741006561474734</v>
      </c>
      <c r="AC134" s="8">
        <f ca="1">OFFSET(IND!AL$28,$E134,0)</f>
        <v>3.8086765346469131</v>
      </c>
      <c r="AD134" s="8">
        <f ca="1">OFFSET(IND!AM$28,$E134,0)</f>
        <v>3.9414763534124626</v>
      </c>
      <c r="AE134" s="8">
        <f ca="1">OFFSET(IND!AN$28,$E134,0)</f>
        <v>4.6597644751485854</v>
      </c>
      <c r="AF134" s="8">
        <f ca="1">OFFSET(IND!AO$28,$E134,0)</f>
        <v>5.4852336811427849</v>
      </c>
      <c r="AG134" s="8">
        <f ca="1">OFFSET(IND!AP$28,$E134,0)</f>
        <v>6.3251996222892801</v>
      </c>
      <c r="AH134" s="8">
        <f ca="1">OFFSET(IND!AQ$28,$E134,0)</f>
        <v>7.082836070568348</v>
      </c>
      <c r="AJ134">
        <f t="shared" ref="AJ134:AJ138" ca="1" si="7">AH134/G134</f>
        <v>3.2489179520601943</v>
      </c>
    </row>
    <row r="135" spans="1:36">
      <c r="A135" s="27" t="s">
        <v>285</v>
      </c>
      <c r="C135" t="s">
        <v>724</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1">
        <f ca="1">OFFSET(IND!S$28,$E135,0)</f>
        <v>0.63962003035816473</v>
      </c>
      <c r="K135" s="8">
        <f ca="1">OFFSET(IND!T$28,$E135,0)</f>
        <v>0.66063196379078548</v>
      </c>
      <c r="L135" s="8">
        <f ca="1">OFFSET(IND!U$28,$E135,0)</f>
        <v>0.7183404459419056</v>
      </c>
      <c r="M135" s="8">
        <f ca="1">OFFSET(IND!V$28,$E135,0)</f>
        <v>0.72321890021947011</v>
      </c>
      <c r="N135" s="8">
        <f ca="1">OFFSET(IND!W$28,$E135,0)</f>
        <v>0.7353839692066807</v>
      </c>
      <c r="O135" s="171">
        <f ca="1">OFFSET(IND!X$28,$E135,0)</f>
        <v>0.74672855293417406</v>
      </c>
      <c r="P135" s="8">
        <f ca="1">OFFSET(IND!Y$28,$E135,0)</f>
        <v>0.75891737937367099</v>
      </c>
      <c r="Q135" s="8">
        <f ca="1">OFFSET(IND!Z$28,$E135,0)</f>
        <v>0.77458534169862525</v>
      </c>
      <c r="R135" s="8">
        <f ca="1">OFFSET(IND!AA$28,$E135,0)</f>
        <v>0.792567461422921</v>
      </c>
      <c r="S135" s="8">
        <f ca="1">OFFSET(IND!AB$28,$E135,0)</f>
        <v>0.81346248209819794</v>
      </c>
      <c r="T135" s="8">
        <f ca="1">OFFSET(IND!AC$28,$E135,0)</f>
        <v>0.84108228502334259</v>
      </c>
      <c r="U135" s="8">
        <f ca="1">OFFSET(IND!AD$28,$E135,0)</f>
        <v>0.87032081274028328</v>
      </c>
      <c r="V135" s="8">
        <f ca="1">OFFSET(IND!AE$28,$E135,0)</f>
        <v>0.9005911784066124</v>
      </c>
      <c r="W135" s="8">
        <f ca="1">OFFSET(IND!AF$28,$E135,0)</f>
        <v>0.93156891029839051</v>
      </c>
      <c r="X135" s="8">
        <f ca="1">OFFSET(IND!AG$28,$E135,0)</f>
        <v>0.96336579683109413</v>
      </c>
      <c r="Y135" s="8">
        <f ca="1">OFFSET(IND!AH$28,$E135,0)</f>
        <v>1.0056667576996547</v>
      </c>
      <c r="Z135" s="8">
        <f ca="1">OFFSET(IND!AI$28,$E135,0)</f>
        <v>1.0386662274919019</v>
      </c>
      <c r="AA135" s="8">
        <f ca="1">OFFSET(IND!AJ$28,$E135,0)</f>
        <v>1.0732666176633974</v>
      </c>
      <c r="AB135" s="8">
        <f ca="1">OFFSET(IND!AK$28,$E135,0)</f>
        <v>1.1108071286515795</v>
      </c>
      <c r="AC135" s="8">
        <f ca="1">OFFSET(IND!AL$28,$E135,0)</f>
        <v>1.1514940502065469</v>
      </c>
      <c r="AD135" s="8">
        <f ca="1">OFFSET(IND!AM$28,$E135,0)</f>
        <v>1.1916440077537331</v>
      </c>
      <c r="AE135" s="8">
        <f ca="1">OFFSET(IND!AN$28,$E135,0)</f>
        <v>1.4088072378125593</v>
      </c>
      <c r="AF135" s="8">
        <f ca="1">OFFSET(IND!AO$28,$E135,0)</f>
        <v>1.6583749999168733</v>
      </c>
      <c r="AG135" s="8">
        <f ca="1">OFFSET(IND!AP$28,$E135,0)</f>
        <v>1.912325624184313</v>
      </c>
      <c r="AH135" s="8">
        <f ca="1">OFFSET(IND!AQ$28,$E135,0)</f>
        <v>2.1413852081307989</v>
      </c>
      <c r="AJ135">
        <f t="shared" ca="1" si="7"/>
        <v>3.2489179520601965</v>
      </c>
    </row>
    <row r="136" spans="1:36">
      <c r="A136" s="27" t="s">
        <v>681</v>
      </c>
      <c r="C136" t="s">
        <v>724</v>
      </c>
      <c r="D136" t="s">
        <v>272</v>
      </c>
      <c r="E136" s="110">
        <f>MATCH(F136,IND!$D$29:$D$137,0)</f>
        <v>3</v>
      </c>
      <c r="F136" t="str">
        <f>A136</f>
        <v>IFACR</v>
      </c>
      <c r="G136" s="8">
        <f ca="1">OFFSET(IND!P$28,$E136,0)</f>
        <v>3.484</v>
      </c>
      <c r="H136" s="8">
        <f ca="1">OFFSET(IND!Q$28,$E136,0)</f>
        <v>3.4861605457176319</v>
      </c>
      <c r="I136" s="8">
        <f ca="1">OFFSET(IND!R$28,$E136,0)</f>
        <v>3.4530321780472675</v>
      </c>
      <c r="J136" s="171">
        <f ca="1">OFFSET(IND!S$28,$E136,0)</f>
        <v>3.2824507323211911</v>
      </c>
      <c r="K136" s="8">
        <f ca="1">OFFSET(IND!T$28,$E136,0)</f>
        <v>3.4972516519484285</v>
      </c>
      <c r="L136" s="8">
        <f ca="1">OFFSET(IND!U$28,$E136,0)</f>
        <v>3.798629947786055</v>
      </c>
      <c r="M136" s="8">
        <f ca="1">OFFSET(IND!V$28,$E136,0)</f>
        <v>3.6019604880516476</v>
      </c>
      <c r="N136" s="8">
        <f ca="1">OFFSET(IND!W$28,$E136,0)</f>
        <v>3.5476658818466307</v>
      </c>
      <c r="O136" s="171">
        <f ca="1">OFFSET(IND!X$28,$E136,0)</f>
        <v>3.4866495153283839</v>
      </c>
      <c r="P136" s="8">
        <f ca="1">OFFSET(IND!Y$28,$E136,0)</f>
        <v>3.4866495153283843</v>
      </c>
      <c r="Q136" s="8">
        <f ca="1">OFFSET(IND!Z$28,$E136,0)</f>
        <v>3.4866495153283843</v>
      </c>
      <c r="R136" s="8">
        <f ca="1">OFFSET(IND!AA$28,$E136,0)</f>
        <v>3.4866495153283843</v>
      </c>
      <c r="S136" s="8">
        <f ca="1">OFFSET(IND!AB$28,$E136,0)</f>
        <v>3.4866495153283843</v>
      </c>
      <c r="T136" s="8">
        <f ca="1">OFFSET(IND!AC$28,$E136,0)</f>
        <v>3.4866495153283843</v>
      </c>
      <c r="U136" s="8">
        <f ca="1">OFFSET(IND!AD$28,$E136,0)</f>
        <v>3.4866495153283843</v>
      </c>
      <c r="V136" s="8">
        <f ca="1">OFFSET(IND!AE$28,$E136,0)</f>
        <v>3.4866495153283843</v>
      </c>
      <c r="W136" s="8">
        <f ca="1">OFFSET(IND!AF$28,$E136,0)</f>
        <v>3.4866495153283843</v>
      </c>
      <c r="X136" s="8">
        <f ca="1">OFFSET(IND!AG$28,$E136,0)</f>
        <v>3.4866495153283843</v>
      </c>
      <c r="Y136" s="8">
        <f ca="1">OFFSET(IND!AH$28,$E136,0)</f>
        <v>3.4866495153283843</v>
      </c>
      <c r="Z136" s="8">
        <f ca="1">OFFSET(IND!AI$28,$E136,0)</f>
        <v>3.6106058763699469</v>
      </c>
      <c r="AA136" s="8">
        <f ca="1">OFFSET(IND!AJ$28,$E136,0)</f>
        <v>3.707111501539972</v>
      </c>
      <c r="AB136" s="8">
        <f ca="1">OFFSET(IND!AK$28,$E136,0)</f>
        <v>3.8219667115780487</v>
      </c>
      <c r="AC136" s="8">
        <f ca="1">OFFSET(IND!AL$28,$E136,0)</f>
        <v>3.9158656126229761</v>
      </c>
      <c r="AD136" s="8">
        <f ca="1">OFFSET(IND!AM$28,$E136,0)</f>
        <v>4.045353954237366</v>
      </c>
      <c r="AE136" s="8">
        <f ca="1">OFFSET(IND!AN$28,$E136,0)</f>
        <v>4.7224339909102149</v>
      </c>
      <c r="AF136" s="8">
        <f ca="1">OFFSET(IND!AO$28,$E136,0)</f>
        <v>5.3942186488767172</v>
      </c>
      <c r="AG136" s="8">
        <f ca="1">OFFSET(IND!AP$28,$E136,0)</f>
        <v>6.7439659066338091</v>
      </c>
      <c r="AH136" s="8">
        <f ca="1">OFFSET(IND!AQ$28,$E136,0)</f>
        <v>8.0928306012731621</v>
      </c>
      <c r="AJ136">
        <f t="shared" ca="1" si="7"/>
        <v>2.3228560853252476</v>
      </c>
    </row>
    <row r="137" spans="1:36">
      <c r="A137" s="27" t="s">
        <v>682</v>
      </c>
      <c r="C137" t="s">
        <v>724</v>
      </c>
      <c r="D137" t="s">
        <v>272</v>
      </c>
      <c r="E137" s="110">
        <f>MATCH(F137,IND!$D$29:$D$137,0)</f>
        <v>4</v>
      </c>
      <c r="F137" t="str">
        <f t="shared" ref="F137:F138" si="8">A137</f>
        <v>IFAMN</v>
      </c>
      <c r="G137" s="8">
        <f ca="1">OFFSET(IND!P$28,$E137,0)</f>
        <v>0.4587</v>
      </c>
      <c r="H137" s="8">
        <f ca="1">OFFSET(IND!Q$28,$E137,0)</f>
        <v>0.45898445531592363</v>
      </c>
      <c r="I137" s="8">
        <f ca="1">OFFSET(IND!R$28,$E137,0)</f>
        <v>0.45462280713842756</v>
      </c>
      <c r="J137" s="171">
        <f ca="1">OFFSET(IND!S$28,$E137,0)</f>
        <v>0.43216422242127739</v>
      </c>
      <c r="K137" s="8">
        <f ca="1">OFFSET(IND!T$28,$E137,0)</f>
        <v>0.43032214898246302</v>
      </c>
      <c r="L137" s="8">
        <f ca="1">OFFSET(IND!U$28,$E137,0)</f>
        <v>0.46740548436362311</v>
      </c>
      <c r="M137" s="8">
        <f ca="1">OFFSET(IND!V$28,$E137,0)</f>
        <v>0.44320613213657378</v>
      </c>
      <c r="N137" s="8">
        <f ca="1">OFFSET(IND!W$28,$E137,0)</f>
        <v>0.43652540854401151</v>
      </c>
      <c r="O137" s="171">
        <f ca="1">OFFSET(IND!X$28,$E137,0)</f>
        <v>0.42901760053465504</v>
      </c>
      <c r="P137" s="8">
        <f ca="1">OFFSET(IND!Y$28,$E137,0)</f>
        <v>0.42901760053465515</v>
      </c>
      <c r="Q137" s="8">
        <f ca="1">OFFSET(IND!Z$28,$E137,0)</f>
        <v>0.42901760053465515</v>
      </c>
      <c r="R137" s="8">
        <f ca="1">OFFSET(IND!AA$28,$E137,0)</f>
        <v>0.42901760053465515</v>
      </c>
      <c r="S137" s="8">
        <f ca="1">OFFSET(IND!AB$28,$E137,0)</f>
        <v>0.42901760053465515</v>
      </c>
      <c r="T137" s="8">
        <f ca="1">OFFSET(IND!AC$28,$E137,0)</f>
        <v>0.42901760053465515</v>
      </c>
      <c r="U137" s="8">
        <f ca="1">OFFSET(IND!AD$28,$E137,0)</f>
        <v>0.42901760053465515</v>
      </c>
      <c r="V137" s="8">
        <f ca="1">OFFSET(IND!AE$28,$E137,0)</f>
        <v>0.42901760053465515</v>
      </c>
      <c r="W137" s="8">
        <f ca="1">OFFSET(IND!AF$28,$E137,0)</f>
        <v>0.42901760053465515</v>
      </c>
      <c r="X137" s="8">
        <f ca="1">OFFSET(IND!AG$28,$E137,0)</f>
        <v>0.42901760053465515</v>
      </c>
      <c r="Y137" s="8">
        <f ca="1">OFFSET(IND!AH$28,$E137,0)</f>
        <v>0.42901760053465515</v>
      </c>
      <c r="Z137" s="8">
        <f ca="1">OFFSET(IND!AI$28,$E137,0)</f>
        <v>0.44426991091207196</v>
      </c>
      <c r="AA137" s="8">
        <f ca="1">OFFSET(IND!AJ$28,$E137,0)</f>
        <v>0.45614452336351641</v>
      </c>
      <c r="AB137" s="8">
        <f ca="1">OFFSET(IND!AK$28,$E137,0)</f>
        <v>0.47027697527840251</v>
      </c>
      <c r="AC137" s="8">
        <f ca="1">OFFSET(IND!AL$28,$E137,0)</f>
        <v>0.48183084125834508</v>
      </c>
      <c r="AD137" s="8">
        <f ca="1">OFFSET(IND!AM$28,$E137,0)</f>
        <v>0.49776383864520318</v>
      </c>
      <c r="AE137" s="8">
        <f ca="1">OFFSET(IND!AN$28,$E137,0)</f>
        <v>0.58107569761647793</v>
      </c>
      <c r="AF137" s="8">
        <f ca="1">OFFSET(IND!AO$28,$E137,0)</f>
        <v>0.66373598244571996</v>
      </c>
      <c r="AG137" s="8">
        <f ca="1">OFFSET(IND!AP$28,$E137,0)</f>
        <v>0.82981672193657752</v>
      </c>
      <c r="AH137" s="8">
        <f ca="1">OFFSET(IND!AQ$28,$E137,0)</f>
        <v>0.99578886573709446</v>
      </c>
      <c r="AJ137">
        <f t="shared" ca="1" si="7"/>
        <v>2.1708935376871472</v>
      </c>
    </row>
    <row r="138" spans="1:36">
      <c r="A138" s="27" t="s">
        <v>684</v>
      </c>
      <c r="C138" t="s">
        <v>724</v>
      </c>
      <c r="D138" t="s">
        <v>272</v>
      </c>
      <c r="E138" s="110">
        <f>MATCH(F138,IND!$D$29:$D$137,0)</f>
        <v>2</v>
      </c>
      <c r="F138" t="str">
        <f t="shared" si="8"/>
        <v>IPGMD</v>
      </c>
      <c r="G138" s="8">
        <f ca="1">OFFSET(IND!P$28,$E138,0)</f>
        <v>31</v>
      </c>
      <c r="H138" s="8">
        <f ca="1">OFFSET(IND!Q$28,$E138,0)</f>
        <v>30.822038664165198</v>
      </c>
      <c r="I138" s="8">
        <f ca="1">OFFSET(IND!R$28,$E138,0)</f>
        <v>30.425949170614501</v>
      </c>
      <c r="J138" s="171">
        <f ca="1">OFFSET(IND!S$28,$E138,0)</f>
        <v>23.066289237134917</v>
      </c>
      <c r="K138" s="8">
        <f ca="1">OFFSET(IND!T$28,$E138,0)</f>
        <v>36.83793760105285</v>
      </c>
      <c r="L138" s="8">
        <f ca="1">OFFSET(IND!U$28,$E138,0)</f>
        <v>28.116320278890861</v>
      </c>
      <c r="M138" s="8">
        <f ca="1">OFFSET(IND!V$28,$E138,0)</f>
        <v>29.32135611900641</v>
      </c>
      <c r="N138" s="8">
        <f ca="1">OFFSET(IND!W$28,$E138,0)</f>
        <v>29.270227702867615</v>
      </c>
      <c r="O138" s="171">
        <f ca="1">OFFSET(IND!X$28,$E138,0)</f>
        <v>29.119678111973183</v>
      </c>
      <c r="P138" s="8">
        <f ca="1">OFFSET(IND!Y$28,$E138,0)</f>
        <v>29.428565271016058</v>
      </c>
      <c r="Q138" s="8">
        <f ca="1">OFFSET(IND!Z$28,$E138,0)</f>
        <v>30.11389906099274</v>
      </c>
      <c r="R138" s="8">
        <f ca="1">OFFSET(IND!AA$28,$E138,0)</f>
        <v>30.67902980762765</v>
      </c>
      <c r="S138" s="8">
        <f ca="1">OFFSET(IND!AB$28,$E138,0)</f>
        <v>31.585065456729254</v>
      </c>
      <c r="T138" s="8">
        <f ca="1">OFFSET(IND!AC$28,$E138,0)</f>
        <v>32.456563705586291</v>
      </c>
      <c r="U138" s="8">
        <f ca="1">OFFSET(IND!AD$28,$E138,0)</f>
        <v>33.299367000250378</v>
      </c>
      <c r="V138" s="8">
        <f ca="1">OFFSET(IND!AE$28,$E138,0)</f>
        <v>34.141786453905418</v>
      </c>
      <c r="W138" s="8">
        <f ca="1">OFFSET(IND!AF$28,$E138,0)</f>
        <v>34.977333620547597</v>
      </c>
      <c r="X138" s="8">
        <f ca="1">OFFSET(IND!AG$28,$E138,0)</f>
        <v>35.807512129727144</v>
      </c>
      <c r="Y138" s="8">
        <f ca="1">OFFSET(IND!AH$28,$E138,0)</f>
        <v>37.39756206615197</v>
      </c>
      <c r="Z138" s="8">
        <f ca="1">OFFSET(IND!AI$28,$E138,0)</f>
        <v>38.560995107687113</v>
      </c>
      <c r="AA138" s="8">
        <f ca="1">OFFSET(IND!AJ$28,$E138,0)</f>
        <v>39.691524083538319</v>
      </c>
      <c r="AB138" s="8">
        <f ca="1">OFFSET(IND!AK$28,$E138,0)</f>
        <v>40.901164724932187</v>
      </c>
      <c r="AC138" s="8">
        <f ca="1">OFFSET(IND!AL$28,$E138,0)</f>
        <v>42.245843919105056</v>
      </c>
      <c r="AD138" s="8">
        <f ca="1">OFFSET(IND!AM$28,$E138,0)</f>
        <v>43.472439779455101</v>
      </c>
      <c r="AE138" s="8">
        <f ca="1">OFFSET(IND!AN$28,$E138,0)</f>
        <v>49.692111499529624</v>
      </c>
      <c r="AF138" s="8">
        <f ca="1">OFFSET(IND!AO$28,$E138,0)</f>
        <v>59.042419157769942</v>
      </c>
      <c r="AG138" s="8">
        <f ca="1">OFFSET(IND!AP$28,$E138,0)</f>
        <v>74.090625879723746</v>
      </c>
      <c r="AH138" s="8">
        <f ca="1">OFFSET(IND!AQ$28,$E138,0)</f>
        <v>89.660605258038743</v>
      </c>
      <c r="AJ138">
        <f t="shared" ca="1" si="7"/>
        <v>2.8922775889689918</v>
      </c>
    </row>
    <row r="139" spans="1:36">
      <c r="E139" s="110"/>
      <c r="G139" s="8"/>
      <c r="H139" s="8"/>
      <c r="I139" s="8"/>
      <c r="J139" s="171"/>
      <c r="K139" s="8"/>
      <c r="L139" s="8"/>
      <c r="M139" s="8"/>
      <c r="N139" s="8"/>
      <c r="O139" s="171"/>
      <c r="P139" s="8"/>
      <c r="Q139" s="8"/>
      <c r="R139" s="8"/>
      <c r="S139" s="8"/>
      <c r="T139" s="8"/>
      <c r="U139" s="8"/>
      <c r="V139" s="8"/>
      <c r="W139" s="8"/>
      <c r="X139" s="8"/>
      <c r="Y139" s="8"/>
      <c r="Z139" s="8"/>
      <c r="AA139" s="8"/>
      <c r="AB139" s="8"/>
      <c r="AC139" s="8"/>
      <c r="AD139" s="8"/>
      <c r="AE139" s="8"/>
      <c r="AF139" s="8"/>
      <c r="AG139" s="8"/>
      <c r="AH139" s="8"/>
    </row>
    <row r="140" spans="1:36">
      <c r="E140" s="110"/>
      <c r="G140" s="8"/>
      <c r="H140" s="8"/>
      <c r="I140" s="8"/>
      <c r="J140" s="171"/>
      <c r="K140" s="8"/>
      <c r="L140" s="8"/>
      <c r="M140" s="8"/>
      <c r="N140" s="8"/>
      <c r="O140" s="171"/>
      <c r="P140" s="8"/>
      <c r="Q140" s="8"/>
      <c r="R140" s="8"/>
      <c r="S140" s="8"/>
      <c r="T140" s="8"/>
      <c r="U140" s="8"/>
      <c r="V140" s="8"/>
      <c r="W140" s="8"/>
      <c r="X140" s="8"/>
      <c r="Y140" s="8"/>
      <c r="Z140" s="8"/>
      <c r="AA140" s="8"/>
      <c r="AB140" s="8"/>
      <c r="AC140" s="8"/>
      <c r="AD140" s="8"/>
      <c r="AE140" s="8"/>
      <c r="AF140" s="8"/>
      <c r="AG140" s="8"/>
      <c r="AH140" s="8"/>
    </row>
    <row r="141" spans="1:36">
      <c r="E141" s="110"/>
      <c r="G141" s="8"/>
      <c r="H141" s="8"/>
      <c r="I141" s="8"/>
      <c r="J141" s="171"/>
      <c r="K141" s="8"/>
      <c r="L141" s="8"/>
      <c r="M141" s="8"/>
      <c r="N141" s="8"/>
      <c r="O141" s="171"/>
      <c r="P141" s="8"/>
      <c r="Q141" s="8"/>
      <c r="R141" s="8"/>
      <c r="S141" s="8"/>
      <c r="T141" s="8"/>
      <c r="U141" s="8"/>
      <c r="V141" s="8"/>
      <c r="W141" s="8"/>
      <c r="X141" s="8"/>
      <c r="Y141" s="8"/>
      <c r="Z141" s="8"/>
      <c r="AA141" s="8"/>
      <c r="AB141" s="8"/>
      <c r="AC141" s="8"/>
      <c r="AD141" s="8"/>
      <c r="AE141" s="8"/>
      <c r="AF141" s="8"/>
      <c r="AG141" s="8"/>
      <c r="AH141" s="8"/>
    </row>
    <row r="142" spans="1:36">
      <c r="E142" s="110"/>
      <c r="G142" s="8"/>
      <c r="H142" s="8"/>
      <c r="I142" s="8"/>
      <c r="J142" s="171"/>
      <c r="K142" s="8"/>
      <c r="L142" s="8"/>
      <c r="M142" s="8"/>
      <c r="N142" s="8"/>
      <c r="O142" s="171"/>
      <c r="P142" s="8"/>
      <c r="Q142" s="8"/>
      <c r="R142" s="8"/>
      <c r="S142" s="8"/>
      <c r="T142" s="8"/>
      <c r="U142" s="8"/>
      <c r="V142" s="8"/>
      <c r="W142" s="8"/>
      <c r="X142" s="8"/>
      <c r="Y142" s="8"/>
      <c r="Z142" s="8"/>
      <c r="AA142" s="8"/>
      <c r="AB142" s="8"/>
      <c r="AC142" s="8"/>
      <c r="AD142" s="8"/>
      <c r="AE142" s="8"/>
      <c r="AF142" s="8"/>
      <c r="AG142" s="8"/>
      <c r="AH142" s="8"/>
    </row>
    <row r="143" spans="1:36">
      <c r="E143" s="110"/>
      <c r="G143" s="8"/>
      <c r="H143" s="8"/>
      <c r="I143" s="8"/>
      <c r="J143" s="171"/>
      <c r="K143" s="8"/>
      <c r="L143" s="8"/>
      <c r="M143" s="8"/>
      <c r="N143" s="8"/>
      <c r="O143" s="171"/>
      <c r="P143" s="8"/>
      <c r="Q143" s="8"/>
      <c r="R143" s="8"/>
      <c r="S143" s="8"/>
      <c r="T143" s="8"/>
      <c r="U143" s="8"/>
      <c r="V143" s="8"/>
      <c r="W143" s="8"/>
      <c r="X143" s="8"/>
      <c r="Y143" s="8"/>
      <c r="Z143" s="8"/>
      <c r="AA143" s="8"/>
      <c r="AB143" s="8"/>
      <c r="AC143" s="8"/>
      <c r="AD143" s="8"/>
      <c r="AE143" s="8"/>
      <c r="AF143" s="8"/>
      <c r="AG143" s="8"/>
      <c r="AH143" s="8"/>
    </row>
    <row r="144" spans="1:36">
      <c r="E144" s="110"/>
      <c r="G144" s="8"/>
      <c r="H144" s="8"/>
      <c r="I144" s="8"/>
      <c r="J144" s="171"/>
      <c r="K144" s="8"/>
      <c r="L144" s="8"/>
      <c r="M144" s="8"/>
      <c r="N144" s="8"/>
      <c r="O144" s="171"/>
      <c r="P144" s="8"/>
      <c r="Q144" s="8"/>
      <c r="R144" s="8"/>
      <c r="S144" s="8"/>
      <c r="T144" s="8"/>
      <c r="U144" s="8"/>
      <c r="V144" s="8"/>
      <c r="W144" s="8"/>
      <c r="X144" s="8"/>
      <c r="Y144" s="8"/>
      <c r="Z144" s="8"/>
      <c r="AA144" s="8"/>
      <c r="AB144" s="8"/>
      <c r="AC144" s="8"/>
      <c r="AD144" s="8"/>
      <c r="AE144" s="8"/>
      <c r="AF144" s="8"/>
      <c r="AG144" s="8"/>
      <c r="AH144" s="8"/>
    </row>
    <row r="145" spans="5:34">
      <c r="E145" s="110"/>
      <c r="G145" s="8"/>
      <c r="H145" s="8"/>
      <c r="I145" s="8"/>
      <c r="J145" s="171"/>
      <c r="K145" s="8"/>
      <c r="L145" s="8"/>
      <c r="M145" s="8"/>
      <c r="N145" s="8"/>
      <c r="O145" s="171"/>
      <c r="P145" s="8"/>
      <c r="Q145" s="8"/>
      <c r="R145" s="8"/>
      <c r="S145" s="8"/>
      <c r="T145" s="8"/>
      <c r="U145" s="8"/>
      <c r="V145" s="8"/>
      <c r="W145" s="8"/>
      <c r="X145" s="8"/>
      <c r="Y145" s="8"/>
      <c r="Z145" s="8"/>
      <c r="AA145" s="8"/>
      <c r="AB145" s="8"/>
      <c r="AC145" s="8"/>
      <c r="AD145" s="8"/>
      <c r="AE145" s="8"/>
      <c r="AF145" s="8"/>
      <c r="AG145" s="8"/>
      <c r="AH145" s="8"/>
    </row>
    <row r="146" spans="5:34">
      <c r="E146" s="110"/>
      <c r="G146" s="8"/>
      <c r="H146" s="8"/>
      <c r="I146" s="8"/>
      <c r="J146" s="171"/>
      <c r="K146" s="8"/>
      <c r="L146" s="8"/>
      <c r="M146" s="8"/>
      <c r="N146" s="8"/>
      <c r="O146" s="171"/>
      <c r="P146" s="8"/>
      <c r="Q146" s="8"/>
      <c r="R146" s="8"/>
      <c r="S146" s="8"/>
      <c r="T146" s="8"/>
      <c r="U146" s="8"/>
      <c r="V146" s="8"/>
      <c r="W146" s="8"/>
      <c r="X146" s="8"/>
      <c r="Y146" s="8"/>
      <c r="Z146" s="8"/>
      <c r="AA146" s="8"/>
      <c r="AB146" s="8"/>
      <c r="AC146" s="8"/>
      <c r="AD146" s="8"/>
      <c r="AE146" s="8"/>
      <c r="AF146" s="8"/>
      <c r="AG146" s="8"/>
      <c r="AH146" s="8"/>
    </row>
    <row r="147" spans="5:34">
      <c r="E147" s="110"/>
      <c r="G147" s="8"/>
      <c r="H147" s="8"/>
      <c r="I147" s="8"/>
      <c r="J147" s="171"/>
      <c r="K147" s="8"/>
      <c r="L147" s="8"/>
      <c r="M147" s="8"/>
      <c r="N147" s="8"/>
      <c r="O147" s="171"/>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7329630420850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2" t="s">
        <v>185</v>
      </c>
      <c r="C2" s="362"/>
    </row>
    <row r="3" spans="1:42">
      <c r="A3" t="s">
        <v>16</v>
      </c>
    </row>
    <row r="4" spans="1:42" ht="15.75" thickBot="1">
      <c r="A4" t="s">
        <v>16</v>
      </c>
      <c r="B4" s="362" t="s">
        <v>11</v>
      </c>
      <c r="C4" s="362"/>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109.27462512619168</v>
      </c>
      <c r="O6" s="107" cm="1">
        <f t="array" ref="O6">INDEX(Drivers!$C$7:$AG$27,$D$6,MATCH(O$4,Drivers!$C$5:$AG$5,0))</f>
        <v>105.92295099389477</v>
      </c>
      <c r="P6" s="107" cm="1">
        <f t="array" ref="P6">INDEX(Drivers!$C$7:$AG$27,$D$6,MATCH(P$4,Drivers!$C$5:$AG$5,0))</f>
        <v>103.65853055310377</v>
      </c>
      <c r="Q6" s="107" cm="1">
        <f t="array" ref="Q6">INDEX(Drivers!$C$7:$AG$27,$D$6,MATCH(Q$4,Drivers!$C$5:$AG$5,0))</f>
        <v>102.92717795930828</v>
      </c>
      <c r="R6" s="107" cm="1">
        <f t="array" ref="R6">INDEX(Drivers!$C$7:$AG$27,$D$6,MATCH(R$4,Drivers!$C$5:$AG$5,0))</f>
        <v>105.20356272033369</v>
      </c>
      <c r="S6" s="107" cm="1">
        <f t="array" ref="S6">INDEX(Drivers!$C$7:$AG$27,$D$6,MATCH(S$4,Drivers!$C$5:$AG$5,0))</f>
        <v>106.52731491190396</v>
      </c>
      <c r="T6" s="107" cm="1">
        <f t="array" ref="T6">INDEX(Drivers!$C$7:$AG$27,$D$6,MATCH(T$4,Drivers!$C$5:$AG$5,0))</f>
        <v>108.19511106094386</v>
      </c>
      <c r="U6" s="107" cm="1">
        <f t="array" ref="U6">INDEX(Drivers!$C$7:$AG$27,$D$6,MATCH(U$4,Drivers!$C$5:$AG$5,0))</f>
        <v>110.00436157961001</v>
      </c>
      <c r="V6" s="107" cm="1">
        <f t="array" ref="V6">INDEX(Drivers!$C$7:$AG$27,$D$6,MATCH(V$4,Drivers!$C$5:$AG$5,0))</f>
        <v>111.78239511724279</v>
      </c>
      <c r="W6" s="107" cm="1">
        <f t="array" ref="W6">INDEX(Drivers!$C$7:$AG$27,$D$6,MATCH(W$4,Drivers!$C$5:$AG$5,0))</f>
        <v>114.57356049076384</v>
      </c>
      <c r="X6" s="107" cm="1">
        <f t="array" ref="X6">INDEX(Drivers!$C$7:$AG$27,$D$6,MATCH(X$4,Drivers!$C$5:$AG$5,0))</f>
        <v>117.23877715150419</v>
      </c>
      <c r="Y6" s="107" cm="1">
        <f t="array" ref="Y6">INDEX(Drivers!$C$7:$AG$27,$D$6,MATCH(Y$4,Drivers!$C$5:$AG$5,0))</f>
        <v>119.7720765854295</v>
      </c>
      <c r="Z6" s="107" cm="1">
        <f t="array" ref="Z6">INDEX(Drivers!$C$7:$AG$27,$D$6,MATCH(Z$4,Drivers!$C$5:$AG$5,0))</f>
        <v>122.36783727833448</v>
      </c>
      <c r="AA6" s="107" cm="1">
        <f t="array" ref="AA6">INDEX(Drivers!$C$7:$AG$27,$D$6,MATCH(AA$4,Drivers!$C$5:$AG$5,0))</f>
        <v>125.03091581646193</v>
      </c>
      <c r="AB6" s="107" cm="1">
        <f t="array" ref="AB6">INDEX(Drivers!$C$7:$AG$27,$D$6,MATCH(AB$4,Drivers!$C$5:$AG$5,0))</f>
        <v>128.85900427058164</v>
      </c>
      <c r="AC6" s="107" cm="1">
        <f t="array" ref="AC6">INDEX(Drivers!$C$7:$AG$27,$D$6,MATCH(AC$4,Drivers!$C$5:$AG$5,0))</f>
        <v>131.85555520276597</v>
      </c>
      <c r="AD6" s="107" cm="1">
        <f t="array" ref="AD6">INDEX(Drivers!$C$7:$AG$27,$D$6,MATCH(AD$4,Drivers!$C$5:$AG$5,0))</f>
        <v>134.81030518817647</v>
      </c>
      <c r="AE6" s="107" cm="1">
        <f t="array" ref="AE6">INDEX(Drivers!$C$7:$AG$27,$D$6,MATCH(AE$4,Drivers!$C$5:$AG$5,0))</f>
        <v>137.91267697000339</v>
      </c>
      <c r="AF6" s="107" cm="1">
        <f t="array" ref="AF6">INDEX(Drivers!$C$7:$AG$27,$D$6,MATCH(AF$4,Drivers!$C$5:$AG$5,0))</f>
        <v>141.17159249471513</v>
      </c>
      <c r="AG6" s="107" cm="1">
        <f t="array" ref="AG6">INDEX(Drivers!$C$7:$AG$27,$D$6,MATCH(AG$4,Drivers!$C$5:$AG$5,0))</f>
        <v>144.41073683212804</v>
      </c>
      <c r="AH6" s="107" cm="1">
        <f t="array" ref="AH6">INDEX(Drivers!$C$7:$AG$27,$D$6,MATCH(AH$4,Drivers!$C$5:$AG$5,0))</f>
        <v>162.11518999610377</v>
      </c>
      <c r="AI6" s="107" cm="1">
        <f t="array" ref="AI6">INDEX(Drivers!$C$7:$AG$27,$D$6,MATCH(AI$4,Drivers!$C$5:$AG$5,0))</f>
        <v>180.93556494331989</v>
      </c>
      <c r="AJ6" s="107" cm="1">
        <f t="array" ref="AJ6">INDEX(Drivers!$C$7:$AK$27,$D$6,MATCH(AJ$4,Drivers!$C$5:$AK$5,0))</f>
        <v>227.340220723431</v>
      </c>
      <c r="AK6" s="107" cm="1">
        <f t="array" ref="AK6">INDEX(Drivers!$C$7:$AK$27,$D$6,MATCH(AK$4,Drivers!$C$5:$AK$5,0))</f>
        <v>247.70963495063509</v>
      </c>
      <c r="AL6" s="107"/>
      <c r="AM6" s="18"/>
      <c r="AN6" s="18"/>
      <c r="AO6" s="18"/>
      <c r="AP6" s="18"/>
    </row>
    <row r="7" spans="1:42">
      <c r="A7" t="s">
        <v>16</v>
      </c>
      <c r="B7" s="19"/>
    </row>
    <row r="8" spans="1:42" ht="15.75" thickBot="1">
      <c r="A8" t="s">
        <v>16</v>
      </c>
      <c r="B8" s="362" t="s">
        <v>12</v>
      </c>
      <c r="C8" s="362"/>
      <c r="E8">
        <v>2020</v>
      </c>
      <c r="F8">
        <v>2030</v>
      </c>
      <c r="G8">
        <v>2050</v>
      </c>
    </row>
    <row r="9" spans="1:42">
      <c r="A9" t="s">
        <v>16</v>
      </c>
      <c r="B9" s="19"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9"/>
    </row>
    <row r="17" spans="1:43">
      <c r="A17" t="s">
        <v>16</v>
      </c>
      <c r="B17" s="19"/>
    </row>
    <row r="18" spans="1:43">
      <c r="A18" t="s">
        <v>16</v>
      </c>
      <c r="B18" s="15"/>
    </row>
    <row r="19" spans="1:43">
      <c r="A19" t="s">
        <v>16</v>
      </c>
      <c r="B19" s="15"/>
    </row>
    <row r="20" spans="1:43">
      <c r="A20" t="s">
        <v>16</v>
      </c>
    </row>
    <row r="21" spans="1:43" ht="15.7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f>
        <v/>
      </c>
      <c r="B22" t="str">
        <f>[3]AGR!$B28</f>
        <v>AH</v>
      </c>
      <c r="C22" t="s">
        <v>728</v>
      </c>
      <c r="D22" s="16" t="s">
        <v>289</v>
      </c>
      <c r="E22" s="17"/>
      <c r="F22" s="17"/>
      <c r="G22" s="17"/>
      <c r="H22" s="17"/>
      <c r="I22" s="16"/>
      <c r="J22" s="5">
        <f>SUMIF('BY-DMD'!$H$5:$H$9,D22,'BY-DMD'!$I$5:$I$9)</f>
        <v>2.5043970166379799</v>
      </c>
      <c r="K22" s="5">
        <f>K$6/J$6*J22*K$9</f>
        <v>2.4662677661307026</v>
      </c>
      <c r="L22" s="5">
        <f t="shared" ref="L22:AK22" si="1">L$6/K$6*K22*L$9</f>
        <v>2.4276166439312807</v>
      </c>
      <c r="M22" s="5">
        <f t="shared" si="1"/>
        <v>2.3991505509071809</v>
      </c>
      <c r="N22" s="5">
        <f t="shared" si="1"/>
        <v>2.5707616892692529</v>
      </c>
      <c r="O22" s="5">
        <f t="shared" si="1"/>
        <v>2.4919112201482343</v>
      </c>
      <c r="P22" s="5">
        <f t="shared" si="1"/>
        <v>2.438639151624904</v>
      </c>
      <c r="Q22" s="5">
        <f t="shared" si="1"/>
        <v>2.4214335723121776</v>
      </c>
      <c r="R22" s="5">
        <f t="shared" si="1"/>
        <v>2.4749871098047334</v>
      </c>
      <c r="S22" s="5">
        <f t="shared" si="1"/>
        <v>2.5061293023882829</v>
      </c>
      <c r="T22" s="5">
        <f t="shared" si="1"/>
        <v>2.5453653687715931</v>
      </c>
      <c r="U22" s="5">
        <f t="shared" si="1"/>
        <v>2.5879292477536189</v>
      </c>
      <c r="V22" s="5">
        <f t="shared" si="1"/>
        <v>2.6297587255075228</v>
      </c>
      <c r="W22" s="5">
        <f t="shared" si="1"/>
        <v>2.6954228355639662</v>
      </c>
      <c r="X22" s="5">
        <f t="shared" si="1"/>
        <v>2.7581239144019953</v>
      </c>
      <c r="Y22" s="5">
        <f t="shared" si="1"/>
        <v>2.8177215485706046</v>
      </c>
      <c r="Z22" s="5">
        <f t="shared" si="1"/>
        <v>2.8787886273743521</v>
      </c>
      <c r="AA22" s="5">
        <f t="shared" si="1"/>
        <v>2.9414394053882527</v>
      </c>
      <c r="AB22" s="5">
        <f t="shared" si="1"/>
        <v>3.0314978533547436</v>
      </c>
      <c r="AC22" s="5">
        <f t="shared" si="1"/>
        <v>3.1019938017737618</v>
      </c>
      <c r="AD22" s="5">
        <f t="shared" si="1"/>
        <v>3.1715063537966151</v>
      </c>
      <c r="AE22" s="5">
        <f t="shared" si="1"/>
        <v>3.2444918114303563</v>
      </c>
      <c r="AF22" s="5">
        <f t="shared" si="1"/>
        <v>3.3211600696817007</v>
      </c>
      <c r="AG22" s="5">
        <f t="shared" si="1"/>
        <v>3.3973631969769746</v>
      </c>
      <c r="AH22" s="5">
        <f t="shared" si="1"/>
        <v>3.813872792602222</v>
      </c>
      <c r="AI22" s="5">
        <f t="shared" si="1"/>
        <v>4.2566352256566766</v>
      </c>
      <c r="AJ22" s="5">
        <f t="shared" si="1"/>
        <v>5.3483370836632629</v>
      </c>
      <c r="AK22" s="5">
        <f t="shared" si="1"/>
        <v>5.8275417450169922</v>
      </c>
      <c r="AL22" s="5"/>
      <c r="AM22" s="5"/>
      <c r="AN22" s="5"/>
      <c r="AO22" s="5"/>
      <c r="AP22" s="5"/>
      <c r="AQ22" s="5"/>
    </row>
    <row r="23" spans="1:43">
      <c r="A23" t="str">
        <f>IF('[3]TS BYDem'!$A11="*","*","")</f>
        <v/>
      </c>
      <c r="B23" t="str">
        <f>[3]AGR!$B29</f>
        <v>AP</v>
      </c>
      <c r="C23" t="s">
        <v>729</v>
      </c>
      <c r="D23" s="16" t="s">
        <v>292</v>
      </c>
      <c r="E23" s="17"/>
      <c r="F23" s="17"/>
      <c r="G23" s="17"/>
      <c r="H23" s="17"/>
      <c r="I23" s="16"/>
      <c r="J23" s="5">
        <f>SUMIF('BY-DMD'!$H$5:$H$9,D23,'BY-DMD'!$I$5:$I$9)</f>
        <v>4.6040183871857696</v>
      </c>
      <c r="K23" s="5">
        <f>K$6/J$6*J23*K$9</f>
        <v>4.5339225640160148</v>
      </c>
      <c r="L23" s="5">
        <f t="shared" ref="L23:AK23" si="2">L$6/K$6*K23*L$9</f>
        <v>4.4628673454906425</v>
      </c>
      <c r="M23" s="5">
        <f t="shared" si="2"/>
        <v>4.4105360198966537</v>
      </c>
      <c r="N23" s="5">
        <f t="shared" si="2"/>
        <v>4.7260214765617992</v>
      </c>
      <c r="O23" s="5">
        <f t="shared" si="2"/>
        <v>4.5810648234195028</v>
      </c>
      <c r="P23" s="5">
        <f t="shared" si="2"/>
        <v>4.4831308371643646</v>
      </c>
      <c r="Q23" s="5">
        <f t="shared" si="2"/>
        <v>4.4515005473214559</v>
      </c>
      <c r="R23" s="5">
        <f t="shared" si="2"/>
        <v>4.5499519788143603</v>
      </c>
      <c r="S23" s="5">
        <f t="shared" si="2"/>
        <v>4.6072029762877653</v>
      </c>
      <c r="T23" s="5">
        <f t="shared" si="2"/>
        <v>4.6793335409983499</v>
      </c>
      <c r="U23" s="5">
        <f t="shared" si="2"/>
        <v>4.7575818699019949</v>
      </c>
      <c r="V23" s="5">
        <f t="shared" si="2"/>
        <v>4.8344800946746327</v>
      </c>
      <c r="W23" s="5">
        <f t="shared" si="2"/>
        <v>4.9551952880204153</v>
      </c>
      <c r="X23" s="5">
        <f t="shared" si="2"/>
        <v>5.0704633217821726</v>
      </c>
      <c r="Y23" s="5">
        <f t="shared" si="2"/>
        <v>5.1800260635208604</v>
      </c>
      <c r="Z23" s="5">
        <f t="shared" si="2"/>
        <v>5.2922901940865525</v>
      </c>
      <c r="AA23" s="5">
        <f t="shared" si="2"/>
        <v>5.4074657561205282</v>
      </c>
      <c r="AB23" s="5">
        <f t="shared" si="2"/>
        <v>5.5730268662817899</v>
      </c>
      <c r="AC23" s="5">
        <f t="shared" si="2"/>
        <v>5.7026247856959289</v>
      </c>
      <c r="AD23" s="5">
        <f t="shared" si="2"/>
        <v>5.8304148547334078</v>
      </c>
      <c r="AE23" s="5">
        <f t="shared" si="2"/>
        <v>5.9645894231866201</v>
      </c>
      <c r="AF23" s="5">
        <f t="shared" si="2"/>
        <v>6.1055343565808293</v>
      </c>
      <c r="AG23" s="5">
        <f t="shared" si="2"/>
        <v>6.2456242053139519</v>
      </c>
      <c r="AH23" s="5">
        <f t="shared" si="2"/>
        <v>7.0113246210061284</v>
      </c>
      <c r="AI23" s="5">
        <f t="shared" si="2"/>
        <v>7.8252875707282046</v>
      </c>
      <c r="AJ23" s="5">
        <f t="shared" si="2"/>
        <v>9.8322438936256891</v>
      </c>
      <c r="AK23" s="5">
        <f t="shared" si="2"/>
        <v>10.713201288735309</v>
      </c>
      <c r="AL23" s="5"/>
      <c r="AM23" s="5"/>
      <c r="AN23" s="5"/>
      <c r="AO23" s="5"/>
      <c r="AP23" s="5"/>
      <c r="AQ23" s="5"/>
    </row>
    <row r="24" spans="1:43">
      <c r="A24" t="str">
        <f>IF('[3]TS BYDem'!$A12="*","*","")</f>
        <v/>
      </c>
      <c r="B24" t="str">
        <f>[3]AGR!$B30</f>
        <v>AT</v>
      </c>
      <c r="C24" t="s">
        <v>730</v>
      </c>
      <c r="D24" s="16" t="s">
        <v>293</v>
      </c>
      <c r="E24" s="17"/>
      <c r="F24" s="17"/>
      <c r="G24" s="17"/>
      <c r="H24" s="17"/>
      <c r="I24" s="16"/>
      <c r="J24" s="5">
        <f>SUMIF('BY-DMD'!$H$5:$H$9,D24,'BY-DMD'!$I$5:$I$9)</f>
        <v>7.9249894633578597</v>
      </c>
      <c r="K24" s="5">
        <f>K$6/J$6*J24*K$9</f>
        <v>7.8043321129024763</v>
      </c>
      <c r="L24" s="5">
        <f t="shared" ref="L24:AK24" si="3">L$6/K$6*K24*L$9</f>
        <v>7.6820233359224668</v>
      </c>
      <c r="M24" s="5">
        <f t="shared" si="3"/>
        <v>7.5919443724912608</v>
      </c>
      <c r="N24" s="5">
        <f t="shared" si="3"/>
        <v>8.134995835290086</v>
      </c>
      <c r="O24" s="5">
        <f t="shared" si="3"/>
        <v>7.885479032317777</v>
      </c>
      <c r="P24" s="5">
        <f t="shared" si="3"/>
        <v>7.7169032917567124</v>
      </c>
      <c r="Q24" s="5">
        <f t="shared" si="3"/>
        <v>7.6624574375816534</v>
      </c>
      <c r="R24" s="5">
        <f t="shared" si="3"/>
        <v>7.8319238670393085</v>
      </c>
      <c r="S24" s="5">
        <f t="shared" si="3"/>
        <v>7.9304711606396703</v>
      </c>
      <c r="T24" s="5">
        <f t="shared" si="3"/>
        <v>8.0546309526397302</v>
      </c>
      <c r="U24" s="5">
        <f t="shared" si="3"/>
        <v>8.1893213752090013</v>
      </c>
      <c r="V24" s="5">
        <f t="shared" si="3"/>
        <v>8.3216878363791515</v>
      </c>
      <c r="W24" s="5">
        <f t="shared" si="3"/>
        <v>8.5294773269674593</v>
      </c>
      <c r="X24" s="5">
        <f t="shared" si="3"/>
        <v>8.7278905121898323</v>
      </c>
      <c r="Y24" s="5">
        <f t="shared" si="3"/>
        <v>8.916483063486405</v>
      </c>
      <c r="Z24" s="5">
        <f t="shared" si="3"/>
        <v>9.1097255697114878</v>
      </c>
      <c r="AA24" s="5">
        <f t="shared" si="3"/>
        <v>9.3079795814886879</v>
      </c>
      <c r="AB24" s="5">
        <f t="shared" si="3"/>
        <v>9.5929632508027982</v>
      </c>
      <c r="AC24" s="5">
        <f t="shared" si="3"/>
        <v>9.8160427564556745</v>
      </c>
      <c r="AD24" s="5">
        <f t="shared" si="3"/>
        <v>10.036010372888855</v>
      </c>
      <c r="AE24" s="5">
        <f t="shared" si="3"/>
        <v>10.266967756595626</v>
      </c>
      <c r="AF24" s="5">
        <f t="shared" si="3"/>
        <v>10.509579105666617</v>
      </c>
      <c r="AG24" s="5">
        <f t="shared" si="3"/>
        <v>10.750718580309771</v>
      </c>
      <c r="AH24" s="5">
        <f t="shared" si="3"/>
        <v>12.06873410851413</v>
      </c>
      <c r="AI24" s="5">
        <f t="shared" si="3"/>
        <v>13.469824907383448</v>
      </c>
      <c r="AJ24" s="5">
        <f t="shared" si="3"/>
        <v>16.924439197511006</v>
      </c>
      <c r="AK24" s="5">
        <f t="shared" si="3"/>
        <v>18.440848882872505</v>
      </c>
      <c r="AL24" s="5"/>
      <c r="AM24" s="5"/>
      <c r="AN24" s="5"/>
      <c r="AO24" s="5"/>
      <c r="AP24" s="5"/>
      <c r="AQ24" s="5"/>
    </row>
    <row r="25" spans="1:43">
      <c r="A25" t="str">
        <f>IF('[3]TS BYDem'!$A13="*","*","")</f>
        <v/>
      </c>
      <c r="B25" t="str">
        <f>[3]AGR!$B31</f>
        <v>AI</v>
      </c>
      <c r="C25" t="s">
        <v>731</v>
      </c>
      <c r="D25" s="16" t="s">
        <v>290</v>
      </c>
      <c r="E25" s="17"/>
      <c r="F25" s="17"/>
      <c r="G25" s="17"/>
      <c r="H25" s="17"/>
      <c r="I25" s="16"/>
      <c r="J25" s="5">
        <f>SUMIF('BY-DMD'!$H$5:$H$9,D25,'BY-DMD'!$I$5:$I$9)</f>
        <v>5.7709645233647997</v>
      </c>
      <c r="K25" s="5">
        <f>K$6/J$6*J25*K$9</f>
        <v>5.6831020357008502</v>
      </c>
      <c r="L25" s="5">
        <f t="shared" ref="L25:AK25" si="4">L$6/K$6*K25*L$9</f>
        <v>5.5940369819097624</v>
      </c>
      <c r="M25" s="5">
        <f t="shared" si="4"/>
        <v>5.5284416262734526</v>
      </c>
      <c r="N25" s="5">
        <f t="shared" si="4"/>
        <v>5.923890824113208</v>
      </c>
      <c r="O25" s="5">
        <f t="shared" si="4"/>
        <v>5.7421930913156576</v>
      </c>
      <c r="P25" s="5">
        <f t="shared" si="4"/>
        <v>5.6194365093951495</v>
      </c>
      <c r="Q25" s="5">
        <f t="shared" si="4"/>
        <v>5.5797891263492385</v>
      </c>
      <c r="R25" s="5">
        <f t="shared" si="4"/>
        <v>5.7031943064852202</v>
      </c>
      <c r="S25" s="5">
        <f t="shared" si="4"/>
        <v>5.7749562864690187</v>
      </c>
      <c r="T25" s="5">
        <f t="shared" si="4"/>
        <v>5.865369246407151</v>
      </c>
      <c r="U25" s="5">
        <f t="shared" si="4"/>
        <v>5.963450594512179</v>
      </c>
      <c r="V25" s="5">
        <f t="shared" si="4"/>
        <v>6.0598396376810282</v>
      </c>
      <c r="W25" s="5">
        <f t="shared" si="4"/>
        <v>6.211151609016456</v>
      </c>
      <c r="X25" s="5">
        <f t="shared" si="4"/>
        <v>6.3556357699330519</v>
      </c>
      <c r="Y25" s="5">
        <f t="shared" si="4"/>
        <v>6.4929685610913932</v>
      </c>
      <c r="Z25" s="5">
        <f t="shared" si="4"/>
        <v>6.6336874419160674</v>
      </c>
      <c r="AA25" s="5">
        <f t="shared" si="4"/>
        <v>6.7780556929870546</v>
      </c>
      <c r="AB25" s="5">
        <f t="shared" si="4"/>
        <v>6.9855803405533639</v>
      </c>
      <c r="AC25" s="5">
        <f t="shared" si="4"/>
        <v>7.1480264761557999</v>
      </c>
      <c r="AD25" s="5">
        <f t="shared" si="4"/>
        <v>7.3082065390561155</v>
      </c>
      <c r="AE25" s="5">
        <f t="shared" si="4"/>
        <v>7.47638933272966</v>
      </c>
      <c r="AF25" s="5">
        <f t="shared" si="4"/>
        <v>7.6530585251529297</v>
      </c>
      <c r="AG25" s="5">
        <f t="shared" si="4"/>
        <v>7.8286559009958543</v>
      </c>
      <c r="AH25" s="5">
        <f t="shared" si="4"/>
        <v>8.7884326792085634</v>
      </c>
      <c r="AI25" s="5">
        <f t="shared" si="4"/>
        <v>9.8087047353005783</v>
      </c>
      <c r="AJ25" s="5">
        <f t="shared" si="4"/>
        <v>12.324349279992255</v>
      </c>
      <c r="AK25" s="5">
        <f t="shared" si="4"/>
        <v>13.428596362915199</v>
      </c>
      <c r="AL25" s="5"/>
      <c r="AM25" s="5"/>
      <c r="AN25" s="5"/>
      <c r="AO25" s="5"/>
      <c r="AP25" s="5"/>
      <c r="AQ25" s="5"/>
    </row>
    <row r="26" spans="1:43">
      <c r="A26" t="str">
        <f>IF('[3]TS BYDem'!$A14="*","*","")</f>
        <v/>
      </c>
      <c r="B26" t="str">
        <f>[3]AGR!$B32</f>
        <v>AO</v>
      </c>
      <c r="C26" t="s">
        <v>732</v>
      </c>
      <c r="D26" s="16" t="s">
        <v>291</v>
      </c>
      <c r="E26" s="17"/>
      <c r="F26" s="17"/>
      <c r="G26" s="17"/>
      <c r="H26" s="17"/>
      <c r="I26" s="16"/>
      <c r="J26" s="5">
        <f>SUMIF('BY-DMD'!$H$5:$H$9,D26,'BY-DMD'!$I$5:$I$9)</f>
        <v>10.1217912486754</v>
      </c>
      <c r="K26" s="5">
        <f>K$6/J$6*J26*K$9</f>
        <v>9.9676877612733854</v>
      </c>
      <c r="L26" s="5">
        <f t="shared" ref="L26:AK26" si="5">L$6/K$6*K26*L$9</f>
        <v>9.8114750730172791</v>
      </c>
      <c r="M26" s="5">
        <f t="shared" si="5"/>
        <v>9.6964262810960573</v>
      </c>
      <c r="N26" s="5">
        <f t="shared" si="5"/>
        <v>10.390011246622127</v>
      </c>
      <c r="O26" s="5">
        <f t="shared" si="5"/>
        <v>10.071328552544136</v>
      </c>
      <c r="P26" s="5">
        <f t="shared" si="5"/>
        <v>9.8560237293088253</v>
      </c>
      <c r="Q26" s="5">
        <f t="shared" si="5"/>
        <v>9.786485520726492</v>
      </c>
      <c r="R26" s="5">
        <f t="shared" si="5"/>
        <v>10.002927931225544</v>
      </c>
      <c r="S26" s="5">
        <f t="shared" si="5"/>
        <v>10.128792468781933</v>
      </c>
      <c r="T26" s="5">
        <f t="shared" si="5"/>
        <v>10.287369272185162</v>
      </c>
      <c r="U26" s="5">
        <f t="shared" si="5"/>
        <v>10.459395789916885</v>
      </c>
      <c r="V26" s="5">
        <f t="shared" si="5"/>
        <v>10.628454145702063</v>
      </c>
      <c r="W26" s="5">
        <f t="shared" si="5"/>
        <v>10.893842744277224</v>
      </c>
      <c r="X26" s="5">
        <f t="shared" si="5"/>
        <v>11.147255931902423</v>
      </c>
      <c r="Y26" s="5">
        <f t="shared" si="5"/>
        <v>11.388126212437815</v>
      </c>
      <c r="Z26" s="5">
        <f t="shared" si="5"/>
        <v>11.63493541230171</v>
      </c>
      <c r="AA26" s="5">
        <f t="shared" si="5"/>
        <v>11.888145303709063</v>
      </c>
      <c r="AB26" s="5">
        <f t="shared" si="5"/>
        <v>12.252126255786791</v>
      </c>
      <c r="AC26" s="5">
        <f t="shared" si="5"/>
        <v>12.537043251388626</v>
      </c>
      <c r="AD26" s="5">
        <f t="shared" si="5"/>
        <v>12.81798574415782</v>
      </c>
      <c r="AE26" s="5">
        <f t="shared" si="5"/>
        <v>13.112964360347634</v>
      </c>
      <c r="AF26" s="5">
        <f t="shared" si="5"/>
        <v>13.422827413315733</v>
      </c>
      <c r="AG26" s="5">
        <f t="shared" si="5"/>
        <v>13.730810589247817</v>
      </c>
      <c r="AH26" s="5">
        <f t="shared" si="5"/>
        <v>15.414179141430681</v>
      </c>
      <c r="AI26" s="5">
        <f t="shared" si="5"/>
        <v>17.20365137381221</v>
      </c>
      <c r="AJ26" s="5">
        <f t="shared" si="5"/>
        <v>21.615882437466706</v>
      </c>
      <c r="AK26" s="5">
        <f t="shared" si="5"/>
        <v>23.552639874642562</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73296304208503"/>
  </sheetPr>
  <dimension ref="A1:AW136"/>
  <sheetViews>
    <sheetView zoomScale="80" zoomScaleNormal="80" workbookViewId="0">
      <selection activeCell="AX41" sqref="AX4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4"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585</v>
      </c>
      <c r="B1" t="s">
        <v>17</v>
      </c>
      <c r="G1" t="s">
        <v>267</v>
      </c>
    </row>
    <row r="2" spans="1:49" ht="15.75" thickBot="1">
      <c r="A2" t="s">
        <v>16</v>
      </c>
      <c r="B2" s="362" t="s">
        <v>185</v>
      </c>
      <c r="C2" s="362"/>
      <c r="G2" t="s">
        <v>266</v>
      </c>
      <c r="I2">
        <v>1</v>
      </c>
    </row>
    <row r="3" spans="1:49">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4">
        <f>IF(ISNA(K4),-1,IF(ISNA(K6),99,IF(ISNA(K5),K4,0)))</f>
        <v>0</v>
      </c>
      <c r="L7" s="4">
        <f t="shared" ref="L7:AQ7" si="4">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49" ht="15.75" thickBot="1">
      <c r="A8" t="s">
        <v>16</v>
      </c>
      <c r="B8" s="11" t="s">
        <v>688</v>
      </c>
      <c r="C8" s="11"/>
      <c r="D8" s="11"/>
      <c r="E8" s="11"/>
      <c r="F8" s="11"/>
    </row>
    <row r="9" spans="1:49">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9">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v>
      </c>
      <c r="S10" cm="1">
        <f t="array" ref="S10">INDEX(Drivers!$C$7:$AG$27,$G10,S$9)</f>
        <v>190.12</v>
      </c>
      <c r="T10" cm="1">
        <f t="array" ref="T10">INDEX(Drivers!$C$7:$AG$27,$G10,T$9)</f>
        <v>209.74855323009061</v>
      </c>
      <c r="U10" cm="1">
        <f t="array" ref="U10">INDEX(Drivers!$C$7:$AG$27,$G10,U$9)</f>
        <v>197.85369647333729</v>
      </c>
      <c r="V10" cm="1">
        <f t="array" ref="V10">INDEX(Drivers!$C$7:$AG$27,$G10,V$9)</f>
        <v>200.25360253603174</v>
      </c>
      <c r="W10" cm="1">
        <f t="array" ref="W10">INDEX(Drivers!$C$7:$AG$27,$G10,W$9)</f>
        <v>200.83400160134573</v>
      </c>
      <c r="X10" cm="1">
        <f t="array" ref="X10">INDEX(Drivers!$C$7:$AG$27,$G10,X$9)</f>
        <v>202.79649549540008</v>
      </c>
      <c r="Y10" cm="1">
        <f t="array" ref="Y10">INDEX(Drivers!$C$7:$AG$27,$G10,Y$9)</f>
        <v>207.16714391644948</v>
      </c>
      <c r="Z10" cm="1">
        <f t="array" ref="Z10">INDEX(Drivers!$C$7:$AG$27,$G10,Z$9)</f>
        <v>210.55312027047904</v>
      </c>
      <c r="AA10" cm="1">
        <f t="array" ref="AA10">INDEX(Drivers!$C$7:$AG$27,$G10,AA$9)</f>
        <v>214.15201289514275</v>
      </c>
      <c r="AB10" cm="1">
        <f t="array" ref="AB10">INDEX(Drivers!$C$7:$AG$27,$G10,AB$9)</f>
        <v>219.2374789394994</v>
      </c>
      <c r="AC10" cm="1">
        <f t="array" ref="AC10">INDEX(Drivers!$C$7:$AG$27,$G10,AC$9)</f>
        <v>225.3154662615259</v>
      </c>
      <c r="AD10" cm="1">
        <f t="array" ref="AD10">INDEX(Drivers!$C$7:$AG$27,$G10,AD$9)</f>
        <v>231.34020990243388</v>
      </c>
      <c r="AE10" cm="1">
        <f t="array" ref="AE10">INDEX(Drivers!$C$7:$AG$27,$G10,AE$9)</f>
        <v>237.97464820309628</v>
      </c>
      <c r="AF10" cm="1">
        <f t="array" ref="AF10">INDEX(Drivers!$C$7:$AG$27,$G10,AF$9)</f>
        <v>244.77586475784588</v>
      </c>
      <c r="AG10" cm="1">
        <f t="array" ref="AG10">INDEX(Drivers!$C$7:$AG$27,$G10,AG$9)</f>
        <v>252.0056644946971</v>
      </c>
      <c r="AH10" cm="1">
        <f t="array" ref="AH10">INDEX(Drivers!$C$7:$AG$27,$G10,AH$9)</f>
        <v>260.62933606694054</v>
      </c>
      <c r="AI10" cm="1">
        <f t="array" ref="AI10">INDEX(Drivers!$C$7:$AG$27,$G10,AI$9)</f>
        <v>268.7414743828154</v>
      </c>
      <c r="AJ10" cm="1">
        <f t="array" ref="AJ10">INDEX(Drivers!$C$7:$AG$27,$G10,AJ$9)</f>
        <v>276.73242268111903</v>
      </c>
      <c r="AK10" cm="1">
        <f t="array" ref="AK10">INDEX(Drivers!$C$7:$AG$27,$G10,AK$9)</f>
        <v>285.47266704507001</v>
      </c>
      <c r="AL10" cm="1">
        <f t="array" ref="AL10">INDEX(Drivers!$C$7:$AG$27,$G10,AL$9)</f>
        <v>294.43111923276967</v>
      </c>
      <c r="AM10" cm="1">
        <f t="array" ref="AM10">INDEX(Drivers!$C$7:$AG$27,$G10,AM$9)</f>
        <v>303.62424292741389</v>
      </c>
      <c r="AN10" cm="1">
        <f t="array" ref="AN10">INDEX(Drivers!$C$7:$AG$27,$G10,AN$9)</f>
        <v>356.87630264516412</v>
      </c>
      <c r="AO10" cm="1">
        <f t="array" ref="AO10">INDEX(Drivers!$C$7:$AK$27,$G10,AO$9)</f>
        <v>413.36822598511418</v>
      </c>
      <c r="AP10" cm="1">
        <f t="array" ref="AP10">INDEX(Drivers!$C$7:$AK$27,$G10,AP$9)</f>
        <v>478.07241709153857</v>
      </c>
      <c r="AQ10" cm="1">
        <f t="array" ref="AQ10">INDEX(Drivers!$C$7:$AK$27,$G10,AQ$9)</f>
        <v>533.39208162559771</v>
      </c>
    </row>
    <row r="11" spans="1:49">
      <c r="A11" t="s">
        <v>16</v>
      </c>
      <c r="B11" s="5" t="s">
        <v>692</v>
      </c>
      <c r="C11" s="5" t="s">
        <v>683</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97.69</v>
      </c>
      <c r="S11" cm="1">
        <f t="array" ref="S11">INDEX(Drivers!$C$7:$AG$27,$G11,S$9)</f>
        <v>74.06</v>
      </c>
      <c r="T11" cm="1">
        <f t="array" ref="T11">INDEX(Drivers!$C$7:$AG$27,$G11,T$9)</f>
        <v>110.53950219062736</v>
      </c>
      <c r="U11" cm="1">
        <f t="array" ref="U11">INDEX(Drivers!$C$7:$AG$27,$G11,U$9)</f>
        <v>85.771370892331049</v>
      </c>
      <c r="V11" cm="1">
        <f t="array" ref="V11">INDEX(Drivers!$C$7:$AG$27,$G11,V$9)</f>
        <v>90.95983776011991</v>
      </c>
      <c r="W11" cm="1">
        <f t="array" ref="W11">INDEX(Drivers!$C$7:$AG$27,$G11,W$9)</f>
        <v>92.362920604460669</v>
      </c>
      <c r="X11" cm="1">
        <f t="array" ref="X11">INDEX(Drivers!$C$7:$AG$27,$G11,X$9)</f>
        <v>93.495895191532227</v>
      </c>
      <c r="Y11" cm="1">
        <f t="array" ref="Y11">INDEX(Drivers!$C$7:$AG$27,$G11,Y$9)</f>
        <v>94.487653456744923</v>
      </c>
      <c r="Z11" cm="1">
        <f t="array" ref="Z11">INDEX(Drivers!$C$7:$AG$27,$G11,Z$9)</f>
        <v>96.688086303306136</v>
      </c>
      <c r="AA11" cm="1">
        <f t="array" ref="AA11">INDEX(Drivers!$C$7:$AG$27,$G11,AA$9)</f>
        <v>98.502577687919512</v>
      </c>
      <c r="AB11" cm="1">
        <f t="array" ref="AB11">INDEX(Drivers!$C$7:$AG$27,$G11,AB$9)</f>
        <v>101.41162818505963</v>
      </c>
      <c r="AC11" cm="1">
        <f t="array" ref="AC11">INDEX(Drivers!$C$7:$AG$27,$G11,AC$9)</f>
        <v>104.20978785637956</v>
      </c>
      <c r="AD11" cm="1">
        <f t="array" ref="AD11">INDEX(Drivers!$C$7:$AG$27,$G11,AD$9)</f>
        <v>106.91581531320752</v>
      </c>
      <c r="AE11" cm="1">
        <f t="array" ref="AE11">INDEX(Drivers!$C$7:$AG$27,$G11,AE$9)</f>
        <v>109.62061035398287</v>
      </c>
      <c r="AF11" cm="1">
        <f t="array" ref="AF11">INDEX(Drivers!$C$7:$AG$27,$G11,AF$9)</f>
        <v>112.30334022550018</v>
      </c>
      <c r="AG11" cm="1">
        <f t="array" ref="AG11">INDEX(Drivers!$C$7:$AG$27,$G11,AG$9)</f>
        <v>114.96883270059038</v>
      </c>
      <c r="AH11" cm="1">
        <f t="array" ref="AH11">INDEX(Drivers!$C$7:$AG$27,$G11,AH$9)</f>
        <v>120.07407945619074</v>
      </c>
      <c r="AI11" cm="1">
        <f t="array" ref="AI11">INDEX(Drivers!$C$7:$AG$27,$G11,AI$9)</f>
        <v>123.8095676472161</v>
      </c>
      <c r="AJ11" cm="1">
        <f t="array" ref="AJ11">INDEX(Drivers!$C$7:$AG$27,$G11,AJ$9)</f>
        <v>127.43940923511862</v>
      </c>
      <c r="AK11" cm="1">
        <f t="array" ref="AK11">INDEX(Drivers!$C$7:$AG$27,$G11,AK$9)</f>
        <v>131.32325830076735</v>
      </c>
      <c r="AL11" cm="1">
        <f t="array" ref="AL11">INDEX(Drivers!$C$7:$AG$27,$G11,AL$9)</f>
        <v>135.64068188358254</v>
      </c>
      <c r="AM11" cm="1">
        <f t="array" ref="AM11">INDEX(Drivers!$C$7:$AG$27,$G11,AM$9)</f>
        <v>139.57896985368555</v>
      </c>
      <c r="AN11" cm="1">
        <f t="array" ref="AN11">INDEX(Drivers!$C$7:$AG$27,$G11,AN$9)</f>
        <v>159.5487570549638</v>
      </c>
      <c r="AO11" cm="1">
        <f t="array" ref="AO11">INDEX(Drivers!$C$7:$AK$27,$G11,AO$9)</f>
        <v>189.57022162822656</v>
      </c>
      <c r="AP11">
        <f t="shared" ref="AP11:AQ13" si="5">FORECAST(AP$3,$AM11:$AO11,$AM$3:$AO$3)</f>
        <v>237.88619384076992</v>
      </c>
      <c r="AQ11">
        <f t="shared" si="5"/>
        <v>287.87744561531144</v>
      </c>
    </row>
    <row r="12" spans="1:49">
      <c r="A12" t="s">
        <v>16</v>
      </c>
      <c r="B12" s="5" t="s">
        <v>798</v>
      </c>
      <c r="C12" s="5" t="s">
        <v>679</v>
      </c>
      <c r="D12">
        <f>[4]IND!M11</f>
        <v>0</v>
      </c>
      <c r="F12" s="5" t="s">
        <v>681</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4.9338796170164505</v>
      </c>
      <c r="U12" cm="1">
        <f t="array" ref="U12">INDEX(Drivers!$C$7:$AG$27,$G12,U$9)</f>
        <v>5.4481659275658085</v>
      </c>
      <c r="V12" cm="1">
        <f t="array" ref="V12">INDEX(Drivers!$C$7:$AG$27,$G12,V$9)</f>
        <v>5.2534431536346959</v>
      </c>
      <c r="W12" cm="1">
        <f t="array" ref="W12">INDEX(Drivers!$C$7:$AG$27,$G12,W$9)</f>
        <v>5.2632468107861419</v>
      </c>
      <c r="X12" cm="1">
        <f t="array" ref="X12">INDEX(Drivers!$C$7:$AG$27,$G12,X$9)</f>
        <v>5.2632468107861419</v>
      </c>
      <c r="Y12" cm="1">
        <f t="array" ref="Y12">INDEX(Drivers!$C$7:$AG$27,$G12,Y$9)</f>
        <v>5.2632468107861419</v>
      </c>
      <c r="Z12" cm="1">
        <f t="array" ref="Z12">INDEX(Drivers!$C$7:$AG$27,$G12,Z$9)</f>
        <v>5.2632468107861419</v>
      </c>
      <c r="AA12" cm="1">
        <f t="array" ref="AA12">INDEX(Drivers!$C$7:$AG$27,$G12,AA$9)</f>
        <v>5.2632468107861419</v>
      </c>
      <c r="AB12" cm="1">
        <f t="array" ref="AB12">INDEX(Drivers!$C$7:$AG$27,$G12,AB$9)</f>
        <v>5.2632468107861419</v>
      </c>
      <c r="AC12" cm="1">
        <f t="array" ref="AC12">INDEX(Drivers!$C$7:$AG$27,$G12,AC$9)</f>
        <v>5.2632468107861419</v>
      </c>
      <c r="AD12" cm="1">
        <f t="array" ref="AD12">INDEX(Drivers!$C$7:$AG$27,$G12,AD$9)</f>
        <v>5.2632468107861419</v>
      </c>
      <c r="AE12" cm="1">
        <f t="array" ref="AE12">INDEX(Drivers!$C$7:$AG$27,$G12,AE$9)</f>
        <v>5.2632468107861419</v>
      </c>
      <c r="AF12" cm="1">
        <f t="array" ref="AF12">INDEX(Drivers!$C$7:$AG$27,$G12,AF$9)</f>
        <v>5.2632468107861419</v>
      </c>
      <c r="AG12" cm="1">
        <f t="array" ref="AG12">INDEX(Drivers!$C$7:$AG$27,$G12,AG$9)</f>
        <v>5.2632468107861419</v>
      </c>
      <c r="AH12" cm="1">
        <f t="array" ref="AH12">INDEX(Drivers!$C$7:$AG$27,$G12,AH$9)</f>
        <v>5.2632468107861419</v>
      </c>
      <c r="AI12" cm="1">
        <f t="array" ref="AI12">INDEX(Drivers!$C$7:$AG$27,$G12,AI$9)</f>
        <v>5.4503642480451635</v>
      </c>
      <c r="AJ12" cm="1">
        <f t="array" ref="AJ12">INDEX(Drivers!$C$7:$AG$27,$G12,AJ$9)</f>
        <v>5.5960436235218296</v>
      </c>
      <c r="AK12" cm="1">
        <f t="array" ref="AK12">INDEX(Drivers!$C$7:$AG$27,$G12,AK$9)</f>
        <v>5.7694224834495227</v>
      </c>
      <c r="AL12" cm="1">
        <f t="array" ref="AL12">INDEX(Drivers!$C$7:$AG$27,$G12,AL$9)</f>
        <v>5.9111668971877904</v>
      </c>
      <c r="AM12" cm="1">
        <f t="array" ref="AM12">INDEX(Drivers!$C$7:$AG$27,$G12,AM$9)</f>
        <v>6.1066350961104847</v>
      </c>
      <c r="AN12" cm="1">
        <f t="array" ref="AN12">INDEX(Drivers!$C$7:$AG$27,$G12,AN$9)</f>
        <v>7.1287164174473379</v>
      </c>
      <c r="AO12" cm="1">
        <f t="array" ref="AO12">INDEX(Drivers!$C$7:$AK$27,$G12,AO$9)</f>
        <v>8.1428041377739522</v>
      </c>
      <c r="AP12">
        <f t="shared" si="5"/>
        <v>10.180305446272484</v>
      </c>
      <c r="AQ12">
        <f t="shared" si="5"/>
        <v>12.216474487935955</v>
      </c>
    </row>
    <row r="13" spans="1:49">
      <c r="A13" t="s">
        <v>16</v>
      </c>
      <c r="B13" s="5" t="s">
        <v>798</v>
      </c>
      <c r="C13" s="5" t="s">
        <v>680</v>
      </c>
      <c r="D13">
        <f>[4]IND!M12</f>
        <v>0</v>
      </c>
      <c r="F13" s="5" t="s">
        <v>682</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4.9338796170164505</v>
      </c>
      <c r="U13" cm="1">
        <f t="array" ref="U13">INDEX(Drivers!$C$7:$AG$27,$G13,U$9)</f>
        <v>5.4481659275658085</v>
      </c>
      <c r="V13" cm="1">
        <f t="array" ref="V13">INDEX(Drivers!$C$7:$AG$27,$G13,V$9)</f>
        <v>5.2534431536346959</v>
      </c>
      <c r="W13" cm="1">
        <f t="array" ref="W13">INDEX(Drivers!$C$7:$AG$27,$G13,W$9)</f>
        <v>5.2632468107861419</v>
      </c>
      <c r="X13" cm="1">
        <f t="array" ref="X13">INDEX(Drivers!$C$7:$AG$27,$G13,X$9)</f>
        <v>5.2632468107861419</v>
      </c>
      <c r="Y13" cm="1">
        <f t="array" ref="Y13">INDEX(Drivers!$C$7:$AG$27,$G13,Y$9)</f>
        <v>5.2632468107861419</v>
      </c>
      <c r="Z13" cm="1">
        <f t="array" ref="Z13">INDEX(Drivers!$C$7:$AG$27,$G13,Z$9)</f>
        <v>5.2632468107861419</v>
      </c>
      <c r="AA13" cm="1">
        <f t="array" ref="AA13">INDEX(Drivers!$C$7:$AG$27,$G13,AA$9)</f>
        <v>5.2632468107861419</v>
      </c>
      <c r="AB13" cm="1">
        <f t="array" ref="AB13">INDEX(Drivers!$C$7:$AG$27,$G13,AB$9)</f>
        <v>5.2632468107861419</v>
      </c>
      <c r="AC13" cm="1">
        <f t="array" ref="AC13">INDEX(Drivers!$C$7:$AG$27,$G13,AC$9)</f>
        <v>5.2632468107861419</v>
      </c>
      <c r="AD13" cm="1">
        <f t="array" ref="AD13">INDEX(Drivers!$C$7:$AG$27,$G13,AD$9)</f>
        <v>5.2632468107861419</v>
      </c>
      <c r="AE13" cm="1">
        <f t="array" ref="AE13">INDEX(Drivers!$C$7:$AG$27,$G13,AE$9)</f>
        <v>5.2632468107861419</v>
      </c>
      <c r="AF13" cm="1">
        <f t="array" ref="AF13">INDEX(Drivers!$C$7:$AG$27,$G13,AF$9)</f>
        <v>5.2632468107861419</v>
      </c>
      <c r="AG13" cm="1">
        <f t="array" ref="AG13">INDEX(Drivers!$C$7:$AG$27,$G13,AG$9)</f>
        <v>5.2632468107861419</v>
      </c>
      <c r="AH13" cm="1">
        <f t="array" ref="AH13">INDEX(Drivers!$C$7:$AG$27,$G13,AH$9)</f>
        <v>5.2632468107861419</v>
      </c>
      <c r="AI13" cm="1">
        <f t="array" ref="AI13">INDEX(Drivers!$C$7:$AG$27,$G13,AI$9)</f>
        <v>5.4503642480451635</v>
      </c>
      <c r="AJ13" cm="1">
        <f t="array" ref="AJ13">INDEX(Drivers!$C$7:$AG$27,$G13,AJ$9)</f>
        <v>5.5960436235218296</v>
      </c>
      <c r="AK13" cm="1">
        <f t="array" ref="AK13">INDEX(Drivers!$C$7:$AG$27,$G13,AK$9)</f>
        <v>5.7694224834495227</v>
      </c>
      <c r="AL13" cm="1">
        <f t="array" ref="AL13">INDEX(Drivers!$C$7:$AG$27,$G13,AL$9)</f>
        <v>5.9111668971877904</v>
      </c>
      <c r="AM13" cm="1">
        <f t="array" ref="AM13">INDEX(Drivers!$C$7:$AG$27,$G13,AM$9)</f>
        <v>6.1066350961104847</v>
      </c>
      <c r="AN13" cm="1">
        <f t="array" ref="AN13">INDEX(Drivers!$C$7:$AG$27,$G13,AN$9)</f>
        <v>7.1287164174473379</v>
      </c>
      <c r="AO13" cm="1">
        <f t="array" ref="AO13">INDEX(Drivers!$C$7:$AK$27,$G13,AO$9)</f>
        <v>8.1428041377739522</v>
      </c>
      <c r="AP13">
        <f t="shared" si="5"/>
        <v>10.180305446272484</v>
      </c>
      <c r="AQ13">
        <f t="shared" si="5"/>
        <v>12.216474487935955</v>
      </c>
    </row>
    <row r="14" spans="1:49">
      <c r="A14" t="s">
        <v>16</v>
      </c>
      <c r="B14" s="5" t="str">
        <f>[4]IND!B12</f>
        <v>IS</v>
      </c>
      <c r="C14" s="5" t="str">
        <f>[4]IND!A12</f>
        <v>Iron &amp; Steel</v>
      </c>
      <c r="D14">
        <f>[4]IND!M12</f>
        <v>0</v>
      </c>
      <c r="F14" s="5" t="s">
        <v>276</v>
      </c>
      <c r="G14">
        <f>MATCH(B14,Drivers!$A$92:$A$108,0)</f>
        <v>1</v>
      </c>
      <c r="I14" s="5"/>
      <c r="J14" s="5"/>
      <c r="K14" s="177" cm="1">
        <f t="array" ref="K14">INDEX(Drivers!$C$92:$AG$108,$G14,K$9)</f>
        <v>117.12281075206418</v>
      </c>
      <c r="L14" s="177" cm="1">
        <f t="array" ref="L14">INDEX(Drivers!$C$92:$AG$108,$G14,L$9)</f>
        <v>119.07275947417872</v>
      </c>
      <c r="M14" s="177" cm="1">
        <f t="array" ref="M14">INDEX(Drivers!$C$92:$AG$108,$G14,M$9)</f>
        <v>120.12173328694826</v>
      </c>
      <c r="N14" s="177" cm="1">
        <f t="array" ref="N14">INDEX(Drivers!$C$92:$AG$108,$G14,N$9)</f>
        <v>120.67779367214723</v>
      </c>
      <c r="O14" s="177" cm="1">
        <f t="array" ref="O14">INDEX(Drivers!$C$92:$AG$108,$G14,O$9)</f>
        <v>119.95882677975034</v>
      </c>
      <c r="P14" s="177" cm="1">
        <f t="array" ref="P14">INDEX(Drivers!$C$92:$AG$108,$G14,P$9)</f>
        <v>120.88915701956363</v>
      </c>
      <c r="Q14" s="177" cm="1">
        <f t="array" ref="Q14">INDEX(Drivers!$C$92:$AG$108,$G14,Q$9)</f>
        <v>121.14044942310186</v>
      </c>
      <c r="R14" s="177" cm="1">
        <f t="array" ref="R14">INDEX(Drivers!$C$92:$AG$108,$G14,R$9)</f>
        <v>118.6298855621762</v>
      </c>
      <c r="S14" s="177" cm="1">
        <f t="array" ref="S14">INDEX(Drivers!$C$92:$AG$108,$G14,S$9)</f>
        <v>103.01340323587007</v>
      </c>
      <c r="T14" s="177" cm="1">
        <f t="array" ref="T14">INDEX(Drivers!$C$92:$AG$108,$G14,T$9)</f>
        <v>105.08628865644404</v>
      </c>
      <c r="U14" s="177" cm="1">
        <f t="array" ref="U14">INDEX(Drivers!$C$92:$AG$108,$G14,U$9)</f>
        <v>112.37294178157305</v>
      </c>
      <c r="V14" s="177" cm="1">
        <f t="array" ref="V14">INDEX(Drivers!$C$92:$AG$108,$G14,V$9)</f>
        <v>110.63098276354111</v>
      </c>
      <c r="W14" s="177" cm="1">
        <f t="array" ref="W14">INDEX(Drivers!$C$92:$AG$108,$G14,W$9)</f>
        <v>111.70734132371921</v>
      </c>
      <c r="X14" s="177" cm="1">
        <f t="array" ref="X14">INDEX(Drivers!$C$92:$AG$108,$G14,X$9)</f>
        <v>114.09436983728534</v>
      </c>
      <c r="Y14" s="177" cm="1">
        <f t="array" ref="Y14">INDEX(Drivers!$C$92:$AG$108,$G14,Y$9)</f>
        <v>120.0942881294018</v>
      </c>
      <c r="Z14" s="177" cm="1">
        <f t="array" ref="Z14">INDEX(Drivers!$C$92:$AG$108,$G14,Z$9)</f>
        <v>122.0392262137738</v>
      </c>
      <c r="AA14" s="177" cm="1">
        <f t="array" ref="AA14">INDEX(Drivers!$C$92:$AG$108,$G14,AA$9)</f>
        <v>125.07309796709416</v>
      </c>
      <c r="AB14" s="177" cm="1">
        <f t="array" ref="AB14">INDEX(Drivers!$C$92:$AG$108,$G14,AB$9)</f>
        <v>127.73812961776495</v>
      </c>
      <c r="AC14" s="177" cm="1">
        <f t="array" ref="AC14">INDEX(Drivers!$C$92:$AG$108,$G14,AC$9)</f>
        <v>132.81639090471981</v>
      </c>
      <c r="AD14" s="177" cm="1">
        <f t="array" ref="AD14">INDEX(Drivers!$C$92:$AG$108,$G14,AD$9)</f>
        <v>137.24609083041679</v>
      </c>
      <c r="AE14" s="177" cm="1">
        <f t="array" ref="AE14">INDEX(Drivers!$C$92:$AG$108,$G14,AE$9)</f>
        <v>142.42893443084859</v>
      </c>
      <c r="AF14" s="177" cm="1">
        <f t="array" ref="AF14">INDEX(Drivers!$C$92:$AG$108,$G14,AF$9)</f>
        <v>146.02843763856137</v>
      </c>
      <c r="AG14" s="177" cm="1">
        <f t="array" ref="AG14">INDEX(Drivers!$C$92:$AG$108,$G14,AG$9)</f>
        <v>149.97560519541196</v>
      </c>
      <c r="AH14" s="177" cm="1">
        <f t="array" ref="AH14">INDEX(Drivers!$C$92:$AG$108,$G14,AH$9)</f>
        <v>155.70353655801125</v>
      </c>
      <c r="AI14" s="177" cm="1">
        <f t="array" ref="AI14">INDEX(Drivers!$C$92:$AG$108,$G14,AI$9)</f>
        <v>161.96653340434426</v>
      </c>
      <c r="AJ14" s="177" cm="1">
        <f t="array" ref="AJ14">INDEX(Drivers!$C$92:$AG$108,$G14,AJ$9)</f>
        <v>167.64064710917569</v>
      </c>
      <c r="AK14" s="177" cm="1">
        <f t="array" ref="AK14">INDEX(Drivers!$C$92:$AG$108,$G14,AK$9)</f>
        <v>173.70887454210862</v>
      </c>
      <c r="AL14" s="177" cm="1">
        <f t="array" ref="AL14">INDEX(Drivers!$C$92:$AG$108,$G14,AL$9)</f>
        <v>179.66376961958719</v>
      </c>
      <c r="AM14" s="177" cm="1">
        <f t="array" ref="AM14">INDEX(Drivers!$C$92:$AG$108,$G14,AM$9)</f>
        <v>186.22903430354478</v>
      </c>
      <c r="AN14" s="177" cm="1">
        <f t="array" ref="AN14">INDEX(Drivers!$C$92:$AG$108,$G14,AN$9)</f>
        <v>219.03924575152689</v>
      </c>
      <c r="AO14" s="177" cm="1">
        <f t="array" ref="AO14">INDEX(Drivers!$C$92:$AK$108,$G14,AO$9)</f>
        <v>249.55328068948489</v>
      </c>
      <c r="AP14" s="177" cm="1">
        <f t="array" ref="AP14">INDEX(Drivers!$C$92:$AK$108,$G14,AP$9)</f>
        <v>289.70252895062958</v>
      </c>
      <c r="AQ14" s="177" cm="1">
        <f t="array" ref="AQ14">INDEX(Drivers!$C$92:$AK$108,$G14,AQ$9)</f>
        <v>306.2340589455311</v>
      </c>
    </row>
    <row r="15" spans="1:49">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79.114983305038052</v>
      </c>
      <c r="U15" cm="1">
        <f t="array" ref="U15">INDEX(Drivers!$C$7:$AG$27,$G15,U$9)</f>
        <v>86.655314267344707</v>
      </c>
      <c r="V15" cm="1">
        <f t="array" ref="V15">INDEX(Drivers!$C$7:$AG$27,$G15,V$9)</f>
        <v>86.110788309314131</v>
      </c>
      <c r="W15" cm="1">
        <f t="array" ref="W15">INDEX(Drivers!$C$7:$AG$27,$G15,W$9)</f>
        <v>87.035453478011974</v>
      </c>
      <c r="X15" cm="1">
        <f t="array" ref="X15">INDEX(Drivers!$C$7:$AG$27,$G15,X$9)</f>
        <v>88.715473520389949</v>
      </c>
      <c r="Y15" cm="1">
        <f t="array" ref="Y15">INDEX(Drivers!$C$7:$AG$27,$G15,Y$9)</f>
        <v>90.116076587425681</v>
      </c>
      <c r="Z15" cm="1">
        <f t="array" ref="Z15">INDEX(Drivers!$C$7:$AG$27,$G15,Z$9)</f>
        <v>91.95214642698987</v>
      </c>
      <c r="AA15" cm="1">
        <f t="array" ref="AA15">INDEX(Drivers!$C$7:$AG$27,$G15,AA$9)</f>
        <v>93.969906469335157</v>
      </c>
      <c r="AB15" cm="1">
        <f t="array" ref="AB15">INDEX(Drivers!$C$7:$AG$27,$G15,AB$9)</f>
        <v>96.485586886524658</v>
      </c>
      <c r="AC15" cm="1">
        <f t="array" ref="AC15">INDEX(Drivers!$C$7:$AG$27,$G15,AC$9)</f>
        <v>99.775676029623</v>
      </c>
      <c r="AD15" cm="1">
        <f t="array" ref="AD15">INDEX(Drivers!$C$7:$AG$27,$G15,AD$9)</f>
        <v>102.92053289730828</v>
      </c>
      <c r="AE15" cm="1">
        <f t="array" ref="AE15">INDEX(Drivers!$C$7:$AG$27,$G15,AE$9)</f>
        <v>106.23915641111122</v>
      </c>
      <c r="AF15" cm="1">
        <f t="array" ref="AF15">INDEX(Drivers!$C$7:$AG$27,$G15,AF$9)</f>
        <v>109.72139131121743</v>
      </c>
      <c r="AG15" cm="1">
        <f t="array" ref="AG15">INDEX(Drivers!$C$7:$AG$27,$G15,AG$9)</f>
        <v>113.31632906230109</v>
      </c>
      <c r="AH15" cm="1">
        <f t="array" ref="AH15">INDEX(Drivers!$C$7:$AG$27,$G15,AH$9)</f>
        <v>117.99298958547608</v>
      </c>
      <c r="AI15" cm="1">
        <f t="array" ref="AI15">INDEX(Drivers!$C$7:$AG$27,$G15,AI$9)</f>
        <v>121.40736267307575</v>
      </c>
      <c r="AJ15" cm="1">
        <f t="array" ref="AJ15">INDEX(Drivers!$C$7:$AG$27,$G15,AJ$9)</f>
        <v>125.23731097356547</v>
      </c>
      <c r="AK15" cm="1">
        <f t="array" ref="AK15">INDEX(Drivers!$C$7:$AG$27,$G15,AK$9)</f>
        <v>129.40057077067453</v>
      </c>
      <c r="AL15" cm="1">
        <f t="array" ref="AL15">INDEX(Drivers!$C$7:$AG$27,$G15,AL$9)</f>
        <v>133.92452483382394</v>
      </c>
      <c r="AM15" cm="1">
        <f t="array" ref="AM15">INDEX(Drivers!$C$7:$AG$27,$G15,AM$9)</f>
        <v>138.44873583005324</v>
      </c>
      <c r="AN15" cm="1">
        <f t="array" ref="AN15">INDEX(Drivers!$C$7:$AG$27,$G15,AN$9)</f>
        <v>163.49301003537829</v>
      </c>
      <c r="AO15" cm="1">
        <f t="array" ref="AO15">INDEX(Drivers!$C$7:$AK$27,$G15,AO$9)</f>
        <v>186.88349219432033</v>
      </c>
      <c r="AP15" cm="1">
        <f t="array" ref="AP15">INDEX(Drivers!$C$7:$AK$27,$G15,AP$9)</f>
        <v>217.16636316412422</v>
      </c>
      <c r="AQ15" cm="1">
        <f t="array" ref="AQ15">INDEX(Drivers!$C$7:$AK$27,$G15,AQ$9)</f>
        <v>243.17868876623697</v>
      </c>
    </row>
    <row r="16" spans="1:49">
      <c r="A16" t="s">
        <v>16</v>
      </c>
      <c r="B16" s="5" t="s">
        <v>685</v>
      </c>
      <c r="C16" s="5" t="s">
        <v>689</v>
      </c>
      <c r="D16">
        <v>0</v>
      </c>
      <c r="F16" s="5" t="s">
        <v>690</v>
      </c>
      <c r="G16">
        <f>MATCH(B16,Drivers!$A$92:$A$108,0)</f>
        <v>2</v>
      </c>
      <c r="I16" s="5"/>
      <c r="J16" s="5"/>
      <c r="K16" s="177" cm="1">
        <f t="array" ref="K16">INDEX(Drivers!$C$92:$AG$108,$G16,K$9)</f>
        <v>8.9365799535127532</v>
      </c>
      <c r="L16" s="177" cm="1">
        <f t="array" ref="L16">INDEX(Drivers!$C$92:$AG$108,$G16,L$9)</f>
        <v>9.0598644843951579</v>
      </c>
      <c r="M16" s="177" cm="1">
        <f t="array" ref="M16">INDEX(Drivers!$C$92:$AG$108,$G16,M$9)</f>
        <v>9.1538107433496982</v>
      </c>
      <c r="N16" s="177" cm="1">
        <f t="array" ref="N16">INDEX(Drivers!$C$92:$AG$108,$G16,N$9)</f>
        <v>9.1222677109859784</v>
      </c>
      <c r="O16" s="177" cm="1">
        <f t="array" ref="O16">INDEX(Drivers!$C$92:$AG$108,$G16,O$9)</f>
        <v>9.1065639127530105</v>
      </c>
      <c r="P16" s="177" cm="1">
        <f t="array" ref="P16">INDEX(Drivers!$C$92:$AG$108,$G16,P$9)</f>
        <v>9.1664973983391231</v>
      </c>
      <c r="Q16" s="177" cm="1">
        <f t="array" ref="Q16">INDEX(Drivers!$C$92:$AG$108,$G16,Q$9)</f>
        <v>9.2089562288318536</v>
      </c>
      <c r="R16" s="177" cm="1">
        <f t="array" ref="R16">INDEX(Drivers!$C$92:$AG$108,$G16,R$9)</f>
        <v>9.1050000000000004</v>
      </c>
      <c r="S16" s="177" cm="1">
        <f t="array" ref="S16">INDEX(Drivers!$C$92:$AG$108,$G16,S$9)</f>
        <v>8.6709999999999994</v>
      </c>
      <c r="T16" s="177" cm="1">
        <f t="array" ref="T16">INDEX(Drivers!$C$92:$AG$108,$G16,T$9)</f>
        <v>8.7420000000000009</v>
      </c>
      <c r="U16" s="177" cm="1">
        <f t="array" ref="U16">INDEX(Drivers!$C$92:$AG$108,$G16,U$9)</f>
        <v>8.8580000000000005</v>
      </c>
      <c r="V16" s="177" cm="1">
        <f t="array" ref="V16">INDEX(Drivers!$C$92:$AG$108,$G16,V$9)</f>
        <v>8.9559999999999995</v>
      </c>
      <c r="W16" s="177" cm="1">
        <f t="array" ref="W16">INDEX(Drivers!$C$92:$AG$108,$G16,W$9)</f>
        <v>9.0570000000000004</v>
      </c>
      <c r="X16" s="177" cm="1">
        <f t="array" ref="X16">INDEX(Drivers!$C$92:$AG$108,$G16,X$9)</f>
        <v>9.157</v>
      </c>
      <c r="Y16" s="177" cm="1">
        <f t="array" ref="Y16">INDEX(Drivers!$C$92:$AG$108,$G16,Y$9)</f>
        <v>9.2420000000000009</v>
      </c>
      <c r="Z16" s="177" cm="1">
        <f t="array" ref="Z16">INDEX(Drivers!$C$92:$AG$108,$G16,Z$9)</f>
        <v>9.3409999999999993</v>
      </c>
      <c r="AA16" s="177" cm="1">
        <f t="array" ref="AA16">INDEX(Drivers!$C$92:$AG$108,$G16,AA$9)</f>
        <v>9.3659999999999997</v>
      </c>
      <c r="AB16" s="177" cm="1">
        <f t="array" ref="AB16">INDEX(Drivers!$C$92:$AG$108,$G16,AB$9)</f>
        <v>9.4169999999999998</v>
      </c>
      <c r="AC16" s="177" cm="1">
        <f t="array" ref="AC16">INDEX(Drivers!$C$92:$AG$108,$G16,AC$9)</f>
        <v>9.51</v>
      </c>
      <c r="AD16" s="177" cm="1">
        <f t="array" ref="AD16">INDEX(Drivers!$C$92:$AG$108,$G16,AD$9)</f>
        <v>8.3460000000000001</v>
      </c>
      <c r="AE16" s="177" cm="1">
        <f t="array" ref="AE16">INDEX(Drivers!$C$92:$AG$108,$G16,AE$9)</f>
        <v>7.7060000000000004</v>
      </c>
      <c r="AF16" s="177" cm="1">
        <f t="array" ref="AF16">INDEX(Drivers!$C$92:$AG$108,$G16,AF$9)</f>
        <v>7.6909999999999998</v>
      </c>
      <c r="AG16" s="177" cm="1">
        <f t="array" ref="AG16">INDEX(Drivers!$C$92:$AG$108,$G16,AG$9)</f>
        <v>7.83</v>
      </c>
      <c r="AH16" s="177" cm="1">
        <f t="array" ref="AH16">INDEX(Drivers!$C$92:$AG$108,$G16,AH$9)</f>
        <v>8.0020000000000007</v>
      </c>
      <c r="AI16" s="177" cm="1">
        <f t="array" ref="AI16">INDEX(Drivers!$C$92:$AG$108,$G16,AI$9)</f>
        <v>8.1920000000000002</v>
      </c>
      <c r="AJ16" s="177" cm="1">
        <f t="array" ref="AJ16">INDEX(Drivers!$C$92:$AG$108,$G16,AJ$9)</f>
        <v>8.4</v>
      </c>
      <c r="AK16" s="177" cm="1">
        <f t="array" ref="AK16">INDEX(Drivers!$C$92:$AG$108,$G16,AK$9)</f>
        <v>8.6069999999999993</v>
      </c>
      <c r="AL16" s="177" cm="1">
        <f t="array" ref="AL16">INDEX(Drivers!$C$92:$AG$108,$G16,AL$9)</f>
        <v>8.8249999999999993</v>
      </c>
      <c r="AM16" s="177" cm="1">
        <f t="array" ref="AM16">INDEX(Drivers!$C$92:$AG$108,$G16,AM$9)</f>
        <v>9.0540000000000003</v>
      </c>
      <c r="AN16" s="177" cm="1">
        <f t="array" ref="AN16">INDEX(Drivers!$C$92:$AG$108,$G16,AN$9)</f>
        <v>10.702999999999999</v>
      </c>
      <c r="AO16" s="177" cm="1">
        <f t="array" ref="AO16">INDEX(Drivers!$C$92:$AG$108,$G16,AO$9)</f>
        <v>16.475000000000001</v>
      </c>
      <c r="AP16" s="177" cm="1">
        <f t="array" ref="AP16">INDEX(Drivers!$C$92:$AK$108,$G16,AP$9)</f>
        <v>23.944135932656788</v>
      </c>
      <c r="AQ16" s="177" cm="1">
        <f t="array" ref="AQ16">INDEX(Drivers!$C$92:$AK$108,$G16,AQ$9)</f>
        <v>26.699601671526349</v>
      </c>
    </row>
    <row r="17" spans="1:43">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11.700122340078197</v>
      </c>
      <c r="U17" cm="1">
        <f t="array" ref="U17">INDEX(Drivers!$C$7:$AG$27,$G17,U$9)</f>
        <v>13.398275752963134</v>
      </c>
      <c r="V17" cm="1">
        <f t="array" ref="V17">INDEX(Drivers!$C$7:$AG$27,$G17,V$9)</f>
        <v>12.670691951638181</v>
      </c>
      <c r="W17" cm="1">
        <f t="array" ref="W17">INDEX(Drivers!$C$7:$AG$27,$G17,W$9)</f>
        <v>12.59825668814111</v>
      </c>
      <c r="X17" cm="1">
        <f t="array" ref="X17">INDEX(Drivers!$C$7:$AG$27,$G17,X$9)</f>
        <v>12.591001927992075</v>
      </c>
      <c r="Y17" cm="1">
        <f t="array" ref="Y17">INDEX(Drivers!$C$7:$AG$27,$G17,Y$9)</f>
        <v>12.939278444279431</v>
      </c>
      <c r="Z17" cm="1">
        <f t="array" ref="Z17">INDEX(Drivers!$C$7:$AG$27,$G17,Z$9)</f>
        <v>13.01647141538764</v>
      </c>
      <c r="AA17" cm="1">
        <f t="array" ref="AA17">INDEX(Drivers!$C$7:$AG$27,$G17,AA$9)</f>
        <v>13.17600543680309</v>
      </c>
      <c r="AB17" cm="1">
        <f t="array" ref="AB17">INDEX(Drivers!$C$7:$AG$27,$G17,AB$9)</f>
        <v>13.377039495449891</v>
      </c>
      <c r="AC17" cm="1">
        <f t="array" ref="AC17">INDEX(Drivers!$C$7:$AG$27,$G17,AC$9)</f>
        <v>13.806326651640601</v>
      </c>
      <c r="AD17" cm="1">
        <f t="array" ref="AD17">INDEX(Drivers!$C$7:$AG$27,$G17,AD$9)</f>
        <v>14.124358747280564</v>
      </c>
      <c r="AE17" cm="1">
        <f t="array" ref="AE17">INDEX(Drivers!$C$7:$AG$27,$G17,AE$9)</f>
        <v>14.529335249686653</v>
      </c>
      <c r="AF17" cm="1">
        <f t="array" ref="AF17">INDEX(Drivers!$C$7:$AG$27,$G17,AF$9)</f>
        <v>14.883157041406452</v>
      </c>
      <c r="AG17" cm="1">
        <f t="array" ref="AG17">INDEX(Drivers!$C$7:$AG$27,$G17,AG$9)</f>
        <v>15.317015967210153</v>
      </c>
      <c r="AH17" cm="1">
        <f t="array" ref="AH17">INDEX(Drivers!$C$7:$AG$27,$G17,AH$9)</f>
        <v>16.124354439822017</v>
      </c>
      <c r="AI17" cm="1">
        <f t="array" ref="AI17">INDEX(Drivers!$C$7:$AG$27,$G17,AI$9)</f>
        <v>16.617812186874314</v>
      </c>
      <c r="AJ17" cm="1">
        <f t="array" ref="AJ17">INDEX(Drivers!$C$7:$AG$27,$G17,AJ$9)</f>
        <v>17.137038764920579</v>
      </c>
      <c r="AK17" cm="1">
        <f t="array" ref="AK17">INDEX(Drivers!$C$7:$AG$27,$G17,AK$9)</f>
        <v>17.680846645753302</v>
      </c>
      <c r="AL17" cm="1">
        <f t="array" ref="AL17">INDEX(Drivers!$C$7:$AG$27,$G17,AL$9)</f>
        <v>18.226201563675076</v>
      </c>
      <c r="AM17" cm="1">
        <f t="array" ref="AM17">INDEX(Drivers!$C$7:$AG$27,$G17,AM$9)</f>
        <v>18.83147690773972</v>
      </c>
      <c r="AN17" cm="1">
        <f t="array" ref="AN17">INDEX(Drivers!$C$7:$AG$27,$G17,AN$9)</f>
        <v>22.229147747109771</v>
      </c>
      <c r="AO17" cm="1">
        <f t="array" ref="AO17">INDEX(Drivers!$C$7:$AG$27,$G17,AO$9)</f>
        <v>26.007256042068366</v>
      </c>
      <c r="AP17" cm="1">
        <f t="array" ref="AP17">INDEX(Drivers!$C$7:$AK$27,$G17,AP$9)</f>
        <v>30.520253831819748</v>
      </c>
      <c r="AQ17" cm="1">
        <f t="array" ref="AQ17">INDEX(Drivers!$C$7:$AK$27,$G17,AQ$9)</f>
        <v>34.175989317579244</v>
      </c>
    </row>
    <row r="18" spans="1:43">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17.63</v>
      </c>
      <c r="S18" cm="1">
        <f t="array" ref="S18">INDEX(Drivers!$C$7:$AG$27,$G18,S$9)</f>
        <v>16.46</v>
      </c>
      <c r="T18" cm="1">
        <f t="array" ref="T18">INDEX(Drivers!$C$7:$AG$27,$G18,T$9)</f>
        <v>17.525838386128132</v>
      </c>
      <c r="U18" cm="1">
        <f t="array" ref="U18">INDEX(Drivers!$C$7:$AG$27,$G18,U$9)</f>
        <v>18.217706406066714</v>
      </c>
      <c r="V18" cm="1">
        <f t="array" ref="V18">INDEX(Drivers!$C$7:$AG$27,$G18,V$9)</f>
        <v>18.26316411937621</v>
      </c>
      <c r="W18" cm="1">
        <f t="array" ref="W18">INDEX(Drivers!$C$7:$AG$27,$G18,W$9)</f>
        <v>18.412181764659003</v>
      </c>
      <c r="X18" cm="1">
        <f t="array" ref="X18">INDEX(Drivers!$C$7:$AG$27,$G18,X$9)</f>
        <v>18.883089908063397</v>
      </c>
      <c r="Y18" cm="1">
        <f t="array" ref="Y18">INDEX(Drivers!$C$7:$AG$27,$G18,Y$9)</f>
        <v>19.680608751793216</v>
      </c>
      <c r="Z18" cm="1">
        <f t="array" ref="Z18">INDEX(Drivers!$C$7:$AG$27,$G18,Z$9)</f>
        <v>20.02586566943555</v>
      </c>
      <c r="AA18" cm="1">
        <f t="array" ref="AA18">INDEX(Drivers!$C$7:$AG$27,$G18,AA$9)</f>
        <v>20.419851826278546</v>
      </c>
      <c r="AB18" cm="1">
        <f t="array" ref="AB18">INDEX(Drivers!$C$7:$AG$27,$G18,AB$9)</f>
        <v>21.015522958568731</v>
      </c>
      <c r="AC18" cm="1">
        <f t="array" ref="AC18">INDEX(Drivers!$C$7:$AG$27,$G18,AC$9)</f>
        <v>21.750875770746177</v>
      </c>
      <c r="AD18" cm="1">
        <f t="array" ref="AD18">INDEX(Drivers!$C$7:$AG$27,$G18,AD$9)</f>
        <v>22.522303839797971</v>
      </c>
      <c r="AE18" cm="1">
        <f t="array" ref="AE18">INDEX(Drivers!$C$7:$AG$27,$G18,AE$9)</f>
        <v>23.313528078697082</v>
      </c>
      <c r="AF18" cm="1">
        <f t="array" ref="AF18">INDEX(Drivers!$C$7:$AG$27,$G18,AF$9)</f>
        <v>24.215290398889394</v>
      </c>
      <c r="AG18" cm="1">
        <f t="array" ref="AG18">INDEX(Drivers!$C$7:$AG$27,$G18,AG$9)</f>
        <v>25.206407286461115</v>
      </c>
      <c r="AH18" cm="1">
        <f t="array" ref="AH18">INDEX(Drivers!$C$7:$AG$27,$G18,AH$9)</f>
        <v>26.423916549036257</v>
      </c>
      <c r="AI18" cm="1">
        <f t="array" ref="AI18">INDEX(Drivers!$C$7:$AG$27,$G18,AI$9)</f>
        <v>27.416640278236127</v>
      </c>
      <c r="AJ18" cm="1">
        <f t="array" ref="AJ18">INDEX(Drivers!$C$7:$AG$27,$G18,AJ$9)</f>
        <v>28.43287021625601</v>
      </c>
      <c r="AK18" cm="1">
        <f t="array" ref="AK18">INDEX(Drivers!$C$7:$AG$27,$G18,AK$9)</f>
        <v>29.470368648586664</v>
      </c>
      <c r="AL18" cm="1">
        <f t="array" ref="AL18">INDEX(Drivers!$C$7:$AG$27,$G18,AL$9)</f>
        <v>30.49085196304673</v>
      </c>
      <c r="AM18" cm="1">
        <f t="array" ref="AM18">INDEX(Drivers!$C$7:$AG$27,$G18,AM$9)</f>
        <v>31.52352150100219</v>
      </c>
      <c r="AN18" cm="1">
        <f t="array" ref="AN18">INDEX(Drivers!$C$7:$AG$27,$G18,AN$9)</f>
        <v>36.844359144840126</v>
      </c>
      <c r="AO18" cm="1">
        <f t="array" ref="AO18">INDEX(Drivers!$C$7:$AG$27,$G18,AO$9)</f>
        <v>36.466131806082466</v>
      </c>
      <c r="AP18" cm="1">
        <f t="array" ref="AP18">INDEX(Drivers!$C$7:$AK$27,$G18,AP$9)</f>
        <v>43.238325926510072</v>
      </c>
      <c r="AQ18" cm="1">
        <f t="array" ref="AQ18">INDEX(Drivers!$C$7:$AK$27,$G18,AQ$9)</f>
        <v>48.417440206011243</v>
      </c>
    </row>
    <row r="19" spans="1:43">
      <c r="A19" t="s">
        <v>16</v>
      </c>
      <c r="B19" s="5" t="str">
        <f t="shared" ref="B19:D21" si="6">B18</f>
        <v>NM</v>
      </c>
      <c r="C19" s="5" t="str">
        <f t="shared" si="6"/>
        <v>N.M.M Products</v>
      </c>
      <c r="D19">
        <f t="shared" si="6"/>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17.63</v>
      </c>
      <c r="S19" cm="1">
        <f t="array" ref="S19">INDEX(Drivers!$C$7:$AG$27,$G19,S$9)</f>
        <v>16.46</v>
      </c>
      <c r="T19" cm="1">
        <f t="array" ref="T19">INDEX(Drivers!$C$7:$AG$27,$G19,T$9)</f>
        <v>17.525838386128132</v>
      </c>
      <c r="U19" cm="1">
        <f t="array" ref="U19">INDEX(Drivers!$C$7:$AG$27,$G19,U$9)</f>
        <v>18.217706406066714</v>
      </c>
      <c r="V19" cm="1">
        <f t="array" ref="V19">INDEX(Drivers!$C$7:$AG$27,$G19,V$9)</f>
        <v>18.26316411937621</v>
      </c>
      <c r="W19" cm="1">
        <f t="array" ref="W19">INDEX(Drivers!$C$7:$AG$27,$G19,W$9)</f>
        <v>18.412181764659003</v>
      </c>
      <c r="X19" cm="1">
        <f t="array" ref="X19">INDEX(Drivers!$C$7:$AG$27,$G19,X$9)</f>
        <v>18.883089908063397</v>
      </c>
      <c r="Y19" cm="1">
        <f t="array" ref="Y19">INDEX(Drivers!$C$7:$AG$27,$G19,Y$9)</f>
        <v>19.680608751793216</v>
      </c>
      <c r="Z19" cm="1">
        <f t="array" ref="Z19">INDEX(Drivers!$C$7:$AG$27,$G19,Z$9)</f>
        <v>20.02586566943555</v>
      </c>
      <c r="AA19" cm="1">
        <f t="array" ref="AA19">INDEX(Drivers!$C$7:$AG$27,$G19,AA$9)</f>
        <v>20.419851826278546</v>
      </c>
      <c r="AB19" cm="1">
        <f t="array" ref="AB19">INDEX(Drivers!$C$7:$AG$27,$G19,AB$9)</f>
        <v>21.015522958568731</v>
      </c>
      <c r="AC19" cm="1">
        <f t="array" ref="AC19">INDEX(Drivers!$C$7:$AG$27,$G19,AC$9)</f>
        <v>21.750875770746177</v>
      </c>
      <c r="AD19" cm="1">
        <f t="array" ref="AD19">INDEX(Drivers!$C$7:$AG$27,$G19,AD$9)</f>
        <v>22.522303839797971</v>
      </c>
      <c r="AE19" cm="1">
        <f t="array" ref="AE19">INDEX(Drivers!$C$7:$AG$27,$G19,AE$9)</f>
        <v>23.313528078697082</v>
      </c>
      <c r="AF19" cm="1">
        <f t="array" ref="AF19">INDEX(Drivers!$C$7:$AG$27,$G19,AF$9)</f>
        <v>24.215290398889394</v>
      </c>
      <c r="AG19" cm="1">
        <f t="array" ref="AG19">INDEX(Drivers!$C$7:$AG$27,$G19,AG$9)</f>
        <v>25.206407286461115</v>
      </c>
      <c r="AH19" cm="1">
        <f t="array" ref="AH19">INDEX(Drivers!$C$7:$AG$27,$G19,AH$9)</f>
        <v>26.423916549036257</v>
      </c>
      <c r="AI19" cm="1">
        <f t="array" ref="AI19">INDEX(Drivers!$C$7:$AG$27,$G19,AI$9)</f>
        <v>27.416640278236127</v>
      </c>
      <c r="AJ19" cm="1">
        <f t="array" ref="AJ19">INDEX(Drivers!$C$7:$AG$27,$G19,AJ$9)</f>
        <v>28.43287021625601</v>
      </c>
      <c r="AK19" cm="1">
        <f t="array" ref="AK19">INDEX(Drivers!$C$7:$AG$27,$G19,AK$9)</f>
        <v>29.470368648586664</v>
      </c>
      <c r="AL19" cm="1">
        <f t="array" ref="AL19">INDEX(Drivers!$C$7:$AG$27,$G19,AL$9)</f>
        <v>30.49085196304673</v>
      </c>
      <c r="AM19" cm="1">
        <f t="array" ref="AM19">INDEX(Drivers!$C$7:$AG$27,$G19,AM$9)</f>
        <v>31.52352150100219</v>
      </c>
      <c r="AN19" cm="1">
        <f t="array" ref="AN19">INDEX(Drivers!$C$7:$AG$27,$G19,AN$9)</f>
        <v>36.844359144840126</v>
      </c>
      <c r="AO19" cm="1">
        <f t="array" ref="AO19">INDEX(Drivers!$C$7:$AG$27,$G19,AO$9)</f>
        <v>36.466131806082466</v>
      </c>
      <c r="AP19" cm="1">
        <f t="array" ref="AP19">INDEX(Drivers!$C$7:$AK$27,$G19,AP$9)</f>
        <v>43.238325926510072</v>
      </c>
      <c r="AQ19" cm="1">
        <f t="array" ref="AQ19">INDEX(Drivers!$C$7:$AK$27,$G19,AQ$9)</f>
        <v>48.417440206011243</v>
      </c>
    </row>
    <row r="20" spans="1:43">
      <c r="A20" t="s">
        <v>16</v>
      </c>
      <c r="B20" s="5" t="str">
        <f t="shared" si="6"/>
        <v>NM</v>
      </c>
      <c r="C20" s="5" t="str">
        <f t="shared" si="6"/>
        <v>N.M.M Products</v>
      </c>
      <c r="D20">
        <f t="shared" si="6"/>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17.63</v>
      </c>
      <c r="S20" cm="1">
        <f t="array" ref="S20">INDEX(Drivers!$C$7:$AG$27,$G20,S$9)</f>
        <v>16.46</v>
      </c>
      <c r="T20" cm="1">
        <f t="array" ref="T20">INDEX(Drivers!$C$7:$AG$27,$G20,T$9)</f>
        <v>17.525838386128132</v>
      </c>
      <c r="U20" cm="1">
        <f t="array" ref="U20">INDEX(Drivers!$C$7:$AG$27,$G20,U$9)</f>
        <v>18.217706406066714</v>
      </c>
      <c r="V20" cm="1">
        <f t="array" ref="V20">INDEX(Drivers!$C$7:$AG$27,$G20,V$9)</f>
        <v>18.26316411937621</v>
      </c>
      <c r="W20" cm="1">
        <f t="array" ref="W20">INDEX(Drivers!$C$7:$AG$27,$G20,W$9)</f>
        <v>18.412181764659003</v>
      </c>
      <c r="X20" cm="1">
        <f t="array" ref="X20">INDEX(Drivers!$C$7:$AG$27,$G20,X$9)</f>
        <v>18.883089908063397</v>
      </c>
      <c r="Y20" cm="1">
        <f t="array" ref="Y20">INDEX(Drivers!$C$7:$AG$27,$G20,Y$9)</f>
        <v>19.680608751793216</v>
      </c>
      <c r="Z20" cm="1">
        <f t="array" ref="Z20">INDEX(Drivers!$C$7:$AG$27,$G20,Z$9)</f>
        <v>20.02586566943555</v>
      </c>
      <c r="AA20" cm="1">
        <f t="array" ref="AA20">INDEX(Drivers!$C$7:$AG$27,$G20,AA$9)</f>
        <v>20.419851826278546</v>
      </c>
      <c r="AB20" cm="1">
        <f t="array" ref="AB20">INDEX(Drivers!$C$7:$AG$27,$G20,AB$9)</f>
        <v>21.015522958568731</v>
      </c>
      <c r="AC20" cm="1">
        <f t="array" ref="AC20">INDEX(Drivers!$C$7:$AG$27,$G20,AC$9)</f>
        <v>21.750875770746177</v>
      </c>
      <c r="AD20" cm="1">
        <f t="array" ref="AD20">INDEX(Drivers!$C$7:$AG$27,$G20,AD$9)</f>
        <v>22.522303839797971</v>
      </c>
      <c r="AE20" cm="1">
        <f t="array" ref="AE20">INDEX(Drivers!$C$7:$AG$27,$G20,AE$9)</f>
        <v>23.313528078697082</v>
      </c>
      <c r="AF20" cm="1">
        <f t="array" ref="AF20">INDEX(Drivers!$C$7:$AG$27,$G20,AF$9)</f>
        <v>24.215290398889394</v>
      </c>
      <c r="AG20" cm="1">
        <f t="array" ref="AG20">INDEX(Drivers!$C$7:$AG$27,$G20,AG$9)</f>
        <v>25.206407286461115</v>
      </c>
      <c r="AH20" cm="1">
        <f t="array" ref="AH20">INDEX(Drivers!$C$7:$AG$27,$G20,AH$9)</f>
        <v>26.423916549036257</v>
      </c>
      <c r="AI20" cm="1">
        <f t="array" ref="AI20">INDEX(Drivers!$C$7:$AG$27,$G20,AI$9)</f>
        <v>27.416640278236127</v>
      </c>
      <c r="AJ20" cm="1">
        <f t="array" ref="AJ20">INDEX(Drivers!$C$7:$AG$27,$G20,AJ$9)</f>
        <v>28.43287021625601</v>
      </c>
      <c r="AK20" cm="1">
        <f t="array" ref="AK20">INDEX(Drivers!$C$7:$AG$27,$G20,AK$9)</f>
        <v>29.470368648586664</v>
      </c>
      <c r="AL20" cm="1">
        <f t="array" ref="AL20">INDEX(Drivers!$C$7:$AG$27,$G20,AL$9)</f>
        <v>30.49085196304673</v>
      </c>
      <c r="AM20" cm="1">
        <f t="array" ref="AM20">INDEX(Drivers!$C$7:$AG$27,$G20,AM$9)</f>
        <v>31.52352150100219</v>
      </c>
      <c r="AN20" cm="1">
        <f t="array" ref="AN20">INDEX(Drivers!$C$7:$AG$27,$G20,AN$9)</f>
        <v>36.844359144840126</v>
      </c>
      <c r="AO20" cm="1">
        <f t="array" ref="AO20">INDEX(Drivers!$C$7:$AG$27,$G20,AO$9)</f>
        <v>36.466131806082466</v>
      </c>
      <c r="AP20" cm="1">
        <f t="array" ref="AP20">INDEX(Drivers!$C$7:$AK$27,$G20,AP$9)</f>
        <v>43.238325926510072</v>
      </c>
      <c r="AQ20" cm="1">
        <f t="array" ref="AQ20">INDEX(Drivers!$C$7:$AK$27,$G20,AQ$9)</f>
        <v>48.417440206011243</v>
      </c>
    </row>
    <row r="21" spans="1:43">
      <c r="A21" t="s">
        <v>16</v>
      </c>
      <c r="B21" s="5" t="str">
        <f t="shared" si="6"/>
        <v>NM</v>
      </c>
      <c r="C21" s="5" t="str">
        <f t="shared" si="6"/>
        <v>N.M.M Products</v>
      </c>
      <c r="D21">
        <f t="shared" si="6"/>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17.63</v>
      </c>
      <c r="S21" cm="1">
        <f t="array" ref="S21">INDEX(Drivers!$C$7:$AG$27,$G21,S$9)</f>
        <v>16.46</v>
      </c>
      <c r="T21" cm="1">
        <f t="array" ref="T21">INDEX(Drivers!$C$7:$AG$27,$G21,T$9)</f>
        <v>17.525838386128132</v>
      </c>
      <c r="U21" cm="1">
        <f t="array" ref="U21">INDEX(Drivers!$C$7:$AG$27,$G21,U$9)</f>
        <v>18.217706406066714</v>
      </c>
      <c r="V21" cm="1">
        <f t="array" ref="V21">INDEX(Drivers!$C$7:$AG$27,$G21,V$9)</f>
        <v>18.26316411937621</v>
      </c>
      <c r="W21" cm="1">
        <f t="array" ref="W21">INDEX(Drivers!$C$7:$AG$27,$G21,W$9)</f>
        <v>18.412181764659003</v>
      </c>
      <c r="X21" cm="1">
        <f t="array" ref="X21">INDEX(Drivers!$C$7:$AG$27,$G21,X$9)</f>
        <v>18.883089908063397</v>
      </c>
      <c r="Y21" cm="1">
        <f t="array" ref="Y21">INDEX(Drivers!$C$7:$AG$27,$G21,Y$9)</f>
        <v>19.680608751793216</v>
      </c>
      <c r="Z21" cm="1">
        <f t="array" ref="Z21">INDEX(Drivers!$C$7:$AG$27,$G21,Z$9)</f>
        <v>20.02586566943555</v>
      </c>
      <c r="AA21" cm="1">
        <f t="array" ref="AA21">INDEX(Drivers!$C$7:$AG$27,$G21,AA$9)</f>
        <v>20.419851826278546</v>
      </c>
      <c r="AB21" cm="1">
        <f t="array" ref="AB21">INDEX(Drivers!$C$7:$AG$27,$G21,AB$9)</f>
        <v>21.015522958568731</v>
      </c>
      <c r="AC21" cm="1">
        <f t="array" ref="AC21">INDEX(Drivers!$C$7:$AG$27,$G21,AC$9)</f>
        <v>21.750875770746177</v>
      </c>
      <c r="AD21" cm="1">
        <f t="array" ref="AD21">INDEX(Drivers!$C$7:$AG$27,$G21,AD$9)</f>
        <v>22.522303839797971</v>
      </c>
      <c r="AE21" cm="1">
        <f t="array" ref="AE21">INDEX(Drivers!$C$7:$AG$27,$G21,AE$9)</f>
        <v>23.313528078697082</v>
      </c>
      <c r="AF21" cm="1">
        <f t="array" ref="AF21">INDEX(Drivers!$C$7:$AG$27,$G21,AF$9)</f>
        <v>24.215290398889394</v>
      </c>
      <c r="AG21" cm="1">
        <f t="array" ref="AG21">INDEX(Drivers!$C$7:$AG$27,$G21,AG$9)</f>
        <v>25.206407286461115</v>
      </c>
      <c r="AH21" cm="1">
        <f t="array" ref="AH21">INDEX(Drivers!$C$7:$AG$27,$G21,AH$9)</f>
        <v>26.423916549036257</v>
      </c>
      <c r="AI21" cm="1">
        <f t="array" ref="AI21">INDEX(Drivers!$C$7:$AG$27,$G21,AI$9)</f>
        <v>27.416640278236127</v>
      </c>
      <c r="AJ21" cm="1">
        <f t="array" ref="AJ21">INDEX(Drivers!$C$7:$AG$27,$G21,AJ$9)</f>
        <v>28.43287021625601</v>
      </c>
      <c r="AK21" cm="1">
        <f t="array" ref="AK21">INDEX(Drivers!$C$7:$AG$27,$G21,AK$9)</f>
        <v>29.470368648586664</v>
      </c>
      <c r="AL21" cm="1">
        <f t="array" ref="AL21">INDEX(Drivers!$C$7:$AG$27,$G21,AL$9)</f>
        <v>30.49085196304673</v>
      </c>
      <c r="AM21" cm="1">
        <f t="array" ref="AM21">INDEX(Drivers!$C$7:$AG$27,$G21,AM$9)</f>
        <v>31.52352150100219</v>
      </c>
      <c r="AN21" cm="1">
        <f t="array" ref="AN21">INDEX(Drivers!$C$7:$AG$27,$G21,AN$9)</f>
        <v>36.844359144840126</v>
      </c>
      <c r="AO21" cm="1">
        <f t="array" ref="AO21">INDEX(Drivers!$C$7:$AG$27,$G21,AO$9)</f>
        <v>36.466131806082466</v>
      </c>
      <c r="AP21" cm="1">
        <f t="array" ref="AP21">INDEX(Drivers!$C$7:$AK$27,$G21,AP$9)</f>
        <v>43.238325926510072</v>
      </c>
      <c r="AQ21" cm="1">
        <f t="array" ref="AQ21">INDEX(Drivers!$C$7:$AK$27,$G21,AQ$9)</f>
        <v>48.417440206011243</v>
      </c>
    </row>
    <row r="22" spans="1:43">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v>
      </c>
      <c r="S22" cm="1">
        <f t="array" ref="S22">INDEX(Drivers!$C$7:$AG$27,$G22,S$9)</f>
        <v>152.88999999999999</v>
      </c>
      <c r="T22" cm="1">
        <f t="array" ref="T22">INDEX(Drivers!$C$7:$AG$27,$G22,T$9)</f>
        <v>162.16660778159374</v>
      </c>
      <c r="U22" cm="1">
        <f t="array" ref="U22">INDEX(Drivers!$C$7:$AG$27,$G22,U$9)</f>
        <v>171.25065953279241</v>
      </c>
      <c r="V22" cm="1">
        <f t="array" ref="V22">INDEX(Drivers!$C$7:$AG$27,$G22,V$9)</f>
        <v>174.21190587627865</v>
      </c>
      <c r="W22" cm="1">
        <f t="array" ref="W22">INDEX(Drivers!$C$7:$AG$27,$G22,W$9)</f>
        <v>177.50054409616098</v>
      </c>
      <c r="X22" cm="1">
        <f t="array" ref="X22">INDEX(Drivers!$C$7:$AG$27,$G22,X$9)</f>
        <v>178.84289973904797</v>
      </c>
      <c r="Y22" cm="1">
        <f t="array" ref="Y22">INDEX(Drivers!$C$7:$AG$27,$G22,Y$9)</f>
        <v>178.90682100482667</v>
      </c>
      <c r="Z22" cm="1">
        <f t="array" ref="Z22">INDEX(Drivers!$C$7:$AG$27,$G22,Z$9)</f>
        <v>181.8907212467216</v>
      </c>
      <c r="AA22" cm="1">
        <f t="array" ref="AA22">INDEX(Drivers!$C$7:$AG$27,$G22,AA$9)</f>
        <v>185.10903244659426</v>
      </c>
      <c r="AB22" cm="1">
        <f t="array" ref="AB22">INDEX(Drivers!$C$7:$AG$27,$G22,AB$9)</f>
        <v>188.91754629489398</v>
      </c>
      <c r="AC22" cm="1">
        <f t="array" ref="AC22">INDEX(Drivers!$C$7:$AG$27,$G22,AC$9)</f>
        <v>194.55995914288485</v>
      </c>
      <c r="AD22" cm="1">
        <f t="array" ref="AD22">INDEX(Drivers!$C$7:$AG$27,$G22,AD$9)</f>
        <v>200.10597026596238</v>
      </c>
      <c r="AE22" cm="1">
        <f t="array" ref="AE22">INDEX(Drivers!$C$7:$AG$27,$G22,AE$9)</f>
        <v>205.54370870590103</v>
      </c>
      <c r="AF22" cm="1">
        <f t="array" ref="AF22">INDEX(Drivers!$C$7:$AG$27,$G22,AF$9)</f>
        <v>211.17191864853268</v>
      </c>
      <c r="AG22" cm="1">
        <f t="array" ref="AG22">INDEX(Drivers!$C$7:$AG$27,$G22,AG$9)</f>
        <v>216.90422945515118</v>
      </c>
      <c r="AH22" cm="1">
        <f t="array" ref="AH22">INDEX(Drivers!$C$7:$AG$27,$G22,AH$9)</f>
        <v>225.20795906918318</v>
      </c>
      <c r="AI22" cm="1">
        <f t="array" ref="AI22">INDEX(Drivers!$C$7:$AG$27,$G22,AI$9)</f>
        <v>230.71973486572091</v>
      </c>
      <c r="AJ22" cm="1">
        <f t="array" ref="AJ22">INDEX(Drivers!$C$7:$AG$27,$G22,AJ$9)</f>
        <v>236.28253705602015</v>
      </c>
      <c r="AK22" cm="1">
        <f t="array" ref="AK22">INDEX(Drivers!$C$7:$AG$27,$G22,AK$9)</f>
        <v>242.22394792492062</v>
      </c>
      <c r="AL22" cm="1">
        <f t="array" ref="AL22">INDEX(Drivers!$C$7:$AG$27,$G22,AL$9)</f>
        <v>248.5814770536862</v>
      </c>
      <c r="AM22" cm="1">
        <f t="array" ref="AM22">INDEX(Drivers!$C$7:$AG$27,$G22,AM$9)</f>
        <v>254.81249221131321</v>
      </c>
      <c r="AN22" cm="1">
        <f t="array" ref="AN22">INDEX(Drivers!$C$7:$AG$27,$G22,AN$9)</f>
        <v>288.38747849268674</v>
      </c>
      <c r="AO22" cm="1">
        <f t="array" ref="AO22">INDEX(Drivers!$C$7:$AG$27,$G22,AO$9)</f>
        <v>327.49205119970406</v>
      </c>
      <c r="AP22" cm="1">
        <f t="array" ref="AP22">INDEX(Drivers!$C$7:$AK$27,$G22,AP$9)</f>
        <v>369.50068263836943</v>
      </c>
      <c r="AQ22" cm="1">
        <f t="array" ref="AQ22">INDEX(Drivers!$C$7:$AK$27,$G22,AQ$9)</f>
        <v>413.7597102656278</v>
      </c>
    </row>
    <row r="23" spans="1:43">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v>
      </c>
      <c r="S23" cm="1">
        <f t="array" ref="S23">INDEX(Drivers!$C$7:$AG$27,$G23,S$9)</f>
        <v>22.95</v>
      </c>
      <c r="T23" cm="1">
        <f t="array" ref="T23">INDEX(Drivers!$C$7:$AG$27,$G23,T$9)</f>
        <v>23.703922406101974</v>
      </c>
      <c r="U23" cm="1">
        <f t="array" ref="U23">INDEX(Drivers!$C$7:$AG$27,$G23,U$9)</f>
        <v>25.774541840309784</v>
      </c>
      <c r="V23" cm="1">
        <f t="array" ref="V23">INDEX(Drivers!$C$7:$AG$27,$G23,V$9)</f>
        <v>25.949584084698863</v>
      </c>
      <c r="W23" cm="1">
        <f t="array" ref="W23">INDEX(Drivers!$C$7:$AG$27,$G23,W$9)</f>
        <v>26.386075001188996</v>
      </c>
      <c r="X23" cm="1">
        <f t="array" ref="X23">INDEX(Drivers!$C$7:$AG$27,$G23,X$9)</f>
        <v>26.793126350722531</v>
      </c>
      <c r="Y23" cm="1">
        <f t="array" ref="Y23">INDEX(Drivers!$C$7:$AG$27,$G23,Y$9)</f>
        <v>27.230469700695192</v>
      </c>
      <c r="Z23" cm="1">
        <f t="array" ref="Z23">INDEX(Drivers!$C$7:$AG$27,$G23,Z$9)</f>
        <v>27.792646803179537</v>
      </c>
      <c r="AA23" cm="1">
        <f t="array" ref="AA23">INDEX(Drivers!$C$7:$AG$27,$G23,AA$9)</f>
        <v>28.437857440878759</v>
      </c>
      <c r="AB23" cm="1">
        <f t="array" ref="AB23">INDEX(Drivers!$C$7:$AG$27,$G23,AB$9)</f>
        <v>29.187584938044662</v>
      </c>
      <c r="AC23" cm="1">
        <f t="array" ref="AC23">INDEX(Drivers!$C$7:$AG$27,$G23,AC$9)</f>
        <v>30.178602178041231</v>
      </c>
      <c r="AD23" cm="1">
        <f t="array" ref="AD23">INDEX(Drivers!$C$7:$AG$27,$G23,AD$9)</f>
        <v>31.227700360172953</v>
      </c>
      <c r="AE23" cm="1">
        <f t="array" ref="AE23">INDEX(Drivers!$C$7:$AG$27,$G23,AE$9)</f>
        <v>32.313821586947611</v>
      </c>
      <c r="AF23" cm="1">
        <f t="array" ref="AF23">INDEX(Drivers!$C$7:$AG$27,$G23,AF$9)</f>
        <v>33.425323593096806</v>
      </c>
      <c r="AG23" cm="1">
        <f t="array" ref="AG23">INDEX(Drivers!$C$7:$AG$27,$G23,AG$9)</f>
        <v>34.566217422698919</v>
      </c>
      <c r="AH23" cm="1">
        <f t="array" ref="AH23">INDEX(Drivers!$C$7:$AG$27,$G23,AH$9)</f>
        <v>36.084004555459359</v>
      </c>
      <c r="AI23" cm="1">
        <f t="array" ref="AI23">INDEX(Drivers!$C$7:$AG$27,$G23,AI$9)</f>
        <v>37.268047887104224</v>
      </c>
      <c r="AJ23" cm="1">
        <f t="array" ref="AJ23">INDEX(Drivers!$C$7:$AG$27,$G23,AJ$9)</f>
        <v>38.509533326500431</v>
      </c>
      <c r="AK23" cm="1">
        <f t="array" ref="AK23">INDEX(Drivers!$C$7:$AG$27,$G23,AK$9)</f>
        <v>39.856512292584931</v>
      </c>
      <c r="AL23" cm="1">
        <f t="array" ref="AL23">INDEX(Drivers!$C$7:$AG$27,$G23,AL$9)</f>
        <v>41.316386601342316</v>
      </c>
      <c r="AM23" cm="1">
        <f t="array" ref="AM23">INDEX(Drivers!$C$7:$AG$27,$G23,AM$9)</f>
        <v>42.756994277734108</v>
      </c>
      <c r="AN23" cm="1">
        <f t="array" ref="AN23">INDEX(Drivers!$C$7:$AG$27,$G23,AN$9)</f>
        <v>50.548958089529144</v>
      </c>
      <c r="AO23" cm="1">
        <f t="array" ref="AO23">INDEX(Drivers!$C$7:$AG$27,$G23,AO$9)</f>
        <v>59.50361846357459</v>
      </c>
      <c r="AP23" cm="1">
        <f t="array" ref="AP23">INDEX(Drivers!$C$7:$AK$27,$G23,AP$9)</f>
        <v>68.615538901204047</v>
      </c>
      <c r="AQ23" cm="1">
        <f t="array" ref="AQ23">INDEX(Drivers!$C$7:$AK$27,$G23,AQ$9)</f>
        <v>76.834351949676233</v>
      </c>
    </row>
    <row r="24" spans="1:43">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v>
      </c>
      <c r="S24" cm="1">
        <f t="array" ref="S24">INDEX(Drivers!$C$7:$AG$27,$G24,S$9)</f>
        <v>22.95</v>
      </c>
      <c r="T24" cm="1">
        <f t="array" ref="T24">INDEX(Drivers!$C$7:$AG$27,$G24,T$9)</f>
        <v>23.703922406101974</v>
      </c>
      <c r="U24" cm="1">
        <f t="array" ref="U24">INDEX(Drivers!$C$7:$AG$27,$G24,U$9)</f>
        <v>25.774541840309784</v>
      </c>
      <c r="V24" cm="1">
        <f t="array" ref="V24">INDEX(Drivers!$C$7:$AG$27,$G24,V$9)</f>
        <v>25.949584084698863</v>
      </c>
      <c r="W24" cm="1">
        <f t="array" ref="W24">INDEX(Drivers!$C$7:$AG$27,$G24,W$9)</f>
        <v>26.386075001188996</v>
      </c>
      <c r="X24" cm="1">
        <f t="array" ref="X24">INDEX(Drivers!$C$7:$AG$27,$G24,X$9)</f>
        <v>26.793126350722531</v>
      </c>
      <c r="Y24" cm="1">
        <f t="array" ref="Y24">INDEX(Drivers!$C$7:$AG$27,$G24,Y$9)</f>
        <v>27.230469700695192</v>
      </c>
      <c r="Z24" cm="1">
        <f t="array" ref="Z24">INDEX(Drivers!$C$7:$AG$27,$G24,Z$9)</f>
        <v>27.792646803179537</v>
      </c>
      <c r="AA24" cm="1">
        <f t="array" ref="AA24">INDEX(Drivers!$C$7:$AG$27,$G24,AA$9)</f>
        <v>28.437857440878759</v>
      </c>
      <c r="AB24" cm="1">
        <f t="array" ref="AB24">INDEX(Drivers!$C$7:$AG$27,$G24,AB$9)</f>
        <v>29.187584938044662</v>
      </c>
      <c r="AC24" cm="1">
        <f t="array" ref="AC24">INDEX(Drivers!$C$7:$AG$27,$G24,AC$9)</f>
        <v>30.178602178041231</v>
      </c>
      <c r="AD24" cm="1">
        <f t="array" ref="AD24">INDEX(Drivers!$C$7:$AG$27,$G24,AD$9)</f>
        <v>31.227700360172953</v>
      </c>
      <c r="AE24" cm="1">
        <f t="array" ref="AE24">INDEX(Drivers!$C$7:$AG$27,$G24,AE$9)</f>
        <v>32.313821586947611</v>
      </c>
      <c r="AF24" cm="1">
        <f t="array" ref="AF24">INDEX(Drivers!$C$7:$AG$27,$G24,AF$9)</f>
        <v>33.425323593096806</v>
      </c>
      <c r="AG24" cm="1">
        <f t="array" ref="AG24">INDEX(Drivers!$C$7:$AG$27,$G24,AG$9)</f>
        <v>34.566217422698919</v>
      </c>
      <c r="AH24" cm="1">
        <f t="array" ref="AH24">INDEX(Drivers!$C$7:$AG$27,$G24,AH$9)</f>
        <v>36.084004555459359</v>
      </c>
      <c r="AI24" cm="1">
        <f t="array" ref="AI24">INDEX(Drivers!$C$7:$AG$27,$G24,AI$9)</f>
        <v>37.268047887104224</v>
      </c>
      <c r="AJ24" cm="1">
        <f t="array" ref="AJ24">INDEX(Drivers!$C$7:$AG$27,$G24,AJ$9)</f>
        <v>38.509533326500431</v>
      </c>
      <c r="AK24" cm="1">
        <f t="array" ref="AK24">INDEX(Drivers!$C$7:$AG$27,$G24,AK$9)</f>
        <v>39.856512292584931</v>
      </c>
      <c r="AL24" cm="1">
        <f t="array" ref="AL24">INDEX(Drivers!$C$7:$AG$27,$G24,AL$9)</f>
        <v>41.316386601342316</v>
      </c>
      <c r="AM24" cm="1">
        <f t="array" ref="AM24">INDEX(Drivers!$C$7:$AG$27,$G24,AM$9)</f>
        <v>42.756994277734108</v>
      </c>
      <c r="AN24" cm="1">
        <f t="array" ref="AN24">INDEX(Drivers!$C$7:$AG$27,$G24,AN$9)</f>
        <v>50.548958089529144</v>
      </c>
      <c r="AO24" cm="1">
        <f t="array" ref="AO24">INDEX(Drivers!$C$7:$AG$27,$G24,AO$9)</f>
        <v>59.50361846357459</v>
      </c>
      <c r="AP24" cm="1">
        <f t="array" ref="AP24">INDEX(Drivers!$C$7:$AK$27,$G24,AP$9)</f>
        <v>68.615538901204047</v>
      </c>
      <c r="AQ24" cm="1">
        <f t="array" ref="AQ24">INDEX(Drivers!$C$7:$AK$27,$G24,AQ$9)</f>
        <v>76.834351949676233</v>
      </c>
    </row>
    <row r="25" spans="1:43">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360.46929826939112</v>
      </c>
      <c r="U25" cm="1">
        <f t="array" ref="U25">INDEX(Drivers!$C$7:$AG$27,$G25,U$9)</f>
        <v>375.72923218754437</v>
      </c>
      <c r="V25" cm="1">
        <f t="array" ref="V25">INDEX(Drivers!$C$7:$AG$27,$G25,V$9)</f>
        <v>376.65041867471058</v>
      </c>
      <c r="W25" cm="1">
        <f t="array" ref="W25">INDEX(Drivers!$C$7:$AG$27,$G25,W$9)</f>
        <v>380.1834014349418</v>
      </c>
      <c r="X25" cm="1">
        <f t="array" ref="X25">INDEX(Drivers!$C$7:$AG$27,$G25,X$9)</f>
        <v>394.13663978463006</v>
      </c>
      <c r="Y25" cm="1">
        <f t="array" ref="Y25">INDEX(Drivers!$C$7:$AG$27,$G25,Y$9)</f>
        <v>415.64481265643576</v>
      </c>
      <c r="Z25" cm="1">
        <f t="array" ref="Z25">INDEX(Drivers!$C$7:$AG$27,$G25,Z$9)</f>
        <v>420.81116838618834</v>
      </c>
      <c r="AA25" cm="1">
        <f t="array" ref="AA25">INDEX(Drivers!$C$7:$AG$27,$G25,AA$9)</f>
        <v>427.54063412070076</v>
      </c>
      <c r="AB25" cm="1">
        <f t="array" ref="AB25">INDEX(Drivers!$C$7:$AG$27,$G25,AB$9)</f>
        <v>439.91098072181944</v>
      </c>
      <c r="AC25" cm="1">
        <f t="array" ref="AC25">INDEX(Drivers!$C$7:$AG$27,$G25,AC$9)</f>
        <v>455.44225457836887</v>
      </c>
      <c r="AD25" cm="1">
        <f t="array" ref="AD25">INDEX(Drivers!$C$7:$AG$27,$G25,AD$9)</f>
        <v>471.25372759909015</v>
      </c>
      <c r="AE25" cm="1">
        <f t="array" ref="AE25">INDEX(Drivers!$C$7:$AG$27,$G25,AE$9)</f>
        <v>487.28653815869387</v>
      </c>
      <c r="AF25" cm="1">
        <f t="array" ref="AF25">INDEX(Drivers!$C$7:$AG$27,$G25,AF$9)</f>
        <v>505.75255696759598</v>
      </c>
      <c r="AG25" cm="1">
        <f t="array" ref="AG25">INDEX(Drivers!$C$7:$AG$27,$G25,AG$9)</f>
        <v>526.80439766760969</v>
      </c>
      <c r="AH25" cm="1">
        <f t="array" ref="AH25">INDEX(Drivers!$C$7:$AG$27,$G25,AH$9)</f>
        <v>550.79278726371319</v>
      </c>
      <c r="AI25" cm="1">
        <f t="array" ref="AI25">INDEX(Drivers!$C$7:$AG$27,$G25,AI$9)</f>
        <v>571.25074854404647</v>
      </c>
      <c r="AJ25" cm="1">
        <f t="array" ref="AJ25">INDEX(Drivers!$C$7:$AG$27,$G25,AJ$9)</f>
        <v>591.6150101998868</v>
      </c>
      <c r="AK25" cm="1">
        <f t="array" ref="AK25">INDEX(Drivers!$C$7:$AG$27,$G25,AK$9)</f>
        <v>611.56905231697965</v>
      </c>
      <c r="AL25" cm="1">
        <f t="array" ref="AL25">INDEX(Drivers!$C$7:$AG$27,$G25,AL$9)</f>
        <v>629.8174732494424</v>
      </c>
      <c r="AM25" cm="1">
        <f t="array" ref="AM25">INDEX(Drivers!$C$7:$AG$27,$G25,AM$9)</f>
        <v>648.38134410058092</v>
      </c>
      <c r="AN25" cm="1">
        <f t="array" ref="AN25">INDEX(Drivers!$C$7:$AG$27,$G25,AN$9)</f>
        <v>751.06559570708271</v>
      </c>
      <c r="AO25" cm="1">
        <f t="array" ref="AO25">INDEX(Drivers!$C$7:$AG$27,$G25,AO$9)</f>
        <v>877.15916487730681</v>
      </c>
      <c r="AP25" cm="1">
        <f t="array" ref="AP25">INDEX(Drivers!$C$7:$AK$27,$G25,AP$9)</f>
        <v>1045.0649043988856</v>
      </c>
      <c r="AQ25" cm="1">
        <f t="array" ref="AQ25">INDEX(Drivers!$C$7:$AK$27,$G25,AQ$9)</f>
        <v>1170.2434457368909</v>
      </c>
    </row>
    <row r="26" spans="1:43">
      <c r="A26" t="s">
        <v>16</v>
      </c>
      <c r="B26" s="5"/>
    </row>
    <row r="27" spans="1:43" ht="15.75" thickBot="1">
      <c r="A27" t="s">
        <v>16</v>
      </c>
      <c r="B27" s="11" t="s">
        <v>275</v>
      </c>
      <c r="C27" s="11"/>
      <c r="D27" s="11"/>
      <c r="E27" s="11"/>
      <c r="F27" s="11"/>
    </row>
    <row r="28" spans="1:43">
      <c r="A28" t="s">
        <v>16</v>
      </c>
      <c r="B28" t="s">
        <v>9</v>
      </c>
      <c r="C28" t="s">
        <v>10</v>
      </c>
      <c r="D28" t="s">
        <v>265</v>
      </c>
      <c r="E28" t="s">
        <v>264</v>
      </c>
    </row>
    <row r="29" spans="1:43">
      <c r="A29" s="44" t="str">
        <f t="shared" ref="A29:A34" si="7">IF(D10,"*","")</f>
        <v>*</v>
      </c>
      <c r="B29" s="16" t="s">
        <v>272</v>
      </c>
      <c r="C29" s="17" t="s">
        <v>125</v>
      </c>
      <c r="D29" s="44">
        <f>F10</f>
        <v>0</v>
      </c>
      <c r="E29" s="17" t="s">
        <v>125</v>
      </c>
      <c r="F29" s="17" t="s">
        <v>125</v>
      </c>
      <c r="G29" s="17" t="s">
        <v>125</v>
      </c>
      <c r="H29" s="17"/>
      <c r="I29" s="17" t="s">
        <v>125</v>
      </c>
      <c r="J29" s="16">
        <v>0</v>
      </c>
      <c r="K29" s="93">
        <v>0</v>
      </c>
      <c r="L29">
        <f t="shared" ref="L29:AQ29" si="8">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c r="A30" s="44" t="str">
        <f t="shared" si="7"/>
        <v/>
      </c>
      <c r="B30" s="16" t="s">
        <v>272</v>
      </c>
      <c r="C30" s="17" t="s">
        <v>125</v>
      </c>
      <c r="D30" s="44" t="s">
        <v>684</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ref="S30:AQ30" si="9">R30*S11/R11</f>
        <v>23.066289237134917</v>
      </c>
      <c r="T30">
        <f t="shared" ref="T30:AD30" si="10">S30*(T11*T48)/(S11*S48)</f>
        <v>36.83793760105285</v>
      </c>
      <c r="U30">
        <f t="shared" si="10"/>
        <v>28.116320278890861</v>
      </c>
      <c r="V30">
        <f t="shared" si="10"/>
        <v>29.32135611900641</v>
      </c>
      <c r="W30">
        <f t="shared" si="10"/>
        <v>29.270227702867615</v>
      </c>
      <c r="X30">
        <f t="shared" si="10"/>
        <v>29.119678111973183</v>
      </c>
      <c r="Y30">
        <f t="shared" si="10"/>
        <v>29.428565271016058</v>
      </c>
      <c r="Z30">
        <f t="shared" si="10"/>
        <v>30.11389906099274</v>
      </c>
      <c r="AA30">
        <f t="shared" si="10"/>
        <v>30.67902980762765</v>
      </c>
      <c r="AB30">
        <f t="shared" si="10"/>
        <v>31.585065456729254</v>
      </c>
      <c r="AC30">
        <f t="shared" si="10"/>
        <v>32.456563705586291</v>
      </c>
      <c r="AD30">
        <f t="shared" si="10"/>
        <v>33.299367000250378</v>
      </c>
      <c r="AE30">
        <f t="shared" si="9"/>
        <v>34.141786453905418</v>
      </c>
      <c r="AF30">
        <f t="shared" si="9"/>
        <v>34.977333620547597</v>
      </c>
      <c r="AG30">
        <f t="shared" si="9"/>
        <v>35.807512129727144</v>
      </c>
      <c r="AH30">
        <f t="shared" si="9"/>
        <v>37.39756206615197</v>
      </c>
      <c r="AI30">
        <f t="shared" si="9"/>
        <v>38.560995107687113</v>
      </c>
      <c r="AJ30">
        <f t="shared" si="9"/>
        <v>39.691524083538319</v>
      </c>
      <c r="AK30">
        <f t="shared" si="9"/>
        <v>40.901164724932187</v>
      </c>
      <c r="AL30">
        <f t="shared" si="9"/>
        <v>42.245843919105056</v>
      </c>
      <c r="AM30">
        <f t="shared" si="9"/>
        <v>43.472439779455101</v>
      </c>
      <c r="AN30">
        <f t="shared" si="9"/>
        <v>49.692111499529624</v>
      </c>
      <c r="AO30">
        <f t="shared" si="9"/>
        <v>59.042419157769942</v>
      </c>
      <c r="AP30">
        <f t="shared" si="9"/>
        <v>74.090625879723746</v>
      </c>
      <c r="AQ30">
        <f t="shared" si="9"/>
        <v>89.660605258038743</v>
      </c>
    </row>
    <row r="31" spans="1:43">
      <c r="A31" s="44" t="str">
        <f t="shared" si="7"/>
        <v/>
      </c>
      <c r="B31" s="16" t="s">
        <v>272</v>
      </c>
      <c r="C31" s="17" t="s">
        <v>125</v>
      </c>
      <c r="D31" s="44" t="str">
        <f t="shared" ref="D31:D44" si="11">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ref="Q31:S32" si="12">P31*Q12/P12</f>
        <v>3.4861605457176319</v>
      </c>
      <c r="R31">
        <f t="shared" si="12"/>
        <v>3.4530321780472675</v>
      </c>
      <c r="S31">
        <f t="shared" si="12"/>
        <v>3.2824507323211911</v>
      </c>
      <c r="T31">
        <f t="shared" ref="T31:AD31" si="13">S31*(T12*T49)/(S12*S49)</f>
        <v>3.4972516519484285</v>
      </c>
      <c r="U31">
        <f t="shared" si="13"/>
        <v>3.798629947786055</v>
      </c>
      <c r="V31">
        <f t="shared" si="13"/>
        <v>3.6019604880516476</v>
      </c>
      <c r="W31">
        <f t="shared" si="13"/>
        <v>3.5476658818466307</v>
      </c>
      <c r="X31">
        <f t="shared" si="13"/>
        <v>3.4866495153283839</v>
      </c>
      <c r="Y31">
        <f t="shared" si="13"/>
        <v>3.4866495153283843</v>
      </c>
      <c r="Z31">
        <f t="shared" si="13"/>
        <v>3.4866495153283843</v>
      </c>
      <c r="AA31">
        <f t="shared" si="13"/>
        <v>3.4866495153283843</v>
      </c>
      <c r="AB31">
        <f t="shared" si="13"/>
        <v>3.4866495153283843</v>
      </c>
      <c r="AC31">
        <f t="shared" si="13"/>
        <v>3.4866495153283843</v>
      </c>
      <c r="AD31">
        <f t="shared" si="13"/>
        <v>3.4866495153283843</v>
      </c>
      <c r="AE31">
        <f t="shared" ref="AE31:AQ31" si="14">AD31*(AE12*AE49)/(AD12*AD49)</f>
        <v>3.4866495153283843</v>
      </c>
      <c r="AF31">
        <f t="shared" si="14"/>
        <v>3.4866495153283843</v>
      </c>
      <c r="AG31">
        <f t="shared" si="14"/>
        <v>3.4866495153283843</v>
      </c>
      <c r="AH31">
        <f t="shared" si="14"/>
        <v>3.4866495153283843</v>
      </c>
      <c r="AI31">
        <f t="shared" si="14"/>
        <v>3.6106058763699469</v>
      </c>
      <c r="AJ31">
        <f t="shared" si="14"/>
        <v>3.707111501539972</v>
      </c>
      <c r="AK31">
        <f t="shared" si="14"/>
        <v>3.8219667115780487</v>
      </c>
      <c r="AL31">
        <f t="shared" si="14"/>
        <v>3.9158656126229761</v>
      </c>
      <c r="AM31">
        <f t="shared" si="14"/>
        <v>4.045353954237366</v>
      </c>
      <c r="AN31">
        <f t="shared" si="14"/>
        <v>4.7224339909102149</v>
      </c>
      <c r="AO31">
        <f t="shared" si="14"/>
        <v>5.3942186488767172</v>
      </c>
      <c r="AP31">
        <f t="shared" si="14"/>
        <v>6.7439659066338091</v>
      </c>
      <c r="AQ31">
        <f t="shared" si="14"/>
        <v>8.0928306012731621</v>
      </c>
    </row>
    <row r="32" spans="1:43">
      <c r="A32" s="44" t="str">
        <f t="shared" si="7"/>
        <v/>
      </c>
      <c r="B32" s="16" t="s">
        <v>272</v>
      </c>
      <c r="C32" s="17" t="s">
        <v>125</v>
      </c>
      <c r="D32" s="44" t="str">
        <f t="shared" si="11"/>
        <v>IFAMN</v>
      </c>
      <c r="E32" s="17" t="s">
        <v>125</v>
      </c>
      <c r="F32" s="17" t="s">
        <v>125</v>
      </c>
      <c r="G32" s="17" t="s">
        <v>125</v>
      </c>
      <c r="H32" s="17"/>
      <c r="I32" s="17" t="s">
        <v>125</v>
      </c>
      <c r="J32" s="16">
        <v>0</v>
      </c>
      <c r="K32" s="121">
        <f>[7]CommData_BASE!$E$8</f>
        <v>0.4587</v>
      </c>
      <c r="L32" s="121">
        <f>K32</f>
        <v>0.4587</v>
      </c>
      <c r="M32" s="121">
        <f t="shared" ref="M32:O32" si="15">L32</f>
        <v>0.4587</v>
      </c>
      <c r="N32" s="121">
        <f t="shared" si="15"/>
        <v>0.4587</v>
      </c>
      <c r="O32" s="121">
        <f t="shared" si="15"/>
        <v>0.4587</v>
      </c>
      <c r="P32" s="121">
        <f>[7]CommData_BASE!$F$8</f>
        <v>0.4587</v>
      </c>
      <c r="Q32">
        <f t="shared" si="12"/>
        <v>0.45898445531592363</v>
      </c>
      <c r="R32">
        <f t="shared" si="12"/>
        <v>0.45462280713842756</v>
      </c>
      <c r="S32">
        <f t="shared" si="12"/>
        <v>0.43216422242127739</v>
      </c>
      <c r="T32">
        <f>S32*(T13*T51)/(S13*S51)</f>
        <v>0.43032214898246302</v>
      </c>
      <c r="U32">
        <f t="shared" ref="U32:AD32" si="16">T32*(U13*U49)/(T13*T49)</f>
        <v>0.46740548436362311</v>
      </c>
      <c r="V32">
        <f t="shared" si="16"/>
        <v>0.44320613213657378</v>
      </c>
      <c r="W32">
        <f t="shared" si="16"/>
        <v>0.43652540854401151</v>
      </c>
      <c r="X32">
        <f t="shared" si="16"/>
        <v>0.42901760053465504</v>
      </c>
      <c r="Y32">
        <f t="shared" si="16"/>
        <v>0.42901760053465515</v>
      </c>
      <c r="Z32">
        <f t="shared" si="16"/>
        <v>0.42901760053465515</v>
      </c>
      <c r="AA32">
        <f t="shared" si="16"/>
        <v>0.42901760053465515</v>
      </c>
      <c r="AB32">
        <f t="shared" si="16"/>
        <v>0.42901760053465515</v>
      </c>
      <c r="AC32">
        <f t="shared" si="16"/>
        <v>0.42901760053465515</v>
      </c>
      <c r="AD32">
        <f t="shared" si="16"/>
        <v>0.42901760053465515</v>
      </c>
      <c r="AE32">
        <f t="shared" ref="AE32:AQ32" si="17">AD32*(AE13*AE51)/(AD13*AD51)</f>
        <v>0.42901760053465515</v>
      </c>
      <c r="AF32">
        <f t="shared" si="17"/>
        <v>0.42901760053465515</v>
      </c>
      <c r="AG32">
        <f t="shared" si="17"/>
        <v>0.42901760053465515</v>
      </c>
      <c r="AH32">
        <f t="shared" si="17"/>
        <v>0.42901760053465515</v>
      </c>
      <c r="AI32">
        <f t="shared" si="17"/>
        <v>0.44426991091207196</v>
      </c>
      <c r="AJ32">
        <f t="shared" si="17"/>
        <v>0.45614452336351641</v>
      </c>
      <c r="AK32">
        <f t="shared" si="17"/>
        <v>0.47027697527840251</v>
      </c>
      <c r="AL32">
        <f t="shared" si="17"/>
        <v>0.48183084125834508</v>
      </c>
      <c r="AM32">
        <f t="shared" si="17"/>
        <v>0.49776383864520318</v>
      </c>
      <c r="AN32">
        <f t="shared" si="17"/>
        <v>0.58107569761647793</v>
      </c>
      <c r="AO32">
        <f t="shared" si="17"/>
        <v>0.66373598244571996</v>
      </c>
      <c r="AP32">
        <f t="shared" si="17"/>
        <v>0.82981672193657752</v>
      </c>
      <c r="AQ32">
        <f t="shared" si="17"/>
        <v>0.99578886573709446</v>
      </c>
    </row>
    <row r="33" spans="1:46">
      <c r="A33" s="44" t="str">
        <f t="shared" si="7"/>
        <v/>
      </c>
      <c r="B33" s="16" t="s">
        <v>272</v>
      </c>
      <c r="C33" s="17" t="s">
        <v>125</v>
      </c>
      <c r="D33" s="44" t="str">
        <f t="shared" si="11"/>
        <v>IISCRS</v>
      </c>
      <c r="E33" s="17" t="s">
        <v>125</v>
      </c>
      <c r="F33" s="17" t="s">
        <v>125</v>
      </c>
      <c r="G33" s="17" t="s">
        <v>125</v>
      </c>
      <c r="H33" s="17"/>
      <c r="I33" s="17" t="s">
        <v>125</v>
      </c>
      <c r="J33" s="16">
        <v>0</v>
      </c>
      <c r="K33" s="120">
        <f>'[8]I&amp;S SATIM input'!D18</f>
        <v>6.94</v>
      </c>
      <c r="L33" s="120">
        <f>'[8]I&amp;S SATIM input'!E18</f>
        <v>7.1</v>
      </c>
      <c r="M33" s="120">
        <f>'[8]I&amp;S SATIM input'!F18</f>
        <v>6.5</v>
      </c>
      <c r="N33" s="120">
        <f>'[8]I&amp;S SATIM input'!G18</f>
        <v>6.4</v>
      </c>
      <c r="O33" s="120">
        <f>'[8]I&amp;S SATIM input'!H18</f>
        <v>6.0910000000000002</v>
      </c>
      <c r="P33" s="120">
        <v>6.23</v>
      </c>
      <c r="Q33" s="120">
        <v>6.3</v>
      </c>
      <c r="R33" s="120">
        <v>6.1267974837582679</v>
      </c>
      <c r="S33" s="120">
        <v>4.43</v>
      </c>
      <c r="T33" s="120">
        <v>5.4589999999999996</v>
      </c>
      <c r="U33" s="120">
        <v>4.923</v>
      </c>
      <c r="V33" s="120">
        <v>4.9770000000000003</v>
      </c>
      <c r="W33">
        <f t="shared" ref="W33:AQ33" si="18">V33*W14/V14</f>
        <v>5.0254225704245643</v>
      </c>
      <c r="X33">
        <f t="shared" si="18"/>
        <v>5.1328087710643171</v>
      </c>
      <c r="Y33">
        <f t="shared" si="18"/>
        <v>5.402729480380339</v>
      </c>
      <c r="Z33">
        <f t="shared" si="18"/>
        <v>5.490227183140596</v>
      </c>
      <c r="AA33">
        <f t="shared" si="18"/>
        <v>5.626713177742567</v>
      </c>
      <c r="AB33">
        <f t="shared" si="18"/>
        <v>5.74660601602403</v>
      </c>
      <c r="AC33">
        <f t="shared" si="18"/>
        <v>5.9750637752685192</v>
      </c>
      <c r="AD33">
        <f t="shared" si="18"/>
        <v>6.174344446735712</v>
      </c>
      <c r="AE33">
        <f t="shared" si="18"/>
        <v>6.4075070920905164</v>
      </c>
      <c r="AF33">
        <f t="shared" si="18"/>
        <v>6.569439373783041</v>
      </c>
      <c r="AG33">
        <f t="shared" si="18"/>
        <v>6.7470121697549796</v>
      </c>
      <c r="AH33">
        <f t="shared" si="18"/>
        <v>7.0046968949516133</v>
      </c>
      <c r="AI33">
        <f t="shared" si="18"/>
        <v>7.2864528237660853</v>
      </c>
      <c r="AJ33">
        <f t="shared" si="18"/>
        <v>7.5417164325989319</v>
      </c>
      <c r="AK33">
        <f t="shared" si="18"/>
        <v>7.8147101923873539</v>
      </c>
      <c r="AL33">
        <f t="shared" si="18"/>
        <v>8.0826054244486745</v>
      </c>
      <c r="AM33">
        <f t="shared" si="18"/>
        <v>8.3779595966329357</v>
      </c>
      <c r="AN33">
        <f t="shared" si="18"/>
        <v>9.8540056218737231</v>
      </c>
      <c r="AO33">
        <f t="shared" si="18"/>
        <v>11.22675264167391</v>
      </c>
      <c r="AP33">
        <f t="shared" si="18"/>
        <v>13.032962833468115</v>
      </c>
      <c r="AQ33">
        <f t="shared" si="18"/>
        <v>13.776673345020578</v>
      </c>
      <c r="AT33" t="s">
        <v>795</v>
      </c>
    </row>
    <row r="34" spans="1:46">
      <c r="A34" s="44" t="str">
        <f t="shared" si="7"/>
        <v>*</v>
      </c>
      <c r="B34" s="16" t="s">
        <v>272</v>
      </c>
      <c r="C34" s="17" t="s">
        <v>125</v>
      </c>
      <c r="D34" s="44">
        <f t="shared" si="11"/>
        <v>0</v>
      </c>
      <c r="E34" s="17" t="s">
        <v>125</v>
      </c>
      <c r="F34" s="17" t="s">
        <v>125</v>
      </c>
      <c r="G34" s="17" t="s">
        <v>125</v>
      </c>
      <c r="H34" s="17"/>
      <c r="I34" s="17" t="s">
        <v>125</v>
      </c>
      <c r="J34" s="16">
        <v>0</v>
      </c>
      <c r="K34" s="93">
        <v>0</v>
      </c>
      <c r="L34">
        <f t="shared" ref="L34:S34" si="19">K34*L15/K15</f>
        <v>0</v>
      </c>
      <c r="M34">
        <f t="shared" si="19"/>
        <v>0</v>
      </c>
      <c r="N34">
        <f t="shared" si="19"/>
        <v>0</v>
      </c>
      <c r="O34">
        <f t="shared" si="19"/>
        <v>0</v>
      </c>
      <c r="P34">
        <f t="shared" si="19"/>
        <v>0</v>
      </c>
      <c r="Q34">
        <f t="shared" si="19"/>
        <v>0</v>
      </c>
      <c r="R34">
        <f t="shared" si="19"/>
        <v>0</v>
      </c>
      <c r="S34">
        <f t="shared" si="19"/>
        <v>0</v>
      </c>
      <c r="T34">
        <f t="shared" ref="T34:AQ34" si="20">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6">
      <c r="A35" s="44" t="str">
        <f t="shared" ref="A35:A36" si="21">IF(D16,"*","")</f>
        <v/>
      </c>
      <c r="B35" s="16" t="s">
        <v>272</v>
      </c>
      <c r="C35" s="17" t="s">
        <v>125</v>
      </c>
      <c r="D35" s="44" t="str">
        <f t="shared" si="11"/>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ref="R35:AQ35" si="22">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6">
      <c r="A36" s="44" t="str">
        <f t="shared" si="21"/>
        <v>*</v>
      </c>
      <c r="B36" s="16" t="s">
        <v>272</v>
      </c>
      <c r="C36" s="17" t="s">
        <v>125</v>
      </c>
      <c r="D36" s="44">
        <f t="shared" si="11"/>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3">S36*T17/S17</f>
        <v>0</v>
      </c>
      <c r="U36">
        <f t="shared" ref="U36" si="24">T36*U17/T17</f>
        <v>0</v>
      </c>
      <c r="V36">
        <f t="shared" ref="V36" si="25">U36*V17/U17</f>
        <v>0</v>
      </c>
      <c r="W36">
        <f t="shared" ref="W36" si="26">V36*W17/V17</f>
        <v>0</v>
      </c>
      <c r="X36">
        <f t="shared" ref="X36" si="27">W36*X17/W17</f>
        <v>0</v>
      </c>
      <c r="Y36">
        <f t="shared" ref="Y36" si="28">X36*Y17/X17</f>
        <v>0</v>
      </c>
      <c r="Z36">
        <f t="shared" ref="Z36" si="29">Y36*Z17/Y17</f>
        <v>0</v>
      </c>
      <c r="AA36">
        <f t="shared" ref="AA36" si="30">Z36*AA17/Z17</f>
        <v>0</v>
      </c>
      <c r="AB36">
        <f t="shared" ref="AB36" si="31">AA36*AB17/AA17</f>
        <v>0</v>
      </c>
      <c r="AC36">
        <f t="shared" ref="AC36" si="32">AB36*AC17/AB17</f>
        <v>0</v>
      </c>
      <c r="AD36">
        <f t="shared" ref="AD36" si="33">AC36*AD17/AC17</f>
        <v>0</v>
      </c>
      <c r="AE36">
        <f t="shared" ref="AE36" si="34">AD36*AE17/AD17</f>
        <v>0</v>
      </c>
      <c r="AF36">
        <f t="shared" ref="AF36" si="35">AE36*AF17/AE17</f>
        <v>0</v>
      </c>
      <c r="AG36">
        <f t="shared" ref="AG36" si="36">AF36*AG17/AF17</f>
        <v>0</v>
      </c>
      <c r="AH36">
        <f t="shared" ref="AH36" si="37">AG36*AH17/AG17</f>
        <v>0</v>
      </c>
      <c r="AI36">
        <f t="shared" ref="AI36" si="38">AH36*AI17/AH17</f>
        <v>0</v>
      </c>
      <c r="AJ36">
        <f t="shared" ref="AJ36" si="39">AI36*AJ17/AI17</f>
        <v>0</v>
      </c>
      <c r="AK36">
        <f t="shared" ref="AK36" si="40">AJ36*AK17/AJ17</f>
        <v>0</v>
      </c>
      <c r="AL36">
        <f t="shared" ref="AL36" si="41">AK36*AL17/AK17</f>
        <v>0</v>
      </c>
      <c r="AM36">
        <f t="shared" ref="AM36" si="42">AL36*AM17/AL17</f>
        <v>0</v>
      </c>
      <c r="AN36">
        <f t="shared" ref="AN36" si="43">AM36*AN17/AM17</f>
        <v>0</v>
      </c>
      <c r="AO36">
        <f t="shared" ref="AO36" si="44">AN36*AO17/AN17</f>
        <v>0</v>
      </c>
      <c r="AP36">
        <f t="shared" ref="AP36" si="45">AO36*AP17/AO17</f>
        <v>0</v>
      </c>
      <c r="AQ36">
        <f t="shared" ref="AQ36" si="46">AP36*AQ17/AP17</f>
        <v>0</v>
      </c>
    </row>
    <row r="37" spans="1:46">
      <c r="A37" s="44" t="str">
        <f t="shared" ref="A37:A44" si="47">IF(D18,"*","")</f>
        <v/>
      </c>
      <c r="B37" s="16" t="s">
        <v>272</v>
      </c>
      <c r="C37" s="17" t="s">
        <v>125</v>
      </c>
      <c r="D37" s="44" t="str">
        <f t="shared" si="11"/>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ref="Q37:S44" si="48">P37*Q18/P18</f>
        <v>14.950029598277014</v>
      </c>
      <c r="R37">
        <f t="shared" si="48"/>
        <v>14.933982218184793</v>
      </c>
      <c r="S37">
        <f t="shared" si="48"/>
        <v>13.942901152088583</v>
      </c>
      <c r="T37">
        <f t="shared" ref="T37:AQ37" si="49">S37*T18/S18</f>
        <v>14.845749223892115</v>
      </c>
      <c r="U37">
        <f t="shared" si="49"/>
        <v>15.431815287822548</v>
      </c>
      <c r="V37">
        <f t="shared" si="49"/>
        <v>15.470321509163634</v>
      </c>
      <c r="W37">
        <f t="shared" si="49"/>
        <v>15.596551053397837</v>
      </c>
      <c r="X37">
        <f t="shared" si="49"/>
        <v>15.995446903653065</v>
      </c>
      <c r="Y37">
        <f t="shared" si="49"/>
        <v>16.671007438589449</v>
      </c>
      <c r="Z37">
        <f t="shared" si="49"/>
        <v>16.963466920652746</v>
      </c>
      <c r="AA37">
        <f t="shared" si="49"/>
        <v>17.297203861123776</v>
      </c>
      <c r="AB37">
        <f t="shared" si="49"/>
        <v>17.801783673801467</v>
      </c>
      <c r="AC37">
        <f t="shared" si="49"/>
        <v>18.424684741365287</v>
      </c>
      <c r="AD37">
        <f t="shared" si="49"/>
        <v>19.078144359392972</v>
      </c>
      <c r="AE37">
        <f t="shared" si="49"/>
        <v>19.748372874101772</v>
      </c>
      <c r="AF37">
        <f t="shared" si="49"/>
        <v>20.512235747316808</v>
      </c>
      <c r="AG37">
        <f t="shared" si="49"/>
        <v>21.351788893949749</v>
      </c>
      <c r="AH37">
        <f t="shared" si="49"/>
        <v>22.383114003295891</v>
      </c>
      <c r="AI37">
        <f t="shared" si="49"/>
        <v>23.224028269855218</v>
      </c>
      <c r="AJ37">
        <f t="shared" si="49"/>
        <v>24.084854124873708</v>
      </c>
      <c r="AK37">
        <f t="shared" si="49"/>
        <v>24.963696049991157</v>
      </c>
      <c r="AL37">
        <f t="shared" si="49"/>
        <v>25.828124845912932</v>
      </c>
      <c r="AM37">
        <f t="shared" si="49"/>
        <v>26.702876321641117</v>
      </c>
      <c r="AN37">
        <f t="shared" si="49"/>
        <v>31.210039949487065</v>
      </c>
      <c r="AO37">
        <f t="shared" si="49"/>
        <v>30.889651954510416</v>
      </c>
      <c r="AP37">
        <f t="shared" si="49"/>
        <v>36.626227483300063</v>
      </c>
      <c r="AQ37">
        <f t="shared" si="49"/>
        <v>41.013340390618126</v>
      </c>
    </row>
    <row r="38" spans="1:46">
      <c r="A38" s="44" t="str">
        <f t="shared" si="47"/>
        <v/>
      </c>
      <c r="B38" s="16" t="s">
        <v>272</v>
      </c>
      <c r="C38" s="17" t="s">
        <v>125</v>
      </c>
      <c r="D38" s="44" t="str">
        <f t="shared" si="11"/>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8"/>
        <v>1.3766741334629049</v>
      </c>
      <c r="R38">
        <f t="shared" si="48"/>
        <v>1.3751964097609162</v>
      </c>
      <c r="S38">
        <f t="shared" si="48"/>
        <v>1.2839326661749679</v>
      </c>
      <c r="T38">
        <f t="shared" ref="T38:AQ38" si="50">S38*T19/S19</f>
        <v>1.3670714705986082</v>
      </c>
      <c r="U38">
        <f t="shared" si="50"/>
        <v>1.421039389886636</v>
      </c>
      <c r="V38">
        <f t="shared" si="50"/>
        <v>1.4245852369733722</v>
      </c>
      <c r="W38">
        <f t="shared" si="50"/>
        <v>1.4362090901091591</v>
      </c>
      <c r="X38">
        <f t="shared" si="50"/>
        <v>1.4729414320341108</v>
      </c>
      <c r="Y38">
        <f t="shared" si="50"/>
        <v>1.5351504536231027</v>
      </c>
      <c r="Z38">
        <f t="shared" si="50"/>
        <v>1.5620815978991582</v>
      </c>
      <c r="AA38">
        <f t="shared" si="50"/>
        <v>1.5928137787491861</v>
      </c>
      <c r="AB38">
        <f t="shared" si="50"/>
        <v>1.6392780330046417</v>
      </c>
      <c r="AC38">
        <f t="shared" si="50"/>
        <v>1.6966379052232474</v>
      </c>
      <c r="AD38">
        <f t="shared" si="50"/>
        <v>1.7568117629061075</v>
      </c>
      <c r="AE38">
        <f t="shared" si="50"/>
        <v>1.8185297851777962</v>
      </c>
      <c r="AF38">
        <f t="shared" si="50"/>
        <v>1.8888701314730962</v>
      </c>
      <c r="AG38">
        <f t="shared" si="50"/>
        <v>1.9661804199269843</v>
      </c>
      <c r="AH38">
        <f t="shared" si="50"/>
        <v>2.061150038006621</v>
      </c>
      <c r="AI38">
        <f t="shared" si="50"/>
        <v>2.1385856652488293</v>
      </c>
      <c r="AJ38">
        <f t="shared" si="50"/>
        <v>2.2178548519905479</v>
      </c>
      <c r="AK38">
        <f t="shared" si="50"/>
        <v>2.2987830493401615</v>
      </c>
      <c r="AL38">
        <f t="shared" si="50"/>
        <v>2.3783840130535139</v>
      </c>
      <c r="AM38">
        <f t="shared" si="50"/>
        <v>2.4589355411911096</v>
      </c>
      <c r="AN38">
        <f t="shared" si="50"/>
        <v>2.8739779022079368</v>
      </c>
      <c r="AO38">
        <f t="shared" si="50"/>
        <v>2.844474959591206</v>
      </c>
      <c r="AP38">
        <f t="shared" si="50"/>
        <v>3.3727277696091313</v>
      </c>
      <c r="AQ38">
        <f t="shared" si="50"/>
        <v>3.7767152547430793</v>
      </c>
    </row>
    <row r="39" spans="1:46">
      <c r="A39" s="44" t="str">
        <f t="shared" si="47"/>
        <v/>
      </c>
      <c r="B39" s="16" t="s">
        <v>272</v>
      </c>
      <c r="C39" s="17" t="s">
        <v>125</v>
      </c>
      <c r="D39" s="44" t="str">
        <f t="shared" si="11"/>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8"/>
        <v>1.1774046535099847</v>
      </c>
      <c r="R39">
        <f t="shared" si="48"/>
        <v>1.1761408259119843</v>
      </c>
      <c r="S39">
        <f t="shared" si="48"/>
        <v>1.098087237351745</v>
      </c>
      <c r="T39">
        <f t="shared" ref="T39:AQ39" si="51">S39*T20/S20</f>
        <v>1.1691919474906807</v>
      </c>
      <c r="U39">
        <f t="shared" si="51"/>
        <v>1.2153481712225385</v>
      </c>
      <c r="V39">
        <f t="shared" si="51"/>
        <v>1.2183807675059135</v>
      </c>
      <c r="W39">
        <f t="shared" si="51"/>
        <v>1.2283221025256732</v>
      </c>
      <c r="X39">
        <f t="shared" si="51"/>
        <v>1.2597375473760601</v>
      </c>
      <c r="Y39">
        <f t="shared" si="51"/>
        <v>1.312941998399586</v>
      </c>
      <c r="Z39">
        <f t="shared" si="51"/>
        <v>1.3359749397647409</v>
      </c>
      <c r="AA39">
        <f t="shared" si="51"/>
        <v>1.3622587289823933</v>
      </c>
      <c r="AB39">
        <f t="shared" si="51"/>
        <v>1.4019974208430686</v>
      </c>
      <c r="AC39">
        <f t="shared" si="51"/>
        <v>1.4510546224228236</v>
      </c>
      <c r="AD39">
        <f t="shared" si="51"/>
        <v>1.5025184934532412</v>
      </c>
      <c r="AE39">
        <f t="shared" si="51"/>
        <v>1.5553030158480445</v>
      </c>
      <c r="AF39">
        <f t="shared" si="51"/>
        <v>1.6154618065484014</v>
      </c>
      <c r="AG39">
        <f t="shared" si="51"/>
        <v>1.6815816610421008</v>
      </c>
      <c r="AH39">
        <f t="shared" si="51"/>
        <v>1.7628047098022039</v>
      </c>
      <c r="AI39">
        <f t="shared" si="51"/>
        <v>1.829031760667976</v>
      </c>
      <c r="AJ39">
        <f t="shared" si="51"/>
        <v>1.8968269687575501</v>
      </c>
      <c r="AK39">
        <f t="shared" si="51"/>
        <v>1.9660410506114223</v>
      </c>
      <c r="AL39">
        <f t="shared" si="51"/>
        <v>2.0341200119442902</v>
      </c>
      <c r="AM39">
        <f t="shared" si="51"/>
        <v>2.1030119463325532</v>
      </c>
      <c r="AN39">
        <f t="shared" si="51"/>
        <v>2.4579781619291006</v>
      </c>
      <c r="AO39">
        <f t="shared" si="51"/>
        <v>2.4327456823721563</v>
      </c>
      <c r="AP39">
        <f t="shared" si="51"/>
        <v>2.8845354717105574</v>
      </c>
      <c r="AQ39">
        <f t="shared" si="51"/>
        <v>3.2300469717777758</v>
      </c>
    </row>
    <row r="40" spans="1:46">
      <c r="A40" s="44" t="str">
        <f t="shared" si="47"/>
        <v/>
      </c>
      <c r="B40" s="16" t="s">
        <v>272</v>
      </c>
      <c r="C40" s="17" t="s">
        <v>125</v>
      </c>
      <c r="D40" s="44" t="str">
        <f t="shared" si="11"/>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8"/>
        <v>9.734944643332172</v>
      </c>
      <c r="R40">
        <f t="shared" si="48"/>
        <v>9.724495141821734</v>
      </c>
      <c r="S40">
        <f t="shared" si="48"/>
        <v>9.0791372679742341</v>
      </c>
      <c r="T40">
        <f t="shared" ref="T40:AQ40" si="52">S40*T21/S21</f>
        <v>9.6670408532192784</v>
      </c>
      <c r="U40">
        <f t="shared" si="52"/>
        <v>10.048666899655725</v>
      </c>
      <c r="V40">
        <f t="shared" si="52"/>
        <v>10.073740825477422</v>
      </c>
      <c r="W40">
        <f t="shared" si="52"/>
        <v>10.155937159430811</v>
      </c>
      <c r="X40">
        <f t="shared" si="52"/>
        <v>10.415684405759814</v>
      </c>
      <c r="Y40">
        <f t="shared" si="52"/>
        <v>10.855586171010064</v>
      </c>
      <c r="Z40">
        <f t="shared" si="52"/>
        <v>11.046025718275704</v>
      </c>
      <c r="AA40">
        <f t="shared" si="52"/>
        <v>11.263343725545399</v>
      </c>
      <c r="AB40">
        <f t="shared" si="52"/>
        <v>11.591908730201062</v>
      </c>
      <c r="AC40">
        <f t="shared" si="52"/>
        <v>11.997520463016974</v>
      </c>
      <c r="AD40">
        <f t="shared" si="52"/>
        <v>12.423030871965306</v>
      </c>
      <c r="AE40">
        <f t="shared" si="52"/>
        <v>12.859460609189696</v>
      </c>
      <c r="AF40">
        <f t="shared" si="52"/>
        <v>13.356861817459011</v>
      </c>
      <c r="AG40">
        <f t="shared" si="52"/>
        <v>13.903549926260411</v>
      </c>
      <c r="AH40">
        <f t="shared" si="52"/>
        <v>14.57511333573488</v>
      </c>
      <c r="AI40">
        <f t="shared" si="52"/>
        <v>15.122687758977948</v>
      </c>
      <c r="AJ40">
        <f t="shared" si="52"/>
        <v>15.683227923200759</v>
      </c>
      <c r="AK40">
        <f t="shared" si="52"/>
        <v>16.25549953209736</v>
      </c>
      <c r="AL40">
        <f t="shared" si="52"/>
        <v>16.818385807410863</v>
      </c>
      <c r="AM40">
        <f t="shared" si="52"/>
        <v>17.387993856472416</v>
      </c>
      <c r="AN40">
        <f t="shared" si="52"/>
        <v>20.322903658963863</v>
      </c>
      <c r="AO40">
        <f t="shared" si="52"/>
        <v>20.114278025483827</v>
      </c>
      <c r="AP40">
        <f t="shared" si="52"/>
        <v>23.849738537314341</v>
      </c>
      <c r="AQ40">
        <f t="shared" si="52"/>
        <v>26.706475443153742</v>
      </c>
    </row>
    <row r="41" spans="1:46">
      <c r="A41" s="44" t="str">
        <f t="shared" si="47"/>
        <v>*</v>
      </c>
      <c r="B41" s="16" t="s">
        <v>272</v>
      </c>
      <c r="C41" s="17" t="s">
        <v>125</v>
      </c>
      <c r="D41" s="44">
        <f t="shared" si="11"/>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8"/>
        <v>0</v>
      </c>
      <c r="R41">
        <f t="shared" si="48"/>
        <v>0</v>
      </c>
      <c r="S41">
        <f t="shared" si="48"/>
        <v>0</v>
      </c>
      <c r="T41">
        <f t="shared" ref="T41:AQ41" si="53">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6">
      <c r="A42" s="44" t="str">
        <f t="shared" si="47"/>
        <v/>
      </c>
      <c r="B42" s="16" t="s">
        <v>272</v>
      </c>
      <c r="C42" s="17" t="s">
        <v>125</v>
      </c>
      <c r="D42" s="44" t="str">
        <f t="shared" si="11"/>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8"/>
        <v>2.2166294765726118</v>
      </c>
      <c r="R42">
        <f t="shared" si="48"/>
        <v>2.2151621827595136</v>
      </c>
      <c r="S42">
        <f t="shared" si="48"/>
        <v>2.1156043318489735</v>
      </c>
      <c r="T42">
        <f t="shared" ref="T42:AQ42" si="54">S42*T23/S23</f>
        <v>2.1851033082423212</v>
      </c>
      <c r="U42">
        <f t="shared" si="54"/>
        <v>2.3759796239120692</v>
      </c>
      <c r="V42">
        <f t="shared" si="54"/>
        <v>2.3921155773101566</v>
      </c>
      <c r="W42">
        <f t="shared" si="54"/>
        <v>2.4323527047062026</v>
      </c>
      <c r="X42">
        <f t="shared" si="54"/>
        <v>2.4698759987523076</v>
      </c>
      <c r="Y42">
        <f t="shared" si="54"/>
        <v>2.5101917061905428</v>
      </c>
      <c r="Z42">
        <f t="shared" si="54"/>
        <v>2.5620149878150387</v>
      </c>
      <c r="AA42">
        <f t="shared" si="54"/>
        <v>2.6214925660316619</v>
      </c>
      <c r="AB42">
        <f t="shared" si="54"/>
        <v>2.6906048423153424</v>
      </c>
      <c r="AC42">
        <f t="shared" si="54"/>
        <v>2.781959978083262</v>
      </c>
      <c r="AD42">
        <f t="shared" si="54"/>
        <v>2.8786692006825105</v>
      </c>
      <c r="AE42">
        <f t="shared" si="54"/>
        <v>2.9787913258362182</v>
      </c>
      <c r="AF42">
        <f t="shared" si="54"/>
        <v>3.0812531323315584</v>
      </c>
      <c r="AG42">
        <f t="shared" si="54"/>
        <v>3.1864243710281159</v>
      </c>
      <c r="AH42">
        <f t="shared" si="54"/>
        <v>3.3263388386922825</v>
      </c>
      <c r="AI42">
        <f t="shared" si="54"/>
        <v>3.4354877363622069</v>
      </c>
      <c r="AJ42">
        <f t="shared" si="54"/>
        <v>3.5499318310687014</v>
      </c>
      <c r="AK42">
        <f t="shared" si="54"/>
        <v>3.6741006561474734</v>
      </c>
      <c r="AL42">
        <f t="shared" si="54"/>
        <v>3.8086765346469131</v>
      </c>
      <c r="AM42">
        <f t="shared" si="54"/>
        <v>3.9414763534124626</v>
      </c>
      <c r="AN42">
        <f t="shared" si="54"/>
        <v>4.6597644751485854</v>
      </c>
      <c r="AO42">
        <f t="shared" si="54"/>
        <v>5.4852336811427849</v>
      </c>
      <c r="AP42">
        <f t="shared" si="54"/>
        <v>6.3251996222892801</v>
      </c>
      <c r="AQ42">
        <f t="shared" si="54"/>
        <v>7.082836070568348</v>
      </c>
    </row>
    <row r="43" spans="1:46">
      <c r="A43" s="44" t="str">
        <f t="shared" si="47"/>
        <v/>
      </c>
      <c r="B43" s="16" t="s">
        <v>272</v>
      </c>
      <c r="C43" s="17" t="s">
        <v>125</v>
      </c>
      <c r="D43" s="44" t="str">
        <f t="shared" si="11"/>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8"/>
        <v>0.67016340993169665</v>
      </c>
      <c r="R43">
        <f t="shared" si="48"/>
        <v>0.66971979649266666</v>
      </c>
      <c r="S43">
        <f t="shared" si="48"/>
        <v>0.63962003035816473</v>
      </c>
      <c r="T43">
        <f t="shared" ref="T43:AQ43" si="55">S43*T24/S24</f>
        <v>0.66063196379078548</v>
      </c>
      <c r="U43">
        <f t="shared" si="55"/>
        <v>0.7183404459419056</v>
      </c>
      <c r="V43">
        <f t="shared" si="55"/>
        <v>0.72321890021947011</v>
      </c>
      <c r="W43">
        <f t="shared" si="55"/>
        <v>0.7353839692066807</v>
      </c>
      <c r="X43">
        <f t="shared" si="55"/>
        <v>0.74672855293417406</v>
      </c>
      <c r="Y43">
        <f t="shared" si="55"/>
        <v>0.75891737937367099</v>
      </c>
      <c r="Z43">
        <f t="shared" si="55"/>
        <v>0.77458534169862525</v>
      </c>
      <c r="AA43">
        <f t="shared" si="55"/>
        <v>0.792567461422921</v>
      </c>
      <c r="AB43">
        <f t="shared" si="55"/>
        <v>0.81346248209819794</v>
      </c>
      <c r="AC43">
        <f t="shared" si="55"/>
        <v>0.84108228502334259</v>
      </c>
      <c r="AD43">
        <f t="shared" si="55"/>
        <v>0.87032081274028328</v>
      </c>
      <c r="AE43">
        <f t="shared" si="55"/>
        <v>0.9005911784066124</v>
      </c>
      <c r="AF43">
        <f t="shared" si="55"/>
        <v>0.93156891029839051</v>
      </c>
      <c r="AG43">
        <f t="shared" si="55"/>
        <v>0.96336579683109413</v>
      </c>
      <c r="AH43">
        <f t="shared" si="55"/>
        <v>1.0056667576996547</v>
      </c>
      <c r="AI43">
        <f t="shared" si="55"/>
        <v>1.0386662274919019</v>
      </c>
      <c r="AJ43">
        <f t="shared" si="55"/>
        <v>1.0732666176633974</v>
      </c>
      <c r="AK43">
        <f t="shared" si="55"/>
        <v>1.1108071286515795</v>
      </c>
      <c r="AL43">
        <f t="shared" si="55"/>
        <v>1.1514940502065469</v>
      </c>
      <c r="AM43">
        <f t="shared" si="55"/>
        <v>1.1916440077537331</v>
      </c>
      <c r="AN43">
        <f t="shared" si="55"/>
        <v>1.4088072378125593</v>
      </c>
      <c r="AO43">
        <f t="shared" si="55"/>
        <v>1.6583749999168733</v>
      </c>
      <c r="AP43">
        <f t="shared" si="55"/>
        <v>1.912325624184313</v>
      </c>
      <c r="AQ43">
        <f t="shared" si="55"/>
        <v>2.1413852081307989</v>
      </c>
    </row>
    <row r="44" spans="1:46">
      <c r="A44" s="44" t="str">
        <f t="shared" si="47"/>
        <v>*</v>
      </c>
      <c r="B44" s="16" t="s">
        <v>272</v>
      </c>
      <c r="C44" s="17" t="s">
        <v>125</v>
      </c>
      <c r="D44" s="44">
        <f t="shared" si="11"/>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8"/>
        <v>0</v>
      </c>
      <c r="R44">
        <f t="shared" si="48"/>
        <v>0</v>
      </c>
      <c r="S44">
        <f t="shared" si="48"/>
        <v>0</v>
      </c>
      <c r="T44">
        <f t="shared" ref="T44:AQ44" si="56">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46">
      <c r="A45" t="s">
        <v>16</v>
      </c>
      <c r="B45" s="5"/>
      <c r="T45" s="177" t="s">
        <v>636</v>
      </c>
      <c r="Y45" s="21">
        <v>2025</v>
      </c>
    </row>
    <row r="46" spans="1:46" ht="15.75" thickBot="1">
      <c r="A46" t="s">
        <v>16</v>
      </c>
      <c r="B46" s="11" t="s">
        <v>274</v>
      </c>
      <c r="C46" s="11"/>
      <c r="D46">
        <v>2010</v>
      </c>
      <c r="E46">
        <v>2020</v>
      </c>
      <c r="F46">
        <v>2030</v>
      </c>
      <c r="G46">
        <v>2050</v>
      </c>
      <c r="H46">
        <v>2070</v>
      </c>
      <c r="T46" s="177" t="s">
        <v>635</v>
      </c>
    </row>
    <row r="47" spans="1:46">
      <c r="A47" t="s">
        <v>16</v>
      </c>
      <c r="B47" s="5" t="str">
        <f t="shared" ref="B47:C53" si="57">B10</f>
        <v>MI</v>
      </c>
      <c r="C47" s="5"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7">
        <v>1.0900000000000001</v>
      </c>
      <c r="U47" s="267">
        <f t="shared" ref="U47:AB47" si="58">IF(U$63=1,($AC47-$T47)/$AD$63+T47,$AC47)</f>
        <v>1.0846132399175183</v>
      </c>
      <c r="V47" s="267">
        <f t="shared" si="58"/>
        <v>1.0792264798350366</v>
      </c>
      <c r="W47" s="267">
        <f t="shared" si="58"/>
        <v>1.0738397197525549</v>
      </c>
      <c r="X47" s="267">
        <f t="shared" si="58"/>
        <v>1.0684529596700731</v>
      </c>
      <c r="Y47" s="267">
        <f t="shared" si="58"/>
        <v>1.0684529596700734</v>
      </c>
      <c r="Z47" s="267">
        <f t="shared" si="58"/>
        <v>1.0684529596700734</v>
      </c>
      <c r="AA47" s="267">
        <f t="shared" si="58"/>
        <v>1.0684529596700734</v>
      </c>
      <c r="AB47" s="267">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6">
      <c r="A48" t="s">
        <v>16</v>
      </c>
      <c r="B48" s="5" t="str">
        <f t="shared" si="57"/>
        <v>PG</v>
      </c>
      <c r="C48" s="5" t="str">
        <f t="shared" si="57"/>
        <v>PGM</v>
      </c>
      <c r="D48">
        <v>1</v>
      </c>
      <c r="E48">
        <v>1</v>
      </c>
      <c r="F48">
        <v>1</v>
      </c>
      <c r="G48">
        <v>1</v>
      </c>
      <c r="H48">
        <f t="shared" ref="H48:H62" si="59">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7">
        <v>1.07</v>
      </c>
      <c r="U48" s="267">
        <f t="shared" ref="U48" si="60">IF(U$63=1,($AC48-$T48)/$AD$63+T48,$AC48)</f>
        <v>1.0525</v>
      </c>
      <c r="V48" s="267">
        <f t="shared" ref="V48:AB48" si="61">IF(V$63=1,($AC48-$T48)/$AD$63+U48,$AC48)</f>
        <v>1.0349999999999999</v>
      </c>
      <c r="W48" s="267">
        <f t="shared" si="61"/>
        <v>1.0174999999999998</v>
      </c>
      <c r="X48" s="267">
        <f t="shared" si="61"/>
        <v>0.99999999999999978</v>
      </c>
      <c r="Y48" s="267">
        <f t="shared" si="61"/>
        <v>1</v>
      </c>
      <c r="Z48" s="267">
        <f t="shared" si="61"/>
        <v>1</v>
      </c>
      <c r="AA48" s="267">
        <f t="shared" si="61"/>
        <v>1</v>
      </c>
      <c r="AB48" s="267">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5" t="str">
        <f t="shared" si="57"/>
        <v>FA</v>
      </c>
      <c r="C49" s="5"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7">
        <v>1.07</v>
      </c>
      <c r="U49" s="267">
        <f t="shared" ref="U49:AB49" si="62">IF(U$63=1,($AC49-$T49)/$AD$63+T49,$AC49)</f>
        <v>1.0525</v>
      </c>
      <c r="V49" s="267">
        <f t="shared" si="62"/>
        <v>1.0349999999999999</v>
      </c>
      <c r="W49" s="267">
        <f t="shared" si="62"/>
        <v>1.0174999999999998</v>
      </c>
      <c r="X49" s="267">
        <f t="shared" si="62"/>
        <v>0.99999999999999978</v>
      </c>
      <c r="Y49" s="267">
        <f t="shared" si="62"/>
        <v>1</v>
      </c>
      <c r="Z49" s="267">
        <f t="shared" si="62"/>
        <v>1</v>
      </c>
      <c r="AA49" s="267">
        <f t="shared" si="62"/>
        <v>1</v>
      </c>
      <c r="AB49" s="267">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5" t="str">
        <f t="shared" si="57"/>
        <v>FA</v>
      </c>
      <c r="C50" s="5"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7">
        <v>1.07</v>
      </c>
      <c r="U50" s="267">
        <f t="shared" ref="U50" si="63">IF(U$63=1,($AC50-$T50)/$AD$63+T50,$AC50)</f>
        <v>1.0525</v>
      </c>
      <c r="V50" s="267">
        <f t="shared" ref="V50" si="64">IF(V$63=1,($AC50-$T50)/$AD$63+U50,$AC50)</f>
        <v>1.0349999999999999</v>
      </c>
      <c r="W50" s="267">
        <f t="shared" ref="W50" si="65">IF(W$63=1,($AC50-$T50)/$AD$63+V50,$AC50)</f>
        <v>1.0174999999999998</v>
      </c>
      <c r="X50" s="267">
        <f t="shared" ref="X50" si="66">IF(X$63=1,($AC50-$T50)/$AD$63+W50,$AC50)</f>
        <v>0.99999999999999978</v>
      </c>
      <c r="Y50" s="267">
        <f t="shared" ref="Y50" si="67">IF(Y$63=1,($AC50-$T50)/$AD$63+X50,$AC50)</f>
        <v>1</v>
      </c>
      <c r="Z50" s="267">
        <f t="shared" ref="Z50" si="68">IF(Z$63=1,($AC50-$T50)/$AD$63+Y50,$AC50)</f>
        <v>1</v>
      </c>
      <c r="AA50" s="267">
        <f t="shared" ref="AA50" si="69">IF(AA$63=1,($AC50-$T50)/$AD$63+Z50,$AC50)</f>
        <v>1</v>
      </c>
      <c r="AB50" s="267">
        <f t="shared" ref="AB50" si="7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5" t="str">
        <f t="shared" si="57"/>
        <v>IS</v>
      </c>
      <c r="C51" s="5"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7">
        <f t="shared" ref="U51:AB51" si="71">IF(U$63=1,($AC51-$T51)/$AD$63+T51,$AC51)</f>
        <v>1</v>
      </c>
      <c r="V51" s="267">
        <f t="shared" si="71"/>
        <v>1</v>
      </c>
      <c r="W51" s="267">
        <f t="shared" si="71"/>
        <v>1</v>
      </c>
      <c r="X51" s="267">
        <f t="shared" si="71"/>
        <v>1</v>
      </c>
      <c r="Y51" s="267">
        <f t="shared" si="71"/>
        <v>1</v>
      </c>
      <c r="Z51" s="267">
        <f t="shared" si="71"/>
        <v>1</v>
      </c>
      <c r="AA51" s="267">
        <f t="shared" si="71"/>
        <v>1</v>
      </c>
      <c r="AB51" s="267">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5" t="str">
        <f t="shared" si="57"/>
        <v>CP</v>
      </c>
      <c r="C52" s="5"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7">
        <v>1.0349999999999999</v>
      </c>
      <c r="U52" s="267">
        <f t="shared" ref="U52:AB52" si="72">IF(U$63=1,($AC52-$T52)/$AD$63+T52,$AC52)</f>
        <v>1.0262499999999999</v>
      </c>
      <c r="V52" s="267">
        <f t="shared" si="72"/>
        <v>1.0174999999999998</v>
      </c>
      <c r="W52" s="267">
        <f t="shared" si="72"/>
        <v>1.0087499999999998</v>
      </c>
      <c r="X52" s="267">
        <f t="shared" si="72"/>
        <v>0.99999999999999978</v>
      </c>
      <c r="Y52" s="267">
        <f t="shared" si="72"/>
        <v>1</v>
      </c>
      <c r="Z52" s="267">
        <f t="shared" si="72"/>
        <v>1</v>
      </c>
      <c r="AA52" s="267">
        <f t="shared" si="72"/>
        <v>1</v>
      </c>
      <c r="AB52" s="267">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5" t="str">
        <f t="shared" si="57"/>
        <v>am</v>
      </c>
      <c r="C53" s="5"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7">
        <v>1.0349999999999999</v>
      </c>
      <c r="U53" s="267">
        <f t="shared" ref="U53" si="73">IF(U$63=1,($AC53-$T53)/$AD$63+T53,$AC53)</f>
        <v>1.0262499999999999</v>
      </c>
      <c r="V53" s="267">
        <f t="shared" ref="V53" si="74">IF(V$63=1,($AC53-$T53)/$AD$63+U53,$AC53)</f>
        <v>1.0174999999999998</v>
      </c>
      <c r="W53" s="267">
        <f t="shared" ref="W53" si="75">IF(W$63=1,($AC53-$T53)/$AD$63+V53,$AC53)</f>
        <v>1.0087499999999998</v>
      </c>
      <c r="X53" s="267">
        <f t="shared" ref="X53" si="76">IF(X$63=1,($AC53-$T53)/$AD$63+W53,$AC53)</f>
        <v>0.99999999999999978</v>
      </c>
      <c r="Y53" s="267">
        <f t="shared" ref="Y53" si="77">IF(Y$63=1,($AC53-$T53)/$AD$63+X53,$AC53)</f>
        <v>1</v>
      </c>
      <c r="Z53" s="267">
        <f t="shared" ref="Z53" si="78">IF(Z$63=1,($AC53-$T53)/$AD$63+Y53,$AC53)</f>
        <v>1</v>
      </c>
      <c r="AA53" s="267">
        <f t="shared" ref="AA53" si="79">IF(AA$63=1,($AC53-$T53)/$AD$63+Z53,$AC53)</f>
        <v>1</v>
      </c>
      <c r="AB53" s="267">
        <f t="shared" ref="AB53" si="80">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5" t="str">
        <f t="shared" ref="B54:C62" si="81">B17</f>
        <v>NF</v>
      </c>
      <c r="C54" s="5"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7">
        <v>1.0349999999999999</v>
      </c>
      <c r="U54" s="267">
        <f t="shared" ref="U54:AB54" si="82">IF(U$63=1,($AC54-$T54)/$AD$63+T54,$AC54)</f>
        <v>1.0262499999999999</v>
      </c>
      <c r="V54" s="267">
        <f t="shared" si="82"/>
        <v>1.0174999999999998</v>
      </c>
      <c r="W54" s="267">
        <f t="shared" si="82"/>
        <v>1.0087499999999998</v>
      </c>
      <c r="X54" s="267">
        <f t="shared" si="82"/>
        <v>0.99999999999999978</v>
      </c>
      <c r="Y54" s="267">
        <f t="shared" si="82"/>
        <v>1</v>
      </c>
      <c r="Z54" s="267">
        <f t="shared" si="82"/>
        <v>1</v>
      </c>
      <c r="AA54" s="267">
        <f t="shared" si="82"/>
        <v>1</v>
      </c>
      <c r="AB54" s="267">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5" t="str">
        <f t="shared" si="81"/>
        <v>NM</v>
      </c>
      <c r="C55" s="5"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7">
        <f t="shared" ref="U55:AB55" si="83">IF(U$63=1,($AC55-$T55)/$AD$63+T55,$AC55)</f>
        <v>1</v>
      </c>
      <c r="V55" s="267">
        <f t="shared" si="83"/>
        <v>1</v>
      </c>
      <c r="W55" s="267">
        <f t="shared" si="83"/>
        <v>1</v>
      </c>
      <c r="X55" s="267">
        <f t="shared" si="83"/>
        <v>1</v>
      </c>
      <c r="Y55" s="267">
        <f t="shared" si="83"/>
        <v>1</v>
      </c>
      <c r="Z55" s="267">
        <f t="shared" si="83"/>
        <v>1</v>
      </c>
      <c r="AA55" s="267">
        <f t="shared" si="83"/>
        <v>1</v>
      </c>
      <c r="AB55" s="267">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5" t="str">
        <f t="shared" si="81"/>
        <v>NM</v>
      </c>
      <c r="C56" s="5"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7">
        <f t="shared" ref="U56:AB56" si="84">IF(U$63=1,($AC56-$T56)/$AD$63+T56,$AC56)</f>
        <v>1</v>
      </c>
      <c r="V56" s="267">
        <f t="shared" si="84"/>
        <v>1</v>
      </c>
      <c r="W56" s="267">
        <f t="shared" si="84"/>
        <v>1</v>
      </c>
      <c r="X56" s="267">
        <f t="shared" si="84"/>
        <v>1</v>
      </c>
      <c r="Y56" s="267">
        <f t="shared" si="84"/>
        <v>1</v>
      </c>
      <c r="Z56" s="267">
        <f t="shared" si="84"/>
        <v>1</v>
      </c>
      <c r="AA56" s="267">
        <f t="shared" si="84"/>
        <v>1</v>
      </c>
      <c r="AB56" s="267">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5" t="str">
        <f t="shared" si="81"/>
        <v>NM</v>
      </c>
      <c r="C57" s="5"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7">
        <f t="shared" ref="U57:AB57" si="85">IF(U$63=1,($AC57-$T57)/$AD$63+T57,$AC57)</f>
        <v>1</v>
      </c>
      <c r="V57" s="267">
        <f t="shared" si="85"/>
        <v>1</v>
      </c>
      <c r="W57" s="267">
        <f t="shared" si="85"/>
        <v>1</v>
      </c>
      <c r="X57" s="267">
        <f t="shared" si="85"/>
        <v>1</v>
      </c>
      <c r="Y57" s="267">
        <f t="shared" si="85"/>
        <v>1</v>
      </c>
      <c r="Z57" s="267">
        <f t="shared" si="85"/>
        <v>1</v>
      </c>
      <c r="AA57" s="267">
        <f t="shared" si="85"/>
        <v>1</v>
      </c>
      <c r="AB57" s="267">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5" t="str">
        <f t="shared" si="81"/>
        <v>NM</v>
      </c>
      <c r="C58" s="5"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7">
        <f t="shared" ref="U58:AB58" si="86">IF(U$63=1,($AC58-$T58)/$AD$63+T58,$AC58)</f>
        <v>1</v>
      </c>
      <c r="V58" s="267">
        <f t="shared" si="86"/>
        <v>1</v>
      </c>
      <c r="W58" s="267">
        <f t="shared" si="86"/>
        <v>1</v>
      </c>
      <c r="X58" s="267">
        <f t="shared" si="86"/>
        <v>1</v>
      </c>
      <c r="Y58" s="267">
        <f t="shared" si="86"/>
        <v>1</v>
      </c>
      <c r="Z58" s="267">
        <f t="shared" si="86"/>
        <v>1</v>
      </c>
      <c r="AA58" s="267">
        <f t="shared" si="86"/>
        <v>1</v>
      </c>
      <c r="AB58" s="267">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5" t="str">
        <f t="shared" si="81"/>
        <v>FB</v>
      </c>
      <c r="C59" s="5"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7">
        <v>1.0349999999999999</v>
      </c>
      <c r="U59" s="267">
        <f t="shared" ref="U59:AB59" si="87">IF(U$63=1,($AC59-$T59)/$AD$63+T59,$AC59)</f>
        <v>1.0262499999999999</v>
      </c>
      <c r="V59" s="267">
        <f t="shared" si="87"/>
        <v>1.0174999999999998</v>
      </c>
      <c r="W59" s="267">
        <f t="shared" si="87"/>
        <v>1.0087499999999998</v>
      </c>
      <c r="X59" s="267">
        <f t="shared" si="87"/>
        <v>0.99999999999999978</v>
      </c>
      <c r="Y59" s="267">
        <f t="shared" si="87"/>
        <v>1</v>
      </c>
      <c r="Z59" s="267">
        <f t="shared" si="87"/>
        <v>1</v>
      </c>
      <c r="AA59" s="267">
        <f t="shared" si="87"/>
        <v>1</v>
      </c>
      <c r="AB59" s="267">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5" t="str">
        <f t="shared" si="81"/>
        <v>PP</v>
      </c>
      <c r="C60" s="5"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7">
        <f t="shared" ref="U60:AB60" si="88">IF(U$63=1,($AC60-$T60)/$AD$63+T60,$AC60)</f>
        <v>1</v>
      </c>
      <c r="V60" s="267">
        <f t="shared" si="88"/>
        <v>1</v>
      </c>
      <c r="W60" s="267">
        <f t="shared" si="88"/>
        <v>1</v>
      </c>
      <c r="X60" s="267">
        <f t="shared" si="88"/>
        <v>1</v>
      </c>
      <c r="Y60" s="267">
        <f t="shared" si="88"/>
        <v>1</v>
      </c>
      <c r="Z60" s="267">
        <f t="shared" si="88"/>
        <v>1</v>
      </c>
      <c r="AA60" s="267">
        <f t="shared" si="88"/>
        <v>1</v>
      </c>
      <c r="AB60" s="267">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5" t="str">
        <f t="shared" si="81"/>
        <v>PP</v>
      </c>
      <c r="C61" s="5"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7">
        <f t="shared" ref="U61:AB61" si="89">IF(U$63=1,($AC61-$T61)/$AD$63+T61,$AC61)</f>
        <v>1</v>
      </c>
      <c r="V61" s="267">
        <f t="shared" si="89"/>
        <v>1</v>
      </c>
      <c r="W61" s="267">
        <f t="shared" si="89"/>
        <v>1</v>
      </c>
      <c r="X61" s="267">
        <f t="shared" si="89"/>
        <v>1</v>
      </c>
      <c r="Y61" s="267">
        <f t="shared" si="89"/>
        <v>1</v>
      </c>
      <c r="Z61" s="267">
        <f t="shared" si="89"/>
        <v>1</v>
      </c>
      <c r="AA61" s="267">
        <f t="shared" si="89"/>
        <v>1</v>
      </c>
      <c r="AB61" s="267">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5" t="str">
        <f t="shared" si="81"/>
        <v>OT</v>
      </c>
      <c r="C62" s="5"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7">
        <f t="shared" ref="U62:AB62" si="90">IF(U$63=1,($AC62-$T62)/$AD$63+T62,$AC62)</f>
        <v>1.0262499999999999</v>
      </c>
      <c r="V62" s="267">
        <f t="shared" si="90"/>
        <v>1.0174999999999998</v>
      </c>
      <c r="W62" s="267">
        <f t="shared" si="90"/>
        <v>1.0087499999999998</v>
      </c>
      <c r="X62" s="267">
        <f t="shared" si="90"/>
        <v>0.99999999999999978</v>
      </c>
      <c r="Y62" s="267">
        <f t="shared" si="90"/>
        <v>1</v>
      </c>
      <c r="Z62" s="267">
        <f t="shared" si="90"/>
        <v>1</v>
      </c>
      <c r="AA62" s="267">
        <f t="shared" si="90"/>
        <v>1</v>
      </c>
      <c r="AB62" s="267">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5"/>
      <c r="U63" s="268">
        <f t="shared" ref="U63:AC63" si="91">IF(U3&lt;=$Y$45,1,0)</f>
        <v>1</v>
      </c>
      <c r="V63" s="268">
        <f t="shared" si="91"/>
        <v>1</v>
      </c>
      <c r="W63" s="268">
        <f t="shared" si="91"/>
        <v>1</v>
      </c>
      <c r="X63" s="268">
        <f t="shared" si="91"/>
        <v>1</v>
      </c>
      <c r="Y63" s="268">
        <f t="shared" si="91"/>
        <v>0</v>
      </c>
      <c r="Z63" s="268">
        <f t="shared" si="91"/>
        <v>0</v>
      </c>
      <c r="AA63" s="268">
        <f t="shared" si="91"/>
        <v>0</v>
      </c>
      <c r="AB63" s="268">
        <f t="shared" si="91"/>
        <v>0</v>
      </c>
      <c r="AC63" s="268">
        <f t="shared" si="91"/>
        <v>0</v>
      </c>
      <c r="AD63" s="268">
        <f>SUM(U63:AC63)</f>
        <v>4</v>
      </c>
    </row>
    <row r="64" spans="1:43" ht="15.75" thickBot="1">
      <c r="A64" t="s">
        <v>16</v>
      </c>
      <c r="B64" s="11" t="s">
        <v>273</v>
      </c>
      <c r="C64" s="11"/>
    </row>
    <row r="65" spans="1:49">
      <c r="A65" t="s">
        <v>16</v>
      </c>
      <c r="B65" s="5" t="s">
        <v>95</v>
      </c>
      <c r="C65" s="5" t="s">
        <v>96</v>
      </c>
    </row>
    <row r="66" spans="1:49">
      <c r="A66" t="s">
        <v>16</v>
      </c>
      <c r="B66" s="5" t="s">
        <v>97</v>
      </c>
      <c r="C66" s="5" t="s">
        <v>98</v>
      </c>
    </row>
    <row r="67" spans="1:49">
      <c r="A67" t="s">
        <v>16</v>
      </c>
      <c r="B67" s="5" t="s">
        <v>99</v>
      </c>
      <c r="C67" s="5" t="s">
        <v>64</v>
      </c>
    </row>
    <row r="68" spans="1:49">
      <c r="A68" t="s">
        <v>16</v>
      </c>
      <c r="B68" s="5" t="s">
        <v>100</v>
      </c>
      <c r="C68" s="5" t="s">
        <v>63</v>
      </c>
    </row>
    <row r="69" spans="1:49">
      <c r="A69" t="s">
        <v>16</v>
      </c>
      <c r="B69" s="5" t="s">
        <v>101</v>
      </c>
      <c r="C69" s="5" t="s">
        <v>102</v>
      </c>
    </row>
    <row r="70" spans="1:49">
      <c r="A70" t="s">
        <v>16</v>
      </c>
      <c r="B70" s="5" t="s">
        <v>103</v>
      </c>
      <c r="C70" s="5" t="s">
        <v>104</v>
      </c>
    </row>
    <row r="71" spans="1:49">
      <c r="A71" t="s">
        <v>16</v>
      </c>
      <c r="B71" s="5" t="s">
        <v>105</v>
      </c>
      <c r="C71" s="5" t="s">
        <v>106</v>
      </c>
    </row>
    <row r="72" spans="1:49">
      <c r="A72" t="s">
        <v>16</v>
      </c>
      <c r="B72" s="5" t="s">
        <v>107</v>
      </c>
      <c r="C72" s="5" t="s">
        <v>108</v>
      </c>
    </row>
    <row r="73" spans="1:49">
      <c r="A73" t="s">
        <v>16</v>
      </c>
      <c r="B73" s="5" t="s">
        <v>29</v>
      </c>
      <c r="C73" s="5" t="s">
        <v>109</v>
      </c>
    </row>
    <row r="74" spans="1:49">
      <c r="A74" t="s">
        <v>16</v>
      </c>
      <c r="B74" s="5" t="s">
        <v>110</v>
      </c>
      <c r="C74" s="5" t="s">
        <v>111</v>
      </c>
    </row>
    <row r="75" spans="1:49">
      <c r="A75" t="s">
        <v>16</v>
      </c>
      <c r="B75" s="5" t="s">
        <v>207</v>
      </c>
      <c r="C75" s="5" t="s">
        <v>206</v>
      </c>
    </row>
    <row r="76" spans="1:49">
      <c r="A76" t="s">
        <v>16</v>
      </c>
      <c r="B76" s="5" t="s">
        <v>112</v>
      </c>
      <c r="C76" s="5" t="s">
        <v>2</v>
      </c>
    </row>
    <row r="77" spans="1:49">
      <c r="A77" t="s">
        <v>16</v>
      </c>
      <c r="B77" s="5"/>
      <c r="C77" s="5"/>
    </row>
    <row r="78" spans="1:49" ht="23.25">
      <c r="A78" t="s">
        <v>16</v>
      </c>
      <c r="B78" s="12" t="s">
        <v>18</v>
      </c>
      <c r="C78" s="12" t="s">
        <v>19</v>
      </c>
      <c r="D78" s="12" t="s">
        <v>20</v>
      </c>
      <c r="E78" s="12" t="s">
        <v>21</v>
      </c>
      <c r="F78" s="12" t="s">
        <v>22</v>
      </c>
      <c r="G78" s="12" t="s">
        <v>23</v>
      </c>
      <c r="H78" s="12"/>
      <c r="I78" s="12" t="s">
        <v>24</v>
      </c>
      <c r="J78" s="13" t="s">
        <v>25</v>
      </c>
      <c r="K78" s="4">
        <f t="shared" ref="K78:AQ78" si="92">K3</f>
        <v>2012</v>
      </c>
      <c r="L78" s="4">
        <f t="shared" si="92"/>
        <v>2013</v>
      </c>
      <c r="M78" s="4">
        <f t="shared" si="92"/>
        <v>2014</v>
      </c>
      <c r="N78" s="4">
        <f t="shared" si="92"/>
        <v>2015</v>
      </c>
      <c r="O78" s="4">
        <f t="shared" si="92"/>
        <v>2016</v>
      </c>
      <c r="P78" s="4">
        <f t="shared" si="92"/>
        <v>2017</v>
      </c>
      <c r="Q78" s="4">
        <f t="shared" si="92"/>
        <v>2018</v>
      </c>
      <c r="R78" s="4">
        <f t="shared" si="92"/>
        <v>2019</v>
      </c>
      <c r="S78" s="4">
        <f t="shared" si="92"/>
        <v>2020</v>
      </c>
      <c r="T78" s="4">
        <f t="shared" si="92"/>
        <v>2021</v>
      </c>
      <c r="U78" s="4">
        <f t="shared" si="92"/>
        <v>2022</v>
      </c>
      <c r="V78" s="4">
        <f t="shared" si="92"/>
        <v>2023</v>
      </c>
      <c r="W78" s="4">
        <f t="shared" si="92"/>
        <v>2024</v>
      </c>
      <c r="X78" s="4">
        <f t="shared" si="92"/>
        <v>2025</v>
      </c>
      <c r="Y78" s="4">
        <f t="shared" si="92"/>
        <v>2026</v>
      </c>
      <c r="Z78" s="4">
        <f t="shared" si="92"/>
        <v>2027</v>
      </c>
      <c r="AA78" s="4">
        <f t="shared" si="92"/>
        <v>2028</v>
      </c>
      <c r="AB78" s="4">
        <f t="shared" si="92"/>
        <v>2029</v>
      </c>
      <c r="AC78" s="4">
        <f t="shared" si="92"/>
        <v>2030</v>
      </c>
      <c r="AD78" s="4">
        <f t="shared" si="92"/>
        <v>2031</v>
      </c>
      <c r="AE78" s="4">
        <f t="shared" si="92"/>
        <v>2032</v>
      </c>
      <c r="AF78" s="4">
        <f t="shared" si="92"/>
        <v>2033</v>
      </c>
      <c r="AG78" s="4">
        <f t="shared" si="92"/>
        <v>2034</v>
      </c>
      <c r="AH78" s="4">
        <f t="shared" si="92"/>
        <v>2035</v>
      </c>
      <c r="AI78" s="4">
        <f t="shared" si="92"/>
        <v>2036</v>
      </c>
      <c r="AJ78" s="4">
        <f t="shared" si="92"/>
        <v>2037</v>
      </c>
      <c r="AK78" s="4">
        <f t="shared" si="92"/>
        <v>2038</v>
      </c>
      <c r="AL78" s="4">
        <f t="shared" si="92"/>
        <v>2039</v>
      </c>
      <c r="AM78" s="4">
        <f t="shared" si="92"/>
        <v>2040</v>
      </c>
      <c r="AN78" s="4">
        <f t="shared" si="92"/>
        <v>2045</v>
      </c>
      <c r="AO78" s="4">
        <f t="shared" si="92"/>
        <v>2050</v>
      </c>
      <c r="AP78" s="4">
        <f t="shared" si="92"/>
        <v>2060</v>
      </c>
      <c r="AQ78" s="4">
        <f t="shared" si="92"/>
        <v>2070</v>
      </c>
      <c r="AR78" s="4"/>
      <c r="AS78" s="4"/>
      <c r="AT78" s="4"/>
      <c r="AU78" s="4"/>
      <c r="AV78" s="4"/>
      <c r="AW78" s="4"/>
    </row>
    <row r="79" spans="1:49" s="4" customFormat="1">
      <c r="A79" s="4" t="s">
        <v>16</v>
      </c>
      <c r="C79" s="3" t="s">
        <v>753</v>
      </c>
      <c r="D79" s="3" t="s">
        <v>754</v>
      </c>
      <c r="K79" s="4">
        <f t="shared" ref="K79:AQ79" si="93">SUMIF($B$10:$B$25,$D79,K$10:K$25)*SUMIF($B$10:$B$25,$D79,K$47:K$62)</f>
        <v>186.51301855651582</v>
      </c>
      <c r="L79" s="4">
        <f t="shared" si="93"/>
        <v>191.72764997425244</v>
      </c>
      <c r="M79" s="4">
        <f t="shared" si="93"/>
        <v>193.25080325111884</v>
      </c>
      <c r="N79" s="4">
        <f t="shared" si="93"/>
        <v>199.99778725841253</v>
      </c>
      <c r="O79" s="4">
        <f t="shared" si="93"/>
        <v>197.80224330122689</v>
      </c>
      <c r="P79" s="4">
        <f t="shared" si="93"/>
        <v>204.56882730948811</v>
      </c>
      <c r="Q79" s="4">
        <f t="shared" si="93"/>
        <v>203.94770491309214</v>
      </c>
      <c r="R79" s="4">
        <f t="shared" si="93"/>
        <v>201.87293671790277</v>
      </c>
      <c r="S79" s="4">
        <f t="shared" si="93"/>
        <v>194.31413122982036</v>
      </c>
      <c r="T79" s="4">
        <f t="shared" si="93"/>
        <v>228.62592302079878</v>
      </c>
      <c r="U79" s="4">
        <f t="shared" si="93"/>
        <v>214.59473876160362</v>
      </c>
      <c r="V79" s="4">
        <f t="shared" si="93"/>
        <v>216.11899053924608</v>
      </c>
      <c r="W79" s="4">
        <f t="shared" si="93"/>
        <v>215.66352799637326</v>
      </c>
      <c r="X79" s="4">
        <f t="shared" si="93"/>
        <v>216.67851582277888</v>
      </c>
      <c r="Y79" s="4">
        <f t="shared" si="93"/>
        <v>221.34834806392647</v>
      </c>
      <c r="Z79" s="4">
        <f t="shared" si="93"/>
        <v>224.96610452076226</v>
      </c>
      <c r="AA79" s="4">
        <f t="shared" si="93"/>
        <v>228.81135199711898</v>
      </c>
      <c r="AB79" s="4">
        <f t="shared" si="93"/>
        <v>234.24493324351351</v>
      </c>
      <c r="AC79" s="4">
        <f t="shared" si="93"/>
        <v>240.73897678656991</v>
      </c>
      <c r="AD79" s="4">
        <f t="shared" si="93"/>
        <v>247.17613196095149</v>
      </c>
      <c r="AE79" s="4">
        <f t="shared" si="93"/>
        <v>254.26471719904274</v>
      </c>
      <c r="AF79" s="4">
        <f t="shared" si="93"/>
        <v>261.53149715632202</v>
      </c>
      <c r="AG79" s="4">
        <f t="shared" si="93"/>
        <v>269.25619808298262</v>
      </c>
      <c r="AH79" s="4">
        <f t="shared" si="93"/>
        <v>278.47018549756882</v>
      </c>
      <c r="AI79" s="4">
        <f t="shared" si="93"/>
        <v>287.13762369041831</v>
      </c>
      <c r="AJ79" s="4">
        <f t="shared" si="93"/>
        <v>295.67557605031135</v>
      </c>
      <c r="AK79" s="4">
        <f t="shared" si="93"/>
        <v>305.01411600921449</v>
      </c>
      <c r="AL79" s="4">
        <f t="shared" si="93"/>
        <v>314.585800763225</v>
      </c>
      <c r="AM79" s="4">
        <f t="shared" si="93"/>
        <v>324.40822098338072</v>
      </c>
      <c r="AN79" s="4">
        <f t="shared" si="93"/>
        <v>381.30554179733844</v>
      </c>
      <c r="AO79" s="4">
        <f t="shared" si="93"/>
        <v>441.66450448736299</v>
      </c>
      <c r="AP79" s="4">
        <f t="shared" si="93"/>
        <v>510.79788897808015</v>
      </c>
      <c r="AQ79" s="4">
        <f t="shared" si="93"/>
        <v>569.90434827745128</v>
      </c>
    </row>
    <row r="80" spans="1:49">
      <c r="A80" s="44" t="str">
        <f>'[4]TS BYDem'!A10</f>
        <v/>
      </c>
      <c r="B80" t="s">
        <v>272</v>
      </c>
      <c r="C80" t="s">
        <v>125</v>
      </c>
      <c r="D80" s="5" t="s">
        <v>320</v>
      </c>
      <c r="E80" t="s">
        <v>125</v>
      </c>
      <c r="F80" t="s">
        <v>125</v>
      </c>
      <c r="G80" t="s">
        <v>125</v>
      </c>
      <c r="I80" t="s">
        <v>125</v>
      </c>
      <c r="J80">
        <v>0</v>
      </c>
      <c r="K80">
        <f>INDEX('[4]TS BYDem'!$J$10:$J$203,MATCH(D80,'[4]TS BYDem'!$D$10:$D$203,0))</f>
        <v>2.1376388478991801</v>
      </c>
      <c r="L80">
        <f t="shared" ref="L80:AA89" si="94">L$79/K$79*K80</f>
        <v>2.1974041060152065</v>
      </c>
      <c r="M80">
        <f t="shared" si="94"/>
        <v>2.2148610730469636</v>
      </c>
      <c r="N80" s="160">
        <f>P80</f>
        <v>1.54836715990045</v>
      </c>
      <c r="O80" s="160">
        <f>P80</f>
        <v>1.54836715990045</v>
      </c>
      <c r="P80" s="282">
        <f>IFERROR(INDEX('BY-DMD'!$I$5:$I$138,MATCH(D80,'BY-DMD'!$H$5:$H$138,0)),"")</f>
        <v>1.54836715990045</v>
      </c>
      <c r="Q80">
        <f t="shared" si="94"/>
        <v>1.5436659278823224</v>
      </c>
      <c r="R80">
        <f t="shared" si="94"/>
        <v>1.5279621523849098</v>
      </c>
      <c r="S80">
        <f t="shared" si="94"/>
        <v>1.4707500818082153</v>
      </c>
      <c r="T80">
        <f t="shared" si="94"/>
        <v>1.7304536363782266</v>
      </c>
      <c r="U80">
        <f t="shared" si="94"/>
        <v>1.6242525831327976</v>
      </c>
      <c r="V80">
        <f t="shared" si="94"/>
        <v>1.6357895383324819</v>
      </c>
      <c r="W80">
        <f t="shared" si="94"/>
        <v>1.6323421741703845</v>
      </c>
      <c r="X80">
        <f t="shared" si="94"/>
        <v>1.6400245461073737</v>
      </c>
      <c r="Y80">
        <f t="shared" si="94"/>
        <v>1.6753701800416103</v>
      </c>
      <c r="Z80">
        <f t="shared" si="94"/>
        <v>1.702752725876943</v>
      </c>
      <c r="AA80">
        <f t="shared" si="94"/>
        <v>1.7318571353433638</v>
      </c>
      <c r="AB80">
        <f t="shared" ref="AB80:AQ89" si="95">AB$79/AA$79*AA80</f>
        <v>1.7729835321322553</v>
      </c>
      <c r="AC80">
        <f t="shared" si="95"/>
        <v>1.8221364939460309</v>
      </c>
      <c r="AD80">
        <f t="shared" si="95"/>
        <v>1.8708588716723142</v>
      </c>
      <c r="AE80">
        <f t="shared" si="95"/>
        <v>1.92451187803291</v>
      </c>
      <c r="AF80">
        <f t="shared" si="95"/>
        <v>1.9795136277718945</v>
      </c>
      <c r="AG80">
        <f t="shared" si="95"/>
        <v>2.03798134933144</v>
      </c>
      <c r="AH80">
        <f t="shared" si="95"/>
        <v>2.1077213762559608</v>
      </c>
      <c r="AI80">
        <f t="shared" si="95"/>
        <v>2.1733246103106372</v>
      </c>
      <c r="AJ80">
        <f t="shared" si="95"/>
        <v>2.2379477751433359</v>
      </c>
      <c r="AK80">
        <f t="shared" si="95"/>
        <v>2.3086305315728297</v>
      </c>
      <c r="AL80">
        <f t="shared" si="95"/>
        <v>2.3810779446657739</v>
      </c>
      <c r="AM80">
        <f t="shared" si="95"/>
        <v>2.455423156982127</v>
      </c>
      <c r="AN80">
        <f t="shared" si="95"/>
        <v>2.8860750025899176</v>
      </c>
      <c r="AO80">
        <f t="shared" si="95"/>
        <v>3.3429277736795227</v>
      </c>
      <c r="AP80">
        <f t="shared" si="95"/>
        <v>3.8661935302762158</v>
      </c>
      <c r="AQ80">
        <f t="shared" si="95"/>
        <v>4.3135661907191594</v>
      </c>
    </row>
    <row r="81" spans="1:43">
      <c r="A81" s="44" t="str">
        <f>'[4]TS BYDem'!A11</f>
        <v/>
      </c>
      <c r="B81" t="s">
        <v>272</v>
      </c>
      <c r="C81" t="s">
        <v>125</v>
      </c>
      <c r="D81" s="5" t="s">
        <v>315</v>
      </c>
      <c r="E81" t="s">
        <v>125</v>
      </c>
      <c r="F81" t="s">
        <v>125</v>
      </c>
      <c r="G81" t="s">
        <v>125</v>
      </c>
      <c r="I81" t="s">
        <v>125</v>
      </c>
      <c r="J81">
        <v>0</v>
      </c>
      <c r="K81">
        <f>INDEX('[4]TS BYDem'!$J$10:$J$203,MATCH(D81,'[4]TS BYDem'!$D$10:$D$203,0))</f>
        <v>0.99318058118269703</v>
      </c>
      <c r="L81">
        <f t="shared" si="94"/>
        <v>1.0209484587400048</v>
      </c>
      <c r="M81">
        <f t="shared" si="94"/>
        <v>1.0290592397914096</v>
      </c>
      <c r="N81" s="160">
        <f t="shared" ref="N81:N88" si="96">P81</f>
        <v>0.71939570019765298</v>
      </c>
      <c r="O81" s="160">
        <f t="shared" ref="O81:O89" si="97">P81</f>
        <v>0.71939570019765298</v>
      </c>
      <c r="P81" s="282">
        <f>IFERROR(INDEX('BY-DMD'!$I$5:$I$138,MATCH(D81,'BY-DMD'!$H$5:$H$138,0)),"")</f>
        <v>0.71939570019765298</v>
      </c>
      <c r="Q81">
        <f t="shared" si="94"/>
        <v>0.71721143396735521</v>
      </c>
      <c r="R81">
        <f t="shared" si="94"/>
        <v>0.70991521323736106</v>
      </c>
      <c r="S81">
        <f t="shared" si="94"/>
        <v>0.68333358670962918</v>
      </c>
      <c r="T81">
        <f t="shared" si="94"/>
        <v>0.80399593690809534</v>
      </c>
      <c r="U81">
        <f t="shared" si="94"/>
        <v>0.75465325964146068</v>
      </c>
      <c r="V81">
        <f t="shared" si="94"/>
        <v>0.7600135102195984</v>
      </c>
      <c r="W81">
        <f t="shared" si="94"/>
        <v>0.75841181068769425</v>
      </c>
      <c r="X81">
        <f t="shared" si="94"/>
        <v>0.76198116134425586</v>
      </c>
      <c r="Y81">
        <f t="shared" si="94"/>
        <v>0.77840329798701757</v>
      </c>
      <c r="Z81">
        <f t="shared" si="94"/>
        <v>0.79112565883563579</v>
      </c>
      <c r="AA81">
        <f t="shared" si="94"/>
        <v>0.80464802456979478</v>
      </c>
      <c r="AB81">
        <f t="shared" si="95"/>
        <v>0.82375599442395608</v>
      </c>
      <c r="AC81">
        <f t="shared" si="95"/>
        <v>0.84659323244900109</v>
      </c>
      <c r="AD81">
        <f t="shared" si="95"/>
        <v>0.86923041434450687</v>
      </c>
      <c r="AE81">
        <f t="shared" si="95"/>
        <v>0.89415844374095277</v>
      </c>
      <c r="AF81">
        <f t="shared" si="95"/>
        <v>0.91971312049353704</v>
      </c>
      <c r="AG81">
        <f t="shared" si="95"/>
        <v>0.94687814218838806</v>
      </c>
      <c r="AH81">
        <f t="shared" si="95"/>
        <v>0.97928045399174257</v>
      </c>
      <c r="AI81">
        <f t="shared" si="95"/>
        <v>1.0097607468578278</v>
      </c>
      <c r="AJ81">
        <f t="shared" si="95"/>
        <v>1.0397856841710142</v>
      </c>
      <c r="AK81">
        <f t="shared" si="95"/>
        <v>1.0726260029083123</v>
      </c>
      <c r="AL81">
        <f t="shared" si="95"/>
        <v>1.1062862088460681</v>
      </c>
      <c r="AM81">
        <f t="shared" si="95"/>
        <v>1.140828162108694</v>
      </c>
      <c r="AN81">
        <f t="shared" si="95"/>
        <v>1.3409157731326495</v>
      </c>
      <c r="AO81">
        <f t="shared" si="95"/>
        <v>1.5531767456311718</v>
      </c>
      <c r="AP81">
        <f t="shared" si="95"/>
        <v>1.796294234238031</v>
      </c>
      <c r="AQ81">
        <f t="shared" si="95"/>
        <v>2.0041505984412931</v>
      </c>
    </row>
    <row r="82" spans="1:43">
      <c r="A82" s="44" t="str">
        <f>'[4]TS BYDem'!A12</f>
        <v/>
      </c>
      <c r="B82" t="s">
        <v>272</v>
      </c>
      <c r="C82" t="s">
        <v>125</v>
      </c>
      <c r="D82" s="5" t="s">
        <v>321</v>
      </c>
      <c r="E82" t="s">
        <v>125</v>
      </c>
      <c r="F82" t="s">
        <v>125</v>
      </c>
      <c r="G82" t="s">
        <v>125</v>
      </c>
      <c r="I82" t="s">
        <v>125</v>
      </c>
      <c r="J82">
        <v>0</v>
      </c>
      <c r="K82">
        <f>INDEX('[4]TS BYDem'!$J$10:$J$203,MATCH(D82,'[4]TS BYDem'!$D$10:$D$203,0))</f>
        <v>1.44290622233195</v>
      </c>
      <c r="L82">
        <f t="shared" si="94"/>
        <v>1.4832477715602679</v>
      </c>
      <c r="M82">
        <f t="shared" si="94"/>
        <v>1.4950312243067037</v>
      </c>
      <c r="N82" s="160">
        <f t="shared" si="96"/>
        <v>1.0451478329328101</v>
      </c>
      <c r="O82" s="160">
        <f t="shared" si="97"/>
        <v>1.0451478329328101</v>
      </c>
      <c r="P82" s="282">
        <f>IFERROR(INDEX('BY-DMD'!$I$5:$I$138,MATCH(D82,'BY-DMD'!$H$5:$H$138,0)),"")</f>
        <v>1.0451478329328101</v>
      </c>
      <c r="Q82">
        <f t="shared" si="94"/>
        <v>1.0419745013205739</v>
      </c>
      <c r="R82">
        <f t="shared" si="94"/>
        <v>1.0313744528598203</v>
      </c>
      <c r="S82">
        <f t="shared" si="94"/>
        <v>0.99275630522055125</v>
      </c>
      <c r="T82">
        <f t="shared" si="94"/>
        <v>1.16805620455531</v>
      </c>
      <c r="U82">
        <f t="shared" si="94"/>
        <v>1.096370493614645</v>
      </c>
      <c r="V82">
        <f t="shared" si="94"/>
        <v>1.104157938374432</v>
      </c>
      <c r="W82">
        <f t="shared" si="94"/>
        <v>1.1018309675650162</v>
      </c>
      <c r="X82">
        <f t="shared" si="94"/>
        <v>1.107016568622484</v>
      </c>
      <c r="Y82">
        <f t="shared" si="94"/>
        <v>1.1308748715280939</v>
      </c>
      <c r="Z82">
        <f t="shared" si="94"/>
        <v>1.1493580899669436</v>
      </c>
      <c r="AA82">
        <f t="shared" si="94"/>
        <v>1.1690035663567777</v>
      </c>
      <c r="AB82">
        <f t="shared" si="95"/>
        <v>1.1967638841892796</v>
      </c>
      <c r="AC82">
        <f t="shared" si="95"/>
        <v>1.2299421334135783</v>
      </c>
      <c r="AD82">
        <f t="shared" si="95"/>
        <v>1.2628297383788198</v>
      </c>
      <c r="AE82">
        <f t="shared" si="95"/>
        <v>1.2990455176722222</v>
      </c>
      <c r="AF82">
        <f t="shared" si="95"/>
        <v>1.336171698746037</v>
      </c>
      <c r="AG82">
        <f t="shared" si="95"/>
        <v>1.3756374107987304</v>
      </c>
      <c r="AH82">
        <f t="shared" si="95"/>
        <v>1.4227119289727823</v>
      </c>
      <c r="AI82">
        <f t="shared" si="95"/>
        <v>1.4669941119596892</v>
      </c>
      <c r="AJ82">
        <f t="shared" si="95"/>
        <v>1.5106147482217609</v>
      </c>
      <c r="AK82">
        <f t="shared" si="95"/>
        <v>1.5583256088116695</v>
      </c>
      <c r="AL82">
        <f t="shared" si="95"/>
        <v>1.6072276126494072</v>
      </c>
      <c r="AM82">
        <f t="shared" si="95"/>
        <v>1.6574106309629457</v>
      </c>
      <c r="AN82">
        <f t="shared" si="95"/>
        <v>1.9481006267482062</v>
      </c>
      <c r="AO82">
        <f t="shared" si="95"/>
        <v>2.2564762472336914</v>
      </c>
      <c r="AP82">
        <f t="shared" si="95"/>
        <v>2.6096806329364615</v>
      </c>
      <c r="AQ82">
        <f t="shared" si="95"/>
        <v>2.9116571787354504</v>
      </c>
    </row>
    <row r="83" spans="1:43">
      <c r="A83" s="44" t="str">
        <f>'[4]TS BYDem'!A13</f>
        <v/>
      </c>
      <c r="B83" t="s">
        <v>272</v>
      </c>
      <c r="C83" t="s">
        <v>125</v>
      </c>
      <c r="D83" s="5" t="s">
        <v>316</v>
      </c>
      <c r="E83" t="s">
        <v>125</v>
      </c>
      <c r="F83" t="s">
        <v>125</v>
      </c>
      <c r="G83" t="s">
        <v>125</v>
      </c>
      <c r="I83" t="s">
        <v>125</v>
      </c>
      <c r="J83">
        <v>0</v>
      </c>
      <c r="K83">
        <f>INDEX('[4]TS BYDem'!$J$10:$J$203,MATCH(D83,'[4]TS BYDem'!$D$10:$D$203,0))</f>
        <v>17.353240259083101</v>
      </c>
      <c r="L83">
        <f t="shared" si="94"/>
        <v>17.838411495680333</v>
      </c>
      <c r="M83">
        <f t="shared" si="94"/>
        <v>17.9801262401493</v>
      </c>
      <c r="N83" s="160">
        <f>P83</f>
        <v>12.569563545045501</v>
      </c>
      <c r="O83" s="160">
        <f t="shared" si="97"/>
        <v>12.569563545045501</v>
      </c>
      <c r="P83" s="282">
        <f>IFERROR(INDEX('BY-DMD'!$I$5:$I$138,MATCH(D83,'BY-DMD'!$H$5:$H$138,0)),"")</f>
        <v>12.569563545045501</v>
      </c>
      <c r="Q83">
        <f t="shared" si="94"/>
        <v>12.531399189637925</v>
      </c>
      <c r="R83">
        <f t="shared" si="94"/>
        <v>12.403916762262918</v>
      </c>
      <c r="S83">
        <f t="shared" si="94"/>
        <v>11.93947216844731</v>
      </c>
      <c r="T83">
        <f t="shared" si="94"/>
        <v>14.047732028629197</v>
      </c>
      <c r="U83">
        <f t="shared" si="94"/>
        <v>13.185597438145498</v>
      </c>
      <c r="V83">
        <f t="shared" si="94"/>
        <v>13.279253836481987</v>
      </c>
      <c r="W83">
        <f t="shared" si="94"/>
        <v>13.251268314688058</v>
      </c>
      <c r="X83">
        <f t="shared" si="94"/>
        <v>13.313633407890416</v>
      </c>
      <c r="Y83">
        <f t="shared" si="94"/>
        <v>13.60056741377883</v>
      </c>
      <c r="Z83">
        <f t="shared" si="94"/>
        <v>13.82285748735832</v>
      </c>
      <c r="AA83">
        <f t="shared" si="94"/>
        <v>14.059125559753189</v>
      </c>
      <c r="AB83">
        <f t="shared" si="95"/>
        <v>14.39298749586527</v>
      </c>
      <c r="AC83">
        <f t="shared" si="95"/>
        <v>14.792008666648284</v>
      </c>
      <c r="AD83">
        <f t="shared" si="95"/>
        <v>15.187534378350671</v>
      </c>
      <c r="AE83">
        <f t="shared" si="95"/>
        <v>15.623086675181609</v>
      </c>
      <c r="AF83">
        <f t="shared" si="95"/>
        <v>16.069588000149846</v>
      </c>
      <c r="AG83">
        <f t="shared" si="95"/>
        <v>16.544225902909282</v>
      </c>
      <c r="AH83">
        <f t="shared" si="95"/>
        <v>17.110371790501802</v>
      </c>
      <c r="AI83">
        <f t="shared" si="95"/>
        <v>17.642935410143387</v>
      </c>
      <c r="AJ83">
        <f t="shared" si="95"/>
        <v>18.167542879148851</v>
      </c>
      <c r="AK83">
        <f t="shared" si="95"/>
        <v>18.74134179550963</v>
      </c>
      <c r="AL83">
        <f t="shared" si="95"/>
        <v>19.329466102282236</v>
      </c>
      <c r="AM83">
        <f t="shared" si="95"/>
        <v>19.93299664379823</v>
      </c>
      <c r="AN83">
        <f t="shared" si="95"/>
        <v>23.429005781260351</v>
      </c>
      <c r="AO83">
        <f t="shared" si="95"/>
        <v>27.137712660131456</v>
      </c>
      <c r="AP83">
        <f t="shared" si="95"/>
        <v>31.385556678543288</v>
      </c>
      <c r="AQ83">
        <f t="shared" si="95"/>
        <v>35.017304515480866</v>
      </c>
    </row>
    <row r="84" spans="1:43">
      <c r="A84" s="44" t="str">
        <f>'[4]TS BYDem'!A14</f>
        <v/>
      </c>
      <c r="B84" t="s">
        <v>272</v>
      </c>
      <c r="C84" t="s">
        <v>125</v>
      </c>
      <c r="D84" s="5" t="s">
        <v>319</v>
      </c>
      <c r="E84" t="s">
        <v>125</v>
      </c>
      <c r="F84" t="s">
        <v>125</v>
      </c>
      <c r="G84" t="s">
        <v>125</v>
      </c>
      <c r="I84" t="s">
        <v>125</v>
      </c>
      <c r="J84">
        <v>0</v>
      </c>
      <c r="K84">
        <f>INDEX('[4]TS BYDem'!$J$10:$J$203,MATCH(D84,'[4]TS BYDem'!$D$10:$D$203,0))</f>
        <v>7.6954998524370497</v>
      </c>
      <c r="L84">
        <f t="shared" si="94"/>
        <v>7.9106547816547454</v>
      </c>
      <c r="M84">
        <f t="shared" si="94"/>
        <v>7.9734998629690699</v>
      </c>
      <c r="N84" s="160">
        <f t="shared" si="96"/>
        <v>5.5741217756416299</v>
      </c>
      <c r="O84" s="160">
        <f t="shared" si="97"/>
        <v>5.5741217756416299</v>
      </c>
      <c r="P84" s="282">
        <f>IFERROR(INDEX('BY-DMD'!$I$5:$I$138,MATCH(D84,'BY-DMD'!$H$5:$H$138,0)),"")</f>
        <v>5.5741217756416299</v>
      </c>
      <c r="Q84">
        <f t="shared" si="94"/>
        <v>5.5571973403763701</v>
      </c>
      <c r="R84">
        <f t="shared" si="94"/>
        <v>5.5006637485856853</v>
      </c>
      <c r="S84">
        <f t="shared" si="94"/>
        <v>5.2947002945095845</v>
      </c>
      <c r="T84">
        <f t="shared" si="94"/>
        <v>6.2296330909616264</v>
      </c>
      <c r="U84">
        <f t="shared" si="94"/>
        <v>5.8473092992780815</v>
      </c>
      <c r="V84">
        <f t="shared" si="94"/>
        <v>5.8888423379969446</v>
      </c>
      <c r="W84">
        <f t="shared" si="94"/>
        <v>5.8764318270133939</v>
      </c>
      <c r="X84">
        <f t="shared" si="94"/>
        <v>5.9040883659865555</v>
      </c>
      <c r="Y84">
        <f t="shared" si="94"/>
        <v>6.0313326481498075</v>
      </c>
      <c r="Z84">
        <f t="shared" si="94"/>
        <v>6.1299098131570062</v>
      </c>
      <c r="AA84">
        <f t="shared" si="94"/>
        <v>6.2346856872361212</v>
      </c>
      <c r="AB84">
        <f t="shared" si="95"/>
        <v>6.3827407156761309</v>
      </c>
      <c r="AC84">
        <f t="shared" si="95"/>
        <v>6.5596913782057236</v>
      </c>
      <c r="AD84">
        <f t="shared" si="95"/>
        <v>6.7350919380203438</v>
      </c>
      <c r="AE84">
        <f t="shared" si="95"/>
        <v>6.9282427609184891</v>
      </c>
      <c r="AF84">
        <f t="shared" si="95"/>
        <v>7.126249059978834</v>
      </c>
      <c r="AG84">
        <f t="shared" si="95"/>
        <v>7.3367328575931978</v>
      </c>
      <c r="AH84">
        <f t="shared" si="95"/>
        <v>7.5877969545214734</v>
      </c>
      <c r="AI84">
        <f t="shared" si="95"/>
        <v>7.8239685971183093</v>
      </c>
      <c r="AJ84">
        <f t="shared" si="95"/>
        <v>8.0566119905160249</v>
      </c>
      <c r="AK84">
        <f t="shared" si="95"/>
        <v>8.3110699136622035</v>
      </c>
      <c r="AL84">
        <f t="shared" si="95"/>
        <v>8.5718806007968027</v>
      </c>
      <c r="AM84">
        <f t="shared" si="95"/>
        <v>8.8395233651356744</v>
      </c>
      <c r="AN84">
        <f t="shared" si="95"/>
        <v>10.389870009323724</v>
      </c>
      <c r="AO84">
        <f t="shared" si="95"/>
        <v>12.034539985246306</v>
      </c>
      <c r="AP84">
        <f t="shared" si="95"/>
        <v>13.918296708994406</v>
      </c>
      <c r="AQ84">
        <f t="shared" si="95"/>
        <v>15.528838286589007</v>
      </c>
    </row>
    <row r="85" spans="1:43">
      <c r="A85" s="44" t="str">
        <f>'[4]TS BYDem'!A15</f>
        <v/>
      </c>
      <c r="B85" t="s">
        <v>272</v>
      </c>
      <c r="C85" t="s">
        <v>125</v>
      </c>
      <c r="D85" s="5" t="s">
        <v>323</v>
      </c>
      <c r="E85" t="s">
        <v>125</v>
      </c>
      <c r="F85" t="s">
        <v>125</v>
      </c>
      <c r="G85" t="s">
        <v>125</v>
      </c>
      <c r="I85" t="s">
        <v>125</v>
      </c>
      <c r="J85">
        <v>0</v>
      </c>
      <c r="K85">
        <f>INDEX('[4]TS BYDem'!$J$10:$J$203,MATCH(D85,'[4]TS BYDem'!$D$10:$D$203,0))</f>
        <v>15.2945172722485</v>
      </c>
      <c r="L85">
        <f t="shared" si="94"/>
        <v>15.722129622872785</v>
      </c>
      <c r="M85">
        <f t="shared" si="94"/>
        <v>15.847031864451466</v>
      </c>
      <c r="N85" s="160">
        <f t="shared" si="96"/>
        <v>11.078357924751099</v>
      </c>
      <c r="O85" s="160">
        <f t="shared" si="97"/>
        <v>11.078357924751099</v>
      </c>
      <c r="P85" s="282">
        <f>IFERROR(INDEX('BY-DMD'!$I$5:$I$138,MATCH(D85,'BY-DMD'!$H$5:$H$138,0)),"")</f>
        <v>11.078357924751099</v>
      </c>
      <c r="Q85">
        <f t="shared" si="94"/>
        <v>11.044721244554738</v>
      </c>
      <c r="R85">
        <f t="shared" si="94"/>
        <v>10.932362851638773</v>
      </c>
      <c r="S85">
        <f t="shared" si="94"/>
        <v>10.523018213054799</v>
      </c>
      <c r="T85">
        <f t="shared" si="94"/>
        <v>12.381162073482381</v>
      </c>
      <c r="U85">
        <f t="shared" si="94"/>
        <v>11.621307879781931</v>
      </c>
      <c r="V85">
        <f t="shared" si="94"/>
        <v>11.703853236189603</v>
      </c>
      <c r="W85">
        <f t="shared" si="94"/>
        <v>11.679187811170431</v>
      </c>
      <c r="X85">
        <f t="shared" si="94"/>
        <v>11.734154144888398</v>
      </c>
      <c r="Y85">
        <f t="shared" si="94"/>
        <v>11.987047382320453</v>
      </c>
      <c r="Z85">
        <f t="shared" si="94"/>
        <v>12.182965799806279</v>
      </c>
      <c r="AA85">
        <f t="shared" si="94"/>
        <v>12.391203919037801</v>
      </c>
      <c r="AB85">
        <f t="shared" si="95"/>
        <v>12.685457734012777</v>
      </c>
      <c r="AC85">
        <f t="shared" si="95"/>
        <v>13.03714053776692</v>
      </c>
      <c r="AD85">
        <f t="shared" si="95"/>
        <v>13.3857425705247</v>
      </c>
      <c r="AE85">
        <f t="shared" si="95"/>
        <v>13.769622585288021</v>
      </c>
      <c r="AF85">
        <f t="shared" si="95"/>
        <v>14.163152676778228</v>
      </c>
      <c r="AG85">
        <f t="shared" si="95"/>
        <v>14.581481328570982</v>
      </c>
      <c r="AH85">
        <f t="shared" si="95"/>
        <v>15.080461802944576</v>
      </c>
      <c r="AI85">
        <f t="shared" si="95"/>
        <v>15.549844083001235</v>
      </c>
      <c r="AJ85">
        <f t="shared" si="95"/>
        <v>16.012214100131313</v>
      </c>
      <c r="AK85">
        <f t="shared" si="95"/>
        <v>16.517939676798981</v>
      </c>
      <c r="AL85">
        <f t="shared" si="95"/>
        <v>17.036291133579773</v>
      </c>
      <c r="AM85">
        <f t="shared" si="95"/>
        <v>17.568221087509517</v>
      </c>
      <c r="AN85">
        <f t="shared" si="95"/>
        <v>20.649476884038098</v>
      </c>
      <c r="AO85">
        <f t="shared" si="95"/>
        <v>23.918196763998886</v>
      </c>
      <c r="AP85">
        <f t="shared" si="95"/>
        <v>27.662092586302787</v>
      </c>
      <c r="AQ85">
        <f t="shared" si="95"/>
        <v>30.86298355485944</v>
      </c>
    </row>
    <row r="86" spans="1:43">
      <c r="A86" s="44" t="str">
        <f>'[4]TS BYDem'!A16</f>
        <v/>
      </c>
      <c r="B86" t="s">
        <v>272</v>
      </c>
      <c r="C86" t="s">
        <v>125</v>
      </c>
      <c r="D86" s="5" t="s">
        <v>318</v>
      </c>
      <c r="E86" t="s">
        <v>125</v>
      </c>
      <c r="F86" t="s">
        <v>125</v>
      </c>
      <c r="G86" t="s">
        <v>125</v>
      </c>
      <c r="I86" t="s">
        <v>125</v>
      </c>
      <c r="J86">
        <v>0</v>
      </c>
      <c r="K86">
        <f>INDEX('[4]TS BYDem'!$J$10:$J$203,MATCH(D86,'[4]TS BYDem'!$D$10:$D$203,0))</f>
        <v>5.8889063414920697</v>
      </c>
      <c r="L86">
        <f t="shared" si="94"/>
        <v>6.0535515564058375</v>
      </c>
      <c r="M86">
        <f t="shared" si="94"/>
        <v>6.1016431430447886</v>
      </c>
      <c r="N86" s="160">
        <f t="shared" si="96"/>
        <v>4.2655424211891404</v>
      </c>
      <c r="O86" s="160">
        <f t="shared" si="97"/>
        <v>4.2655424211891404</v>
      </c>
      <c r="P86" s="282">
        <f>IFERROR(INDEX('BY-DMD'!$I$5:$I$138,MATCH(D86,'BY-DMD'!$H$5:$H$138,0)),"")</f>
        <v>4.2655424211891404</v>
      </c>
      <c r="Q86">
        <f t="shared" si="94"/>
        <v>4.2525911618725418</v>
      </c>
      <c r="R86">
        <f t="shared" si="94"/>
        <v>4.2093293811451913</v>
      </c>
      <c r="S86">
        <f t="shared" si="94"/>
        <v>4.0517178530986726</v>
      </c>
      <c r="T86">
        <f t="shared" si="94"/>
        <v>4.7671660734182089</v>
      </c>
      <c r="U86">
        <f t="shared" si="94"/>
        <v>4.4745965139976454</v>
      </c>
      <c r="V86">
        <f t="shared" si="94"/>
        <v>4.5063792675267083</v>
      </c>
      <c r="W86">
        <f t="shared" si="94"/>
        <v>4.4968822448207639</v>
      </c>
      <c r="X86">
        <f t="shared" si="94"/>
        <v>4.5180461420159794</v>
      </c>
      <c r="Y86">
        <f t="shared" si="94"/>
        <v>4.6154185901373941</v>
      </c>
      <c r="Z86">
        <f t="shared" si="94"/>
        <v>4.6908538059477562</v>
      </c>
      <c r="AA86">
        <f t="shared" si="94"/>
        <v>4.7710325235270279</v>
      </c>
      <c r="AB86">
        <f t="shared" si="95"/>
        <v>4.8843301926308813</v>
      </c>
      <c r="AC86">
        <f t="shared" si="95"/>
        <v>5.0197399644044118</v>
      </c>
      <c r="AD86">
        <f t="shared" si="95"/>
        <v>5.1539635351665458</v>
      </c>
      <c r="AE86">
        <f t="shared" si="95"/>
        <v>5.3017703219432466</v>
      </c>
      <c r="AF86">
        <f t="shared" si="95"/>
        <v>5.4532927145819228</v>
      </c>
      <c r="AG86">
        <f t="shared" si="95"/>
        <v>5.6143633915126774</v>
      </c>
      <c r="AH86">
        <f t="shared" si="95"/>
        <v>5.8064877474183803</v>
      </c>
      <c r="AI86">
        <f t="shared" si="95"/>
        <v>5.9872157976344633</v>
      </c>
      <c r="AJ86">
        <f t="shared" si="95"/>
        <v>6.1652438895006698</v>
      </c>
      <c r="AK86">
        <f t="shared" si="95"/>
        <v>6.3599653378785668</v>
      </c>
      <c r="AL86">
        <f t="shared" si="95"/>
        <v>6.5595481770504049</v>
      </c>
      <c r="AM86">
        <f t="shared" si="95"/>
        <v>6.7643591967881953</v>
      </c>
      <c r="AN86">
        <f t="shared" si="95"/>
        <v>7.9507468726425019</v>
      </c>
      <c r="AO86">
        <f t="shared" si="95"/>
        <v>9.2093145598090356</v>
      </c>
      <c r="AP86">
        <f t="shared" si="95"/>
        <v>10.650841053087497</v>
      </c>
      <c r="AQ86">
        <f t="shared" si="95"/>
        <v>11.883292315695206</v>
      </c>
    </row>
    <row r="87" spans="1:43">
      <c r="A87" s="44" t="str">
        <f>'[4]TS BYDem'!A17</f>
        <v/>
      </c>
      <c r="B87" t="s">
        <v>272</v>
      </c>
      <c r="C87" t="s">
        <v>125</v>
      </c>
      <c r="D87" s="5" t="s">
        <v>322</v>
      </c>
      <c r="E87" t="s">
        <v>125</v>
      </c>
      <c r="F87" t="s">
        <v>125</v>
      </c>
      <c r="G87" t="s">
        <v>125</v>
      </c>
      <c r="I87" t="s">
        <v>125</v>
      </c>
      <c r="J87">
        <v>0</v>
      </c>
      <c r="K87">
        <f>INDEX('[4]TS BYDem'!$J$10:$J$203,MATCH(D87,'[4]TS BYDem'!$D$10:$D$203,0))</f>
        <v>28.894976807848298</v>
      </c>
      <c r="L87">
        <f t="shared" si="94"/>
        <v>29.702838130575859</v>
      </c>
      <c r="M87">
        <f t="shared" si="94"/>
        <v>29.938808139267326</v>
      </c>
      <c r="N87" s="160">
        <f t="shared" si="96"/>
        <v>20.9296501227637</v>
      </c>
      <c r="O87" s="160">
        <f t="shared" si="97"/>
        <v>20.9296501227637</v>
      </c>
      <c r="P87" s="282">
        <f>IFERROR(INDEX('BY-DMD'!$I$5:$I$138,MATCH(D87,'BY-DMD'!$H$5:$H$138,0)),"")</f>
        <v>20.9296501227637</v>
      </c>
      <c r="Q87">
        <f t="shared" si="94"/>
        <v>20.866102442450156</v>
      </c>
      <c r="R87">
        <f t="shared" si="94"/>
        <v>20.653830744057636</v>
      </c>
      <c r="S87">
        <f t="shared" si="94"/>
        <v>19.880481469428183</v>
      </c>
      <c r="T87">
        <f t="shared" si="94"/>
        <v>23.3909566807068</v>
      </c>
      <c r="U87">
        <f t="shared" si="94"/>
        <v>21.955411582192351</v>
      </c>
      <c r="V87">
        <f t="shared" si="94"/>
        <v>22.111359371621646</v>
      </c>
      <c r="W87">
        <f t="shared" si="94"/>
        <v>22.064760523733984</v>
      </c>
      <c r="X87">
        <f t="shared" si="94"/>
        <v>22.168604987061702</v>
      </c>
      <c r="Y87">
        <f t="shared" si="94"/>
        <v>22.646380395097623</v>
      </c>
      <c r="Z87">
        <f t="shared" si="94"/>
        <v>23.016516832143282</v>
      </c>
      <c r="AA87">
        <f t="shared" si="94"/>
        <v>23.409928112708677</v>
      </c>
      <c r="AB87">
        <f t="shared" si="95"/>
        <v>23.96584347819395</v>
      </c>
      <c r="AC87">
        <f t="shared" si="95"/>
        <v>24.63025584749661</v>
      </c>
      <c r="AD87">
        <f t="shared" si="95"/>
        <v>25.288847908455722</v>
      </c>
      <c r="AE87">
        <f t="shared" si="95"/>
        <v>26.014088458787391</v>
      </c>
      <c r="AF87">
        <f t="shared" si="95"/>
        <v>26.757560296727153</v>
      </c>
      <c r="AG87">
        <f t="shared" si="95"/>
        <v>27.547882506735231</v>
      </c>
      <c r="AH87">
        <f t="shared" si="95"/>
        <v>28.490575170906816</v>
      </c>
      <c r="AI87">
        <f t="shared" si="95"/>
        <v>29.377349814056981</v>
      </c>
      <c r="AJ87">
        <f t="shared" si="95"/>
        <v>30.250876626561212</v>
      </c>
      <c r="AK87">
        <f t="shared" si="95"/>
        <v>31.206312391471744</v>
      </c>
      <c r="AL87">
        <f t="shared" si="95"/>
        <v>32.185601443580119</v>
      </c>
      <c r="AM87">
        <f t="shared" si="95"/>
        <v>33.190543502790348</v>
      </c>
      <c r="AN87">
        <f t="shared" si="95"/>
        <v>39.011767749029865</v>
      </c>
      <c r="AO87">
        <f t="shared" si="95"/>
        <v>45.187156186702005</v>
      </c>
      <c r="AP87">
        <f t="shared" si="95"/>
        <v>52.260264872045184</v>
      </c>
      <c r="AQ87">
        <f t="shared" si="95"/>
        <v>58.307508381241533</v>
      </c>
    </row>
    <row r="88" spans="1:43">
      <c r="A88" s="44" t="str">
        <f>'[4]TS BYDem'!A18</f>
        <v/>
      </c>
      <c r="B88" t="s">
        <v>272</v>
      </c>
      <c r="C88" t="s">
        <v>125</v>
      </c>
      <c r="D88" s="5" t="s">
        <v>317</v>
      </c>
      <c r="E88" t="s">
        <v>125</v>
      </c>
      <c r="F88" t="s">
        <v>125</v>
      </c>
      <c r="G88" t="s">
        <v>125</v>
      </c>
      <c r="I88" t="s">
        <v>125</v>
      </c>
      <c r="J88">
        <v>0</v>
      </c>
      <c r="K88">
        <f>INDEX('[4]TS BYDem'!$J$10:$J$203,MATCH(D88,'[4]TS BYDem'!$D$10:$D$203,0))</f>
        <v>0.18682963530638799</v>
      </c>
      <c r="L88">
        <f t="shared" si="94"/>
        <v>0.19205311886572871</v>
      </c>
      <c r="M88">
        <f t="shared" si="94"/>
        <v>0.19357885778430425</v>
      </c>
      <c r="N88" s="160">
        <f t="shared" si="96"/>
        <v>0.13532728977530001</v>
      </c>
      <c r="O88" s="160">
        <f t="shared" si="97"/>
        <v>0.13532728977530001</v>
      </c>
      <c r="P88" s="282">
        <f>IFERROR(INDEX('BY-DMD'!$I$5:$I$138,MATCH(D88,'BY-DMD'!$H$5:$H$138,0)),"")</f>
        <v>0.13532728977530001</v>
      </c>
      <c r="Q88">
        <f t="shared" si="94"/>
        <v>0.13491640209691566</v>
      </c>
      <c r="R88">
        <f t="shared" si="94"/>
        <v>0.13354389211844181</v>
      </c>
      <c r="S88">
        <f t="shared" si="94"/>
        <v>0.12854355715003868</v>
      </c>
      <c r="T88">
        <f t="shared" si="94"/>
        <v>0.15124164781945779</v>
      </c>
      <c r="U88">
        <f t="shared" si="94"/>
        <v>0.14195967576580723</v>
      </c>
      <c r="V88">
        <f t="shared" si="94"/>
        <v>0.14296800565025963</v>
      </c>
      <c r="W88">
        <f t="shared" si="94"/>
        <v>0.14266670602249232</v>
      </c>
      <c r="X88">
        <f t="shared" si="94"/>
        <v>0.14333814532978517</v>
      </c>
      <c r="Y88">
        <f t="shared" si="94"/>
        <v>0.14642735373563745</v>
      </c>
      <c r="Z88">
        <f t="shared" si="94"/>
        <v>0.14882058824164554</v>
      </c>
      <c r="AA88">
        <f t="shared" si="94"/>
        <v>0.15136431362901073</v>
      </c>
      <c r="AB88">
        <f t="shared" si="95"/>
        <v>0.15495876070835987</v>
      </c>
      <c r="AC88">
        <f t="shared" si="95"/>
        <v>0.15925472957088388</v>
      </c>
      <c r="AD88">
        <f t="shared" si="95"/>
        <v>0.16351306538416108</v>
      </c>
      <c r="AE88">
        <f t="shared" si="95"/>
        <v>0.16820233814007718</v>
      </c>
      <c r="AF88">
        <f t="shared" si="95"/>
        <v>0.17300949106726446</v>
      </c>
      <c r="AG88">
        <f t="shared" si="95"/>
        <v>0.17811956993156874</v>
      </c>
      <c r="AH88">
        <f t="shared" si="95"/>
        <v>0.18421484828477189</v>
      </c>
      <c r="AI88">
        <f t="shared" si="95"/>
        <v>0.18994857094115064</v>
      </c>
      <c r="AJ88">
        <f t="shared" si="95"/>
        <v>0.19559663554752851</v>
      </c>
      <c r="AK88">
        <f t="shared" si="95"/>
        <v>0.20177430845946631</v>
      </c>
      <c r="AL88">
        <f t="shared" si="95"/>
        <v>0.20810621236378968</v>
      </c>
      <c r="AM88">
        <f t="shared" si="95"/>
        <v>0.21460398392023897</v>
      </c>
      <c r="AN88">
        <f t="shared" si="95"/>
        <v>0.25224295522636009</v>
      </c>
      <c r="AO88">
        <f t="shared" si="95"/>
        <v>0.29217188741959177</v>
      </c>
      <c r="AP88">
        <f t="shared" si="95"/>
        <v>0.33790531454614298</v>
      </c>
      <c r="AQ88">
        <f t="shared" si="95"/>
        <v>0.37700568506885646</v>
      </c>
    </row>
    <row r="89" spans="1:43">
      <c r="A89" s="44" t="str">
        <f>'[4]TS BYDem'!A20</f>
        <v/>
      </c>
      <c r="B89" t="s">
        <v>272</v>
      </c>
      <c r="C89" t="s">
        <v>125</v>
      </c>
      <c r="D89" s="5" t="s">
        <v>325</v>
      </c>
      <c r="E89" t="s">
        <v>125</v>
      </c>
      <c r="F89" t="s">
        <v>125</v>
      </c>
      <c r="G89" t="s">
        <v>125</v>
      </c>
      <c r="I89" t="s">
        <v>125</v>
      </c>
      <c r="J89">
        <v>0</v>
      </c>
      <c r="K89">
        <f>INDEX('[4]TS BYDem'!$J$10:$J$203,MATCH(D89,'[4]TS BYDem'!$D$10:$D$203,0))</f>
        <v>20.275122960000001</v>
      </c>
      <c r="L89">
        <f t="shared" si="94"/>
        <v>20.841985766703505</v>
      </c>
      <c r="M89">
        <f t="shared" si="94"/>
        <v>21.007561983390147</v>
      </c>
      <c r="N89" s="160">
        <f t="shared" ref="N89" si="98">P89</f>
        <v>25.233177191199999</v>
      </c>
      <c r="O89" s="160">
        <f t="shared" si="97"/>
        <v>25.233177191199999</v>
      </c>
      <c r="P89" s="282">
        <f>IFERROR(INDEX('BY-DMD'!$I$5:$I$138,MATCH(D89,'BY-DMD'!$H$5:$H$138,0)),"")</f>
        <v>25.233177191199999</v>
      </c>
      <c r="Q89">
        <f t="shared" si="94"/>
        <v>25.156562920629973</v>
      </c>
      <c r="R89">
        <f t="shared" si="94"/>
        <v>24.900644195433998</v>
      </c>
      <c r="S89">
        <f t="shared" si="94"/>
        <v>23.968279862396869</v>
      </c>
      <c r="T89">
        <f t="shared" si="94"/>
        <v>28.200574359052879</v>
      </c>
      <c r="U89">
        <f t="shared" si="94"/>
        <v>26.469854369740869</v>
      </c>
      <c r="V89">
        <f t="shared" si="94"/>
        <v>26.657867938059692</v>
      </c>
      <c r="W89">
        <f t="shared" si="94"/>
        <v>26.60168749649673</v>
      </c>
      <c r="X89">
        <f t="shared" si="94"/>
        <v>26.726884321484427</v>
      </c>
      <c r="Y89">
        <f t="shared" si="94"/>
        <v>27.302899279109351</v>
      </c>
      <c r="Z89">
        <f t="shared" si="94"/>
        <v>27.749142682420445</v>
      </c>
      <c r="AA89">
        <f t="shared" si="94"/>
        <v>28.223446671894525</v>
      </c>
      <c r="AB89">
        <f t="shared" si="95"/>
        <v>28.893668622014172</v>
      </c>
      <c r="AC89">
        <f t="shared" si="95"/>
        <v>29.694696586853613</v>
      </c>
      <c r="AD89">
        <f t="shared" si="95"/>
        <v>30.488707479220334</v>
      </c>
      <c r="AE89">
        <f t="shared" si="95"/>
        <v>31.36307103548727</v>
      </c>
      <c r="AF89">
        <f t="shared" si="95"/>
        <v>32.259414572687497</v>
      </c>
      <c r="AG89">
        <f t="shared" si="95"/>
        <v>33.2122417937018</v>
      </c>
      <c r="AH89">
        <f t="shared" si="95"/>
        <v>34.348769680807486</v>
      </c>
      <c r="AI89">
        <f t="shared" si="95"/>
        <v>35.417881757121378</v>
      </c>
      <c r="AJ89">
        <f t="shared" si="95"/>
        <v>36.471022001315426</v>
      </c>
      <c r="AK89">
        <f t="shared" si="95"/>
        <v>37.622913208735845</v>
      </c>
      <c r="AL89">
        <f t="shared" si="95"/>
        <v>38.803562384823934</v>
      </c>
      <c r="AM89">
        <f t="shared" si="95"/>
        <v>40.015139305517948</v>
      </c>
      <c r="AN89">
        <f t="shared" si="95"/>
        <v>47.033316007636422</v>
      </c>
      <c r="AO89">
        <f t="shared" si="95"/>
        <v>54.478479675364881</v>
      </c>
      <c r="AP89">
        <f t="shared" si="95"/>
        <v>63.005951644701014</v>
      </c>
      <c r="AQ89">
        <f t="shared" si="95"/>
        <v>70.296621392683221</v>
      </c>
    </row>
    <row r="90" spans="1:43">
      <c r="A90" s="44" t="str">
        <f>'[4]TS BYDem'!A27</f>
        <v/>
      </c>
      <c r="B90" t="s">
        <v>272</v>
      </c>
      <c r="C90" t="s">
        <v>125</v>
      </c>
      <c r="D90" s="5" t="s">
        <v>324</v>
      </c>
      <c r="E90" t="s">
        <v>125</v>
      </c>
      <c r="F90" t="s">
        <v>125</v>
      </c>
      <c r="G90" t="s">
        <v>125</v>
      </c>
      <c r="I90" t="s">
        <v>125</v>
      </c>
      <c r="J90">
        <v>0</v>
      </c>
      <c r="K90">
        <f>INDEX('[4]TS BYDem'!$J$10:$J$203,MATCH(D90,'[4]TS BYDem'!$D$10:$D$203,0))</f>
        <v>51.4885232177635</v>
      </c>
      <c r="L90">
        <f t="shared" ref="L90:AA90" si="99">L$79/K$79*K90</f>
        <v>52.928067078573704</v>
      </c>
      <c r="M90">
        <f t="shared" si="99"/>
        <v>53.348546643309206</v>
      </c>
      <c r="N90" s="160">
        <f t="shared" ref="N90" si="100">P90</f>
        <v>25.406351025250501</v>
      </c>
      <c r="O90" s="160">
        <f t="shared" ref="O90" si="101">P90</f>
        <v>25.406351025250501</v>
      </c>
      <c r="P90" s="282">
        <f>IFERROR(INDEX('BY-DMD'!$I$5:$I$138,MATCH(D90,'BY-DMD'!$H$5:$H$138,0)),"")</f>
        <v>25.406351025250501</v>
      </c>
      <c r="Q90">
        <f t="shared" si="99"/>
        <v>25.329210955377555</v>
      </c>
      <c r="R90">
        <f t="shared" si="99"/>
        <v>25.071535874788374</v>
      </c>
      <c r="S90">
        <f t="shared" si="99"/>
        <v>24.132772779317943</v>
      </c>
      <c r="T90">
        <f t="shared" si="99"/>
        <v>28.394113268052685</v>
      </c>
      <c r="U90">
        <f t="shared" si="99"/>
        <v>26.651515447663517</v>
      </c>
      <c r="V90">
        <f t="shared" si="99"/>
        <v>26.840819342215639</v>
      </c>
      <c r="W90">
        <f t="shared" si="99"/>
        <v>26.784253337535105</v>
      </c>
      <c r="X90">
        <f t="shared" si="99"/>
        <v>26.910309381083739</v>
      </c>
      <c r="Y90">
        <f t="shared" si="99"/>
        <v>27.490277496011309</v>
      </c>
      <c r="Z90">
        <f t="shared" si="99"/>
        <v>27.939583441961627</v>
      </c>
      <c r="AA90">
        <f t="shared" si="99"/>
        <v>28.417142552253047</v>
      </c>
      <c r="AB90">
        <f t="shared" ref="AB90:AP90" si="102">AB$79/AA$79*AA90</f>
        <v>29.091964196810203</v>
      </c>
      <c r="AC90">
        <f t="shared" si="102"/>
        <v>29.898489570192446</v>
      </c>
      <c r="AD90">
        <f t="shared" si="102"/>
        <v>30.697949713339881</v>
      </c>
      <c r="AE90">
        <f t="shared" si="102"/>
        <v>31.57831397606742</v>
      </c>
      <c r="AF90">
        <f t="shared" si="102"/>
        <v>32.48080906706474</v>
      </c>
      <c r="AG90">
        <f t="shared" si="102"/>
        <v>33.440175486127721</v>
      </c>
      <c r="AH90">
        <f t="shared" si="102"/>
        <v>34.584503298317124</v>
      </c>
      <c r="AI90">
        <f t="shared" si="102"/>
        <v>35.660952628908674</v>
      </c>
      <c r="AJ90">
        <f t="shared" si="102"/>
        <v>36.721320513621315</v>
      </c>
      <c r="AK90">
        <f t="shared" si="102"/>
        <v>37.881117083703224</v>
      </c>
      <c r="AL90">
        <f t="shared" si="102"/>
        <v>39.069868986726668</v>
      </c>
      <c r="AM90">
        <f t="shared" si="102"/>
        <v>40.289760889676536</v>
      </c>
      <c r="AN90">
        <f t="shared" si="102"/>
        <v>47.356102932145951</v>
      </c>
      <c r="AO90">
        <f t="shared" si="102"/>
        <v>54.852362327047594</v>
      </c>
      <c r="AP90">
        <f t="shared" si="102"/>
        <v>63.438357842764688</v>
      </c>
      <c r="AQ90">
        <f t="shared" ref="AQ90" si="103">AQ$79/AP$79*AP90</f>
        <v>70.77906303509414</v>
      </c>
    </row>
    <row r="91" spans="1:43" s="4" customFormat="1">
      <c r="A91" s="44" t="str">
        <f>'[4]TS BYDem'!A70</f>
        <v>*</v>
      </c>
      <c r="C91" s="3" t="s">
        <v>755</v>
      </c>
      <c r="D91" s="3" t="s">
        <v>733</v>
      </c>
      <c r="K91" s="4">
        <f t="shared" ref="K91:AB91" si="104">SUMIF($B$10:$B$25,$D91,K$10:K$25)*SUMIF($B$10:$B$25,$D91,K$47:K$62)</f>
        <v>70.962100386128554</v>
      </c>
      <c r="L91" s="4">
        <f t="shared" si="104"/>
        <v>73.086209474587847</v>
      </c>
      <c r="M91" s="4">
        <f t="shared" si="104"/>
        <v>74.596549410412479</v>
      </c>
      <c r="N91" s="4">
        <f t="shared" si="104"/>
        <v>75.426967631355183</v>
      </c>
      <c r="O91" s="4">
        <f t="shared" si="104"/>
        <v>76.235886351432072</v>
      </c>
      <c r="P91" s="4">
        <f t="shared" si="104"/>
        <v>76.890277409035789</v>
      </c>
      <c r="Q91" s="4">
        <f t="shared" si="104"/>
        <v>77.76100719410195</v>
      </c>
      <c r="R91" s="4">
        <f t="shared" si="104"/>
        <v>77.597073499999993</v>
      </c>
      <c r="S91" s="4">
        <f t="shared" si="104"/>
        <v>76.465347000000008</v>
      </c>
      <c r="T91" s="4">
        <f t="shared" si="104"/>
        <v>81.884007720714379</v>
      </c>
      <c r="U91" s="3">
        <f t="shared" si="104"/>
        <v>88.930016266862495</v>
      </c>
      <c r="V91" s="4">
        <f t="shared" si="104"/>
        <v>87.617727104727109</v>
      </c>
      <c r="W91" s="4">
        <f t="shared" si="104"/>
        <v>87.797013695944557</v>
      </c>
      <c r="X91" s="4">
        <f t="shared" si="104"/>
        <v>88.715473520389935</v>
      </c>
      <c r="Y91" s="4">
        <f t="shared" si="104"/>
        <v>90.116076587425681</v>
      </c>
      <c r="Z91" s="4">
        <f t="shared" si="104"/>
        <v>91.95214642698987</v>
      </c>
      <c r="AA91" s="4">
        <f t="shared" si="104"/>
        <v>93.969906469335157</v>
      </c>
      <c r="AB91" s="4">
        <f t="shared" si="104"/>
        <v>96.485586886524658</v>
      </c>
      <c r="AC91" s="4">
        <f>SUMIF($B$10:$B$25,$D91,AC$10:AC$25)*SUMIF($B$10:$B$25,$D91,AC$46:AC$62)</f>
        <v>99.775676029623</v>
      </c>
      <c r="AD91" s="4">
        <f t="shared" ref="AD91:AQ91" si="105">SUMIF($B$10:$B$25,$D91,AD$10:AD$25)*SUMIF($B$10:$B$25,$D91,AD$47:AD$62)</f>
        <v>102.92053289730828</v>
      </c>
      <c r="AE91" s="4">
        <f t="shared" si="105"/>
        <v>106.23915641111122</v>
      </c>
      <c r="AF91" s="4">
        <f t="shared" si="105"/>
        <v>109.72139131121743</v>
      </c>
      <c r="AG91" s="4">
        <f t="shared" si="105"/>
        <v>113.31632906230109</v>
      </c>
      <c r="AH91" s="4">
        <f t="shared" si="105"/>
        <v>117.99298958547608</v>
      </c>
      <c r="AI91" s="4">
        <f t="shared" si="105"/>
        <v>121.40736267307575</v>
      </c>
      <c r="AJ91" s="4">
        <f t="shared" si="105"/>
        <v>125.23731097356547</v>
      </c>
      <c r="AK91" s="4">
        <f t="shared" si="105"/>
        <v>129.40057077067453</v>
      </c>
      <c r="AL91" s="4">
        <f t="shared" si="105"/>
        <v>133.92452483382394</v>
      </c>
      <c r="AM91" s="4">
        <f t="shared" si="105"/>
        <v>138.44873583005324</v>
      </c>
      <c r="AN91" s="4">
        <f t="shared" si="105"/>
        <v>163.49301003537829</v>
      </c>
      <c r="AO91" s="4">
        <f t="shared" si="105"/>
        <v>186.88349219432033</v>
      </c>
      <c r="AP91" s="4">
        <f t="shared" si="105"/>
        <v>217.16636316412422</v>
      </c>
      <c r="AQ91" s="4">
        <f t="shared" si="105"/>
        <v>243.17868876623697</v>
      </c>
    </row>
    <row r="92" spans="1:43">
      <c r="A92" s="44" t="str">
        <f>'[4]TS BYDem'!A73</f>
        <v/>
      </c>
      <c r="B92" t="s">
        <v>272</v>
      </c>
      <c r="C92" t="s">
        <v>125</v>
      </c>
      <c r="D92" s="5" t="s">
        <v>299</v>
      </c>
      <c r="E92" t="s">
        <v>125</v>
      </c>
      <c r="F92" t="s">
        <v>125</v>
      </c>
      <c r="G92" t="s">
        <v>125</v>
      </c>
      <c r="I92" t="s">
        <v>125</v>
      </c>
      <c r="J92">
        <v>0</v>
      </c>
      <c r="K92">
        <f>INDEX('[4]TS BYDem'!$J$10:$J$203,MATCH(D92,'[4]TS BYDem'!$D$10:$D$203,0))</f>
        <v>0.55647663194961805</v>
      </c>
      <c r="L92">
        <f t="shared" ref="L92:L102" si="106">L$91/K$91*K92</f>
        <v>0.5731336511895736</v>
      </c>
      <c r="M92">
        <f t="shared" ref="M92:AB92" si="107">M$91/L$91*L92</f>
        <v>0.58497756330623052</v>
      </c>
      <c r="N92" s="160">
        <f t="shared" ref="N92:N100" si="108">P92</f>
        <v>0.80918000000000001</v>
      </c>
      <c r="O92" s="160">
        <f t="shared" ref="O92:O100" si="109">P92</f>
        <v>0.80918000000000001</v>
      </c>
      <c r="P92" s="282">
        <f>IFERROR(INDEX('BY-DMD'!$I$5:$I$138,MATCH(D92,'BY-DMD'!$H$5:$H$138,0)),"")</f>
        <v>0.80918000000000001</v>
      </c>
      <c r="Q92">
        <f t="shared" si="107"/>
        <v>0.81834340987732013</v>
      </c>
      <c r="R92">
        <f t="shared" si="107"/>
        <v>0.81661819999301</v>
      </c>
      <c r="S92">
        <f t="shared" si="107"/>
        <v>0.80470810576356233</v>
      </c>
      <c r="T92">
        <f t="shared" si="107"/>
        <v>0.86173315535029182</v>
      </c>
      <c r="U92">
        <f t="shared" si="107"/>
        <v>0.93588413239829671</v>
      </c>
      <c r="V92">
        <f t="shared" si="107"/>
        <v>0.92207382789688619</v>
      </c>
      <c r="W92">
        <f t="shared" si="107"/>
        <v>0.92396060901889432</v>
      </c>
      <c r="X92">
        <f t="shared" si="107"/>
        <v>0.93362632158735193</v>
      </c>
      <c r="Y92">
        <f t="shared" si="107"/>
        <v>0.94836602637154621</v>
      </c>
      <c r="Z92">
        <f t="shared" si="107"/>
        <v>0.96768850826187625</v>
      </c>
      <c r="AA92">
        <f t="shared" si="107"/>
        <v>0.98892306646719097</v>
      </c>
      <c r="AB92">
        <f t="shared" si="107"/>
        <v>1.015397652703268</v>
      </c>
      <c r="AC92">
        <f t="shared" ref="AB92:AQ101" si="110">AC$91/AB$91*AB92</f>
        <v>1.0500219826253689</v>
      </c>
      <c r="AD92">
        <f t="shared" si="110"/>
        <v>1.0831179131635846</v>
      </c>
      <c r="AE92">
        <f t="shared" si="110"/>
        <v>1.1180425338749087</v>
      </c>
      <c r="AF92">
        <f t="shared" si="110"/>
        <v>1.1546889725589342</v>
      </c>
      <c r="AG92">
        <f t="shared" si="110"/>
        <v>1.1925214765821286</v>
      </c>
      <c r="AH92">
        <f t="shared" si="110"/>
        <v>1.2417378442382301</v>
      </c>
      <c r="AI92">
        <f t="shared" si="110"/>
        <v>1.2776701169276148</v>
      </c>
      <c r="AJ92">
        <f t="shared" si="110"/>
        <v>1.317975831384903</v>
      </c>
      <c r="AK92">
        <f t="shared" si="110"/>
        <v>1.3617892584675426</v>
      </c>
      <c r="AL92">
        <f t="shared" si="110"/>
        <v>1.409398569711737</v>
      </c>
      <c r="AM92">
        <f t="shared" si="110"/>
        <v>1.4570105848752903</v>
      </c>
      <c r="AN92">
        <f t="shared" si="110"/>
        <v>1.7205722013025377</v>
      </c>
      <c r="AO92">
        <f t="shared" si="110"/>
        <v>1.9667295958543292</v>
      </c>
      <c r="AP92">
        <f t="shared" si="110"/>
        <v>2.2854212998911039</v>
      </c>
      <c r="AQ92">
        <f t="shared" si="110"/>
        <v>2.5591705220293512</v>
      </c>
    </row>
    <row r="93" spans="1:43">
      <c r="A93" s="44" t="str">
        <f>'[4]TS BYDem'!A74</f>
        <v/>
      </c>
      <c r="B93" t="s">
        <v>272</v>
      </c>
      <c r="C93" t="s">
        <v>125</v>
      </c>
      <c r="D93" s="5" t="s">
        <v>294</v>
      </c>
      <c r="E93" t="s">
        <v>125</v>
      </c>
      <c r="F93" t="s">
        <v>125</v>
      </c>
      <c r="G93" t="s">
        <v>125</v>
      </c>
      <c r="I93" t="s">
        <v>125</v>
      </c>
      <c r="J93">
        <v>0</v>
      </c>
      <c r="K93">
        <f>INDEX('[4]TS BYDem'!$J$10:$J$203,MATCH(D93,'[4]TS BYDem'!$D$10:$D$203,0))</f>
        <v>0.208678736981107</v>
      </c>
      <c r="L93">
        <f t="shared" si="106"/>
        <v>0.21492511919609036</v>
      </c>
      <c r="M93">
        <f t="shared" ref="M93:M102" si="111">M$91/L$91*L93</f>
        <v>0.21936658623983671</v>
      </c>
      <c r="N93" s="160">
        <f t="shared" si="108"/>
        <v>0.3034425</v>
      </c>
      <c r="O93" s="160">
        <f t="shared" si="109"/>
        <v>0.3034425</v>
      </c>
      <c r="P93" s="282">
        <f>IFERROR(INDEX('BY-DMD'!$I$5:$I$138,MATCH(D93,'BY-DMD'!$H$5:$H$138,0)),"")</f>
        <v>0.3034425</v>
      </c>
      <c r="Q93">
        <f t="shared" ref="Q93:AA93" si="112">Q$91/P$91*P93</f>
        <v>0.30687877870399505</v>
      </c>
      <c r="R93">
        <f t="shared" si="112"/>
        <v>0.30623182499737872</v>
      </c>
      <c r="S93">
        <f t="shared" si="112"/>
        <v>0.30176553966133585</v>
      </c>
      <c r="T93">
        <f t="shared" si="112"/>
        <v>0.32314993325635943</v>
      </c>
      <c r="U93">
        <f t="shared" si="112"/>
        <v>0.35095654964936124</v>
      </c>
      <c r="V93">
        <f t="shared" si="112"/>
        <v>0.34577768546133231</v>
      </c>
      <c r="W93">
        <f t="shared" si="112"/>
        <v>0.34648522838208534</v>
      </c>
      <c r="X93">
        <f t="shared" si="112"/>
        <v>0.35010987059525694</v>
      </c>
      <c r="Y93">
        <f t="shared" si="112"/>
        <v>0.35563725988932976</v>
      </c>
      <c r="Z93">
        <f t="shared" si="112"/>
        <v>0.36288319059820356</v>
      </c>
      <c r="AA93">
        <f t="shared" si="112"/>
        <v>0.37084614992519654</v>
      </c>
      <c r="AB93">
        <f t="shared" si="110"/>
        <v>0.38077411976372538</v>
      </c>
      <c r="AC93">
        <f t="shared" si="110"/>
        <v>0.39375824348451327</v>
      </c>
      <c r="AD93">
        <f t="shared" si="110"/>
        <v>0.4061692174363441</v>
      </c>
      <c r="AE93">
        <f t="shared" si="110"/>
        <v>0.4192659502030906</v>
      </c>
      <c r="AF93">
        <f t="shared" si="110"/>
        <v>0.43300836470960019</v>
      </c>
      <c r="AG93">
        <f t="shared" si="110"/>
        <v>0.44719555371829806</v>
      </c>
      <c r="AH93">
        <f t="shared" si="110"/>
        <v>0.46565169158933606</v>
      </c>
      <c r="AI93">
        <f t="shared" si="110"/>
        <v>0.47912629384785532</v>
      </c>
      <c r="AJ93">
        <f t="shared" si="110"/>
        <v>0.49424093676933839</v>
      </c>
      <c r="AK93">
        <f t="shared" si="110"/>
        <v>0.51067097192532829</v>
      </c>
      <c r="AL93">
        <f t="shared" si="110"/>
        <v>0.5285244636419012</v>
      </c>
      <c r="AM93">
        <f t="shared" si="110"/>
        <v>0.54637896932823371</v>
      </c>
      <c r="AN93">
        <f t="shared" si="110"/>
        <v>0.64521457548845151</v>
      </c>
      <c r="AO93">
        <f t="shared" si="110"/>
        <v>0.7375235984453733</v>
      </c>
      <c r="AP93">
        <f t="shared" si="110"/>
        <v>0.85703298745916379</v>
      </c>
      <c r="AQ93">
        <f t="shared" si="110"/>
        <v>0.9596889457610065</v>
      </c>
    </row>
    <row r="94" spans="1:43">
      <c r="A94" s="44" t="str">
        <f>'[4]TS BYDem'!A75</f>
        <v/>
      </c>
      <c r="B94" t="s">
        <v>272</v>
      </c>
      <c r="C94" t="s">
        <v>125</v>
      </c>
      <c r="D94" s="5" t="s">
        <v>300</v>
      </c>
      <c r="E94" t="s">
        <v>125</v>
      </c>
      <c r="F94" t="s">
        <v>125</v>
      </c>
      <c r="G94" t="s">
        <v>125</v>
      </c>
      <c r="I94" t="s">
        <v>125</v>
      </c>
      <c r="J94">
        <v>0</v>
      </c>
      <c r="K94">
        <f>INDEX('[4]TS BYDem'!$J$10:$J$203,MATCH(D94,'[4]TS BYDem'!$D$10:$D$203,0))</f>
        <v>0.33388597916977097</v>
      </c>
      <c r="L94">
        <f t="shared" si="106"/>
        <v>0.34388019071374432</v>
      </c>
      <c r="M94">
        <f t="shared" si="111"/>
        <v>0.35098653798373847</v>
      </c>
      <c r="N94" s="160">
        <f t="shared" si="108"/>
        <v>0.485508</v>
      </c>
      <c r="O94" s="160">
        <f t="shared" si="109"/>
        <v>0.485508</v>
      </c>
      <c r="P94" s="282">
        <f>IFERROR(INDEX('BY-DMD'!$I$5:$I$138,MATCH(D94,'BY-DMD'!$H$5:$H$138,0)),"")</f>
        <v>0.485508</v>
      </c>
      <c r="Q94">
        <f t="shared" ref="Q94:AA94" si="113">Q$91/P$91*P94</f>
        <v>0.49100604592639208</v>
      </c>
      <c r="R94">
        <f t="shared" si="113"/>
        <v>0.48997091999580594</v>
      </c>
      <c r="S94">
        <f t="shared" si="113"/>
        <v>0.48282486345813735</v>
      </c>
      <c r="T94">
        <f t="shared" si="113"/>
        <v>0.51703989321017507</v>
      </c>
      <c r="U94">
        <f t="shared" si="113"/>
        <v>0.56153047943897794</v>
      </c>
      <c r="V94">
        <f t="shared" si="113"/>
        <v>0.55324429673813158</v>
      </c>
      <c r="W94">
        <f t="shared" si="113"/>
        <v>0.5543763654113365</v>
      </c>
      <c r="X94">
        <f t="shared" si="113"/>
        <v>0.56017579295241104</v>
      </c>
      <c r="Y94">
        <f t="shared" si="113"/>
        <v>0.56901961582292759</v>
      </c>
      <c r="Z94">
        <f t="shared" si="113"/>
        <v>0.58061310495712559</v>
      </c>
      <c r="AA94">
        <f t="shared" si="113"/>
        <v>0.59335383988031443</v>
      </c>
      <c r="AB94">
        <f t="shared" si="110"/>
        <v>0.60923859162196059</v>
      </c>
      <c r="AC94">
        <f t="shared" si="110"/>
        <v>0.63001318957522112</v>
      </c>
      <c r="AD94">
        <f t="shared" si="110"/>
        <v>0.64987074789815047</v>
      </c>
      <c r="AE94">
        <f t="shared" si="110"/>
        <v>0.67082552032494491</v>
      </c>
      <c r="AF94">
        <f t="shared" si="110"/>
        <v>0.69281338353536026</v>
      </c>
      <c r="AG94">
        <f t="shared" si="110"/>
        <v>0.71551288594927687</v>
      </c>
      <c r="AH94">
        <f t="shared" si="110"/>
        <v>0.74504270654293769</v>
      </c>
      <c r="AI94">
        <f t="shared" si="110"/>
        <v>0.76660207015656845</v>
      </c>
      <c r="AJ94">
        <f t="shared" si="110"/>
        <v>0.7907854988309414</v>
      </c>
      <c r="AK94">
        <f t="shared" si="110"/>
        <v>0.81707355508052515</v>
      </c>
      <c r="AL94">
        <f t="shared" si="110"/>
        <v>0.84563914182704181</v>
      </c>
      <c r="AM94">
        <f t="shared" si="110"/>
        <v>0.87420635092517374</v>
      </c>
      <c r="AN94">
        <f t="shared" si="110"/>
        <v>1.032343320781522</v>
      </c>
      <c r="AO94">
        <f t="shared" si="110"/>
        <v>1.1800377575125969</v>
      </c>
      <c r="AP94">
        <f t="shared" si="110"/>
        <v>1.3712527799346617</v>
      </c>
      <c r="AQ94">
        <f t="shared" si="110"/>
        <v>1.53550231321761</v>
      </c>
    </row>
    <row r="95" spans="1:43">
      <c r="A95" s="44" t="str">
        <f>'[4]TS BYDem'!A76</f>
        <v/>
      </c>
      <c r="B95" t="s">
        <v>272</v>
      </c>
      <c r="C95" t="s">
        <v>125</v>
      </c>
      <c r="D95" s="5" t="s">
        <v>295</v>
      </c>
      <c r="E95" t="s">
        <v>125</v>
      </c>
      <c r="F95" t="s">
        <v>125</v>
      </c>
      <c r="G95" t="s">
        <v>125</v>
      </c>
      <c r="I95" t="s">
        <v>125</v>
      </c>
      <c r="J95">
        <v>0</v>
      </c>
      <c r="K95">
        <f>INDEX('[4]TS BYDem'!$J$10:$J$203,MATCH(D95,'[4]TS BYDem'!$D$10:$D$203,0))</f>
        <v>2.7823831597480901</v>
      </c>
      <c r="L95">
        <f t="shared" si="106"/>
        <v>2.8656682559478681</v>
      </c>
      <c r="M95">
        <f t="shared" si="111"/>
        <v>2.9248878165311529</v>
      </c>
      <c r="N95" s="160">
        <f t="shared" si="108"/>
        <v>4.0458999999999996</v>
      </c>
      <c r="O95" s="160">
        <f t="shared" si="109"/>
        <v>4.0458999999999996</v>
      </c>
      <c r="P95" s="282">
        <f>IFERROR(INDEX('BY-DMD'!$I$5:$I$138,MATCH(D95,'BY-DMD'!$H$5:$H$138,0)),"")</f>
        <v>4.0458999999999996</v>
      </c>
      <c r="Q95">
        <f t="shared" ref="Q95:AA95" si="114">Q$91/P$91*P95</f>
        <v>4.0917170493866006</v>
      </c>
      <c r="R95">
        <f t="shared" si="114"/>
        <v>4.0830909999650498</v>
      </c>
      <c r="S95">
        <f t="shared" si="114"/>
        <v>4.0235405288178114</v>
      </c>
      <c r="T95">
        <f t="shared" si="114"/>
        <v>4.3086657767514591</v>
      </c>
      <c r="U95">
        <f t="shared" si="114"/>
        <v>4.6794206619914833</v>
      </c>
      <c r="V95">
        <f t="shared" si="114"/>
        <v>4.6103691394844306</v>
      </c>
      <c r="W95">
        <f t="shared" si="114"/>
        <v>4.6198030450944714</v>
      </c>
      <c r="X95">
        <f t="shared" si="114"/>
        <v>4.6681316079367594</v>
      </c>
      <c r="Y95">
        <f t="shared" si="114"/>
        <v>4.7418301318577303</v>
      </c>
      <c r="Z95">
        <f t="shared" si="114"/>
        <v>4.838442541309381</v>
      </c>
      <c r="AA95">
        <f t="shared" si="114"/>
        <v>4.9446153323359541</v>
      </c>
      <c r="AB95">
        <f t="shared" si="110"/>
        <v>5.0769882635163386</v>
      </c>
      <c r="AC95">
        <f t="shared" si="110"/>
        <v>5.2501099131268436</v>
      </c>
      <c r="AD95">
        <f t="shared" si="110"/>
        <v>5.4155895658179221</v>
      </c>
      <c r="AE95">
        <f t="shared" si="110"/>
        <v>5.5902126693745426</v>
      </c>
      <c r="AF95">
        <f t="shared" si="110"/>
        <v>5.77344486279467</v>
      </c>
      <c r="AG95">
        <f t="shared" si="110"/>
        <v>5.9626073829106421</v>
      </c>
      <c r="AH95">
        <f t="shared" si="110"/>
        <v>6.2086892211911495</v>
      </c>
      <c r="AI95">
        <f t="shared" si="110"/>
        <v>6.388350584638073</v>
      </c>
      <c r="AJ95">
        <f t="shared" si="110"/>
        <v>6.5898791569245141</v>
      </c>
      <c r="AK95">
        <f t="shared" si="110"/>
        <v>6.808946292337712</v>
      </c>
      <c r="AL95">
        <f t="shared" si="110"/>
        <v>7.0469928485586841</v>
      </c>
      <c r="AM95">
        <f t="shared" si="110"/>
        <v>7.2850529243764504</v>
      </c>
      <c r="AN95">
        <f t="shared" si="110"/>
        <v>8.602861006512688</v>
      </c>
      <c r="AO95">
        <f t="shared" si="110"/>
        <v>9.833647979271646</v>
      </c>
      <c r="AP95">
        <f t="shared" si="110"/>
        <v>11.427106499455519</v>
      </c>
      <c r="AQ95">
        <f t="shared" si="110"/>
        <v>12.795852610146756</v>
      </c>
    </row>
    <row r="96" spans="1:43">
      <c r="A96" s="44" t="str">
        <f>'[4]TS BYDem'!A77</f>
        <v/>
      </c>
      <c r="B96" t="s">
        <v>272</v>
      </c>
      <c r="C96" t="s">
        <v>125</v>
      </c>
      <c r="D96" s="5" t="s">
        <v>298</v>
      </c>
      <c r="E96" t="s">
        <v>125</v>
      </c>
      <c r="F96" t="s">
        <v>125</v>
      </c>
      <c r="G96" t="s">
        <v>125</v>
      </c>
      <c r="I96" t="s">
        <v>125</v>
      </c>
      <c r="J96">
        <v>0</v>
      </c>
      <c r="K96">
        <f>INDEX('[4]TS BYDem'!$J$10:$J$203,MATCH(D96,'[4]TS BYDem'!$D$10:$D$203,0))</f>
        <v>0.50082896875465599</v>
      </c>
      <c r="L96">
        <f t="shared" si="106"/>
        <v>0.51582028607061603</v>
      </c>
      <c r="M96">
        <f t="shared" si="111"/>
        <v>0.52647980697560726</v>
      </c>
      <c r="N96" s="160">
        <f t="shared" si="108"/>
        <v>0.72826199999999996</v>
      </c>
      <c r="O96" s="160">
        <f t="shared" si="109"/>
        <v>0.72826199999999996</v>
      </c>
      <c r="P96" s="282">
        <f>IFERROR(INDEX('BY-DMD'!$I$5:$I$138,MATCH(D96,'BY-DMD'!$H$5:$H$138,0)),"")</f>
        <v>0.72826199999999996</v>
      </c>
      <c r="Q96">
        <f t="shared" ref="Q96:AA96" si="115">Q$91/P$91*P96</f>
        <v>0.73650906888958811</v>
      </c>
      <c r="R96">
        <f t="shared" si="115"/>
        <v>0.734956379993709</v>
      </c>
      <c r="S96">
        <f t="shared" si="115"/>
        <v>0.72423729518720614</v>
      </c>
      <c r="T96">
        <f t="shared" si="115"/>
        <v>0.77555983981526266</v>
      </c>
      <c r="U96">
        <f t="shared" si="115"/>
        <v>0.84229571915846702</v>
      </c>
      <c r="V96">
        <f t="shared" si="115"/>
        <v>0.82986644510719754</v>
      </c>
      <c r="W96">
        <f t="shared" si="115"/>
        <v>0.83156454811700486</v>
      </c>
      <c r="X96">
        <f t="shared" si="115"/>
        <v>0.84026368942861673</v>
      </c>
      <c r="Y96">
        <f t="shared" si="115"/>
        <v>0.85352942373439156</v>
      </c>
      <c r="Z96">
        <f t="shared" si="115"/>
        <v>0.87091965743568867</v>
      </c>
      <c r="AA96">
        <f t="shared" si="115"/>
        <v>0.89003075982047186</v>
      </c>
      <c r="AB96">
        <f t="shared" si="110"/>
        <v>0.91385788743294116</v>
      </c>
      <c r="AC96">
        <f t="shared" si="110"/>
        <v>0.94501978436283207</v>
      </c>
      <c r="AD96">
        <f t="shared" si="110"/>
        <v>0.97480612184722615</v>
      </c>
      <c r="AE96">
        <f t="shared" si="110"/>
        <v>1.0062382804874179</v>
      </c>
      <c r="AF96">
        <f t="shared" si="110"/>
        <v>1.0392200753030409</v>
      </c>
      <c r="AG96">
        <f t="shared" si="110"/>
        <v>1.0732693289239159</v>
      </c>
      <c r="AH96">
        <f t="shared" si="110"/>
        <v>1.1175640598144072</v>
      </c>
      <c r="AI96">
        <f t="shared" si="110"/>
        <v>1.1499031052348534</v>
      </c>
      <c r="AJ96">
        <f t="shared" si="110"/>
        <v>1.1861782482464127</v>
      </c>
      <c r="AK96">
        <f t="shared" si="110"/>
        <v>1.2256103326207883</v>
      </c>
      <c r="AL96">
        <f t="shared" si="110"/>
        <v>1.2684587127405633</v>
      </c>
      <c r="AM96">
        <f t="shared" si="110"/>
        <v>1.3113095263877612</v>
      </c>
      <c r="AN96">
        <f t="shared" si="110"/>
        <v>1.5485149811722838</v>
      </c>
      <c r="AO96">
        <f t="shared" si="110"/>
        <v>1.7700566362688961</v>
      </c>
      <c r="AP96">
        <f t="shared" si="110"/>
        <v>2.0568791699019933</v>
      </c>
      <c r="AQ96">
        <f t="shared" si="110"/>
        <v>2.3032534698264158</v>
      </c>
    </row>
    <row r="97" spans="1:43">
      <c r="A97" s="44" t="str">
        <f>'[4]TS BYDem'!A78</f>
        <v/>
      </c>
      <c r="B97" t="s">
        <v>272</v>
      </c>
      <c r="C97" t="s">
        <v>125</v>
      </c>
      <c r="D97" s="5" t="s">
        <v>302</v>
      </c>
      <c r="E97" t="s">
        <v>125</v>
      </c>
      <c r="F97" t="s">
        <v>125</v>
      </c>
      <c r="G97" t="s">
        <v>125</v>
      </c>
      <c r="I97" t="s">
        <v>125</v>
      </c>
      <c r="J97">
        <v>0</v>
      </c>
      <c r="K97">
        <f>INDEX('[4]TS BYDem'!$J$10:$J$203,MATCH(D97,'[4]TS BYDem'!$D$10:$D$203,0))</f>
        <v>7.7906728472946503</v>
      </c>
      <c r="L97">
        <f t="shared" si="106"/>
        <v>8.0238711166540284</v>
      </c>
      <c r="M97">
        <f t="shared" si="111"/>
        <v>8.1896858862872257</v>
      </c>
      <c r="N97" s="160">
        <f t="shared" si="108"/>
        <v>11.328519999999999</v>
      </c>
      <c r="O97" s="160">
        <f t="shared" si="109"/>
        <v>11.328519999999999</v>
      </c>
      <c r="P97" s="282">
        <f>IFERROR(INDEX('BY-DMD'!$I$5:$I$138,MATCH(D97,'BY-DMD'!$H$5:$H$138,0)),"")</f>
        <v>11.328519999999999</v>
      </c>
      <c r="Q97">
        <f t="shared" ref="Q97:AA97" si="116">Q$91/P$91*P97</f>
        <v>11.456807738282482</v>
      </c>
      <c r="R97">
        <f t="shared" si="116"/>
        <v>11.432654799902139</v>
      </c>
      <c r="S97">
        <f t="shared" si="116"/>
        <v>11.265913480689871</v>
      </c>
      <c r="T97">
        <f t="shared" si="116"/>
        <v>12.064264174904084</v>
      </c>
      <c r="U97">
        <f t="shared" si="116"/>
        <v>13.102377853576151</v>
      </c>
      <c r="V97">
        <f t="shared" si="116"/>
        <v>12.909033590556403</v>
      </c>
      <c r="W97">
        <f t="shared" si="116"/>
        <v>12.935448526264517</v>
      </c>
      <c r="X97">
        <f t="shared" si="116"/>
        <v>13.070768502222924</v>
      </c>
      <c r="Y97">
        <f t="shared" si="116"/>
        <v>13.277124369201642</v>
      </c>
      <c r="Z97">
        <f t="shared" si="116"/>
        <v>13.547639115666263</v>
      </c>
      <c r="AA97">
        <f t="shared" si="116"/>
        <v>13.844922930540669</v>
      </c>
      <c r="AB97">
        <f t="shared" si="110"/>
        <v>14.215567137845746</v>
      </c>
      <c r="AC97">
        <f t="shared" si="110"/>
        <v>14.700307756755159</v>
      </c>
      <c r="AD97">
        <f t="shared" si="110"/>
        <v>15.163650784290176</v>
      </c>
      <c r="AE97">
        <f t="shared" si="110"/>
        <v>15.652595474248713</v>
      </c>
      <c r="AF97">
        <f t="shared" si="110"/>
        <v>16.165645615825071</v>
      </c>
      <c r="AG97">
        <f t="shared" si="110"/>
        <v>16.695300672149791</v>
      </c>
      <c r="AH97">
        <f t="shared" si="110"/>
        <v>17.38432981933521</v>
      </c>
      <c r="AI97">
        <f t="shared" si="110"/>
        <v>17.887381636986596</v>
      </c>
      <c r="AJ97">
        <f t="shared" si="110"/>
        <v>18.451661639388632</v>
      </c>
      <c r="AK97">
        <f t="shared" si="110"/>
        <v>19.065049618545586</v>
      </c>
      <c r="AL97">
        <f t="shared" si="110"/>
        <v>19.731579975964308</v>
      </c>
      <c r="AM97">
        <f t="shared" si="110"/>
        <v>20.398148188254055</v>
      </c>
      <c r="AN97">
        <f t="shared" si="110"/>
        <v>24.088010818235517</v>
      </c>
      <c r="AO97">
        <f t="shared" si="110"/>
        <v>27.534214341960595</v>
      </c>
      <c r="AP97">
        <f t="shared" si="110"/>
        <v>31.995898198475437</v>
      </c>
      <c r="AQ97">
        <f t="shared" si="110"/>
        <v>35.828387308410896</v>
      </c>
    </row>
    <row r="98" spans="1:43">
      <c r="A98" s="44" t="str">
        <f>'[4]TS BYDem'!A79</f>
        <v/>
      </c>
      <c r="B98" t="s">
        <v>272</v>
      </c>
      <c r="C98" t="s">
        <v>125</v>
      </c>
      <c r="D98" s="5" t="s">
        <v>297</v>
      </c>
      <c r="E98" t="s">
        <v>125</v>
      </c>
      <c r="F98" t="s">
        <v>125</v>
      </c>
      <c r="G98" t="s">
        <v>125</v>
      </c>
      <c r="I98" t="s">
        <v>125</v>
      </c>
      <c r="J98">
        <v>0</v>
      </c>
      <c r="K98">
        <f>INDEX('[4]TS BYDem'!$J$10:$J$203,MATCH(D98,'[4]TS BYDem'!$D$10:$D$203,0))</f>
        <v>1.7807252222387799</v>
      </c>
      <c r="L98">
        <f t="shared" si="106"/>
        <v>1.8340276838066378</v>
      </c>
      <c r="M98">
        <f t="shared" si="111"/>
        <v>1.87192820257994</v>
      </c>
      <c r="N98" s="160">
        <f t="shared" si="108"/>
        <v>2.5893760000000001</v>
      </c>
      <c r="O98" s="160">
        <f t="shared" si="109"/>
        <v>2.5893760000000001</v>
      </c>
      <c r="P98" s="282">
        <f>IFERROR(INDEX('BY-DMD'!$I$5:$I$138,MATCH(D98,'BY-DMD'!$H$5:$H$138,0)),"")</f>
        <v>2.5893760000000001</v>
      </c>
      <c r="Q98">
        <f t="shared" ref="Q98:AA98" si="117">Q$91/P$91*P98</f>
        <v>2.6186989116074244</v>
      </c>
      <c r="R98">
        <f t="shared" si="117"/>
        <v>2.613178239977632</v>
      </c>
      <c r="S98">
        <f t="shared" si="117"/>
        <v>2.5750659384433994</v>
      </c>
      <c r="T98">
        <f t="shared" si="117"/>
        <v>2.757546097120934</v>
      </c>
      <c r="U98">
        <f t="shared" si="117"/>
        <v>2.9948292236745497</v>
      </c>
      <c r="V98">
        <f t="shared" si="117"/>
        <v>2.950636249270036</v>
      </c>
      <c r="W98">
        <f t="shared" si="117"/>
        <v>2.9566739488604621</v>
      </c>
      <c r="X98">
        <f t="shared" si="117"/>
        <v>2.9876042290795262</v>
      </c>
      <c r="Y98">
        <f t="shared" si="117"/>
        <v>3.0347712843889476</v>
      </c>
      <c r="Z98">
        <f t="shared" si="117"/>
        <v>3.0966032264380039</v>
      </c>
      <c r="AA98">
        <f t="shared" si="117"/>
        <v>3.164553812695011</v>
      </c>
      <c r="AB98">
        <f t="shared" si="110"/>
        <v>3.2492724886504574</v>
      </c>
      <c r="AC98">
        <f t="shared" si="110"/>
        <v>3.3600703444011804</v>
      </c>
      <c r="AD98">
        <f t="shared" si="110"/>
        <v>3.4659773221234702</v>
      </c>
      <c r="AE98">
        <f t="shared" si="110"/>
        <v>3.5777361083997072</v>
      </c>
      <c r="AF98">
        <f t="shared" si="110"/>
        <v>3.6950047121885889</v>
      </c>
      <c r="AG98">
        <f t="shared" si="110"/>
        <v>3.8160687250628111</v>
      </c>
      <c r="AH98">
        <f t="shared" si="110"/>
        <v>3.9735611015623356</v>
      </c>
      <c r="AI98">
        <f t="shared" si="110"/>
        <v>4.0885443741683662</v>
      </c>
      <c r="AJ98">
        <f t="shared" si="110"/>
        <v>4.2175226604316887</v>
      </c>
      <c r="AK98">
        <f t="shared" si="110"/>
        <v>4.3577256270961353</v>
      </c>
      <c r="AL98">
        <f t="shared" si="110"/>
        <v>4.5100754230775575</v>
      </c>
      <c r="AM98">
        <f t="shared" si="110"/>
        <v>4.6624338716009275</v>
      </c>
      <c r="AN98">
        <f t="shared" si="110"/>
        <v>5.5058310441681186</v>
      </c>
      <c r="AO98">
        <f t="shared" si="110"/>
        <v>6.2935347067338512</v>
      </c>
      <c r="AP98">
        <f t="shared" si="110"/>
        <v>7.3133481596515297</v>
      </c>
      <c r="AQ98">
        <f t="shared" si="110"/>
        <v>8.1893456704939211</v>
      </c>
    </row>
    <row r="99" spans="1:43">
      <c r="A99" s="44" t="str">
        <f>'[4]TS BYDem'!A80</f>
        <v/>
      </c>
      <c r="B99" t="s">
        <v>272</v>
      </c>
      <c r="C99" t="s">
        <v>125</v>
      </c>
      <c r="D99" s="5" t="s">
        <v>301</v>
      </c>
      <c r="E99" t="s">
        <v>125</v>
      </c>
      <c r="F99" t="s">
        <v>125</v>
      </c>
      <c r="G99" t="s">
        <v>125</v>
      </c>
      <c r="I99" t="s">
        <v>125</v>
      </c>
      <c r="J99">
        <v>0</v>
      </c>
      <c r="K99">
        <f>INDEX('[4]TS BYDem'!$J$10:$J$203,MATCH(D99,'[4]TS BYDem'!$D$10:$D$203,0))</f>
        <v>4.45181305559694</v>
      </c>
      <c r="L99">
        <f t="shared" si="106"/>
        <v>4.5850692095165844</v>
      </c>
      <c r="M99">
        <f t="shared" si="111"/>
        <v>4.6798205064498397</v>
      </c>
      <c r="N99" s="160">
        <f t="shared" si="108"/>
        <v>6.4734400000000001</v>
      </c>
      <c r="O99" s="160">
        <f t="shared" si="109"/>
        <v>6.4734400000000001</v>
      </c>
      <c r="P99" s="282">
        <f>IFERROR(INDEX('BY-DMD'!$I$5:$I$138,MATCH(D99,'BY-DMD'!$H$5:$H$138,0)),"")</f>
        <v>6.4734400000000001</v>
      </c>
      <c r="Q99">
        <f t="shared" ref="Q99:AA99" si="118">Q$91/P$91*P99</f>
        <v>6.546747279018561</v>
      </c>
      <c r="R99">
        <f t="shared" si="118"/>
        <v>6.53294559994408</v>
      </c>
      <c r="S99">
        <f t="shared" si="118"/>
        <v>6.4376648461084987</v>
      </c>
      <c r="T99">
        <f t="shared" si="118"/>
        <v>6.8938652428023346</v>
      </c>
      <c r="U99">
        <f t="shared" si="118"/>
        <v>7.4870730591863737</v>
      </c>
      <c r="V99">
        <f t="shared" si="118"/>
        <v>7.3765906231750895</v>
      </c>
      <c r="W99">
        <f t="shared" si="118"/>
        <v>7.3916848721511546</v>
      </c>
      <c r="X99">
        <f t="shared" si="118"/>
        <v>7.4690105726988154</v>
      </c>
      <c r="Y99">
        <f t="shared" si="118"/>
        <v>7.5869282109723697</v>
      </c>
      <c r="Z99">
        <f t="shared" si="118"/>
        <v>7.74150806609501</v>
      </c>
      <c r="AA99">
        <f t="shared" si="118"/>
        <v>7.9113845317375278</v>
      </c>
      <c r="AB99">
        <f t="shared" si="110"/>
        <v>8.1231812216261439</v>
      </c>
      <c r="AC99">
        <f t="shared" si="110"/>
        <v>8.4001758610029515</v>
      </c>
      <c r="AD99">
        <f t="shared" si="110"/>
        <v>8.6649433053086771</v>
      </c>
      <c r="AE99">
        <f t="shared" si="110"/>
        <v>8.9443402709992696</v>
      </c>
      <c r="AF99">
        <f t="shared" si="110"/>
        <v>9.2375117804714737</v>
      </c>
      <c r="AG99">
        <f t="shared" si="110"/>
        <v>9.5401718126570287</v>
      </c>
      <c r="AH99">
        <f t="shared" si="110"/>
        <v>9.9339027539058407</v>
      </c>
      <c r="AI99">
        <f t="shared" si="110"/>
        <v>10.221360935420918</v>
      </c>
      <c r="AJ99">
        <f t="shared" si="110"/>
        <v>10.543806651079224</v>
      </c>
      <c r="AK99">
        <f t="shared" si="110"/>
        <v>10.894314067740341</v>
      </c>
      <c r="AL99">
        <f t="shared" si="110"/>
        <v>11.275188557693896</v>
      </c>
      <c r="AM99">
        <f t="shared" si="110"/>
        <v>11.656084679002323</v>
      </c>
      <c r="AN99">
        <f t="shared" si="110"/>
        <v>13.764577610420302</v>
      </c>
      <c r="AO99">
        <f t="shared" si="110"/>
        <v>15.733836766834633</v>
      </c>
      <c r="AP99">
        <f t="shared" si="110"/>
        <v>18.283370399128831</v>
      </c>
      <c r="AQ99">
        <f t="shared" si="110"/>
        <v>20.47336417623481</v>
      </c>
    </row>
    <row r="100" spans="1:43">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0">
        <f t="shared" si="108"/>
        <v>2.4599072</v>
      </c>
      <c r="O100" s="160">
        <f t="shared" si="109"/>
        <v>2.4599072</v>
      </c>
      <c r="P100" s="282">
        <f>IFERROR(INDEX('BY-DMD'!$I$5:$I$138,MATCH(D100,'BY-DMD'!$H$5:$H$138,0)),"")</f>
        <v>2.4599072</v>
      </c>
      <c r="Q100">
        <f t="shared" ref="Q100:AA100" si="119">Q$91/P$91*P100</f>
        <v>2.4877639660270532</v>
      </c>
      <c r="R100">
        <f t="shared" si="119"/>
        <v>2.4825193279787503</v>
      </c>
      <c r="S100">
        <f t="shared" si="119"/>
        <v>2.4463126415212293</v>
      </c>
      <c r="T100">
        <f t="shared" si="119"/>
        <v>2.6196687922648869</v>
      </c>
      <c r="U100">
        <f t="shared" si="119"/>
        <v>2.8450877624908215</v>
      </c>
      <c r="V100">
        <f t="shared" si="119"/>
        <v>2.8031044368065334</v>
      </c>
      <c r="W100">
        <f t="shared" si="119"/>
        <v>2.808840251417438</v>
      </c>
      <c r="X100">
        <f t="shared" si="119"/>
        <v>2.8382240176255489</v>
      </c>
      <c r="Y100">
        <f t="shared" si="119"/>
        <v>2.8830327201694992</v>
      </c>
      <c r="Z100">
        <f t="shared" si="119"/>
        <v>2.9417730651161027</v>
      </c>
      <c r="AA100">
        <f t="shared" si="119"/>
        <v>3.0063261220602593</v>
      </c>
      <c r="AB100">
        <f t="shared" si="110"/>
        <v>3.0868088642179332</v>
      </c>
      <c r="AC100">
        <f t="shared" si="110"/>
        <v>3.1920668271811201</v>
      </c>
      <c r="AD100">
        <f t="shared" si="110"/>
        <v>3.2926784560172955</v>
      </c>
      <c r="AE100">
        <f t="shared" si="110"/>
        <v>3.3988493029797207</v>
      </c>
      <c r="AF100">
        <f t="shared" si="110"/>
        <v>3.5102544765791581</v>
      </c>
      <c r="AG100">
        <f t="shared" si="110"/>
        <v>3.6252652888096688</v>
      </c>
      <c r="AH100">
        <f t="shared" si="110"/>
        <v>3.7748830464842169</v>
      </c>
      <c r="AI100">
        <f t="shared" si="110"/>
        <v>3.8841171554599461</v>
      </c>
      <c r="AJ100">
        <f t="shared" si="110"/>
        <v>4.0066465274101022</v>
      </c>
      <c r="AK100">
        <f t="shared" si="110"/>
        <v>4.1398393457413265</v>
      </c>
      <c r="AL100">
        <f t="shared" si="110"/>
        <v>4.2845716519236774</v>
      </c>
      <c r="AM100">
        <f t="shared" si="110"/>
        <v>4.4293121780208793</v>
      </c>
      <c r="AN100">
        <f t="shared" si="110"/>
        <v>5.2305394919597106</v>
      </c>
      <c r="AO100">
        <f t="shared" si="110"/>
        <v>5.9788579713971561</v>
      </c>
      <c r="AP100">
        <f t="shared" si="110"/>
        <v>6.9476807516689503</v>
      </c>
      <c r="AQ100">
        <f t="shared" si="110"/>
        <v>7.7798783869692221</v>
      </c>
    </row>
    <row r="101" spans="1:43">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0">
        <f t="shared" ref="N101" si="120">P101</f>
        <v>19.307168399999998</v>
      </c>
      <c r="O101" s="160">
        <f t="shared" ref="O101" si="121">P101</f>
        <v>19.307168399999998</v>
      </c>
      <c r="P101" s="282">
        <f>IFERROR(INDEX('BY-DMD'!$I$5:$I$138,MATCH(D101,'BY-DMD'!$H$5:$H$138,0)),"")</f>
        <v>19.307168399999998</v>
      </c>
      <c r="Q101">
        <f t="shared" ref="Q101:AA101" si="122">Q$91/P$91*P101</f>
        <v>19.525808872601448</v>
      </c>
      <c r="R101">
        <f t="shared" si="122"/>
        <v>19.484645079920313</v>
      </c>
      <c r="S101">
        <f t="shared" si="122"/>
        <v>19.200468265184636</v>
      </c>
      <c r="T101">
        <f t="shared" si="122"/>
        <v>20.5610953634685</v>
      </c>
      <c r="U101">
        <f t="shared" si="122"/>
        <v>22.330349918561758</v>
      </c>
      <c r="V101">
        <f t="shared" si="122"/>
        <v>22.000833773002043</v>
      </c>
      <c r="W101">
        <f t="shared" si="122"/>
        <v>22.045852682090938</v>
      </c>
      <c r="X101">
        <f t="shared" si="122"/>
        <v>22.276478179835824</v>
      </c>
      <c r="Y101">
        <f t="shared" si="122"/>
        <v>22.628169969591777</v>
      </c>
      <c r="Z101">
        <f t="shared" si="122"/>
        <v>23.089207577741451</v>
      </c>
      <c r="AA101">
        <f t="shared" si="122"/>
        <v>23.59586764246081</v>
      </c>
      <c r="AB101">
        <f t="shared" si="110"/>
        <v>24.227555641151163</v>
      </c>
      <c r="AC101">
        <f t="shared" si="110"/>
        <v>25.053697869756864</v>
      </c>
      <c r="AD101">
        <f t="shared" si="110"/>
        <v>25.843372236716046</v>
      </c>
      <c r="AE101">
        <f t="shared" si="110"/>
        <v>26.676679453132248</v>
      </c>
      <c r="AF101">
        <f t="shared" si="110"/>
        <v>27.551069530658577</v>
      </c>
      <c r="AG101">
        <f t="shared" si="110"/>
        <v>28.453759323003286</v>
      </c>
      <c r="AH101">
        <f t="shared" si="110"/>
        <v>29.628069981166689</v>
      </c>
      <c r="AI101">
        <f t="shared" si="110"/>
        <v>30.485419940148212</v>
      </c>
      <c r="AJ101">
        <f t="shared" si="110"/>
        <v>31.447120941790836</v>
      </c>
      <c r="AK101">
        <f t="shared" si="110"/>
        <v>32.492516545816692</v>
      </c>
      <c r="AL101">
        <f t="shared" si="110"/>
        <v>33.628482572658278</v>
      </c>
      <c r="AM101">
        <f t="shared" si="110"/>
        <v>34.764513115462201</v>
      </c>
      <c r="AN101">
        <f t="shared" si="110"/>
        <v>41.053136798866475</v>
      </c>
      <c r="AO101">
        <f t="shared" si="110"/>
        <v>46.926492874791087</v>
      </c>
      <c r="AP101">
        <f t="shared" si="110"/>
        <v>54.530529550834693</v>
      </c>
      <c r="AQ101">
        <f t="shared" si="110"/>
        <v>61.062231188532294</v>
      </c>
    </row>
    <row r="102" spans="1:43">
      <c r="A102" s="44" t="str">
        <f>'[4]TS BYDem'!A90</f>
        <v/>
      </c>
      <c r="B102" t="s">
        <v>272</v>
      </c>
      <c r="C102" t="s">
        <v>125</v>
      </c>
      <c r="D102" s="5" t="s">
        <v>304</v>
      </c>
      <c r="E102" t="s">
        <v>125</v>
      </c>
      <c r="F102" t="s">
        <v>125</v>
      </c>
      <c r="G102" t="s">
        <v>125</v>
      </c>
      <c r="I102" t="s">
        <v>125</v>
      </c>
      <c r="J102">
        <v>0</v>
      </c>
      <c r="K102">
        <f>INDEX('[4]TS BYDem'!$J$10:$J$203,MATCH(D102,'[4]TS BYDem'!$D$10:$D$203,0))</f>
        <v>26.6</v>
      </c>
      <c r="L102">
        <f t="shared" si="106"/>
        <v>27.396218001518768</v>
      </c>
      <c r="M102">
        <f t="shared" si="111"/>
        <v>27.962365875867601</v>
      </c>
      <c r="N102" s="160">
        <f t="shared" ref="N102" si="123">P102</f>
        <v>26.6</v>
      </c>
      <c r="O102" s="160">
        <f t="shared" ref="O102" si="124">P102</f>
        <v>26.6</v>
      </c>
      <c r="P102" s="282">
        <f>IFERROR(INDEX('BY-DMD'!$I$5:$I$138,MATCH(D102,'BY-DMD'!$H$5:$H$138,0)),"")</f>
        <v>26.6</v>
      </c>
      <c r="Q102">
        <f t="shared" ref="Q102:AA102" si="125">Q$91/P$91*P102</f>
        <v>26.901226800880789</v>
      </c>
      <c r="R102">
        <f t="shared" si="125"/>
        <v>26.844514347628543</v>
      </c>
      <c r="S102">
        <f t="shared" si="125"/>
        <v>26.452996383141894</v>
      </c>
      <c r="T102">
        <f t="shared" si="125"/>
        <v>28.327568566101192</v>
      </c>
      <c r="U102">
        <f t="shared" si="125"/>
        <v>30.765117676900925</v>
      </c>
      <c r="V102">
        <f t="shared" si="125"/>
        <v>30.311134509079771</v>
      </c>
      <c r="W102">
        <f t="shared" si="125"/>
        <v>30.373158258857838</v>
      </c>
      <c r="X102">
        <f t="shared" si="125"/>
        <v>30.690897148006076</v>
      </c>
      <c r="Y102">
        <f t="shared" si="125"/>
        <v>31.175432291311111</v>
      </c>
      <c r="Z102">
        <f t="shared" si="125"/>
        <v>31.810616080187234</v>
      </c>
      <c r="AA102">
        <f t="shared" si="125"/>
        <v>32.508655142276474</v>
      </c>
      <c r="AB102">
        <f t="shared" ref="AB102:AQ102" si="126">AB$91/AA$91*AA102</f>
        <v>33.378948518138024</v>
      </c>
      <c r="AC102">
        <f t="shared" si="126"/>
        <v>34.517146664320435</v>
      </c>
      <c r="AD102">
        <f t="shared" si="126"/>
        <v>35.605102066476363</v>
      </c>
      <c r="AE102">
        <f t="shared" si="126"/>
        <v>36.753171607148673</v>
      </c>
      <c r="AF102">
        <f t="shared" si="126"/>
        <v>37.957842099492872</v>
      </c>
      <c r="AG102">
        <f t="shared" si="126"/>
        <v>39.201501862483767</v>
      </c>
      <c r="AH102">
        <f t="shared" si="126"/>
        <v>40.819380924808954</v>
      </c>
      <c r="AI102">
        <f t="shared" si="126"/>
        <v>42.000574792103784</v>
      </c>
      <c r="AJ102">
        <f t="shared" si="126"/>
        <v>43.325535869446114</v>
      </c>
      <c r="AK102">
        <f t="shared" si="126"/>
        <v>44.765805229042513</v>
      </c>
      <c r="AL102">
        <f t="shared" si="126"/>
        <v>46.33085587178649</v>
      </c>
      <c r="AM102">
        <f t="shared" si="126"/>
        <v>47.895995399889649</v>
      </c>
      <c r="AN102">
        <f t="shared" si="126"/>
        <v>56.559999696788708</v>
      </c>
      <c r="AO102">
        <f t="shared" si="126"/>
        <v>64.651878753460466</v>
      </c>
      <c r="AP102">
        <f t="shared" si="126"/>
        <v>75.128162556048522</v>
      </c>
      <c r="AQ102">
        <f t="shared" si="126"/>
        <v>84.127061823056337</v>
      </c>
    </row>
    <row r="103" spans="1:43" s="4" customFormat="1">
      <c r="A103" s="44" t="str">
        <f>'[4]TS BYDem'!A89</f>
        <v>*</v>
      </c>
      <c r="C103" s="3" t="s">
        <v>756</v>
      </c>
      <c r="D103" s="3" t="s">
        <v>734</v>
      </c>
      <c r="K103" s="4">
        <f t="shared" ref="K103:AB103" si="127">SUMIF($B$10:$B$25,$D103,K$10:K$25)*SUMIF($B$10:$B$25,$D103,K$47:K$62)</f>
        <v>18.748363502594032</v>
      </c>
      <c r="L103" s="4">
        <f t="shared" si="127"/>
        <v>15.909210489014884</v>
      </c>
      <c r="M103" s="4">
        <f t="shared" si="127"/>
        <v>14.603991495393339</v>
      </c>
      <c r="N103" s="4">
        <f t="shared" si="127"/>
        <v>14.80978596739901</v>
      </c>
      <c r="O103" s="4">
        <f t="shared" si="127"/>
        <v>14.414883061658401</v>
      </c>
      <c r="P103" s="4">
        <f t="shared" si="127"/>
        <v>13.877221828490436</v>
      </c>
      <c r="Q103" s="4">
        <f t="shared" si="127"/>
        <v>13.621369241672575</v>
      </c>
      <c r="R103" s="4">
        <f t="shared" si="127"/>
        <v>13.08</v>
      </c>
      <c r="S103" s="4">
        <f t="shared" si="127"/>
        <v>12.33</v>
      </c>
      <c r="T103" s="4">
        <f t="shared" si="127"/>
        <v>12.109626621980933</v>
      </c>
      <c r="U103" s="4">
        <f t="shared" si="127"/>
        <v>13.749980491478414</v>
      </c>
      <c r="V103" s="4">
        <f t="shared" si="127"/>
        <v>12.892429060791848</v>
      </c>
      <c r="W103" s="4">
        <f t="shared" si="127"/>
        <v>12.708491434162342</v>
      </c>
      <c r="X103" s="4">
        <f t="shared" si="127"/>
        <v>12.591001927992071</v>
      </c>
      <c r="Y103" s="4">
        <f t="shared" si="127"/>
        <v>12.939278444279431</v>
      </c>
      <c r="Z103" s="4">
        <f t="shared" si="127"/>
        <v>13.01647141538764</v>
      </c>
      <c r="AA103" s="4">
        <f t="shared" si="127"/>
        <v>13.17600543680309</v>
      </c>
      <c r="AB103" s="4">
        <f t="shared" si="127"/>
        <v>13.377039495449891</v>
      </c>
      <c r="AC103" s="4">
        <f>SUMIF($B$10:$B$25,$D103,AC$10:AC$25)*SUMIF($B$10:$B$25,$D103,AC$46:AC$62)</f>
        <v>13.806326651640601</v>
      </c>
      <c r="AD103" s="4">
        <f t="shared" ref="AD103:AQ103" si="128">SUMIF($B$10:$B$25,$D103,AD$10:AD$25)*SUMIF($B$10:$B$25,$D103,AD$47:AD$62)</f>
        <v>14.124358747280564</v>
      </c>
      <c r="AE103" s="4">
        <f t="shared" si="128"/>
        <v>14.529335249686653</v>
      </c>
      <c r="AF103" s="4">
        <f t="shared" si="128"/>
        <v>14.883157041406452</v>
      </c>
      <c r="AG103" s="4">
        <f t="shared" si="128"/>
        <v>15.317015967210153</v>
      </c>
      <c r="AH103" s="4">
        <f t="shared" si="128"/>
        <v>16.124354439822017</v>
      </c>
      <c r="AI103" s="4">
        <f t="shared" si="128"/>
        <v>16.617812186874314</v>
      </c>
      <c r="AJ103" s="4">
        <f t="shared" si="128"/>
        <v>17.137038764920579</v>
      </c>
      <c r="AK103" s="4">
        <f t="shared" si="128"/>
        <v>17.680846645753302</v>
      </c>
      <c r="AL103" s="4">
        <f t="shared" si="128"/>
        <v>18.226201563675076</v>
      </c>
      <c r="AM103" s="4">
        <f t="shared" si="128"/>
        <v>18.83147690773972</v>
      </c>
      <c r="AN103" s="4">
        <f t="shared" si="128"/>
        <v>22.229147747109771</v>
      </c>
      <c r="AO103" s="4">
        <f t="shared" si="128"/>
        <v>26.007256042068366</v>
      </c>
      <c r="AP103" s="4">
        <f t="shared" si="128"/>
        <v>30.520253831819748</v>
      </c>
      <c r="AQ103" s="4">
        <f t="shared" si="128"/>
        <v>34.175989317579244</v>
      </c>
    </row>
    <row r="104" spans="1:43">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ref="M104:AQ112" si="129">M$103/L$103*L104</f>
        <v>0.52025584956778459</v>
      </c>
      <c r="N104" s="160">
        <f t="shared" ref="N104:N112" si="130">P104</f>
        <v>0.100629421670275</v>
      </c>
      <c r="O104" s="160">
        <f t="shared" ref="O104:O112" si="131">P104</f>
        <v>0.100629421670275</v>
      </c>
      <c r="P104" s="282">
        <f>IFERROR(INDEX('BY-DMD'!$I$5:$I$138,MATCH(D104,'BY-DMD'!$H$5:$H$138,0)),"")</f>
        <v>0.100629421670275</v>
      </c>
      <c r="Q104">
        <f t="shared" si="129"/>
        <v>9.8774129727656701E-2</v>
      </c>
      <c r="R104">
        <f t="shared" si="129"/>
        <v>9.4848439530232462E-2</v>
      </c>
      <c r="S104">
        <f t="shared" si="129"/>
        <v>8.940988221771913E-2</v>
      </c>
      <c r="T104">
        <f t="shared" si="129"/>
        <v>8.7811864555707317E-2</v>
      </c>
      <c r="U104">
        <f t="shared" si="129"/>
        <v>9.970674259846074E-2</v>
      </c>
      <c r="V104">
        <f t="shared" si="129"/>
        <v>9.3488285792838494E-2</v>
      </c>
      <c r="W104">
        <f t="shared" si="129"/>
        <v>9.2154478693702163E-2</v>
      </c>
      <c r="X104">
        <f t="shared" si="129"/>
        <v>9.1302514143134297E-2</v>
      </c>
      <c r="Y104">
        <f t="shared" si="129"/>
        <v>9.3828009869042689E-2</v>
      </c>
      <c r="Z104">
        <f t="shared" si="129"/>
        <v>9.4387767732369593E-2</v>
      </c>
      <c r="AA104">
        <f t="shared" si="129"/>
        <v>9.5544614290721128E-2</v>
      </c>
      <c r="AB104">
        <f t="shared" si="129"/>
        <v>9.7002394623678184E-2</v>
      </c>
      <c r="AC104">
        <f t="shared" si="129"/>
        <v>0.1001153316936369</v>
      </c>
      <c r="AD104">
        <f t="shared" si="129"/>
        <v>0.10242151273277911</v>
      </c>
      <c r="AE104">
        <f t="shared" si="129"/>
        <v>0.10535816329085472</v>
      </c>
      <c r="AF104">
        <f t="shared" si="129"/>
        <v>0.10792387008110044</v>
      </c>
      <c r="AG104">
        <f t="shared" si="129"/>
        <v>0.11106995892580562</v>
      </c>
      <c r="AH104">
        <f t="shared" si="129"/>
        <v>0.11692430099766775</v>
      </c>
      <c r="AI104">
        <f t="shared" si="129"/>
        <v>0.12050256531586456</v>
      </c>
      <c r="AJ104">
        <f t="shared" si="129"/>
        <v>0.12426768998637762</v>
      </c>
      <c r="AK104">
        <f t="shared" si="129"/>
        <v>0.12821106375558453</v>
      </c>
      <c r="AL104">
        <f t="shared" si="129"/>
        <v>0.13216565572462263</v>
      </c>
      <c r="AM104">
        <f t="shared" si="129"/>
        <v>0.13655475525601835</v>
      </c>
      <c r="AN104">
        <f t="shared" si="129"/>
        <v>0.16119265870797739</v>
      </c>
      <c r="AO104">
        <f t="shared" si="129"/>
        <v>0.18858927003466319</v>
      </c>
      <c r="AP104">
        <f t="shared" si="129"/>
        <v>0.22131486620907501</v>
      </c>
      <c r="AQ104">
        <f t="shared" si="129"/>
        <v>0.24782410215399739</v>
      </c>
    </row>
    <row r="105" spans="1:43">
      <c r="A105" s="44" t="str">
        <f>'[4]TS BYDem'!A95</f>
        <v/>
      </c>
      <c r="B105" t="s">
        <v>272</v>
      </c>
      <c r="C105" t="s">
        <v>125</v>
      </c>
      <c r="D105" s="5" t="s">
        <v>326</v>
      </c>
      <c r="E105" t="s">
        <v>125</v>
      </c>
      <c r="F105" t="s">
        <v>125</v>
      </c>
      <c r="G105" t="s">
        <v>125</v>
      </c>
      <c r="I105" t="s">
        <v>125</v>
      </c>
      <c r="J105">
        <v>0</v>
      </c>
      <c r="K105">
        <f>INDEX('[4]TS BYDem'!$J$10:$J$203,MATCH(D105,'[4]TS BYDem'!$D$10:$D$203,0))</f>
        <v>0</v>
      </c>
      <c r="L105">
        <f t="shared" ref="L105:M113" si="132">L$103/K$103*K105</f>
        <v>0</v>
      </c>
      <c r="M105">
        <f t="shared" si="129"/>
        <v>0</v>
      </c>
      <c r="N105" s="160">
        <f t="shared" si="130"/>
        <v>0</v>
      </c>
      <c r="O105" s="160">
        <f t="shared" si="131"/>
        <v>0</v>
      </c>
      <c r="P105" s="282">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0">
        <f t="shared" si="130"/>
        <v>3.01888265010824E-2</v>
      </c>
      <c r="O106" s="160">
        <f t="shared" si="131"/>
        <v>3.01888265010824E-2</v>
      </c>
      <c r="P106" s="282">
        <f>IFERROR(INDEX('BY-DMD'!$I$5:$I$138,MATCH(D106,'BY-DMD'!$H$5:$H$138,0)),"")</f>
        <v>3.01888265010824E-2</v>
      </c>
      <c r="Q106">
        <f t="shared" si="129"/>
        <v>2.9632238918296912E-2</v>
      </c>
      <c r="R106">
        <f t="shared" si="129"/>
        <v>2.8454531859069643E-2</v>
      </c>
      <c r="S106">
        <f t="shared" si="129"/>
        <v>2.6822964665315648E-2</v>
      </c>
      <c r="T106">
        <f t="shared" si="129"/>
        <v>2.6343559366712104E-2</v>
      </c>
      <c r="U106">
        <f t="shared" si="129"/>
        <v>2.9912022779538118E-2</v>
      </c>
      <c r="V106">
        <f t="shared" si="129"/>
        <v>2.804648573785145E-2</v>
      </c>
      <c r="W106">
        <f t="shared" si="129"/>
        <v>2.7646343608110552E-2</v>
      </c>
      <c r="X106">
        <f t="shared" si="129"/>
        <v>2.7390754242940192E-2</v>
      </c>
      <c r="Y106">
        <f t="shared" si="129"/>
        <v>2.8148402960712707E-2</v>
      </c>
      <c r="Z106">
        <f t="shared" si="129"/>
        <v>2.8316330319710779E-2</v>
      </c>
      <c r="AA106">
        <f t="shared" si="129"/>
        <v>2.8663384287216237E-2</v>
      </c>
      <c r="AB106">
        <f t="shared" si="129"/>
        <v>2.9100718387103354E-2</v>
      </c>
      <c r="AC106">
        <f t="shared" si="129"/>
        <v>3.0034599508090967E-2</v>
      </c>
      <c r="AD106">
        <f t="shared" si="129"/>
        <v>3.0726453819833629E-2</v>
      </c>
      <c r="AE106">
        <f t="shared" si="129"/>
        <v>3.1607448987256308E-2</v>
      </c>
      <c r="AF106">
        <f t="shared" si="129"/>
        <v>3.2377161024330019E-2</v>
      </c>
      <c r="AG106">
        <f t="shared" si="129"/>
        <v>3.3320987677741574E-2</v>
      </c>
      <c r="AH106">
        <f t="shared" si="129"/>
        <v>3.5077290299300207E-2</v>
      </c>
      <c r="AI106">
        <f t="shared" si="129"/>
        <v>3.6150769594759248E-2</v>
      </c>
      <c r="AJ106">
        <f t="shared" si="129"/>
        <v>3.7280306995913164E-2</v>
      </c>
      <c r="AK106">
        <f t="shared" si="129"/>
        <v>3.8463319126675236E-2</v>
      </c>
      <c r="AL106">
        <f t="shared" si="129"/>
        <v>3.9649696717386662E-2</v>
      </c>
      <c r="AM106">
        <f t="shared" si="129"/>
        <v>4.0966426576805375E-2</v>
      </c>
      <c r="AN106">
        <f t="shared" si="129"/>
        <v>4.8357797612393068E-2</v>
      </c>
      <c r="AO106">
        <f t="shared" si="129"/>
        <v>5.6576781010398779E-2</v>
      </c>
      <c r="AP106">
        <f t="shared" si="129"/>
        <v>6.6394459862722299E-2</v>
      </c>
      <c r="AQ106">
        <f t="shared" si="129"/>
        <v>7.4347230646198983E-2</v>
      </c>
    </row>
    <row r="107" spans="1:43">
      <c r="A107" s="44" t="str">
        <f>'[4]TS BYDem'!A97</f>
        <v/>
      </c>
      <c r="B107" t="s">
        <v>272</v>
      </c>
      <c r="C107" t="s">
        <v>125</v>
      </c>
      <c r="D107" s="5" t="s">
        <v>327</v>
      </c>
      <c r="E107" t="s">
        <v>125</v>
      </c>
      <c r="F107" t="s">
        <v>125</v>
      </c>
      <c r="G107" t="s">
        <v>125</v>
      </c>
      <c r="I107" t="s">
        <v>125</v>
      </c>
      <c r="J107">
        <v>0</v>
      </c>
      <c r="K107">
        <f>INDEX('[4]TS BYDem'!$J$10:$J$203,MATCH(D107,'[4]TS BYDem'!$D$10:$D$203,0))</f>
        <v>0</v>
      </c>
      <c r="L107">
        <f t="shared" si="132"/>
        <v>0</v>
      </c>
      <c r="M107">
        <f t="shared" si="129"/>
        <v>0</v>
      </c>
      <c r="N107" s="160">
        <f t="shared" si="130"/>
        <v>0</v>
      </c>
      <c r="O107" s="160">
        <f t="shared" si="131"/>
        <v>0</v>
      </c>
      <c r="P107" s="282">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0">
        <f t="shared" si="130"/>
        <v>9.0566479503247102E-2</v>
      </c>
      <c r="O108" s="160">
        <f t="shared" si="131"/>
        <v>9.0566479503247102E-2</v>
      </c>
      <c r="P108" s="282">
        <f>IFERROR(INDEX('BY-DMD'!$I$5:$I$138,MATCH(D108,'BY-DMD'!$H$5:$H$138,0)),"")</f>
        <v>9.0566479503247102E-2</v>
      </c>
      <c r="Q108">
        <f t="shared" si="129"/>
        <v>8.8896716754890637E-2</v>
      </c>
      <c r="R108">
        <f t="shared" si="129"/>
        <v>8.5363595577208837E-2</v>
      </c>
      <c r="S108">
        <f t="shared" si="129"/>
        <v>8.0468893995946852E-2</v>
      </c>
      <c r="T108">
        <f t="shared" si="129"/>
        <v>7.9030678100136226E-2</v>
      </c>
      <c r="U108">
        <f t="shared" si="129"/>
        <v>8.973606833861425E-2</v>
      </c>
      <c r="V108">
        <f t="shared" si="129"/>
        <v>8.4139457213554245E-2</v>
      </c>
      <c r="W108">
        <f t="shared" si="129"/>
        <v>8.2939030824331558E-2</v>
      </c>
      <c r="X108">
        <f t="shared" si="129"/>
        <v>8.2172262728820472E-2</v>
      </c>
      <c r="Y108">
        <f t="shared" si="129"/>
        <v>8.4445208882138009E-2</v>
      </c>
      <c r="Z108">
        <f t="shared" si="129"/>
        <v>8.494899095913222E-2</v>
      </c>
      <c r="AA108">
        <f t="shared" si="129"/>
        <v>8.59901528616486E-2</v>
      </c>
      <c r="AB108">
        <f t="shared" si="129"/>
        <v>8.7302155161309944E-2</v>
      </c>
      <c r="AC108">
        <f t="shared" si="129"/>
        <v>9.0103798524272777E-2</v>
      </c>
      <c r="AD108">
        <f t="shared" si="129"/>
        <v>9.2179361459500758E-2</v>
      </c>
      <c r="AE108">
        <f t="shared" si="129"/>
        <v>9.4822346961768791E-2</v>
      </c>
      <c r="AF108">
        <f t="shared" si="129"/>
        <v>9.7131483072989924E-2</v>
      </c>
      <c r="AG108">
        <f t="shared" si="129"/>
        <v>9.9962963033224578E-2</v>
      </c>
      <c r="AH108">
        <f t="shared" si="129"/>
        <v>0.10523187089790047</v>
      </c>
      <c r="AI108">
        <f t="shared" si="129"/>
        <v>0.10845230878427758</v>
      </c>
      <c r="AJ108">
        <f t="shared" si="129"/>
        <v>0.11184092098773932</v>
      </c>
      <c r="AK108">
        <f t="shared" si="129"/>
        <v>0.11538995738002553</v>
      </c>
      <c r="AL108">
        <f t="shared" si="129"/>
        <v>0.11894909015215981</v>
      </c>
      <c r="AM108">
        <f t="shared" si="129"/>
        <v>0.12289927973041594</v>
      </c>
      <c r="AN108">
        <f t="shared" si="129"/>
        <v>0.14507339283717899</v>
      </c>
      <c r="AO108">
        <f t="shared" si="129"/>
        <v>0.16973034303119608</v>
      </c>
      <c r="AP108">
        <f t="shared" si="129"/>
        <v>0.19918337958816656</v>
      </c>
      <c r="AQ108">
        <f t="shared" si="129"/>
        <v>0.2230416919385966</v>
      </c>
    </row>
    <row r="109" spans="1:43">
      <c r="A109" s="44" t="str">
        <f>'[4]TS BYDem'!A99</f>
        <v/>
      </c>
      <c r="B109" t="s">
        <v>272</v>
      </c>
      <c r="C109" t="s">
        <v>125</v>
      </c>
      <c r="D109" s="5" t="s">
        <v>334</v>
      </c>
      <c r="E109" t="s">
        <v>125</v>
      </c>
      <c r="F109" t="s">
        <v>125</v>
      </c>
      <c r="G109" t="s">
        <v>125</v>
      </c>
      <c r="I109" t="s">
        <v>125</v>
      </c>
      <c r="J109">
        <v>0</v>
      </c>
      <c r="K109">
        <f>INDEX('[4]TS BYDem'!$J$10:$J$203,MATCH(D109,'[4]TS BYDem'!$D$10:$D$203,0))</f>
        <v>0</v>
      </c>
      <c r="L109">
        <f t="shared" si="132"/>
        <v>0</v>
      </c>
      <c r="M109">
        <f t="shared" si="129"/>
        <v>0</v>
      </c>
      <c r="N109" s="160">
        <f t="shared" si="130"/>
        <v>0</v>
      </c>
      <c r="O109" s="160">
        <f t="shared" si="131"/>
        <v>0</v>
      </c>
      <c r="P109" s="282">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c r="A110" s="44" t="str">
        <f>'[4]TS BYDem'!A100</f>
        <v/>
      </c>
      <c r="B110" t="s">
        <v>272</v>
      </c>
      <c r="C110" t="s">
        <v>125</v>
      </c>
      <c r="D110" s="5" t="s">
        <v>329</v>
      </c>
      <c r="E110" t="s">
        <v>125</v>
      </c>
      <c r="F110" t="s">
        <v>125</v>
      </c>
      <c r="G110" t="s">
        <v>125</v>
      </c>
      <c r="I110" t="s">
        <v>125</v>
      </c>
      <c r="J110">
        <v>0</v>
      </c>
      <c r="K110">
        <f>INDEX('[4]TS BYDem'!$J$10:$J$203,MATCH(D110,'[4]TS BYDem'!$D$10:$D$203,0))</f>
        <v>0</v>
      </c>
      <c r="L110">
        <f t="shared" si="132"/>
        <v>0</v>
      </c>
      <c r="M110">
        <f t="shared" si="129"/>
        <v>0</v>
      </c>
      <c r="N110" s="160">
        <f t="shared" si="130"/>
        <v>0</v>
      </c>
      <c r="O110" s="160">
        <f t="shared" si="131"/>
        <v>0</v>
      </c>
      <c r="P110" s="282">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0">
        <f t="shared" si="130"/>
        <v>0.56352476135353802</v>
      </c>
      <c r="O111" s="160">
        <f t="shared" si="131"/>
        <v>0.56352476135353802</v>
      </c>
      <c r="P111" s="282">
        <f>IFERROR(INDEX('BY-DMD'!$I$5:$I$138,MATCH(D111,'BY-DMD'!$H$5:$H$138,0)),"")</f>
        <v>0.56352476135353802</v>
      </c>
      <c r="Q111">
        <f t="shared" si="129"/>
        <v>0.55313512647487562</v>
      </c>
      <c r="R111">
        <f t="shared" si="129"/>
        <v>0.53115126136929991</v>
      </c>
      <c r="S111">
        <f t="shared" si="129"/>
        <v>0.50069534041922537</v>
      </c>
      <c r="T111">
        <f t="shared" si="129"/>
        <v>0.49174644151195923</v>
      </c>
      <c r="U111">
        <f t="shared" si="129"/>
        <v>0.55835775855137815</v>
      </c>
      <c r="V111">
        <f t="shared" si="129"/>
        <v>0.52353440043989363</v>
      </c>
      <c r="W111">
        <f t="shared" si="129"/>
        <v>0.51606508068473023</v>
      </c>
      <c r="X111">
        <f t="shared" si="129"/>
        <v>0.51129407920155012</v>
      </c>
      <c r="Y111">
        <f t="shared" si="129"/>
        <v>0.52543685526663708</v>
      </c>
      <c r="Z111">
        <f t="shared" si="129"/>
        <v>0.52857149930126779</v>
      </c>
      <c r="AA111">
        <f t="shared" si="129"/>
        <v>0.53504984002803635</v>
      </c>
      <c r="AB111">
        <f t="shared" si="129"/>
        <v>0.54321340989259581</v>
      </c>
      <c r="AC111">
        <f t="shared" si="129"/>
        <v>0.56064585748436457</v>
      </c>
      <c r="AD111">
        <f t="shared" si="129"/>
        <v>0.57356047130356091</v>
      </c>
      <c r="AE111">
        <f t="shared" si="129"/>
        <v>0.59000571442878424</v>
      </c>
      <c r="AF111">
        <f t="shared" si="129"/>
        <v>0.60437367245416018</v>
      </c>
      <c r="AG111">
        <f t="shared" si="129"/>
        <v>0.62199176998450922</v>
      </c>
      <c r="AH111">
        <f t="shared" si="129"/>
        <v>0.65477608558693701</v>
      </c>
      <c r="AI111">
        <f t="shared" si="129"/>
        <v>0.67481436576883913</v>
      </c>
      <c r="AJ111">
        <f t="shared" si="129"/>
        <v>0.69589906392371215</v>
      </c>
      <c r="AK111">
        <f t="shared" si="129"/>
        <v>0.71798195703127077</v>
      </c>
      <c r="AL111">
        <f t="shared" si="129"/>
        <v>0.7401276720578841</v>
      </c>
      <c r="AM111">
        <f t="shared" si="129"/>
        <v>0.76470662943370005</v>
      </c>
      <c r="AN111">
        <f t="shared" si="129"/>
        <v>0.90267888876467017</v>
      </c>
      <c r="AO111">
        <f t="shared" si="129"/>
        <v>1.0560999121941101</v>
      </c>
      <c r="AP111">
        <f t="shared" si="129"/>
        <v>1.2393632507708157</v>
      </c>
      <c r="AQ111">
        <f t="shared" si="129"/>
        <v>1.3878149720623805</v>
      </c>
    </row>
    <row r="112" spans="1:43">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0">
        <f t="shared" si="130"/>
        <v>6.8830524422467798</v>
      </c>
      <c r="O112" s="160">
        <f t="shared" si="131"/>
        <v>6.8830524422467798</v>
      </c>
      <c r="P112" s="282">
        <f>IFERROR(INDEX('BY-DMD'!$I$5:$I$138,MATCH(D112,'BY-DMD'!$H$5:$H$138,0)),"")</f>
        <v>6.8830524422467798</v>
      </c>
      <c r="Q112">
        <f t="shared" si="129"/>
        <v>6.7561504733716884</v>
      </c>
      <c r="R112">
        <f t="shared" si="129"/>
        <v>6.4876332638678713</v>
      </c>
      <c r="S112">
        <f t="shared" si="129"/>
        <v>6.1156359436919612</v>
      </c>
      <c r="T112">
        <f t="shared" si="129"/>
        <v>6.0063315356103537</v>
      </c>
      <c r="U112">
        <f t="shared" si="129"/>
        <v>6.8199411937346843</v>
      </c>
      <c r="V112">
        <f t="shared" si="129"/>
        <v>6.3945987482301243</v>
      </c>
      <c r="W112">
        <f t="shared" si="129"/>
        <v>6.3033663426491993</v>
      </c>
      <c r="X112">
        <f t="shared" si="129"/>
        <v>6.2450919673903567</v>
      </c>
      <c r="Y112">
        <f t="shared" si="129"/>
        <v>6.4178358750424902</v>
      </c>
      <c r="Z112">
        <f t="shared" si="129"/>
        <v>6.4561233128940501</v>
      </c>
      <c r="AA112">
        <f t="shared" si="129"/>
        <v>6.5352516174852946</v>
      </c>
      <c r="AB112">
        <f t="shared" si="129"/>
        <v>6.6349637922595575</v>
      </c>
      <c r="AC112">
        <f t="shared" si="129"/>
        <v>6.8478886878447325</v>
      </c>
      <c r="AD112">
        <f t="shared" si="129"/>
        <v>7.0056314709220588</v>
      </c>
      <c r="AE112">
        <f t="shared" si="129"/>
        <v>7.2064983690944295</v>
      </c>
      <c r="AF112">
        <f t="shared" si="129"/>
        <v>7.3819927135472359</v>
      </c>
      <c r="AG112">
        <f t="shared" si="129"/>
        <v>7.59718519052507</v>
      </c>
      <c r="AH112">
        <f t="shared" si="129"/>
        <v>7.9976221882404381</v>
      </c>
      <c r="AI112">
        <f t="shared" si="129"/>
        <v>8.2423754676050986</v>
      </c>
      <c r="AJ112">
        <f t="shared" si="129"/>
        <v>8.4999099950681902</v>
      </c>
      <c r="AK112">
        <f t="shared" si="129"/>
        <v>8.7696367608819425</v>
      </c>
      <c r="AL112">
        <f t="shared" si="129"/>
        <v>9.0401308515641468</v>
      </c>
      <c r="AM112">
        <f t="shared" si="129"/>
        <v>9.3403452595116132</v>
      </c>
      <c r="AN112">
        <f t="shared" si="129"/>
        <v>11.025577855625604</v>
      </c>
      <c r="AO112">
        <f t="shared" si="129"/>
        <v>12.899506070370904</v>
      </c>
      <c r="AP112">
        <f t="shared" si="129"/>
        <v>15.137936848700663</v>
      </c>
      <c r="AQ112">
        <f t="shared" si="129"/>
        <v>16.951168587333346</v>
      </c>
    </row>
    <row r="113" spans="1:43">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2"/>
        <v>2.1111087609157093</v>
      </c>
      <c r="M113">
        <f t="shared" si="132"/>
        <v>1.9379097668958214</v>
      </c>
      <c r="N113" s="160">
        <f t="shared" ref="N113" si="133">P113</f>
        <v>1.9115200000000001</v>
      </c>
      <c r="O113" s="160">
        <f t="shared" ref="O113" si="134">P113</f>
        <v>1.9115200000000001</v>
      </c>
      <c r="P113" s="282">
        <f>IFERROR(INDEX('BY-DMD'!$I$5:$I$138,MATCH(D113,'BY-DMD'!$H$5:$H$138,0)),"")</f>
        <v>1.9115200000000001</v>
      </c>
      <c r="Q113">
        <f t="shared" ref="Q113:AE113" si="135">Q$103/P$103*P113</f>
        <v>1.8762775470941884</v>
      </c>
      <c r="R113">
        <f t="shared" si="135"/>
        <v>1.8017065597862387</v>
      </c>
      <c r="S113">
        <f t="shared" si="135"/>
        <v>1.6983976974131745</v>
      </c>
      <c r="T113">
        <f t="shared" si="135"/>
        <v>1.6680423334392291</v>
      </c>
      <c r="U113">
        <f t="shared" si="135"/>
        <v>1.893993122968614</v>
      </c>
      <c r="V113">
        <f t="shared" si="135"/>
        <v>1.7758695726611171</v>
      </c>
      <c r="W113">
        <f t="shared" si="135"/>
        <v>1.7505330567215227</v>
      </c>
      <c r="X113">
        <f t="shared" si="135"/>
        <v>1.7343494470905578</v>
      </c>
      <c r="Y113">
        <f t="shared" si="135"/>
        <v>1.7823228480090927</v>
      </c>
      <c r="Z113">
        <f t="shared" si="135"/>
        <v>1.7929558053802739</v>
      </c>
      <c r="AA113">
        <f t="shared" si="135"/>
        <v>1.8149308430632474</v>
      </c>
      <c r="AB113">
        <f t="shared" si="135"/>
        <v>1.8426223095926353</v>
      </c>
      <c r="AC113">
        <f t="shared" si="135"/>
        <v>1.9017545332425421</v>
      </c>
      <c r="AD113">
        <f t="shared" si="135"/>
        <v>1.9455619119074568</v>
      </c>
      <c r="AE113">
        <f t="shared" si="135"/>
        <v>2.0013454609093175</v>
      </c>
      <c r="AF113">
        <f t="shared" ref="AF113:AQ113" si="136">AF$103/AE$103*AE113</f>
        <v>2.0500826966231465</v>
      </c>
      <c r="AG113">
        <f t="shared" si="136"/>
        <v>2.1098446593633864</v>
      </c>
      <c r="AH113">
        <f t="shared" si="136"/>
        <v>2.2210516182374382</v>
      </c>
      <c r="AI113">
        <f t="shared" si="136"/>
        <v>2.289023029540302</v>
      </c>
      <c r="AJ113">
        <f t="shared" si="136"/>
        <v>2.3605439723293937</v>
      </c>
      <c r="AK113">
        <f t="shared" si="136"/>
        <v>2.4354508703538413</v>
      </c>
      <c r="AL113">
        <f t="shared" si="136"/>
        <v>2.5105708652339138</v>
      </c>
      <c r="AM113">
        <f t="shared" si="136"/>
        <v>2.5939446081909581</v>
      </c>
      <c r="AN113">
        <f t="shared" si="136"/>
        <v>3.0619572870355634</v>
      </c>
      <c r="AO113">
        <f t="shared" si="136"/>
        <v>3.5823733802014432</v>
      </c>
      <c r="AP113">
        <f t="shared" si="136"/>
        <v>4.2040169369366005</v>
      </c>
      <c r="AQ113">
        <f t="shared" si="136"/>
        <v>4.7075767691641399</v>
      </c>
    </row>
    <row r="114" spans="1:43" s="4" customFormat="1">
      <c r="A114" s="44" t="str">
        <f>'[4]TS BYDem'!A127</f>
        <v>*</v>
      </c>
      <c r="B114" s="278"/>
      <c r="C114" s="3" t="s">
        <v>757</v>
      </c>
      <c r="D114" s="3" t="s">
        <v>735</v>
      </c>
      <c r="K114" s="4">
        <f t="shared" ref="K114:AB114" si="137">SUMIF($B$10:$B$25,$D114,K$10:K$25)*SUMIF($B$10:$B$25,$D114,K$47:K$62)</f>
        <v>138.08343097582718</v>
      </c>
      <c r="L114" s="4">
        <f t="shared" si="137"/>
        <v>143.16360238477418</v>
      </c>
      <c r="M114" s="4">
        <f t="shared" si="137"/>
        <v>146.98438355117329</v>
      </c>
      <c r="N114" s="4">
        <f t="shared" si="137"/>
        <v>148.78204922418408</v>
      </c>
      <c r="O114" s="4">
        <f t="shared" si="137"/>
        <v>151.86270236184362</v>
      </c>
      <c r="P114" s="4">
        <f t="shared" si="137"/>
        <v>153.55950890468549</v>
      </c>
      <c r="Q114" s="4">
        <f t="shared" si="137"/>
        <v>155.74281242834212</v>
      </c>
      <c r="R114" s="4">
        <f t="shared" si="137"/>
        <v>155.24</v>
      </c>
      <c r="S114" s="4">
        <f t="shared" si="137"/>
        <v>152.88999999999999</v>
      </c>
      <c r="T114" s="4">
        <f t="shared" si="137"/>
        <v>167.84243905394951</v>
      </c>
      <c r="U114" s="4">
        <f t="shared" si="137"/>
        <v>175.74598934552819</v>
      </c>
      <c r="V114" s="4">
        <f t="shared" si="137"/>
        <v>177.26061422911349</v>
      </c>
      <c r="W114" s="4">
        <f t="shared" si="137"/>
        <v>179.05367385700237</v>
      </c>
      <c r="X114" s="4">
        <f t="shared" si="137"/>
        <v>178.84289973904794</v>
      </c>
      <c r="Y114" s="4">
        <f t="shared" si="137"/>
        <v>178.90682100482667</v>
      </c>
      <c r="Z114" s="4">
        <f t="shared" si="137"/>
        <v>181.8907212467216</v>
      </c>
      <c r="AA114" s="4">
        <f t="shared" si="137"/>
        <v>185.10903244659426</v>
      </c>
      <c r="AB114" s="4">
        <f t="shared" si="137"/>
        <v>188.91754629489398</v>
      </c>
      <c r="AC114" s="4">
        <f>SUMIF($B$10:$B$25,$D114,AC$10:AC$25)*SUMIF($B$10:$B$25,$D114,AC$46:AC$62)</f>
        <v>194.55995914288485</v>
      </c>
      <c r="AD114" s="4">
        <f t="shared" ref="AD114:AQ114" si="138">SUMIF($B$10:$B$25,$D114,AD$10:AD$25)*SUMIF($B$10:$B$25,$D114,AD$47:AD$62)</f>
        <v>200.10597026596238</v>
      </c>
      <c r="AE114" s="4">
        <f t="shared" si="138"/>
        <v>205.54370870590103</v>
      </c>
      <c r="AF114" s="4">
        <f t="shared" si="138"/>
        <v>211.17191864853268</v>
      </c>
      <c r="AG114" s="4">
        <f t="shared" si="138"/>
        <v>216.90422945515118</v>
      </c>
      <c r="AH114" s="4">
        <f t="shared" si="138"/>
        <v>225.20795906918318</v>
      </c>
      <c r="AI114" s="4">
        <f t="shared" si="138"/>
        <v>230.71973486572091</v>
      </c>
      <c r="AJ114" s="4">
        <f t="shared" si="138"/>
        <v>236.28253705602015</v>
      </c>
      <c r="AK114" s="4">
        <f t="shared" si="138"/>
        <v>242.22394792492062</v>
      </c>
      <c r="AL114" s="4">
        <f t="shared" si="138"/>
        <v>248.5814770536862</v>
      </c>
      <c r="AM114" s="4">
        <f t="shared" si="138"/>
        <v>254.81249221131321</v>
      </c>
      <c r="AN114" s="4">
        <f t="shared" si="138"/>
        <v>288.38747849268674</v>
      </c>
      <c r="AO114" s="4">
        <f t="shared" si="138"/>
        <v>327.49205119970406</v>
      </c>
      <c r="AP114" s="4">
        <f t="shared" si="138"/>
        <v>369.50068263836943</v>
      </c>
      <c r="AQ114" s="4">
        <f t="shared" si="138"/>
        <v>413.7597102656278</v>
      </c>
    </row>
    <row r="115" spans="1:43">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ref="L115:M124" si="139">L$114/K$114*K115</f>
        <v>1.1587245953221033</v>
      </c>
      <c r="M115">
        <f t="shared" si="139"/>
        <v>1.1896488877896207</v>
      </c>
      <c r="N115" s="160">
        <f t="shared" ref="N115:N123" si="140">P115</f>
        <v>1.04664</v>
      </c>
      <c r="O115" s="160">
        <f t="shared" ref="O115:O123" si="141">P115</f>
        <v>1.04664</v>
      </c>
      <c r="P115" s="282">
        <f>IFERROR(INDEX('BY-DMD'!$I$5:$I$138,MATCH(D115,'BY-DMD'!$H$5:$H$138,0)),"")</f>
        <v>1.04664</v>
      </c>
      <c r="Q115">
        <f t="shared" ref="Q115:AQ115" si="142">Q$114/P$114*P115</f>
        <v>1.0615210895287399</v>
      </c>
      <c r="R115">
        <f t="shared" si="142"/>
        <v>1.0580939907853684</v>
      </c>
      <c r="S115">
        <f t="shared" si="142"/>
        <v>1.0420767215355253</v>
      </c>
      <c r="T115">
        <f t="shared" si="142"/>
        <v>1.1439904416499833</v>
      </c>
      <c r="U115">
        <f t="shared" si="142"/>
        <v>1.1978599280541919</v>
      </c>
      <c r="V115">
        <f t="shared" si="142"/>
        <v>1.2081833980852124</v>
      </c>
      <c r="W115">
        <f t="shared" si="142"/>
        <v>1.220404640145178</v>
      </c>
      <c r="X115">
        <f t="shared" si="142"/>
        <v>1.2189680334225508</v>
      </c>
      <c r="Y115">
        <f t="shared" si="142"/>
        <v>1.2194037117735164</v>
      </c>
      <c r="Z115">
        <f t="shared" si="142"/>
        <v>1.2397415558539855</v>
      </c>
      <c r="AA115">
        <f t="shared" si="142"/>
        <v>1.2616771120319197</v>
      </c>
      <c r="AB115">
        <f t="shared" si="142"/>
        <v>1.28763540639361</v>
      </c>
      <c r="AC115">
        <f t="shared" si="142"/>
        <v>1.3260932982255429</v>
      </c>
      <c r="AD115">
        <f t="shared" si="142"/>
        <v>1.3638941294685032</v>
      </c>
      <c r="AE115">
        <f t="shared" si="142"/>
        <v>1.4009569893420004</v>
      </c>
      <c r="AF115">
        <f t="shared" si="142"/>
        <v>1.4393180761699895</v>
      </c>
      <c r="AG115">
        <f t="shared" si="142"/>
        <v>1.4783886998352631</v>
      </c>
      <c r="AH115">
        <f t="shared" si="142"/>
        <v>1.5349857521781758</v>
      </c>
      <c r="AI115">
        <f t="shared" si="142"/>
        <v>1.5725532402538831</v>
      </c>
      <c r="AJ115">
        <f t="shared" si="142"/>
        <v>1.6104685170477722</v>
      </c>
      <c r="AK115">
        <f t="shared" si="142"/>
        <v>1.650964337307824</v>
      </c>
      <c r="AL115">
        <f t="shared" si="142"/>
        <v>1.694296361060657</v>
      </c>
      <c r="AM115">
        <f t="shared" si="142"/>
        <v>1.7367660833923866</v>
      </c>
      <c r="AN115">
        <f t="shared" si="142"/>
        <v>1.9656084643832556</v>
      </c>
      <c r="AO115">
        <f t="shared" si="142"/>
        <v>2.2321397281910667</v>
      </c>
      <c r="AP115">
        <f t="shared" si="142"/>
        <v>2.5184646475827774</v>
      </c>
      <c r="AQ115">
        <f t="shared" si="142"/>
        <v>2.8201279506644941</v>
      </c>
    </row>
    <row r="116" spans="1:43">
      <c r="A116" s="44" t="str">
        <f>'[4]TS BYDem'!A133</f>
        <v/>
      </c>
      <c r="B116" t="s">
        <v>272</v>
      </c>
      <c r="C116" t="s">
        <v>125</v>
      </c>
      <c r="D116" s="5" t="s">
        <v>305</v>
      </c>
      <c r="E116" t="s">
        <v>125</v>
      </c>
      <c r="F116" t="s">
        <v>125</v>
      </c>
      <c r="G116" t="s">
        <v>125</v>
      </c>
      <c r="I116" t="s">
        <v>125</v>
      </c>
      <c r="J116">
        <v>0</v>
      </c>
      <c r="K116">
        <f>INDEX('[4]TS BYDem'!$J$10:$J$203,MATCH(D116,'[4]TS BYDem'!$D$10:$D$203,0))</f>
        <v>3.1931633262906697E-2</v>
      </c>
      <c r="L116">
        <f t="shared" si="139"/>
        <v>3.3106417009202783E-2</v>
      </c>
      <c r="M116">
        <f t="shared" si="139"/>
        <v>3.3989968222560424E-2</v>
      </c>
      <c r="N116" s="160">
        <f t="shared" si="140"/>
        <v>2.9904E-2</v>
      </c>
      <c r="O116" s="160">
        <f t="shared" si="141"/>
        <v>2.9904E-2</v>
      </c>
      <c r="P116" s="282">
        <f>IFERROR(INDEX('BY-DMD'!$I$5:$I$138,MATCH(D116,'BY-DMD'!$H$5:$H$138,0)),"")</f>
        <v>2.9904E-2</v>
      </c>
      <c r="Q116">
        <f t="shared" ref="Q116:AQ116" si="143">Q$114/P$114*P116</f>
        <v>3.0329173986535427E-2</v>
      </c>
      <c r="R116">
        <f t="shared" si="143"/>
        <v>3.0231256879581957E-2</v>
      </c>
      <c r="S116">
        <f t="shared" si="143"/>
        <v>2.9773620615300724E-2</v>
      </c>
      <c r="T116">
        <f t="shared" si="143"/>
        <v>3.2685441189999519E-2</v>
      </c>
      <c r="U116">
        <f t="shared" si="143"/>
        <v>3.4224569372976903E-2</v>
      </c>
      <c r="V116">
        <f t="shared" si="143"/>
        <v>3.4519525659577485E-2</v>
      </c>
      <c r="W116">
        <f t="shared" si="143"/>
        <v>3.4868704004147932E-2</v>
      </c>
      <c r="X116">
        <f t="shared" si="143"/>
        <v>3.4827658097787151E-2</v>
      </c>
      <c r="Y116">
        <f t="shared" si="143"/>
        <v>3.4840106050671879E-2</v>
      </c>
      <c r="Z116">
        <f t="shared" si="143"/>
        <v>3.5421187310113851E-2</v>
      </c>
      <c r="AA116">
        <f t="shared" si="143"/>
        <v>3.6047917486626259E-2</v>
      </c>
      <c r="AB116">
        <f t="shared" si="143"/>
        <v>3.6789583039817407E-2</v>
      </c>
      <c r="AC116">
        <f t="shared" si="143"/>
        <v>3.7888379949301207E-2</v>
      </c>
      <c r="AD116">
        <f t="shared" si="143"/>
        <v>3.8968403699100075E-2</v>
      </c>
      <c r="AE116">
        <f t="shared" si="143"/>
        <v>4.0027342552628561E-2</v>
      </c>
      <c r="AF116">
        <f t="shared" si="143"/>
        <v>4.1123373604856822E-2</v>
      </c>
      <c r="AG116">
        <f t="shared" si="143"/>
        <v>4.2239677138150356E-2</v>
      </c>
      <c r="AH116">
        <f t="shared" si="143"/>
        <v>4.3856735776519287E-2</v>
      </c>
      <c r="AI116">
        <f t="shared" si="143"/>
        <v>4.4930092578682357E-2</v>
      </c>
      <c r="AJ116">
        <f t="shared" si="143"/>
        <v>4.60133862013649E-2</v>
      </c>
      <c r="AK116">
        <f t="shared" si="143"/>
        <v>4.7170409637366385E-2</v>
      </c>
      <c r="AL116">
        <f t="shared" si="143"/>
        <v>4.8408467458875899E-2</v>
      </c>
      <c r="AM116">
        <f t="shared" si="143"/>
        <v>4.9621888096925311E-2</v>
      </c>
      <c r="AN116">
        <f t="shared" si="143"/>
        <v>5.616024183952157E-2</v>
      </c>
      <c r="AO116">
        <f t="shared" si="143"/>
        <v>6.3775420805459018E-2</v>
      </c>
      <c r="AP116">
        <f t="shared" si="143"/>
        <v>7.1956132788079316E-2</v>
      </c>
      <c r="AQ116">
        <f t="shared" si="143"/>
        <v>8.0575084304699784E-2</v>
      </c>
    </row>
    <row r="117" spans="1:43">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0">
        <f t="shared" si="140"/>
        <v>0.22428000000000001</v>
      </c>
      <c r="O117" s="160">
        <f t="shared" si="141"/>
        <v>0.22428000000000001</v>
      </c>
      <c r="P117" s="282">
        <f>IFERROR(INDEX('BY-DMD'!$I$5:$I$138,MATCH(D117,'BY-DMD'!$H$5:$H$138,0)),"")</f>
        <v>0.22428000000000001</v>
      </c>
      <c r="Q117">
        <f t="shared" ref="Q117:AQ117" si="144">Q$114/P$114*P117</f>
        <v>0.22746880489901572</v>
      </c>
      <c r="R117">
        <f t="shared" si="144"/>
        <v>0.22673442659686469</v>
      </c>
      <c r="S117">
        <f t="shared" si="144"/>
        <v>0.22330215461475544</v>
      </c>
      <c r="T117">
        <f t="shared" si="144"/>
        <v>0.24514080892499643</v>
      </c>
      <c r="U117">
        <f t="shared" si="144"/>
        <v>0.25668427029732682</v>
      </c>
      <c r="V117">
        <f t="shared" si="144"/>
        <v>0.25889644244683119</v>
      </c>
      <c r="W117">
        <f t="shared" si="144"/>
        <v>0.26151528003110958</v>
      </c>
      <c r="X117">
        <f t="shared" si="144"/>
        <v>0.26120743573340371</v>
      </c>
      <c r="Y117">
        <f t="shared" si="144"/>
        <v>0.2613007953800392</v>
      </c>
      <c r="Z117">
        <f t="shared" si="144"/>
        <v>0.26565890482585403</v>
      </c>
      <c r="AA117">
        <f t="shared" si="144"/>
        <v>0.27035938114969704</v>
      </c>
      <c r="AB117">
        <f t="shared" si="144"/>
        <v>0.27592187279863067</v>
      </c>
      <c r="AC117">
        <f t="shared" si="144"/>
        <v>0.28416284961975918</v>
      </c>
      <c r="AD117">
        <f t="shared" si="144"/>
        <v>0.29226302774325069</v>
      </c>
      <c r="AE117">
        <f t="shared" si="144"/>
        <v>0.30020506914471434</v>
      </c>
      <c r="AF117">
        <f t="shared" si="144"/>
        <v>0.30842530203642626</v>
      </c>
      <c r="AG117">
        <f t="shared" si="144"/>
        <v>0.31679757853612778</v>
      </c>
      <c r="AH117">
        <f t="shared" si="144"/>
        <v>0.32892551832389477</v>
      </c>
      <c r="AI117">
        <f t="shared" si="144"/>
        <v>0.33697569434011782</v>
      </c>
      <c r="AJ117">
        <f t="shared" si="144"/>
        <v>0.34510039651023688</v>
      </c>
      <c r="AK117">
        <f t="shared" si="144"/>
        <v>0.35377807228024799</v>
      </c>
      <c r="AL117">
        <f t="shared" si="144"/>
        <v>0.36306350594156939</v>
      </c>
      <c r="AM117">
        <f t="shared" si="144"/>
        <v>0.37216416072693997</v>
      </c>
      <c r="AN117">
        <f t="shared" si="144"/>
        <v>0.42120181379641192</v>
      </c>
      <c r="AO117">
        <f t="shared" si="144"/>
        <v>0.47831565604094284</v>
      </c>
      <c r="AP117">
        <f t="shared" si="144"/>
        <v>0.53967099591059509</v>
      </c>
      <c r="AQ117">
        <f t="shared" si="144"/>
        <v>0.60431313228524863</v>
      </c>
    </row>
    <row r="118" spans="1:43">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0">
        <f t="shared" si="140"/>
        <v>6.8779199999999996</v>
      </c>
      <c r="O118" s="160">
        <f t="shared" si="141"/>
        <v>6.8779199999999996</v>
      </c>
      <c r="P118" s="282">
        <f>IFERROR(INDEX('BY-DMD'!$I$5:$I$138,MATCH(D118,'BY-DMD'!$H$5:$H$138,0)),"")</f>
        <v>6.8779199999999996</v>
      </c>
      <c r="Q118">
        <f t="shared" ref="Q118:AQ118" si="145">Q$114/P$114*P118</f>
        <v>6.9757100169031485</v>
      </c>
      <c r="R118">
        <f t="shared" si="145"/>
        <v>6.95318908230385</v>
      </c>
      <c r="S118">
        <f t="shared" si="145"/>
        <v>6.8479327415191671</v>
      </c>
      <c r="T118">
        <f t="shared" si="145"/>
        <v>7.5176514736998907</v>
      </c>
      <c r="U118">
        <f t="shared" si="145"/>
        <v>7.8716509557846894</v>
      </c>
      <c r="V118">
        <f t="shared" si="145"/>
        <v>7.9394909017028237</v>
      </c>
      <c r="W118">
        <f t="shared" si="145"/>
        <v>8.019801920954027</v>
      </c>
      <c r="X118">
        <f t="shared" si="145"/>
        <v>8.0103613624910484</v>
      </c>
      <c r="Y118">
        <f t="shared" si="145"/>
        <v>8.0132243916545356</v>
      </c>
      <c r="Z118">
        <f t="shared" si="145"/>
        <v>8.1468730813261896</v>
      </c>
      <c r="AA118">
        <f t="shared" si="145"/>
        <v>8.2910210219240437</v>
      </c>
      <c r="AB118">
        <f t="shared" si="145"/>
        <v>8.4616040991580093</v>
      </c>
      <c r="AC118">
        <f t="shared" si="145"/>
        <v>8.7143273883392833</v>
      </c>
      <c r="AD118">
        <f t="shared" si="145"/>
        <v>8.9627328507930226</v>
      </c>
      <c r="AE118">
        <f t="shared" si="145"/>
        <v>9.206288787104576</v>
      </c>
      <c r="AF118">
        <f t="shared" si="145"/>
        <v>9.458375929117075</v>
      </c>
      <c r="AG118">
        <f t="shared" si="145"/>
        <v>9.7151257417745871</v>
      </c>
      <c r="AH118">
        <f t="shared" si="145"/>
        <v>10.087049228599442</v>
      </c>
      <c r="AI118">
        <f t="shared" si="145"/>
        <v>10.333921293096948</v>
      </c>
      <c r="AJ118">
        <f t="shared" si="145"/>
        <v>10.583078826313933</v>
      </c>
      <c r="AK118">
        <f t="shared" si="145"/>
        <v>10.849194216594274</v>
      </c>
      <c r="AL118">
        <f t="shared" si="145"/>
        <v>11.133947515541463</v>
      </c>
      <c r="AM118">
        <f t="shared" si="145"/>
        <v>11.413034262292829</v>
      </c>
      <c r="AN118">
        <f t="shared" si="145"/>
        <v>12.916855623089969</v>
      </c>
      <c r="AO118">
        <f t="shared" si="145"/>
        <v>14.668346785255585</v>
      </c>
      <c r="AP118">
        <f t="shared" si="145"/>
        <v>16.549910541258253</v>
      </c>
      <c r="AQ118">
        <f t="shared" si="145"/>
        <v>18.532269390080963</v>
      </c>
    </row>
    <row r="119" spans="1:43">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0">
        <f t="shared" si="140"/>
        <v>0.80740800000000001</v>
      </c>
      <c r="O119" s="160">
        <f t="shared" si="141"/>
        <v>0.80740800000000001</v>
      </c>
      <c r="P119" s="282">
        <f>IFERROR(INDEX('BY-DMD'!$I$5:$I$138,MATCH(D119,'BY-DMD'!$H$5:$H$138,0)),"")</f>
        <v>0.80740800000000001</v>
      </c>
      <c r="Q119">
        <f t="shared" ref="Q119:AQ119" si="146">Q$114/P$114*P119</f>
        <v>0.81888769763645664</v>
      </c>
      <c r="R119">
        <f t="shared" si="146"/>
        <v>0.8162439357487129</v>
      </c>
      <c r="S119">
        <f t="shared" si="146"/>
        <v>0.80388775661311962</v>
      </c>
      <c r="T119">
        <f t="shared" si="146"/>
        <v>0.88250691212998711</v>
      </c>
      <c r="U119">
        <f t="shared" si="146"/>
        <v>0.92406337307037656</v>
      </c>
      <c r="V119">
        <f t="shared" si="146"/>
        <v>0.93202719280859225</v>
      </c>
      <c r="W119">
        <f t="shared" si="146"/>
        <v>0.94145500811199434</v>
      </c>
      <c r="X119">
        <f t="shared" si="146"/>
        <v>0.94034676864025324</v>
      </c>
      <c r="Y119">
        <f t="shared" si="146"/>
        <v>0.94068286336814089</v>
      </c>
      <c r="Z119">
        <f t="shared" si="146"/>
        <v>0.95637205737307418</v>
      </c>
      <c r="AA119">
        <f t="shared" si="146"/>
        <v>0.97329377213890911</v>
      </c>
      <c r="AB119">
        <f t="shared" si="146"/>
        <v>0.9933187420750702</v>
      </c>
      <c r="AC119">
        <f t="shared" si="146"/>
        <v>1.0229862586311329</v>
      </c>
      <c r="AD119">
        <f t="shared" si="146"/>
        <v>1.0521468998757024</v>
      </c>
      <c r="AE119">
        <f t="shared" si="146"/>
        <v>1.0807382489209716</v>
      </c>
      <c r="AF119">
        <f t="shared" si="146"/>
        <v>1.1103310873311345</v>
      </c>
      <c r="AG119">
        <f t="shared" si="146"/>
        <v>1.1404712827300598</v>
      </c>
      <c r="AH119">
        <f t="shared" si="146"/>
        <v>1.1841318659660212</v>
      </c>
      <c r="AI119">
        <f t="shared" si="146"/>
        <v>1.213112499624424</v>
      </c>
      <c r="AJ119">
        <f t="shared" si="146"/>
        <v>1.2423614274368526</v>
      </c>
      <c r="AK119">
        <f t="shared" si="146"/>
        <v>1.2736010602088927</v>
      </c>
      <c r="AL119">
        <f t="shared" si="146"/>
        <v>1.3070286213896496</v>
      </c>
      <c r="AM119">
        <f t="shared" si="146"/>
        <v>1.3397909786169837</v>
      </c>
      <c r="AN119">
        <f t="shared" si="146"/>
        <v>1.5163265296670827</v>
      </c>
      <c r="AO119">
        <f t="shared" si="146"/>
        <v>1.721936361747394</v>
      </c>
      <c r="AP119">
        <f t="shared" si="146"/>
        <v>1.9428155852781421</v>
      </c>
      <c r="AQ119">
        <f t="shared" si="146"/>
        <v>2.1755272762268949</v>
      </c>
    </row>
    <row r="120" spans="1:43">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0">
        <f t="shared" si="140"/>
        <v>3.3492479999999998</v>
      </c>
      <c r="O120" s="160">
        <f t="shared" si="141"/>
        <v>3.3492479999999998</v>
      </c>
      <c r="P120" s="282">
        <f>IFERROR(INDEX('BY-DMD'!$I$5:$I$138,MATCH(D120,'BY-DMD'!$H$5:$H$138,0)),"")</f>
        <v>3.3492479999999998</v>
      </c>
      <c r="Q120">
        <f t="shared" ref="Q120:AQ120" si="147">Q$114/P$114*P120</f>
        <v>3.3968674864919679</v>
      </c>
      <c r="R120">
        <f t="shared" si="147"/>
        <v>3.3859007705131794</v>
      </c>
      <c r="S120">
        <f t="shared" si="147"/>
        <v>3.3346455089136815</v>
      </c>
      <c r="T120">
        <f t="shared" si="147"/>
        <v>3.6607694132799469</v>
      </c>
      <c r="U120">
        <f t="shared" si="147"/>
        <v>3.8331517697734143</v>
      </c>
      <c r="V120">
        <f t="shared" si="147"/>
        <v>3.8661868738726795</v>
      </c>
      <c r="W120">
        <f t="shared" si="147"/>
        <v>3.9052948484645698</v>
      </c>
      <c r="X120">
        <f t="shared" si="147"/>
        <v>3.9006977069521622</v>
      </c>
      <c r="Y120">
        <f t="shared" si="147"/>
        <v>3.902091877675252</v>
      </c>
      <c r="Z120">
        <f t="shared" si="147"/>
        <v>3.9671729787327532</v>
      </c>
      <c r="AA120">
        <f t="shared" si="147"/>
        <v>4.0373667585021424</v>
      </c>
      <c r="AB120">
        <f t="shared" si="147"/>
        <v>4.1204333004595517</v>
      </c>
      <c r="AC120">
        <f t="shared" si="147"/>
        <v>4.2434985543217376</v>
      </c>
      <c r="AD120">
        <f t="shared" si="147"/>
        <v>4.3644612142992107</v>
      </c>
      <c r="AE120">
        <f t="shared" si="147"/>
        <v>4.4830623658944013</v>
      </c>
      <c r="AF120">
        <f t="shared" si="147"/>
        <v>4.6058178437439663</v>
      </c>
      <c r="AG120">
        <f t="shared" si="147"/>
        <v>4.7308438394728416</v>
      </c>
      <c r="AH120">
        <f t="shared" si="147"/>
        <v>4.9119544069701622</v>
      </c>
      <c r="AI120">
        <f t="shared" si="147"/>
        <v>5.0321703688124257</v>
      </c>
      <c r="AJ120">
        <f t="shared" si="147"/>
        <v>5.1534992545528704</v>
      </c>
      <c r="AK120">
        <f t="shared" si="147"/>
        <v>5.2830858793850366</v>
      </c>
      <c r="AL120">
        <f t="shared" si="147"/>
        <v>5.4217483553941026</v>
      </c>
      <c r="AM120">
        <f t="shared" si="147"/>
        <v>5.5576514668556367</v>
      </c>
      <c r="AN120">
        <f t="shared" si="147"/>
        <v>6.2899470860264177</v>
      </c>
      <c r="AO120">
        <f t="shared" si="147"/>
        <v>7.1428471302114129</v>
      </c>
      <c r="AP120">
        <f t="shared" si="147"/>
        <v>8.0590868722648867</v>
      </c>
      <c r="AQ120">
        <f t="shared" si="147"/>
        <v>9.0244094421263803</v>
      </c>
    </row>
    <row r="121" spans="1:43">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0">
        <f t="shared" si="140"/>
        <v>0.478464</v>
      </c>
      <c r="O121" s="160">
        <f t="shared" si="141"/>
        <v>0.478464</v>
      </c>
      <c r="P121" s="282">
        <f>IFERROR(INDEX('BY-DMD'!$I$5:$I$138,MATCH(D121,'BY-DMD'!$H$5:$H$138,0)),"")</f>
        <v>0.478464</v>
      </c>
      <c r="Q121">
        <f t="shared" ref="Q121:AQ121" si="148">Q$114/P$114*P121</f>
        <v>0.48526678378456684</v>
      </c>
      <c r="R121">
        <f t="shared" si="148"/>
        <v>0.48370011007331132</v>
      </c>
      <c r="S121">
        <f t="shared" si="148"/>
        <v>0.47637792984481159</v>
      </c>
      <c r="T121">
        <f t="shared" si="148"/>
        <v>0.5229670590399923</v>
      </c>
      <c r="U121">
        <f t="shared" si="148"/>
        <v>0.54759310996763044</v>
      </c>
      <c r="V121">
        <f t="shared" si="148"/>
        <v>0.55231241055323976</v>
      </c>
      <c r="W121">
        <f t="shared" si="148"/>
        <v>0.55789926406636692</v>
      </c>
      <c r="X121">
        <f t="shared" si="148"/>
        <v>0.55724252956459441</v>
      </c>
      <c r="Y121">
        <f t="shared" si="148"/>
        <v>0.55744169681075006</v>
      </c>
      <c r="Z121">
        <f t="shared" si="148"/>
        <v>0.56673899696182162</v>
      </c>
      <c r="AA121">
        <f t="shared" si="148"/>
        <v>0.57676667978602014</v>
      </c>
      <c r="AB121">
        <f t="shared" si="148"/>
        <v>0.58863332863707851</v>
      </c>
      <c r="AC121">
        <f t="shared" si="148"/>
        <v>0.60621407918881931</v>
      </c>
      <c r="AD121">
        <f t="shared" si="148"/>
        <v>0.6234944591856012</v>
      </c>
      <c r="AE121">
        <f t="shared" si="148"/>
        <v>0.64043748084205698</v>
      </c>
      <c r="AF121">
        <f t="shared" si="148"/>
        <v>0.65797397767770915</v>
      </c>
      <c r="AG121">
        <f t="shared" si="148"/>
        <v>0.67583483421040569</v>
      </c>
      <c r="AH121">
        <f t="shared" si="148"/>
        <v>0.7017077724243086</v>
      </c>
      <c r="AI121">
        <f t="shared" si="148"/>
        <v>0.71888148125891771</v>
      </c>
      <c r="AJ121">
        <f t="shared" si="148"/>
        <v>0.73621417922183841</v>
      </c>
      <c r="AK121">
        <f t="shared" si="148"/>
        <v>0.75472655419786217</v>
      </c>
      <c r="AL121">
        <f t="shared" si="148"/>
        <v>0.77453547934201439</v>
      </c>
      <c r="AM121">
        <f t="shared" si="148"/>
        <v>0.79395020955080498</v>
      </c>
      <c r="AN121">
        <f t="shared" si="148"/>
        <v>0.89856386943234512</v>
      </c>
      <c r="AO121">
        <f t="shared" si="148"/>
        <v>1.0204067328873443</v>
      </c>
      <c r="AP121">
        <f t="shared" si="148"/>
        <v>1.1512981246092691</v>
      </c>
      <c r="AQ121">
        <f t="shared" si="148"/>
        <v>1.2892013488751966</v>
      </c>
    </row>
    <row r="122" spans="1:43">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0">
        <f t="shared" si="140"/>
        <v>2.5119359999999999</v>
      </c>
      <c r="O122" s="160">
        <f t="shared" si="141"/>
        <v>2.5119359999999999</v>
      </c>
      <c r="P122" s="282">
        <f>IFERROR(INDEX('BY-DMD'!$I$5:$I$138,MATCH(D122,'BY-DMD'!$H$5:$H$138,0)),"")</f>
        <v>2.5119359999999999</v>
      </c>
      <c r="Q122">
        <f t="shared" ref="Q122:AQ122" si="149">Q$114/P$114*P122</f>
        <v>2.5476506148689761</v>
      </c>
      <c r="R122">
        <f t="shared" si="149"/>
        <v>2.5394255778848849</v>
      </c>
      <c r="S122">
        <f t="shared" si="149"/>
        <v>2.5009841316852612</v>
      </c>
      <c r="T122">
        <f t="shared" si="149"/>
        <v>2.74557705995996</v>
      </c>
      <c r="U122">
        <f t="shared" si="149"/>
        <v>2.8748638273300604</v>
      </c>
      <c r="V122">
        <f t="shared" si="149"/>
        <v>2.8996401554045095</v>
      </c>
      <c r="W122">
        <f t="shared" si="149"/>
        <v>2.928971136348427</v>
      </c>
      <c r="X122">
        <f t="shared" si="149"/>
        <v>2.9255232802141213</v>
      </c>
      <c r="Y122">
        <f t="shared" si="149"/>
        <v>2.9265689082564386</v>
      </c>
      <c r="Z122">
        <f t="shared" si="149"/>
        <v>2.9753797340495645</v>
      </c>
      <c r="AA122">
        <f t="shared" si="149"/>
        <v>3.0280250688766066</v>
      </c>
      <c r="AB122">
        <f t="shared" si="149"/>
        <v>3.0903249753446631</v>
      </c>
      <c r="AC122">
        <f t="shared" si="149"/>
        <v>3.1826239157413023</v>
      </c>
      <c r="AD122">
        <f t="shared" si="149"/>
        <v>3.2733459107244069</v>
      </c>
      <c r="AE122">
        <f t="shared" si="149"/>
        <v>3.3622967744208001</v>
      </c>
      <c r="AF122">
        <f t="shared" si="149"/>
        <v>3.4543633828079741</v>
      </c>
      <c r="AG122">
        <f t="shared" si="149"/>
        <v>3.5481328796046308</v>
      </c>
      <c r="AH122">
        <f t="shared" si="149"/>
        <v>3.6839658052276212</v>
      </c>
      <c r="AI122">
        <f t="shared" si="149"/>
        <v>3.7741277766093191</v>
      </c>
      <c r="AJ122">
        <f t="shared" si="149"/>
        <v>3.8651244409146526</v>
      </c>
      <c r="AK122">
        <f t="shared" si="149"/>
        <v>3.9623144095387772</v>
      </c>
      <c r="AL122">
        <f t="shared" si="149"/>
        <v>4.0663112665455765</v>
      </c>
      <c r="AM122">
        <f t="shared" si="149"/>
        <v>4.1682386001417271</v>
      </c>
      <c r="AN122">
        <f t="shared" si="149"/>
        <v>4.7174603145198128</v>
      </c>
      <c r="AO122">
        <f t="shared" si="149"/>
        <v>5.3571353476585593</v>
      </c>
      <c r="AP122">
        <f t="shared" si="149"/>
        <v>6.0443151541986646</v>
      </c>
      <c r="AQ122">
        <f t="shared" si="149"/>
        <v>6.7683070815947843</v>
      </c>
    </row>
    <row r="123" spans="1:43">
      <c r="A123" s="44" t="str">
        <f>'[4]TS BYDem'!A140</f>
        <v/>
      </c>
      <c r="B123" t="s">
        <v>272</v>
      </c>
      <c r="C123" t="s">
        <v>125</v>
      </c>
      <c r="D123" s="5" t="s">
        <v>307</v>
      </c>
      <c r="E123" t="s">
        <v>125</v>
      </c>
      <c r="F123" t="s">
        <v>125</v>
      </c>
      <c r="G123" t="s">
        <v>125</v>
      </c>
      <c r="I123" t="s">
        <v>125</v>
      </c>
      <c r="J123">
        <v>0</v>
      </c>
      <c r="K123">
        <f>INDEX('[4]TS BYDem'!$J$10:$J$203,MATCH(D123,'[4]TS BYDem'!$D$10:$D$203,0))</f>
        <v>0</v>
      </c>
      <c r="L123">
        <f t="shared" si="139"/>
        <v>0</v>
      </c>
      <c r="M123">
        <f t="shared" si="139"/>
        <v>0</v>
      </c>
      <c r="N123" s="160">
        <f t="shared" si="140"/>
        <v>0</v>
      </c>
      <c r="O123" s="160">
        <f t="shared" si="141"/>
        <v>0</v>
      </c>
      <c r="P123" s="282">
        <f>IFERROR(INDEX('BY-DMD'!$I$5:$I$138,MATCH(D123,'BY-DMD'!$H$5:$H$138,0)),"")</f>
        <v>0</v>
      </c>
      <c r="Q123">
        <f t="shared" ref="Q123:AQ123" si="150">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0">
        <f t="shared" ref="N124" si="151">P124</f>
        <v>40.544747177343801</v>
      </c>
      <c r="O124" s="160">
        <f t="shared" ref="O124" si="152">P124</f>
        <v>40.544747177343801</v>
      </c>
      <c r="P124" s="282">
        <f>IFERROR(INDEX('BY-DMD'!$I$5:$I$138,MATCH(D124,'BY-DMD'!$H$5:$H$138,0)),"")</f>
        <v>40.544747177343801</v>
      </c>
      <c r="Q124">
        <f t="shared" ref="Q124:AQ124" si="153">Q$114/P$114*P124</f>
        <v>41.121210921005598</v>
      </c>
      <c r="R124">
        <f t="shared" si="153"/>
        <v>40.988451947431315</v>
      </c>
      <c r="S124">
        <f t="shared" si="153"/>
        <v>40.367974866289437</v>
      </c>
      <c r="T124">
        <f t="shared" si="153"/>
        <v>44.315909223798485</v>
      </c>
      <c r="U124">
        <f t="shared" si="153"/>
        <v>46.402705741065162</v>
      </c>
      <c r="V124">
        <f t="shared" si="153"/>
        <v>46.802616390763824</v>
      </c>
      <c r="W124">
        <f t="shared" si="153"/>
        <v>47.276042945753531</v>
      </c>
      <c r="X124">
        <f t="shared" si="153"/>
        <v>47.220391665120076</v>
      </c>
      <c r="Y124">
        <f t="shared" si="153"/>
        <v>47.237268975934242</v>
      </c>
      <c r="Z124">
        <f t="shared" si="153"/>
        <v>48.025116513172314</v>
      </c>
      <c r="AA124">
        <f t="shared" si="153"/>
        <v>48.874856232109835</v>
      </c>
      <c r="AB124">
        <f t="shared" si="153"/>
        <v>49.88042880916575</v>
      </c>
      <c r="AC124">
        <f t="shared" si="153"/>
        <v>51.370210874918406</v>
      </c>
      <c r="AD124">
        <f t="shared" si="153"/>
        <v>52.834539723270531</v>
      </c>
      <c r="AE124">
        <f t="shared" si="153"/>
        <v>54.270281031877367</v>
      </c>
      <c r="AF124">
        <f t="shared" si="153"/>
        <v>55.756313064752995</v>
      </c>
      <c r="AG124">
        <f t="shared" si="153"/>
        <v>57.269831140280075</v>
      </c>
      <c r="AH124">
        <f t="shared" si="153"/>
        <v>59.462288124750657</v>
      </c>
      <c r="AI124">
        <f t="shared" si="153"/>
        <v>60.917577723960925</v>
      </c>
      <c r="AJ124">
        <f t="shared" si="153"/>
        <v>62.386339964814738</v>
      </c>
      <c r="AK124">
        <f t="shared" si="153"/>
        <v>63.955067315367899</v>
      </c>
      <c r="AL124">
        <f t="shared" si="153"/>
        <v>65.633663535406569</v>
      </c>
      <c r="AM124">
        <f t="shared" si="153"/>
        <v>67.278855917344927</v>
      </c>
      <c r="AN124">
        <f t="shared" si="153"/>
        <v>76.1437535714917</v>
      </c>
      <c r="AO124">
        <f t="shared" si="153"/>
        <v>86.468643415130018</v>
      </c>
      <c r="AP124">
        <f t="shared" si="153"/>
        <v>97.560300018460907</v>
      </c>
      <c r="AQ124">
        <f t="shared" si="153"/>
        <v>109.24613502966881</v>
      </c>
    </row>
    <row r="125" spans="1:43" s="4" customFormat="1">
      <c r="A125" s="44" t="str">
        <f>'[4]TS BYDem'!A165</f>
        <v>*</v>
      </c>
      <c r="C125" s="3" t="s">
        <v>0</v>
      </c>
      <c r="D125" s="3" t="s">
        <v>736</v>
      </c>
      <c r="K125" s="4">
        <f t="shared" ref="K125:AB125" si="154">SUMIF($B$10:$B$25,$D125,K$10:K$25)*SUMIF($B$10:$B$25,$D125,K$47:K$62)</f>
        <v>335.77331305186084</v>
      </c>
      <c r="L125" s="4">
        <f t="shared" si="154"/>
        <v>345.12368336779264</v>
      </c>
      <c r="M125" s="4">
        <f t="shared" si="154"/>
        <v>351.73654833895557</v>
      </c>
      <c r="N125" s="4">
        <f t="shared" si="154"/>
        <v>356.62847152051233</v>
      </c>
      <c r="O125" s="4">
        <f t="shared" si="154"/>
        <v>360.31274126727499</v>
      </c>
      <c r="P125" s="4">
        <f t="shared" si="154"/>
        <v>363.08022098030375</v>
      </c>
      <c r="Q125" s="4">
        <f t="shared" si="154"/>
        <v>367.26352107202263</v>
      </c>
      <c r="R125" s="4">
        <f t="shared" si="154"/>
        <v>366.87</v>
      </c>
      <c r="S125" s="4">
        <f t="shared" si="154"/>
        <v>340.31</v>
      </c>
      <c r="T125" s="4">
        <f t="shared" si="154"/>
        <v>373.08572370881978</v>
      </c>
      <c r="U125" s="4">
        <f t="shared" si="154"/>
        <v>385.59212453246738</v>
      </c>
      <c r="V125" s="4">
        <f t="shared" si="154"/>
        <v>383.24180100151796</v>
      </c>
      <c r="W125" s="4">
        <f t="shared" si="154"/>
        <v>383.51000619749749</v>
      </c>
      <c r="X125" s="4">
        <f t="shared" si="154"/>
        <v>394.13663978462995</v>
      </c>
      <c r="Y125" s="4">
        <f t="shared" si="154"/>
        <v>415.64481265643576</v>
      </c>
      <c r="Z125" s="4">
        <f t="shared" si="154"/>
        <v>420.81116838618834</v>
      </c>
      <c r="AA125" s="4">
        <f t="shared" si="154"/>
        <v>427.54063412070076</v>
      </c>
      <c r="AB125" s="4">
        <f t="shared" si="154"/>
        <v>439.91098072181944</v>
      </c>
      <c r="AC125" s="4">
        <f>SUMIF($B$10:$B$25,$D125,AC$10:AC$25)*SUMIF($B$10:$B$25,$D125,AC$46:AC$62)</f>
        <v>455.44225457836887</v>
      </c>
      <c r="AD125" s="4">
        <f t="shared" ref="AD125:AQ125" si="155">SUMIF($B$10:$B$25,$D125,AD$10:AD$25)*SUMIF($B$10:$B$25,$D125,AD$47:AD$62)</f>
        <v>471.25372759909015</v>
      </c>
      <c r="AE125" s="4">
        <f t="shared" si="155"/>
        <v>487.28653815869387</v>
      </c>
      <c r="AF125" s="4">
        <f t="shared" si="155"/>
        <v>505.75255696759598</v>
      </c>
      <c r="AG125" s="4">
        <f t="shared" si="155"/>
        <v>526.80439766760969</v>
      </c>
      <c r="AH125" s="4">
        <f t="shared" si="155"/>
        <v>550.79278726371319</v>
      </c>
      <c r="AI125" s="4">
        <f t="shared" si="155"/>
        <v>571.25074854404647</v>
      </c>
      <c r="AJ125" s="4">
        <f t="shared" si="155"/>
        <v>591.6150101998868</v>
      </c>
      <c r="AK125" s="4">
        <f t="shared" si="155"/>
        <v>611.56905231697965</v>
      </c>
      <c r="AL125" s="4">
        <f t="shared" si="155"/>
        <v>629.8174732494424</v>
      </c>
      <c r="AM125" s="4">
        <f t="shared" si="155"/>
        <v>648.38134410058092</v>
      </c>
      <c r="AN125" s="4">
        <f t="shared" si="155"/>
        <v>751.06559570708271</v>
      </c>
      <c r="AO125" s="4">
        <f t="shared" si="155"/>
        <v>877.15916487730681</v>
      </c>
      <c r="AP125" s="4">
        <f t="shared" si="155"/>
        <v>1045.0649043988856</v>
      </c>
      <c r="AQ125" s="4">
        <f t="shared" si="155"/>
        <v>1170.2434457368909</v>
      </c>
    </row>
    <row r="126" spans="1:43">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ref="L126:M136" si="156">L$125/K$125*K126</f>
        <v>4.136217092729578</v>
      </c>
      <c r="M126">
        <f t="shared" si="156"/>
        <v>4.2154705500951444</v>
      </c>
      <c r="N126" s="160">
        <f t="shared" ref="N126:N134" si="157">P126</f>
        <v>2.1816719999999998</v>
      </c>
      <c r="O126" s="160">
        <f t="shared" ref="O126:O134" si="158">P126</f>
        <v>2.1816719999999998</v>
      </c>
      <c r="P126" s="282">
        <f>IFERROR(INDEX('BY-DMD'!$I$5:$I$138,MATCH(D126,'BY-DMD'!$H$5:$H$138,0)),"")</f>
        <v>2.1816719999999998</v>
      </c>
      <c r="Q126">
        <f t="shared" ref="Q126:AQ126" si="159">Q$125/P$125*P126</f>
        <v>2.2068085625289613</v>
      </c>
      <c r="R126">
        <f t="shared" si="159"/>
        <v>2.2044439779147851</v>
      </c>
      <c r="S126">
        <f t="shared" si="159"/>
        <v>2.0448505741112126</v>
      </c>
      <c r="T126">
        <f t="shared" si="159"/>
        <v>2.2417929426660321</v>
      </c>
      <c r="U126">
        <f t="shared" si="159"/>
        <v>2.3169412512796512</v>
      </c>
      <c r="V126">
        <f t="shared" si="159"/>
        <v>2.3028186559353796</v>
      </c>
      <c r="W126">
        <f t="shared" si="159"/>
        <v>2.3044302440432181</v>
      </c>
      <c r="X126">
        <f t="shared" si="159"/>
        <v>2.3682834302308629</v>
      </c>
      <c r="Y126">
        <f t="shared" si="159"/>
        <v>2.4975214768501077</v>
      </c>
      <c r="Z126">
        <f t="shared" si="159"/>
        <v>2.5285650120975212</v>
      </c>
      <c r="AA126">
        <f t="shared" si="159"/>
        <v>2.5690009436619166</v>
      </c>
      <c r="AB126">
        <f t="shared" si="159"/>
        <v>2.6433317313239075</v>
      </c>
      <c r="AC126">
        <f t="shared" si="159"/>
        <v>2.7366558600954498</v>
      </c>
      <c r="AD126">
        <f t="shared" si="159"/>
        <v>2.8316636461845035</v>
      </c>
      <c r="AE126">
        <f t="shared" si="159"/>
        <v>2.9280014025755055</v>
      </c>
      <c r="AF126">
        <f t="shared" si="159"/>
        <v>3.0389597909946877</v>
      </c>
      <c r="AG126">
        <f t="shared" si="159"/>
        <v>3.165455834430146</v>
      </c>
      <c r="AH126">
        <f t="shared" si="159"/>
        <v>3.3095969770283524</v>
      </c>
      <c r="AI126">
        <f t="shared" si="159"/>
        <v>3.4325245250558405</v>
      </c>
      <c r="AJ126">
        <f t="shared" si="159"/>
        <v>3.5548890519233907</v>
      </c>
      <c r="AK126">
        <f t="shared" si="159"/>
        <v>3.6747886566337327</v>
      </c>
      <c r="AL126">
        <f t="shared" si="159"/>
        <v>3.7844395455890072</v>
      </c>
      <c r="AM126">
        <f t="shared" si="159"/>
        <v>3.8959859061651789</v>
      </c>
      <c r="AN126">
        <f t="shared" si="159"/>
        <v>4.5129937838347605</v>
      </c>
      <c r="AO126">
        <f t="shared" si="159"/>
        <v>5.2706632831426399</v>
      </c>
      <c r="AP126">
        <f t="shared" si="159"/>
        <v>6.2795732412904108</v>
      </c>
      <c r="AQ126">
        <f t="shared" si="159"/>
        <v>7.031744532529058</v>
      </c>
    </row>
    <row r="127" spans="1:43">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0">
        <f t="shared" si="157"/>
        <v>0.12355272</v>
      </c>
      <c r="O127" s="160">
        <f t="shared" si="158"/>
        <v>0.12355272</v>
      </c>
      <c r="P127" s="282">
        <f>IFERROR(INDEX('BY-DMD'!$I$5:$I$138,MATCH(D127,'BY-DMD'!$H$5:$H$138,0)),"")</f>
        <v>0.12355272</v>
      </c>
      <c r="Q127">
        <f t="shared" ref="Q127:AQ127" si="160">Q$125/P$125*P127</f>
        <v>0.12497625693493029</v>
      </c>
      <c r="R127">
        <f t="shared" si="160"/>
        <v>0.12484234548501866</v>
      </c>
      <c r="S127">
        <f t="shared" si="160"/>
        <v>0.11580423199500285</v>
      </c>
      <c r="T127">
        <f t="shared" si="160"/>
        <v>0.1269574967012421</v>
      </c>
      <c r="U127">
        <f t="shared" si="160"/>
        <v>0.13121330505951595</v>
      </c>
      <c r="V127">
        <f t="shared" si="160"/>
        <v>0.13041351248380151</v>
      </c>
      <c r="W127">
        <f t="shared" si="160"/>
        <v>0.13050478014192934</v>
      </c>
      <c r="X127">
        <f t="shared" si="160"/>
        <v>0.13412092172240062</v>
      </c>
      <c r="Y127">
        <f t="shared" si="160"/>
        <v>0.14143994684959413</v>
      </c>
      <c r="Z127">
        <f t="shared" si="160"/>
        <v>0.14319800819806164</v>
      </c>
      <c r="AA127">
        <f t="shared" si="160"/>
        <v>0.14548798090271886</v>
      </c>
      <c r="AB127">
        <f t="shared" si="160"/>
        <v>0.1496974913127995</v>
      </c>
      <c r="AC127">
        <f t="shared" si="160"/>
        <v>0.15498263497846249</v>
      </c>
      <c r="AD127">
        <f t="shared" si="160"/>
        <v>0.16036312773469749</v>
      </c>
      <c r="AE127">
        <f t="shared" si="160"/>
        <v>0.16581893953445737</v>
      </c>
      <c r="AF127">
        <f t="shared" si="160"/>
        <v>0.17210274878534682</v>
      </c>
      <c r="AG127">
        <f t="shared" si="160"/>
        <v>0.17926648844726162</v>
      </c>
      <c r="AH127">
        <f t="shared" si="160"/>
        <v>0.18742950755917043</v>
      </c>
      <c r="AI127">
        <f t="shared" si="160"/>
        <v>0.19439115574539034</v>
      </c>
      <c r="AJ127">
        <f t="shared" si="160"/>
        <v>0.20132091884726766</v>
      </c>
      <c r="AK127">
        <f t="shared" si="160"/>
        <v>0.20811108817101917</v>
      </c>
      <c r="AL127">
        <f t="shared" si="160"/>
        <v>0.21432085094967798</v>
      </c>
      <c r="AM127">
        <f t="shared" si="160"/>
        <v>0.22063795831287775</v>
      </c>
      <c r="AN127">
        <f t="shared" si="160"/>
        <v>0.25558042516742968</v>
      </c>
      <c r="AO127">
        <f t="shared" si="160"/>
        <v>0.29848885847020235</v>
      </c>
      <c r="AP127">
        <f t="shared" si="160"/>
        <v>0.35562557268033257</v>
      </c>
      <c r="AQ127">
        <f t="shared" si="160"/>
        <v>0.39822263078001346</v>
      </c>
    </row>
    <row r="128" spans="1:43">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0">
        <f t="shared" si="157"/>
        <v>0.54733968</v>
      </c>
      <c r="O128" s="160">
        <f t="shared" si="158"/>
        <v>0.54733968</v>
      </c>
      <c r="P128" s="282">
        <f>IFERROR(INDEX('BY-DMD'!$I$5:$I$138,MATCH(D128,'BY-DMD'!$H$5:$H$138,0)),"")</f>
        <v>0.54733968</v>
      </c>
      <c r="Q128">
        <f t="shared" ref="Q128:AQ128" si="161">Q$125/P$125*P128</f>
        <v>0.55364596164586688</v>
      </c>
      <c r="R128">
        <f t="shared" si="161"/>
        <v>0.55305273269758493</v>
      </c>
      <c r="S128">
        <f t="shared" si="161"/>
        <v>0.51301380724593215</v>
      </c>
      <c r="T128">
        <f t="shared" si="161"/>
        <v>0.56242287193725005</v>
      </c>
      <c r="U128">
        <f t="shared" si="161"/>
        <v>0.58127614190135068</v>
      </c>
      <c r="V128">
        <f t="shared" si="161"/>
        <v>0.57773305347352877</v>
      </c>
      <c r="W128">
        <f t="shared" si="161"/>
        <v>0.57813737003405485</v>
      </c>
      <c r="X128">
        <f t="shared" si="161"/>
        <v>0.59415691032009499</v>
      </c>
      <c r="Y128">
        <f t="shared" si="161"/>
        <v>0.62658025859628064</v>
      </c>
      <c r="Z128">
        <f t="shared" si="161"/>
        <v>0.63436848645472499</v>
      </c>
      <c r="AA128">
        <f t="shared" si="161"/>
        <v>0.64451308648761629</v>
      </c>
      <c r="AB128">
        <f t="shared" si="161"/>
        <v>0.66316125611763499</v>
      </c>
      <c r="AC128">
        <f t="shared" si="161"/>
        <v>0.68657449091099287</v>
      </c>
      <c r="AD128">
        <f t="shared" si="161"/>
        <v>0.71041012304794604</v>
      </c>
      <c r="AE128">
        <f t="shared" si="161"/>
        <v>0.73457941923681813</v>
      </c>
      <c r="AF128">
        <f t="shared" si="161"/>
        <v>0.7624167517096514</v>
      </c>
      <c r="AG128">
        <f t="shared" si="161"/>
        <v>0.79415218395392539</v>
      </c>
      <c r="AH128">
        <f t="shared" si="161"/>
        <v>0.83031443330421117</v>
      </c>
      <c r="AI128">
        <f t="shared" si="161"/>
        <v>0.86115459846219544</v>
      </c>
      <c r="AJ128">
        <f t="shared" si="161"/>
        <v>0.89185351240482125</v>
      </c>
      <c r="AK128">
        <f t="shared" si="161"/>
        <v>0.92193402463318797</v>
      </c>
      <c r="AL128">
        <f t="shared" si="161"/>
        <v>0.94944333055657859</v>
      </c>
      <c r="AM128">
        <f t="shared" si="161"/>
        <v>0.97742817397159532</v>
      </c>
      <c r="AN128">
        <f t="shared" si="161"/>
        <v>1.1322236218304613</v>
      </c>
      <c r="AO128">
        <f t="shared" si="161"/>
        <v>1.3223083739366144</v>
      </c>
      <c r="AP128">
        <f t="shared" si="161"/>
        <v>1.575424540638765</v>
      </c>
      <c r="AQ128">
        <f t="shared" si="161"/>
        <v>1.764129897746409</v>
      </c>
    </row>
    <row r="129" spans="1:43">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0">
        <f t="shared" si="157"/>
        <v>2.3241024000000001</v>
      </c>
      <c r="O129" s="160">
        <f t="shared" si="158"/>
        <v>2.3241024000000001</v>
      </c>
      <c r="P129" s="282">
        <f>IFERROR(INDEX('BY-DMD'!$I$5:$I$138,MATCH(D129,'BY-DMD'!$H$5:$H$138,0)),"")</f>
        <v>2.3241024000000001</v>
      </c>
      <c r="Q129">
        <f t="shared" ref="Q129:AQ129" si="162">Q$125/P$125*P129</f>
        <v>2.3508800023624583</v>
      </c>
      <c r="R129">
        <f t="shared" si="162"/>
        <v>2.3483610459030042</v>
      </c>
      <c r="S129">
        <f t="shared" si="162"/>
        <v>2.1783485908666593</v>
      </c>
      <c r="T129">
        <f t="shared" si="162"/>
        <v>2.3881483368504459</v>
      </c>
      <c r="U129">
        <f t="shared" si="162"/>
        <v>2.4682027008450573</v>
      </c>
      <c r="V129">
        <f t="shared" si="162"/>
        <v>2.4531581122296053</v>
      </c>
      <c r="W129">
        <f t="shared" si="162"/>
        <v>2.4548749128253129</v>
      </c>
      <c r="X129">
        <f t="shared" si="162"/>
        <v>2.5228967526189905</v>
      </c>
      <c r="Y129">
        <f t="shared" si="162"/>
        <v>2.6605721017636368</v>
      </c>
      <c r="Z129">
        <f t="shared" si="162"/>
        <v>2.6936423134054412</v>
      </c>
      <c r="AA129">
        <f t="shared" si="162"/>
        <v>2.736718103714455</v>
      </c>
      <c r="AB129">
        <f t="shared" si="162"/>
        <v>2.815901574923291</v>
      </c>
      <c r="AC129">
        <f t="shared" si="162"/>
        <v>2.9153183670239597</v>
      </c>
      <c r="AD129">
        <f t="shared" si="162"/>
        <v>3.0165287339664957</v>
      </c>
      <c r="AE129">
        <f t="shared" si="162"/>
        <v>3.1191558982876875</v>
      </c>
      <c r="AF129">
        <f t="shared" si="162"/>
        <v>3.2373582022202467</v>
      </c>
      <c r="AG129">
        <f t="shared" si="162"/>
        <v>3.372112536574289</v>
      </c>
      <c r="AH129">
        <f t="shared" si="162"/>
        <v>3.5256639299327928</v>
      </c>
      <c r="AI129">
        <f t="shared" si="162"/>
        <v>3.6566167997486034</v>
      </c>
      <c r="AJ129">
        <f t="shared" si="162"/>
        <v>3.7869698915826362</v>
      </c>
      <c r="AK129">
        <f t="shared" si="162"/>
        <v>3.9146971388802858</v>
      </c>
      <c r="AL129">
        <f t="shared" si="162"/>
        <v>4.0315065832803088</v>
      </c>
      <c r="AM129">
        <f t="shared" si="162"/>
        <v>4.150335245116894</v>
      </c>
      <c r="AN129">
        <f t="shared" si="162"/>
        <v>4.8076244660954739</v>
      </c>
      <c r="AO129">
        <f t="shared" si="162"/>
        <v>5.6147583990369245</v>
      </c>
      <c r="AP129">
        <f t="shared" si="162"/>
        <v>6.6895350176648085</v>
      </c>
      <c r="AQ129">
        <f t="shared" si="162"/>
        <v>7.4908117921656681</v>
      </c>
    </row>
    <row r="130" spans="1:43">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0">
        <f t="shared" si="157"/>
        <v>1.72747728</v>
      </c>
      <c r="O130" s="160">
        <f t="shared" si="158"/>
        <v>1.72747728</v>
      </c>
      <c r="P130" s="282">
        <f>IFERROR(INDEX('BY-DMD'!$I$5:$I$138,MATCH(D130,'BY-DMD'!$H$5:$H$138,0)),"")</f>
        <v>1.72747728</v>
      </c>
      <c r="Q130">
        <f t="shared" ref="Q130:AQ130" si="163">Q$125/P$125*P130</f>
        <v>1.7473807488376987</v>
      </c>
      <c r="R130">
        <f t="shared" si="163"/>
        <v>1.7455084388856863</v>
      </c>
      <c r="S130">
        <f t="shared" si="163"/>
        <v>1.6191402317910646</v>
      </c>
      <c r="T130">
        <f t="shared" si="163"/>
        <v>1.7750818523223988</v>
      </c>
      <c r="U130">
        <f t="shared" si="163"/>
        <v>1.8345852954432964</v>
      </c>
      <c r="V130">
        <f t="shared" si="163"/>
        <v>1.8234028341971225</v>
      </c>
      <c r="W130">
        <f t="shared" si="163"/>
        <v>1.8246789113714221</v>
      </c>
      <c r="X130">
        <f t="shared" si="163"/>
        <v>1.8752387243931623</v>
      </c>
      <c r="Y130">
        <f t="shared" si="163"/>
        <v>1.9775711507369602</v>
      </c>
      <c r="Z130">
        <f t="shared" si="163"/>
        <v>2.0021518401489278</v>
      </c>
      <c r="AA130">
        <f t="shared" si="163"/>
        <v>2.0341695554943731</v>
      </c>
      <c r="AB130">
        <f t="shared" si="163"/>
        <v>2.0930256745125364</v>
      </c>
      <c r="AC130">
        <f t="shared" si="163"/>
        <v>2.1669209768900859</v>
      </c>
      <c r="AD130">
        <f t="shared" si="163"/>
        <v>2.2421494218130351</v>
      </c>
      <c r="AE130">
        <f t="shared" si="163"/>
        <v>2.3184309551377655</v>
      </c>
      <c r="AF130">
        <f t="shared" si="163"/>
        <v>2.406289301864291</v>
      </c>
      <c r="AG130">
        <f t="shared" si="163"/>
        <v>2.5064505731482636</v>
      </c>
      <c r="AH130">
        <f t="shared" si="163"/>
        <v>2.6205834716552996</v>
      </c>
      <c r="AI130">
        <f t="shared" si="163"/>
        <v>2.7179191602022463</v>
      </c>
      <c r="AJ130">
        <f t="shared" si="163"/>
        <v>2.8148090410100135</v>
      </c>
      <c r="AK130">
        <f t="shared" si="163"/>
        <v>2.909747163247498</v>
      </c>
      <c r="AL130">
        <f t="shared" si="163"/>
        <v>2.9965702142845192</v>
      </c>
      <c r="AM130">
        <f t="shared" si="163"/>
        <v>3.0848941252858175</v>
      </c>
      <c r="AN130">
        <f t="shared" si="163"/>
        <v>3.5734492748478148</v>
      </c>
      <c r="AO130">
        <f t="shared" si="163"/>
        <v>4.1733821913464171</v>
      </c>
      <c r="AP130">
        <f t="shared" si="163"/>
        <v>4.9722506877409369</v>
      </c>
      <c r="AQ130">
        <f t="shared" si="163"/>
        <v>5.5678300490211967</v>
      </c>
    </row>
    <row r="131" spans="1:43">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0">
        <f t="shared" si="157"/>
        <v>2.351232</v>
      </c>
      <c r="O131" s="160">
        <f t="shared" si="158"/>
        <v>2.351232</v>
      </c>
      <c r="P131" s="282">
        <f>IFERROR(INDEX('BY-DMD'!$I$5:$I$138,MATCH(D131,'BY-DMD'!$H$5:$H$138,0)),"")</f>
        <v>2.351232</v>
      </c>
      <c r="Q131">
        <f t="shared" ref="Q131:AQ131" si="164">Q$125/P$125*P131</f>
        <v>2.3783221813783624</v>
      </c>
      <c r="R131">
        <f t="shared" si="164"/>
        <v>2.3757738207579031</v>
      </c>
      <c r="S131">
        <f t="shared" si="164"/>
        <v>2.2037767845343637</v>
      </c>
      <c r="T131">
        <f t="shared" si="164"/>
        <v>2.4160255547903349</v>
      </c>
      <c r="U131">
        <f t="shared" si="164"/>
        <v>2.4970144055241832</v>
      </c>
      <c r="V131">
        <f t="shared" si="164"/>
        <v>2.4817941991427923</v>
      </c>
      <c r="W131">
        <f t="shared" si="164"/>
        <v>2.4835310402123798</v>
      </c>
      <c r="X131">
        <f t="shared" si="164"/>
        <v>2.5523469092643492</v>
      </c>
      <c r="Y131">
        <f t="shared" si="164"/>
        <v>2.6916293636519293</v>
      </c>
      <c r="Z131">
        <f t="shared" si="164"/>
        <v>2.7250856088926652</v>
      </c>
      <c r="AA131">
        <f t="shared" si="164"/>
        <v>2.7686642294387491</v>
      </c>
      <c r="AB131">
        <f t="shared" si="164"/>
        <v>2.8487720213231746</v>
      </c>
      <c r="AC131">
        <f t="shared" si="164"/>
        <v>2.9493493207246293</v>
      </c>
      <c r="AD131">
        <f t="shared" si="164"/>
        <v>3.0517411316392571</v>
      </c>
      <c r="AE131">
        <f t="shared" si="164"/>
        <v>3.1555662784233425</v>
      </c>
      <c r="AF131">
        <f t="shared" si="164"/>
        <v>3.2751483757870208</v>
      </c>
      <c r="AG131">
        <f t="shared" si="164"/>
        <v>3.4114757179350792</v>
      </c>
      <c r="AH131">
        <f t="shared" si="164"/>
        <v>3.5668195400098304</v>
      </c>
      <c r="AI131">
        <f t="shared" si="164"/>
        <v>3.6993010425472268</v>
      </c>
      <c r="AJ131">
        <f t="shared" si="164"/>
        <v>3.8311757658034469</v>
      </c>
      <c r="AK131">
        <f t="shared" si="164"/>
        <v>3.9603939926415359</v>
      </c>
      <c r="AL131">
        <f t="shared" si="164"/>
        <v>4.0785669714119877</v>
      </c>
      <c r="AM131">
        <f t="shared" si="164"/>
        <v>4.1987827382505563</v>
      </c>
      <c r="AN131">
        <f t="shared" si="164"/>
        <v>4.863744596049898</v>
      </c>
      <c r="AO131">
        <f t="shared" si="164"/>
        <v>5.680300325873934</v>
      </c>
      <c r="AP131">
        <f t="shared" si="164"/>
        <v>6.7676229750694592</v>
      </c>
      <c r="AQ131">
        <f t="shared" si="164"/>
        <v>7.5782531749535975</v>
      </c>
    </row>
    <row r="132" spans="1:43">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0">
        <f t="shared" si="157"/>
        <v>1.0010822399999999</v>
      </c>
      <c r="O132" s="160">
        <f t="shared" si="158"/>
        <v>1.0010822399999999</v>
      </c>
      <c r="P132" s="282">
        <f>IFERROR(INDEX('BY-DMD'!$I$5:$I$138,MATCH(D132,'BY-DMD'!$H$5:$H$138,0)),"")</f>
        <v>1.0010822399999999</v>
      </c>
      <c r="Q132">
        <f t="shared" ref="Q132:AQ132" si="165">Q$125/P$125*P132</f>
        <v>1.0126164056868643</v>
      </c>
      <c r="R132">
        <f t="shared" si="165"/>
        <v>1.0115313921457687</v>
      </c>
      <c r="S132">
        <f t="shared" si="165"/>
        <v>0.93830034633828474</v>
      </c>
      <c r="T132">
        <f t="shared" si="165"/>
        <v>1.0286693419818846</v>
      </c>
      <c r="U132">
        <f t="shared" si="165"/>
        <v>1.0631519026597194</v>
      </c>
      <c r="V132">
        <f t="shared" si="165"/>
        <v>1.0566716070965656</v>
      </c>
      <c r="W132">
        <f t="shared" si="165"/>
        <v>1.0574111005827322</v>
      </c>
      <c r="X132">
        <f t="shared" si="165"/>
        <v>1.0867107802137053</v>
      </c>
      <c r="Y132">
        <f t="shared" si="165"/>
        <v>1.1460129636779557</v>
      </c>
      <c r="Z132">
        <f t="shared" si="165"/>
        <v>1.1602576034785306</v>
      </c>
      <c r="AA132">
        <f t="shared" si="165"/>
        <v>1.178812039226421</v>
      </c>
      <c r="AB132">
        <f t="shared" si="165"/>
        <v>1.2129194721556744</v>
      </c>
      <c r="AC132">
        <f t="shared" si="165"/>
        <v>1.2557421915546785</v>
      </c>
      <c r="AD132">
        <f t="shared" si="165"/>
        <v>1.299337474124868</v>
      </c>
      <c r="AE132">
        <f t="shared" si="165"/>
        <v>1.3435430270056303</v>
      </c>
      <c r="AF132">
        <f t="shared" si="165"/>
        <v>1.3944574046139349</v>
      </c>
      <c r="AG132">
        <f t="shared" si="165"/>
        <v>1.4525013922131274</v>
      </c>
      <c r="AH132">
        <f t="shared" si="165"/>
        <v>1.5186420118426465</v>
      </c>
      <c r="AI132">
        <f t="shared" si="165"/>
        <v>1.5750485592691454</v>
      </c>
      <c r="AJ132">
        <f t="shared" si="165"/>
        <v>1.6311967587478513</v>
      </c>
      <c r="AK132">
        <f t="shared" si="165"/>
        <v>1.6862139037900683</v>
      </c>
      <c r="AL132">
        <f t="shared" si="165"/>
        <v>1.7365283220588721</v>
      </c>
      <c r="AM132">
        <f t="shared" si="165"/>
        <v>1.7877124966320626</v>
      </c>
      <c r="AN132">
        <f t="shared" si="165"/>
        <v>2.0708327953181667</v>
      </c>
      <c r="AO132">
        <f t="shared" si="165"/>
        <v>2.4184971002855544</v>
      </c>
      <c r="AP132">
        <f t="shared" si="165"/>
        <v>2.8814456282314951</v>
      </c>
      <c r="AQ132">
        <f t="shared" si="165"/>
        <v>3.2265870248744721</v>
      </c>
    </row>
    <row r="133" spans="1:43">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0">
        <f t="shared" si="157"/>
        <v>6.6708069119999998</v>
      </c>
      <c r="O133" s="160">
        <f t="shared" si="158"/>
        <v>6.6708069119999998</v>
      </c>
      <c r="P133" s="282">
        <f>IFERROR(INDEX('BY-DMD'!$I$5:$I$138,MATCH(D133,'BY-DMD'!$H$5:$H$138,0)),"")</f>
        <v>6.6708069119999998</v>
      </c>
      <c r="Q133">
        <f t="shared" ref="Q133:AQ133" si="166">Q$125/P$125*P133</f>
        <v>6.7476659242906258</v>
      </c>
      <c r="R133">
        <f t="shared" si="166"/>
        <v>6.740435833154903</v>
      </c>
      <c r="S133">
        <f t="shared" si="166"/>
        <v>6.2524537803062259</v>
      </c>
      <c r="T133">
        <f t="shared" si="166"/>
        <v>6.8546361951793786</v>
      </c>
      <c r="U133">
        <f t="shared" si="166"/>
        <v>7.084414024534496</v>
      </c>
      <c r="V133">
        <f t="shared" si="166"/>
        <v>7.0412319574602771</v>
      </c>
      <c r="W133">
        <f t="shared" si="166"/>
        <v>7.0461596427810145</v>
      </c>
      <c r="X133">
        <f t="shared" si="166"/>
        <v>7.2414008503382288</v>
      </c>
      <c r="Y133">
        <f t="shared" si="166"/>
        <v>7.6365666015056988</v>
      </c>
      <c r="Z133">
        <f t="shared" si="166"/>
        <v>7.731487116368319</v>
      </c>
      <c r="AA133">
        <f t="shared" si="166"/>
        <v>7.8551263672607208</v>
      </c>
      <c r="AB133">
        <f t="shared" si="166"/>
        <v>8.0824044971125115</v>
      </c>
      <c r="AC133">
        <f t="shared" si="166"/>
        <v>8.3677577689451166</v>
      </c>
      <c r="AD133">
        <f t="shared" si="166"/>
        <v>8.6582590890962106</v>
      </c>
      <c r="AE133">
        <f t="shared" si="166"/>
        <v>8.9528270036221649</v>
      </c>
      <c r="AF133">
        <f t="shared" si="166"/>
        <v>9.2920998110886686</v>
      </c>
      <c r="AG133">
        <f t="shared" si="166"/>
        <v>9.6788814541999635</v>
      </c>
      <c r="AH133">
        <f t="shared" si="166"/>
        <v>10.119615776475582</v>
      </c>
      <c r="AI133">
        <f t="shared" si="166"/>
        <v>10.495486180943796</v>
      </c>
      <c r="AJ133">
        <f t="shared" si="166"/>
        <v>10.869635059240656</v>
      </c>
      <c r="AK133">
        <f t="shared" si="166"/>
        <v>11.23624704850752</v>
      </c>
      <c r="AL133">
        <f t="shared" si="166"/>
        <v>11.571521969737564</v>
      </c>
      <c r="AM133">
        <f t="shared" si="166"/>
        <v>11.912592594991942</v>
      </c>
      <c r="AN133">
        <f t="shared" si="166"/>
        <v>13.799191687392952</v>
      </c>
      <c r="AO133">
        <f t="shared" si="166"/>
        <v>16.115885916862176</v>
      </c>
      <c r="AP133">
        <f t="shared" si="166"/>
        <v>19.200787553037451</v>
      </c>
      <c r="AQ133">
        <f t="shared" si="166"/>
        <v>21.500670142447195</v>
      </c>
    </row>
    <row r="134" spans="1:43">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0">
        <f t="shared" si="157"/>
        <v>0.22371068159999999</v>
      </c>
      <c r="O134" s="160">
        <f t="shared" si="158"/>
        <v>0.22371068159999999</v>
      </c>
      <c r="P134" s="282">
        <f>IFERROR(INDEX('BY-DMD'!$I$5:$I$138,MATCH(D134,'BY-DMD'!$H$5:$H$138,0)),"")</f>
        <v>0.22371068159999999</v>
      </c>
      <c r="Q134">
        <f t="shared" ref="Q134:AQ134" si="167">Q$125/P$125*P134</f>
        <v>0.22628820816514586</v>
      </c>
      <c r="R134">
        <f t="shared" si="167"/>
        <v>0.22604574145349615</v>
      </c>
      <c r="S134">
        <f t="shared" si="167"/>
        <v>0.20968088498388876</v>
      </c>
      <c r="T134">
        <f t="shared" si="167"/>
        <v>0.22987553913232034</v>
      </c>
      <c r="U134">
        <f t="shared" si="167"/>
        <v>0.23758131678406627</v>
      </c>
      <c r="V134">
        <f t="shared" si="167"/>
        <v>0.23613317268613224</v>
      </c>
      <c r="W134">
        <f t="shared" si="167"/>
        <v>0.23629842643374552</v>
      </c>
      <c r="X134">
        <f t="shared" si="167"/>
        <v>0.24284599169762097</v>
      </c>
      <c r="Y134">
        <f t="shared" si="167"/>
        <v>0.25609818153085157</v>
      </c>
      <c r="Z134">
        <f t="shared" si="167"/>
        <v>0.25928141458764126</v>
      </c>
      <c r="AA134">
        <f t="shared" si="167"/>
        <v>0.26342775272252217</v>
      </c>
      <c r="AB134">
        <f t="shared" si="167"/>
        <v>0.2710497010134334</v>
      </c>
      <c r="AC134">
        <f t="shared" si="167"/>
        <v>0.28061924421571488</v>
      </c>
      <c r="AD134">
        <f t="shared" si="167"/>
        <v>0.29036143120958435</v>
      </c>
      <c r="AE134">
        <f t="shared" si="167"/>
        <v>0.30023999459860246</v>
      </c>
      <c r="AF134">
        <f t="shared" si="167"/>
        <v>0.31161777123161277</v>
      </c>
      <c r="AG134">
        <f t="shared" si="167"/>
        <v>0.32458879350106917</v>
      </c>
      <c r="AH134">
        <f t="shared" si="167"/>
        <v>0.33936916069524298</v>
      </c>
      <c r="AI134">
        <f t="shared" si="167"/>
        <v>0.35197426611743571</v>
      </c>
      <c r="AJ134">
        <f t="shared" si="167"/>
        <v>0.36452163882479099</v>
      </c>
      <c r="AK134">
        <f t="shared" si="167"/>
        <v>0.37681625611525499</v>
      </c>
      <c r="AL134">
        <f t="shared" si="167"/>
        <v>0.38805996053380665</v>
      </c>
      <c r="AM134">
        <f t="shared" si="167"/>
        <v>0.39949802838016246</v>
      </c>
      <c r="AN134">
        <f t="shared" si="167"/>
        <v>0.46276659160416295</v>
      </c>
      <c r="AO134">
        <f t="shared" si="167"/>
        <v>0.54045872869795919</v>
      </c>
      <c r="AP134">
        <f t="shared" si="167"/>
        <v>0.64391329675872422</v>
      </c>
      <c r="AQ134">
        <f t="shared" si="167"/>
        <v>0.72104164246923885</v>
      </c>
    </row>
    <row r="135" spans="1:43">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0">
        <f t="shared" ref="N135" si="168">P135</f>
        <v>68.533420800000002</v>
      </c>
      <c r="O135" s="160">
        <f t="shared" ref="O135" si="169">P135</f>
        <v>68.533420800000002</v>
      </c>
      <c r="P135" s="282">
        <f>IFERROR(INDEX('BY-DMD'!$I$5:$I$138,MATCH(D135,'BY-DMD'!$H$5:$H$138,0)),"")</f>
        <v>68.533420800000002</v>
      </c>
      <c r="Q135">
        <f t="shared" ref="Q135:AQ135" si="170">Q$125/P$125*P135</f>
        <v>69.323042070870599</v>
      </c>
      <c r="R135">
        <f t="shared" si="170"/>
        <v>69.248762769316315</v>
      </c>
      <c r="S135">
        <f t="shared" si="170"/>
        <v>64.23541433757471</v>
      </c>
      <c r="T135">
        <f t="shared" si="170"/>
        <v>70.422015356204511</v>
      </c>
      <c r="U135">
        <f t="shared" si="170"/>
        <v>72.782668404245371</v>
      </c>
      <c r="V135">
        <f t="shared" si="170"/>
        <v>72.339031702891049</v>
      </c>
      <c r="W135">
        <f t="shared" si="170"/>
        <v>72.389656932508856</v>
      </c>
      <c r="X135">
        <f t="shared" si="170"/>
        <v>74.395493409494676</v>
      </c>
      <c r="Y135">
        <f t="shared" si="170"/>
        <v>78.455281238428967</v>
      </c>
      <c r="Z135">
        <f t="shared" si="170"/>
        <v>79.430459754828604</v>
      </c>
      <c r="AA135">
        <f t="shared" si="170"/>
        <v>80.70068402013645</v>
      </c>
      <c r="AB135">
        <f t="shared" si="170"/>
        <v>83.035656073329918</v>
      </c>
      <c r="AC135">
        <f t="shared" si="170"/>
        <v>85.967270810968515</v>
      </c>
      <c r="AD135">
        <f t="shared" si="170"/>
        <v>88.951774706750044</v>
      </c>
      <c r="AE135">
        <f t="shared" si="170"/>
        <v>91.978057299950322</v>
      </c>
      <c r="AF135">
        <f t="shared" si="170"/>
        <v>95.463621548298221</v>
      </c>
      <c r="AG135">
        <f t="shared" si="170"/>
        <v>99.437274129574106</v>
      </c>
      <c r="AH135">
        <f t="shared" si="170"/>
        <v>103.9652167260211</v>
      </c>
      <c r="AI135">
        <f t="shared" si="170"/>
        <v>107.82677124791074</v>
      </c>
      <c r="AJ135">
        <f t="shared" si="170"/>
        <v>111.67063944203284</v>
      </c>
      <c r="AK135">
        <f t="shared" si="170"/>
        <v>115.43707640568618</v>
      </c>
      <c r="AL135">
        <f t="shared" si="170"/>
        <v>118.88156783880075</v>
      </c>
      <c r="AM135">
        <f t="shared" si="170"/>
        <v>122.38560220697127</v>
      </c>
      <c r="AN135">
        <f t="shared" si="170"/>
        <v>141.76782855320678</v>
      </c>
      <c r="AO135">
        <f t="shared" si="170"/>
        <v>165.56869441360752</v>
      </c>
      <c r="AP135">
        <f t="shared" si="170"/>
        <v>197.2618410970006</v>
      </c>
      <c r="AQ135">
        <f t="shared" si="170"/>
        <v>220.88999034039628</v>
      </c>
    </row>
    <row r="136" spans="1:43">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0">
        <f t="shared" ref="N136" si="171">P136</f>
        <v>4.2</v>
      </c>
      <c r="O136" s="160">
        <f t="shared" ref="O136" si="172">P136</f>
        <v>4.2</v>
      </c>
      <c r="P136" s="282">
        <f>IFERROR(INDEX('BY-DMD'!$I$5:$I$138,MATCH(D136,'BY-DMD'!$H$5:$H$138,0)),"")</f>
        <v>4.2</v>
      </c>
      <c r="Q136">
        <f t="shared" ref="Q136:AQ136" si="173">Q$125/P$125*P136</f>
        <v>4.2483911250736304</v>
      </c>
      <c r="R136">
        <f t="shared" si="173"/>
        <v>4.2438389946986064</v>
      </c>
      <c r="S136">
        <f t="shared" si="173"/>
        <v>3.9366011074382827</v>
      </c>
      <c r="T136">
        <f t="shared" si="173"/>
        <v>4.3157405692502513</v>
      </c>
      <c r="U136">
        <f t="shared" si="173"/>
        <v>4.4604107562339959</v>
      </c>
      <c r="V136">
        <f t="shared" si="173"/>
        <v>4.4332229386124924</v>
      </c>
      <c r="W136">
        <f t="shared" si="173"/>
        <v>4.4363254535885845</v>
      </c>
      <c r="X136">
        <f t="shared" si="173"/>
        <v>4.5592510730163021</v>
      </c>
      <c r="Y136">
        <f t="shared" si="173"/>
        <v>4.8080509823522739</v>
      </c>
      <c r="Z136">
        <f t="shared" si="173"/>
        <v>4.8678137918117788</v>
      </c>
      <c r="AA136">
        <f t="shared" si="173"/>
        <v>4.9456581756469573</v>
      </c>
      <c r="AB136">
        <f t="shared" si="173"/>
        <v>5.0887545293519887</v>
      </c>
      <c r="AC136">
        <f t="shared" si="173"/>
        <v>5.2684155145232143</v>
      </c>
      <c r="AD136">
        <f t="shared" si="173"/>
        <v>5.4513177571949019</v>
      </c>
      <c r="AE136">
        <f t="shared" si="173"/>
        <v>5.6367803642422531</v>
      </c>
      <c r="AF136">
        <f t="shared" si="173"/>
        <v>5.8503895737662175</v>
      </c>
      <c r="AG136">
        <f t="shared" si="173"/>
        <v>6.093910773299843</v>
      </c>
      <c r="AH136">
        <f t="shared" si="173"/>
        <v>6.3714010646509109</v>
      </c>
      <c r="AI136">
        <f t="shared" si="173"/>
        <v>6.6080524502466602</v>
      </c>
      <c r="AJ136">
        <f t="shared" si="173"/>
        <v>6.8436199474890094</v>
      </c>
      <c r="AK136">
        <f t="shared" si="173"/>
        <v>7.0744421516440967</v>
      </c>
      <c r="AL136">
        <f t="shared" si="173"/>
        <v>7.285534256053996</v>
      </c>
      <c r="AM136">
        <f t="shared" si="173"/>
        <v>7.500275387818955</v>
      </c>
      <c r="AN136">
        <f t="shared" si="173"/>
        <v>8.6880951362560452</v>
      </c>
      <c r="AO136">
        <f t="shared" si="173"/>
        <v>10.146706649395094</v>
      </c>
      <c r="AP136">
        <f t="shared" si="173"/>
        <v>12.088988451710309</v>
      </c>
      <c r="AQ136">
        <f t="shared" si="173"/>
        <v>13.537015205137186</v>
      </c>
    </row>
  </sheetData>
  <mergeCells count="1">
    <mergeCell ref="B2:C2"/>
  </mergeCells>
  <conditionalFormatting sqref="B79:AQ136">
    <cfRule type="expression" dxfId="0" priority="1">
      <formula>INDIRECT(ADDRESS(ROW(),1))="*"</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7329630420850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2" t="s">
        <v>185</v>
      </c>
      <c r="C2" s="362"/>
      <c r="I2" s="104"/>
      <c r="AY2" t="s">
        <v>279</v>
      </c>
    </row>
    <row r="3" spans="1:51" ht="15.7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4">
        <f t="shared" ref="L7:AM7" si="4">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51" ht="15.75" thickBot="1">
      <c r="A8" t="s">
        <v>16</v>
      </c>
      <c r="B8" s="2"/>
      <c r="C8" s="2" t="s">
        <v>35</v>
      </c>
      <c r="D8" s="2"/>
      <c r="I8" s="104"/>
    </row>
    <row r="9" spans="1:51">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51">
      <c r="A10" t="s">
        <v>16</v>
      </c>
      <c r="C10" t="s">
        <v>33</v>
      </c>
      <c r="D10" t="s">
        <v>38</v>
      </c>
    </row>
    <row r="11" spans="1:51">
      <c r="A11" t="s">
        <v>16</v>
      </c>
      <c r="C11" t="s">
        <v>34</v>
      </c>
      <c r="D11" t="s">
        <v>38</v>
      </c>
    </row>
    <row r="12" spans="1:51">
      <c r="A12" t="s">
        <v>16</v>
      </c>
    </row>
    <row r="13" spans="1:51" ht="18" thickBot="1">
      <c r="A13" t="s">
        <v>16</v>
      </c>
      <c r="B13" s="19"/>
      <c r="C13" s="29" t="s">
        <v>31</v>
      </c>
    </row>
    <row r="14" spans="1:51" ht="16.5"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51">
      <c r="A15" t="s">
        <v>16</v>
      </c>
    </row>
    <row r="16" spans="1:51" ht="15.75" thickBot="1">
      <c r="A16" t="s">
        <v>16</v>
      </c>
      <c r="C16" s="2" t="s">
        <v>48</v>
      </c>
      <c r="D16" s="2"/>
    </row>
    <row r="17" spans="1:45">
      <c r="A17" t="s">
        <v>16</v>
      </c>
      <c r="C17" t="s">
        <v>40</v>
      </c>
      <c r="D17" t="s">
        <v>39</v>
      </c>
      <c r="E17">
        <f>E22/$E$25</f>
        <v>0.4556701030927835</v>
      </c>
      <c r="F17">
        <f>F22/$F$25</f>
        <v>0.46414111634904792</v>
      </c>
      <c r="L17" s="64">
        <f t="shared" ref="L17:AM17" si="5">L22/L$25</f>
        <v>0.4556701030927835</v>
      </c>
      <c r="M17" s="64">
        <f t="shared" si="5"/>
        <v>0.44755970924195232</v>
      </c>
      <c r="N17" s="64">
        <f t="shared" si="5"/>
        <v>0.44456066945606693</v>
      </c>
      <c r="O17" s="64">
        <f t="shared" si="5"/>
        <v>0.46414111634904792</v>
      </c>
      <c r="P17" s="64">
        <f t="shared" si="5"/>
        <v>0.48947211509097449</v>
      </c>
      <c r="Q17" s="64">
        <f t="shared" si="5"/>
        <v>0.4606178050566635</v>
      </c>
      <c r="R17" s="64">
        <f t="shared" si="5"/>
        <v>0.44783547304107746</v>
      </c>
      <c r="S17" s="64">
        <f t="shared" si="5"/>
        <v>0.43734504449293116</v>
      </c>
      <c r="T17" s="64">
        <f t="shared" si="5"/>
        <v>0.42847018132309489</v>
      </c>
      <c r="U17" s="64">
        <f t="shared" si="5"/>
        <v>0.42283459382689914</v>
      </c>
      <c r="V17" s="64">
        <f t="shared" si="5"/>
        <v>0.41133888034482868</v>
      </c>
      <c r="W17" s="64">
        <f t="shared" si="5"/>
        <v>0.39667878483899643</v>
      </c>
      <c r="X17" s="64">
        <f t="shared" si="5"/>
        <v>0.38256993533227357</v>
      </c>
      <c r="Y17" s="64">
        <f t="shared" si="5"/>
        <v>0.3681314630913507</v>
      </c>
      <c r="Z17" s="64">
        <f t="shared" si="5"/>
        <v>0.35408430112257766</v>
      </c>
      <c r="AA17" s="64">
        <f t="shared" si="5"/>
        <v>0.34075368376324844</v>
      </c>
      <c r="AB17" s="64">
        <f t="shared" si="5"/>
        <v>0.32791372667188529</v>
      </c>
      <c r="AC17" s="64">
        <f t="shared" si="5"/>
        <v>0.31543762454488999</v>
      </c>
      <c r="AD17" s="64">
        <f t="shared" si="5"/>
        <v>0.30324459681030075</v>
      </c>
      <c r="AE17" s="64">
        <f t="shared" si="5"/>
        <v>0.2915418297419623</v>
      </c>
      <c r="AF17" s="64">
        <f t="shared" si="5"/>
        <v>0.28046722445348193</v>
      </c>
      <c r="AG17" s="64">
        <f t="shared" si="5"/>
        <v>0.26982400445783228</v>
      </c>
      <c r="AH17" s="64">
        <f t="shared" si="5"/>
        <v>0.25972185449361057</v>
      </c>
      <c r="AI17" s="64">
        <f t="shared" si="5"/>
        <v>0.25016713258411954</v>
      </c>
      <c r="AJ17" s="64">
        <f t="shared" si="5"/>
        <v>0.21014696677205005</v>
      </c>
      <c r="AK17" s="64">
        <f t="shared" si="5"/>
        <v>0.18072458479062245</v>
      </c>
      <c r="AL17" s="64">
        <f t="shared" si="5"/>
        <v>0.15418593312694762</v>
      </c>
      <c r="AM17" s="64">
        <f t="shared" si="5"/>
        <v>0.13306234639780212</v>
      </c>
      <c r="AN17" s="64"/>
      <c r="AO17" s="64"/>
      <c r="AP17" s="64"/>
      <c r="AQ17" s="64"/>
      <c r="AR17" s="64"/>
      <c r="AS17" s="64"/>
    </row>
    <row r="18" spans="1:45">
      <c r="A18" t="s">
        <v>16</v>
      </c>
      <c r="C18" t="s">
        <v>42</v>
      </c>
      <c r="D18" t="s">
        <v>39</v>
      </c>
      <c r="E18">
        <f>E23/$E$25</f>
        <v>0.30824742268041239</v>
      </c>
      <c r="F18">
        <f>F23/$F$25</f>
        <v>0.33198982627744406</v>
      </c>
      <c r="L18" s="64">
        <f t="shared" ref="L18:AM18" si="6">L23/L$25</f>
        <v>0.30824742268041239</v>
      </c>
      <c r="M18" s="64">
        <f t="shared" si="6"/>
        <v>0.31152647975077885</v>
      </c>
      <c r="N18" s="64">
        <f t="shared" si="6"/>
        <v>0.31485355648535562</v>
      </c>
      <c r="O18" s="64">
        <f t="shared" si="6"/>
        <v>0.33198982627744406</v>
      </c>
      <c r="P18" s="64">
        <f t="shared" si="6"/>
        <v>0.29340566839946647</v>
      </c>
      <c r="Q18" s="64">
        <f t="shared" si="6"/>
        <v>0.30702568611369813</v>
      </c>
      <c r="R18" s="64">
        <f t="shared" si="6"/>
        <v>0.31192284361497863</v>
      </c>
      <c r="S18" s="64">
        <f t="shared" si="6"/>
        <v>0.31468116873783775</v>
      </c>
      <c r="T18" s="64">
        <f t="shared" si="6"/>
        <v>0.31810023619141697</v>
      </c>
      <c r="U18" s="64">
        <f t="shared" si="6"/>
        <v>0.32002715947280552</v>
      </c>
      <c r="V18" s="64">
        <f t="shared" si="6"/>
        <v>0.32056182787230064</v>
      </c>
      <c r="W18" s="64">
        <f t="shared" si="6"/>
        <v>0.32405011507682857</v>
      </c>
      <c r="X18" s="64">
        <f t="shared" si="6"/>
        <v>0.32739290265745652</v>
      </c>
      <c r="Y18" s="64">
        <f t="shared" si="6"/>
        <v>0.3301611284366166</v>
      </c>
      <c r="Z18" s="64">
        <f t="shared" si="6"/>
        <v>0.33359646163824991</v>
      </c>
      <c r="AA18" s="64">
        <f t="shared" si="6"/>
        <v>0.33654052852471189</v>
      </c>
      <c r="AB18" s="64">
        <f t="shared" si="6"/>
        <v>0.33966241959979315</v>
      </c>
      <c r="AC18" s="64">
        <f t="shared" si="6"/>
        <v>0.34245066314010109</v>
      </c>
      <c r="AD18" s="64">
        <f t="shared" si="6"/>
        <v>0.34518504524092181</v>
      </c>
      <c r="AE18" s="64">
        <f t="shared" si="6"/>
        <v>0.34770931437923791</v>
      </c>
      <c r="AF18" s="64">
        <f t="shared" si="6"/>
        <v>0.35009843702544496</v>
      </c>
      <c r="AG18" s="64">
        <f t="shared" si="6"/>
        <v>0.35237148498989329</v>
      </c>
      <c r="AH18" s="64">
        <f t="shared" si="6"/>
        <v>0.35460235350222802</v>
      </c>
      <c r="AI18" s="64">
        <f t="shared" si="6"/>
        <v>0.35664814779018034</v>
      </c>
      <c r="AJ18" s="64">
        <f t="shared" si="6"/>
        <v>0.36564029649579988</v>
      </c>
      <c r="AK18" s="64">
        <f t="shared" si="6"/>
        <v>0.37346403644390003</v>
      </c>
      <c r="AL18" s="64">
        <f t="shared" si="6"/>
        <v>0.37772506321390964</v>
      </c>
      <c r="AM18" s="64">
        <f t="shared" si="6"/>
        <v>0.3926161287985398</v>
      </c>
      <c r="AN18" s="64"/>
      <c r="AO18" s="64"/>
      <c r="AP18" s="64"/>
      <c r="AQ18" s="64"/>
      <c r="AR18" s="64"/>
      <c r="AS18" s="64"/>
    </row>
    <row r="19" spans="1:45">
      <c r="A19" t="s">
        <v>16</v>
      </c>
      <c r="C19" t="s">
        <v>41</v>
      </c>
      <c r="D19" t="s">
        <v>39</v>
      </c>
      <c r="E19">
        <f>E24/$E$25</f>
        <v>0.23608247422680412</v>
      </c>
      <c r="F19">
        <f>F24/$F$25</f>
        <v>0.20386905737350788</v>
      </c>
      <c r="L19" s="64">
        <f t="shared" ref="L19:AM19" si="7">L24/L$25</f>
        <v>0.23608247422680412</v>
      </c>
      <c r="M19" s="64">
        <f t="shared" si="7"/>
        <v>0.24091381100726891</v>
      </c>
      <c r="N19" s="64">
        <f t="shared" si="7"/>
        <v>0.24058577405857745</v>
      </c>
      <c r="O19" s="64">
        <f t="shared" si="7"/>
        <v>0.20386905737350788</v>
      </c>
      <c r="P19" s="64">
        <f t="shared" si="7"/>
        <v>0.21712221650955901</v>
      </c>
      <c r="Q19" s="64">
        <f t="shared" si="7"/>
        <v>0.23235650882963838</v>
      </c>
      <c r="R19" s="64">
        <f t="shared" si="7"/>
        <v>0.24024168334394391</v>
      </c>
      <c r="S19" s="64">
        <f t="shared" si="7"/>
        <v>0.2479737867692311</v>
      </c>
      <c r="T19" s="64">
        <f t="shared" si="7"/>
        <v>0.25342958248548825</v>
      </c>
      <c r="U19" s="64">
        <f t="shared" si="7"/>
        <v>0.25713824670029534</v>
      </c>
      <c r="V19" s="64">
        <f t="shared" si="7"/>
        <v>0.26809929178287062</v>
      </c>
      <c r="W19" s="64">
        <f t="shared" si="7"/>
        <v>0.27927110008417494</v>
      </c>
      <c r="X19" s="64">
        <f t="shared" si="7"/>
        <v>0.29003716201027008</v>
      </c>
      <c r="Y19" s="64">
        <f t="shared" si="7"/>
        <v>0.30170740847203276</v>
      </c>
      <c r="Z19" s="64">
        <f t="shared" si="7"/>
        <v>0.31231923723917249</v>
      </c>
      <c r="AA19" s="64">
        <f t="shared" si="7"/>
        <v>0.32270578771203962</v>
      </c>
      <c r="AB19" s="64">
        <f t="shared" si="7"/>
        <v>0.33242385372832167</v>
      </c>
      <c r="AC19" s="64">
        <f t="shared" si="7"/>
        <v>0.34211171231500903</v>
      </c>
      <c r="AD19" s="64">
        <f t="shared" si="7"/>
        <v>0.35157035794877739</v>
      </c>
      <c r="AE19" s="64">
        <f t="shared" si="7"/>
        <v>0.3607488558787999</v>
      </c>
      <c r="AF19" s="64">
        <f t="shared" si="7"/>
        <v>0.36943433852107305</v>
      </c>
      <c r="AG19" s="64">
        <f t="shared" si="7"/>
        <v>0.37780451055227443</v>
      </c>
      <c r="AH19" s="64">
        <f t="shared" si="7"/>
        <v>0.38567579200416152</v>
      </c>
      <c r="AI19" s="64">
        <f t="shared" si="7"/>
        <v>0.39318471962570023</v>
      </c>
      <c r="AJ19" s="64">
        <f t="shared" si="7"/>
        <v>0.42421273673215015</v>
      </c>
      <c r="AK19" s="64">
        <f t="shared" si="7"/>
        <v>0.44581137876547755</v>
      </c>
      <c r="AL19" s="64">
        <f t="shared" si="7"/>
        <v>0.46808900365914263</v>
      </c>
      <c r="AM19" s="64">
        <f t="shared" si="7"/>
        <v>0.47432152480365808</v>
      </c>
      <c r="AN19" s="64"/>
      <c r="AO19" s="64"/>
      <c r="AP19" s="64"/>
      <c r="AQ19" s="64"/>
      <c r="AR19" s="64"/>
      <c r="AS19" s="64"/>
    </row>
    <row r="20" spans="1:45">
      <c r="A20" t="s">
        <v>16</v>
      </c>
      <c r="N20" s="4"/>
    </row>
    <row r="21" spans="1:45" ht="15.7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c r="A22" t="s">
        <v>16</v>
      </c>
      <c r="B22">
        <v>1</v>
      </c>
      <c r="C22" t="s">
        <v>7</v>
      </c>
      <c r="D22" t="s">
        <v>38</v>
      </c>
      <c r="E22" s="8">
        <f t="shared" ref="E22:K24" si="8">SUMIF($L$3:$AS$3,E$21,$L22:$AS22)</f>
        <v>25.755361891142741</v>
      </c>
      <c r="F22" s="8">
        <f t="shared" si="8"/>
        <v>26.998265626975765</v>
      </c>
      <c r="G22" s="8">
        <f t="shared" si="8"/>
        <v>23.803114612570383</v>
      </c>
      <c r="H22" s="8">
        <f t="shared" si="8"/>
        <v>17.440135720439955</v>
      </c>
      <c r="I22" s="18">
        <f t="shared" si="8"/>
        <v>13.288634080682025</v>
      </c>
      <c r="J22" s="18">
        <f t="shared" si="8"/>
        <v>11.532961321259215</v>
      </c>
      <c r="K22" s="18">
        <f t="shared" si="8"/>
        <v>10.067922661841489</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29.070852674872505</v>
      </c>
      <c r="Q22" s="8" cm="1">
        <f t="array" ref="Q22">INDEX(Drivers!$C$36:$AG$38,$B22,Q$21)</f>
        <v>27.588189845016228</v>
      </c>
      <c r="R22" s="8" cm="1">
        <f t="array" ref="R22">INDEX(Drivers!$C$36:$AG$38,$B22,R$21)</f>
        <v>27.055753946862811</v>
      </c>
      <c r="S22" s="8" cm="1">
        <f t="array" ref="S22">INDEX(Drivers!$C$36:$AG$38,$B22,S$21)</f>
        <v>26.68689126821349</v>
      </c>
      <c r="T22" s="8" cm="1">
        <f t="array" ref="T22">INDEX(Drivers!$C$36:$AG$38,$B22,T$21)</f>
        <v>26.425076198823913</v>
      </c>
      <c r="U22" s="8" cm="1">
        <f t="array" ref="U22">INDEX(Drivers!$C$36:$AG$38,$B22,U$21)</f>
        <v>26.344725858934108</v>
      </c>
      <c r="V22" s="8" cm="1">
        <f t="array" ref="V22">INDEX(Drivers!$C$36:$AG$38,$B22,V$21)</f>
        <v>25.880996459950325</v>
      </c>
      <c r="W22" s="8" cm="1">
        <f t="array" ref="W22">INDEX(Drivers!$C$36:$AG$38,$B22,W$21)</f>
        <v>25.194855473014009</v>
      </c>
      <c r="X22" s="8" cm="1">
        <f t="array" ref="X22">INDEX(Drivers!$C$36:$AG$38,$B22,X$21)</f>
        <v>24.52033490644407</v>
      </c>
      <c r="Y22" s="8" cm="1">
        <f t="array" ref="Y22">INDEX(Drivers!$C$36:$AG$38,$B22,Y$21)</f>
        <v>23.803114612570383</v>
      </c>
      <c r="Z22" s="8" cm="1">
        <f t="array" ref="Z22">INDEX(Drivers!$C$36:$AG$38,$B22,Z$21)</f>
        <v>23.090377608846801</v>
      </c>
      <c r="AA22" s="8" cm="1">
        <f t="array" ref="AA22">INDEX(Drivers!$C$36:$AG$38,$B22,AA$21)</f>
        <v>22.405551071204908</v>
      </c>
      <c r="AB22" s="8" cm="1">
        <f t="array" ref="AB22">INDEX(Drivers!$C$36:$AG$38,$B22,AB$21)</f>
        <v>21.735495434413586</v>
      </c>
      <c r="AC22" s="8" cm="1">
        <f t="array" ref="AC22">INDEX(Drivers!$C$36:$AG$38,$B22,AC$21)</f>
        <v>21.072547748180128</v>
      </c>
      <c r="AD22" s="8" cm="1">
        <f t="array" ref="AD22">INDEX(Drivers!$C$36:$AG$38,$B22,AD$21)</f>
        <v>20.412647121219958</v>
      </c>
      <c r="AE22" s="8" cm="1">
        <f t="array" ref="AE22">INDEX(Drivers!$C$36:$AG$38,$B22,AE$21)</f>
        <v>19.77118119247832</v>
      </c>
      <c r="AF22" s="8" cm="1">
        <f t="array" ref="AF22">INDEX(Drivers!$C$36:$AG$38,$B22,AF$21)</f>
        <v>19.158224162905658</v>
      </c>
      <c r="AG22" s="8" cm="1">
        <f t="array" ref="AG22">INDEX(Drivers!$C$36:$AG$38,$B22,AG$21)</f>
        <v>18.560787181527573</v>
      </c>
      <c r="AH22" s="8" cm="1">
        <f t="array" ref="AH22">INDEX(Drivers!$C$36:$AG$38,$B22,AH$21)</f>
        <v>17.987510505895742</v>
      </c>
      <c r="AI22" s="8" cm="1">
        <f t="array" ref="AI22">INDEX(Drivers!$C$36:$AG$38,$B22,AI$21)</f>
        <v>17.440135720439955</v>
      </c>
      <c r="AJ22" s="8" cm="1">
        <f t="array" ref="AJ22">INDEX(Drivers!$C$36:$AG$38,$B22,AJ$21)</f>
        <v>15.091956805241869</v>
      </c>
      <c r="AK22" s="8" cm="1">
        <f t="array" ref="AK22">INDEX(Drivers!$C$36:$AK$38,$B22,AK$21)</f>
        <v>13.288634080682025</v>
      </c>
      <c r="AL22" s="8" cm="1">
        <f t="array" ref="AL22">INDEX(Drivers!$C$36:$AK$38,$B22,AL$21)</f>
        <v>11.532961321259215</v>
      </c>
      <c r="AM22" s="8" cm="1">
        <f t="array" ref="AM22">INDEX(Drivers!$C$36:$AK$38,$B22,AM$21)</f>
        <v>10.067922661841489</v>
      </c>
      <c r="AN22" s="8"/>
      <c r="AO22" s="8"/>
      <c r="AP22" s="8"/>
      <c r="AQ22" s="8"/>
      <c r="AR22" s="8"/>
      <c r="AS22" s="8"/>
    </row>
    <row r="23" spans="1:45">
      <c r="A23" t="s">
        <v>16</v>
      </c>
      <c r="B23">
        <v>2</v>
      </c>
      <c r="C23" t="s">
        <v>8</v>
      </c>
      <c r="D23" t="s">
        <v>38</v>
      </c>
      <c r="E23" s="8">
        <f t="shared" si="8"/>
        <v>17.422744808714206</v>
      </c>
      <c r="F23" s="8">
        <f t="shared" si="8"/>
        <v>19.311259441517389</v>
      </c>
      <c r="G23" s="8">
        <f t="shared" si="8"/>
        <v>21.347980188376898</v>
      </c>
      <c r="H23" s="8">
        <f t="shared" si="8"/>
        <v>24.863346506211318</v>
      </c>
      <c r="I23" s="18">
        <f t="shared" si="8"/>
        <v>27.460718354102966</v>
      </c>
      <c r="J23" s="18">
        <f t="shared" si="8"/>
        <v>28.253475889590398</v>
      </c>
      <c r="K23" s="18">
        <f t="shared" si="8"/>
        <v>29.706591891277423</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17.426024276026553</v>
      </c>
      <c r="Q23" s="8" cm="1">
        <f t="array" ref="Q23">INDEX(Drivers!$C$36:$AG$38,$B23,Q$21)</f>
        <v>18.388961136139937</v>
      </c>
      <c r="R23" s="8" cm="1">
        <f t="array" ref="R23">INDEX(Drivers!$C$36:$AG$38,$B23,R$21)</f>
        <v>18.844661075962907</v>
      </c>
      <c r="S23" s="8" cm="1">
        <f t="array" ref="S23">INDEX(Drivers!$C$36:$AG$38,$B23,S$21)</f>
        <v>19.201914460921149</v>
      </c>
      <c r="T23" s="8" cm="1">
        <f t="array" ref="T23">INDEX(Drivers!$C$36:$AG$38,$B23,T$21)</f>
        <v>19.618221632752388</v>
      </c>
      <c r="U23" s="8" cm="1">
        <f t="array" ref="U23">INDEX(Drivers!$C$36:$AG$38,$B23,U$21)</f>
        <v>19.939304652012364</v>
      </c>
      <c r="V23" s="8" cm="1">
        <f t="array" ref="V23">INDEX(Drivers!$C$36:$AG$38,$B23,V$21)</f>
        <v>20.16940272070374</v>
      </c>
      <c r="W23" s="8" cm="1">
        <f t="array" ref="W23">INDEX(Drivers!$C$36:$AG$38,$B23,W$21)</f>
        <v>20.581881682147458</v>
      </c>
      <c r="X23" s="8" cm="1">
        <f t="array" ref="X23">INDEX(Drivers!$C$36:$AG$38,$B23,X$21)</f>
        <v>20.983832961629101</v>
      </c>
      <c r="Y23" s="8" cm="1">
        <f t="array" ref="Y23">INDEX(Drivers!$C$36:$AG$38,$B23,Y$21)</f>
        <v>21.347980188376898</v>
      </c>
      <c r="Z23" s="8" cm="1">
        <f t="array" ref="Z23">INDEX(Drivers!$C$36:$AG$38,$B23,Z$21)</f>
        <v>21.754334331630734</v>
      </c>
      <c r="AA23" s="8" cm="1">
        <f t="array" ref="AA23">INDEX(Drivers!$C$36:$AG$38,$B23,AA$21)</f>
        <v>22.128523795005211</v>
      </c>
      <c r="AB23" s="8" cm="1">
        <f t="array" ref="AB23">INDEX(Drivers!$C$36:$AG$38,$B23,AB$21)</f>
        <v>22.514248016949992</v>
      </c>
      <c r="AC23" s="8" cm="1">
        <f t="array" ref="AC23">INDEX(Drivers!$C$36:$AG$38,$B23,AC$21)</f>
        <v>22.877131289672054</v>
      </c>
      <c r="AD23" s="8" cm="1">
        <f t="array" ref="AD23">INDEX(Drivers!$C$36:$AG$38,$B23,AD$21)</f>
        <v>23.235832044958428</v>
      </c>
      <c r="AE23" s="8" cm="1">
        <f t="array" ref="AE23">INDEX(Drivers!$C$36:$AG$38,$B23,AE$21)</f>
        <v>23.58023156741833</v>
      </c>
      <c r="AF23" s="8" cm="1">
        <f t="array" ref="AF23">INDEX(Drivers!$C$36:$AG$38,$B23,AF$21)</f>
        <v>23.914610160549604</v>
      </c>
      <c r="AG23" s="8" cm="1">
        <f t="array" ref="AG23">INDEX(Drivers!$C$36:$AG$38,$B23,AG$21)</f>
        <v>24.23910413336985</v>
      </c>
      <c r="AH23" s="8" cm="1">
        <f t="array" ref="AH23">INDEX(Drivers!$C$36:$AG$38,$B23,AH$21)</f>
        <v>24.558632431887236</v>
      </c>
      <c r="AI23" s="8" cm="1">
        <f t="array" ref="AI23">INDEX(Drivers!$C$36:$AG$38,$B23,AI$21)</f>
        <v>24.863346506211318</v>
      </c>
      <c r="AJ23" s="8" cm="1">
        <f t="array" ref="AJ23">INDEX(Drivers!$C$36:$AG$38,$B23,AJ$21)</f>
        <v>26.258897026841961</v>
      </c>
      <c r="AK23" s="8" cm="1">
        <f t="array" ref="AK23">INDEX(Drivers!$C$36:$AK$38,$B23,AK$21)</f>
        <v>27.460718354102966</v>
      </c>
      <c r="AL23" s="8" cm="1">
        <f t="array" ref="AL23">INDEX(Drivers!$C$36:$AK$38,$B23,AL$21)</f>
        <v>28.253475889590398</v>
      </c>
      <c r="AM23" s="8" cm="1">
        <f t="array" ref="AM23">INDEX(Drivers!$C$36:$AK$38,$B23,AM$21)</f>
        <v>29.706591891277423</v>
      </c>
      <c r="AN23" s="8"/>
      <c r="AO23" s="8"/>
      <c r="AP23" s="8"/>
      <c r="AQ23" s="8"/>
      <c r="AR23" s="8"/>
      <c r="AS23" s="8"/>
    </row>
    <row r="24" spans="1:45">
      <c r="A24" t="s">
        <v>16</v>
      </c>
      <c r="B24">
        <v>3</v>
      </c>
      <c r="C24" t="s">
        <v>390</v>
      </c>
      <c r="D24" t="s">
        <v>38</v>
      </c>
      <c r="E24" s="8">
        <f t="shared" si="8"/>
        <v>13.343841341791148</v>
      </c>
      <c r="F24" s="8">
        <f t="shared" si="8"/>
        <v>11.858701524628284</v>
      </c>
      <c r="G24" s="8">
        <f t="shared" si="8"/>
        <v>19.50818319905272</v>
      </c>
      <c r="H24" s="8">
        <f t="shared" si="8"/>
        <v>27.410454773348725</v>
      </c>
      <c r="I24" s="18">
        <f t="shared" si="8"/>
        <v>32.780400565215011</v>
      </c>
      <c r="J24" s="18">
        <f t="shared" si="8"/>
        <v>35.012612789150403</v>
      </c>
      <c r="K24" s="18">
        <f t="shared" si="8"/>
        <v>35.888683446881096</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12.895378049100939</v>
      </c>
      <c r="Q24" s="8" cm="1">
        <f t="array" ref="Q24">INDEX(Drivers!$C$36:$AG$38,$B24,Q$21)</f>
        <v>13.916734018843847</v>
      </c>
      <c r="R24" s="8" cm="1">
        <f t="array" ref="R24">INDEX(Drivers!$C$36:$AG$38,$B24,R$21)</f>
        <v>14.514079977174283</v>
      </c>
      <c r="S24" s="8" cm="1">
        <f t="array" ref="S24">INDEX(Drivers!$C$36:$AG$38,$B24,S$21)</f>
        <v>15.131415270865356</v>
      </c>
      <c r="T24" s="8" cm="1">
        <f t="array" ref="T24">INDEX(Drivers!$C$36:$AG$38,$B24,T$21)</f>
        <v>15.629783168423694</v>
      </c>
      <c r="U24" s="8" cm="1">
        <f t="array" ref="U24">INDEX(Drivers!$C$36:$AG$38,$B24,U$21)</f>
        <v>16.021008489053521</v>
      </c>
      <c r="V24" s="8" cm="1">
        <f t="array" ref="V24">INDEX(Drivers!$C$36:$AG$38,$B24,V$21)</f>
        <v>16.868516819345924</v>
      </c>
      <c r="W24" s="8" cm="1">
        <f t="array" ref="W24">INDEX(Drivers!$C$36:$AG$38,$B24,W$21)</f>
        <v>17.73776484483853</v>
      </c>
      <c r="X24" s="8" cm="1">
        <f t="array" ref="X24">INDEX(Drivers!$C$36:$AG$38,$B24,X$21)</f>
        <v>18.589564131926828</v>
      </c>
      <c r="Y24" s="8" cm="1">
        <f t="array" ref="Y24">INDEX(Drivers!$C$36:$AG$38,$B24,Y$21)</f>
        <v>19.50818319905272</v>
      </c>
      <c r="Z24" s="8" cm="1">
        <f t="array" ref="Z24">INDEX(Drivers!$C$36:$AG$38,$B24,Z$21)</f>
        <v>20.366814059522461</v>
      </c>
      <c r="AA24" s="8" cm="1">
        <f t="array" ref="AA24">INDEX(Drivers!$C$36:$AG$38,$B24,AA$21)</f>
        <v>21.218849133789874</v>
      </c>
      <c r="AB24" s="8" cm="1">
        <f t="array" ref="AB24">INDEX(Drivers!$C$36:$AG$38,$B24,AB$21)</f>
        <v>22.034445548636427</v>
      </c>
      <c r="AC24" s="8" cm="1">
        <f t="array" ref="AC24">INDEX(Drivers!$C$36:$AG$38,$B24,AC$21)</f>
        <v>22.854487962147818</v>
      </c>
      <c r="AD24" s="8" cm="1">
        <f t="array" ref="AD24">INDEX(Drivers!$C$36:$AG$38,$B24,AD$21)</f>
        <v>23.665653833821608</v>
      </c>
      <c r="AE24" s="8" cm="1">
        <f t="array" ref="AE24">INDEX(Drivers!$C$36:$AG$38,$B24,AE$21)</f>
        <v>24.464520240103344</v>
      </c>
      <c r="AF24" s="8" cm="1">
        <f t="array" ref="AF24">INDEX(Drivers!$C$36:$AG$38,$B24,AF$21)</f>
        <v>25.235411676544732</v>
      </c>
      <c r="AG24" s="8" cm="1">
        <f t="array" ref="AG24">INDEX(Drivers!$C$36:$AG$38,$B24,AG$21)</f>
        <v>25.988603685102575</v>
      </c>
      <c r="AH24" s="8" cm="1">
        <f t="array" ref="AH24">INDEX(Drivers!$C$36:$AG$38,$B24,AH$21)</f>
        <v>26.71068006221703</v>
      </c>
      <c r="AI24" s="8" cm="1">
        <f t="array" ref="AI24">INDEX(Drivers!$C$36:$AG$38,$B24,AI$21)</f>
        <v>27.410454773348725</v>
      </c>
      <c r="AJ24" s="8" cm="1">
        <f t="array" ref="AJ24">INDEX(Drivers!$C$36:$AG$38,$B24,AJ$21)</f>
        <v>30.465347167916182</v>
      </c>
      <c r="AK24" s="8" cm="1">
        <f t="array" ref="AK24">INDEX(Drivers!$C$36:$AK$38,$B24,AK$21)</f>
        <v>32.780400565215011</v>
      </c>
      <c r="AL24" s="8" cm="1">
        <f t="array" ref="AL24">INDEX(Drivers!$C$36:$AK$38,$B24,AL$21)</f>
        <v>35.012612789150403</v>
      </c>
      <c r="AM24" s="8" cm="1">
        <f t="array" ref="AM24">INDEX(Drivers!$C$36:$AK$38,$B24,AM$21)</f>
        <v>35.888683446881096</v>
      </c>
      <c r="AN24" s="8"/>
      <c r="AO24" s="8"/>
      <c r="AP24" s="8"/>
      <c r="AQ24" s="8"/>
      <c r="AR24" s="8"/>
      <c r="AS24" s="8"/>
    </row>
    <row r="25" spans="1:45">
      <c r="A25" t="s">
        <v>16</v>
      </c>
      <c r="E25" s="36">
        <f t="shared" ref="E25:AM25" si="9">SUM(E22:E24)</f>
        <v>56.521948041648095</v>
      </c>
      <c r="F25" s="36">
        <f t="shared" si="9"/>
        <v>58.168226593121446</v>
      </c>
      <c r="G25" s="36">
        <f t="shared" si="9"/>
        <v>64.659278</v>
      </c>
      <c r="H25" s="36">
        <f t="shared" si="9"/>
        <v>69.713936999999987</v>
      </c>
      <c r="I25" s="36">
        <f t="shared" si="9"/>
        <v>73.529752999999999</v>
      </c>
      <c r="J25" s="36">
        <f t="shared" ref="J25:K25" si="10">SUM(J22:J24)</f>
        <v>74.799050000000022</v>
      </c>
      <c r="K25" s="36">
        <f t="shared" si="10"/>
        <v>75.663198000000008</v>
      </c>
      <c r="L25" s="36">
        <f t="shared" si="9"/>
        <v>56.521948041648095</v>
      </c>
      <c r="M25" s="36">
        <f t="shared" si="9"/>
        <v>57.436000617299648</v>
      </c>
      <c r="N25" s="36">
        <f t="shared" si="9"/>
        <v>58.364834921819444</v>
      </c>
      <c r="O25" s="36">
        <f t="shared" si="9"/>
        <v>58.168226593121446</v>
      </c>
      <c r="P25" s="36">
        <f t="shared" si="9"/>
        <v>59.392254999999999</v>
      </c>
      <c r="Q25" s="36">
        <f t="shared" si="9"/>
        <v>59.893885000000012</v>
      </c>
      <c r="R25" s="36">
        <f t="shared" si="9"/>
        <v>60.414495000000002</v>
      </c>
      <c r="S25" s="36">
        <f t="shared" si="9"/>
        <v>61.020220999999992</v>
      </c>
      <c r="T25" s="36">
        <f t="shared" si="9"/>
        <v>61.673080999999989</v>
      </c>
      <c r="U25" s="36">
        <f t="shared" si="9"/>
        <v>62.305038999999994</v>
      </c>
      <c r="V25" s="36">
        <f t="shared" si="9"/>
        <v>62.918915999999996</v>
      </c>
      <c r="W25" s="36">
        <f t="shared" si="9"/>
        <v>63.514502</v>
      </c>
      <c r="X25" s="36">
        <f t="shared" si="9"/>
        <v>64.093731999999989</v>
      </c>
      <c r="Y25" s="36">
        <f t="shared" si="9"/>
        <v>64.659278</v>
      </c>
      <c r="Z25" s="36">
        <f t="shared" si="9"/>
        <v>65.211525999999992</v>
      </c>
      <c r="AA25" s="36">
        <f t="shared" si="9"/>
        <v>65.752923999999993</v>
      </c>
      <c r="AB25" s="36">
        <f t="shared" si="9"/>
        <v>66.284188999999998</v>
      </c>
      <c r="AC25" s="36">
        <f t="shared" si="9"/>
        <v>66.804166999999993</v>
      </c>
      <c r="AD25" s="36">
        <f t="shared" si="9"/>
        <v>67.314132999999998</v>
      </c>
      <c r="AE25" s="36">
        <f t="shared" si="9"/>
        <v>67.815932999999987</v>
      </c>
      <c r="AF25" s="36">
        <f t="shared" si="9"/>
        <v>68.308245999999997</v>
      </c>
      <c r="AG25" s="36">
        <f t="shared" si="9"/>
        <v>68.788494999999998</v>
      </c>
      <c r="AH25" s="36">
        <f t="shared" si="9"/>
        <v>69.256822999999997</v>
      </c>
      <c r="AI25" s="36">
        <f t="shared" si="9"/>
        <v>69.713936999999987</v>
      </c>
      <c r="AJ25" s="36">
        <f t="shared" si="9"/>
        <v>71.816201000000007</v>
      </c>
      <c r="AK25" s="36">
        <f t="shared" si="9"/>
        <v>73.529752999999999</v>
      </c>
      <c r="AL25" s="36">
        <f t="shared" si="9"/>
        <v>74.799050000000022</v>
      </c>
      <c r="AM25" s="36">
        <f t="shared" si="9"/>
        <v>75.663198000000008</v>
      </c>
      <c r="AN25" s="36"/>
      <c r="AO25" s="36"/>
      <c r="AP25" s="36"/>
      <c r="AQ25" s="36"/>
      <c r="AR25" s="36"/>
      <c r="AS25" s="36"/>
    </row>
    <row r="26" spans="1:45">
      <c r="A26" t="s">
        <v>16</v>
      </c>
    </row>
    <row r="27" spans="1:45">
      <c r="A27" t="s">
        <v>16</v>
      </c>
    </row>
    <row r="28" spans="1:45" ht="15.75" thickBot="1">
      <c r="A28" t="s">
        <v>16</v>
      </c>
      <c r="C28" s="2" t="s">
        <v>36</v>
      </c>
      <c r="D28" s="2"/>
      <c r="E28">
        <v>2017</v>
      </c>
      <c r="F28">
        <v>2020</v>
      </c>
      <c r="G28">
        <v>2030</v>
      </c>
      <c r="H28">
        <v>2040</v>
      </c>
      <c r="I28">
        <v>2050</v>
      </c>
      <c r="J28">
        <v>2060</v>
      </c>
      <c r="K28">
        <v>2070</v>
      </c>
    </row>
    <row r="29" spans="1:45">
      <c r="A29" t="s">
        <v>16</v>
      </c>
      <c r="C29" t="s">
        <v>7</v>
      </c>
      <c r="D29" t="s">
        <v>39</v>
      </c>
      <c r="E29" s="64">
        <v>0.71</v>
      </c>
      <c r="F29" s="26">
        <v>0.8</v>
      </c>
      <c r="G29" s="26">
        <v>0.85</v>
      </c>
      <c r="H29" s="26">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77">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4">
        <v>0.83</v>
      </c>
      <c r="F30" s="26">
        <v>0.9</v>
      </c>
      <c r="G30" s="26">
        <v>0.95</v>
      </c>
      <c r="H30" s="26">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77">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4">
        <f>(E29*E22+E30*E23+E24)/E25</f>
        <v>0.81545360824742263</v>
      </c>
      <c r="F31" s="64">
        <f>(F29*F22+F30*F23+F24)/F25</f>
        <v>0.87397279410244599</v>
      </c>
      <c r="G31" s="64">
        <f>(G29*G22+G30*G23+G24)/G25</f>
        <v>0.92827222411446653</v>
      </c>
      <c r="H31" s="64">
        <f>(H29*H22+H30*H23+H24)/H25</f>
        <v>0.95715087935207921</v>
      </c>
      <c r="I31" s="64">
        <f>(I29*I22+I30*I23+I24)/I25</f>
        <v>0.99096377076046893</v>
      </c>
      <c r="J31" s="64">
        <f t="shared" ref="J31:K31" si="11">(J29*J22+J30*J23+J24)/J25</f>
        <v>0.99229070334365244</v>
      </c>
      <c r="K31" s="64">
        <f t="shared" si="11"/>
        <v>0.99334688268010995</v>
      </c>
    </row>
    <row r="32" spans="1:45">
      <c r="A32" t="s">
        <v>16</v>
      </c>
    </row>
    <row r="33" spans="1:45" ht="15.75" thickBot="1">
      <c r="A33" t="s">
        <v>16</v>
      </c>
      <c r="B33" s="2" t="s">
        <v>50</v>
      </c>
      <c r="D33" s="2"/>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8">
        <f t="shared" ref="E34:AM34" si="13">E22</f>
        <v>25.755361891142741</v>
      </c>
      <c r="F34" s="8">
        <f t="shared" si="13"/>
        <v>26.998265626975765</v>
      </c>
      <c r="G34" s="8">
        <f t="shared" si="13"/>
        <v>23.803114612570383</v>
      </c>
      <c r="H34" s="8">
        <f t="shared" si="13"/>
        <v>17.440135720439955</v>
      </c>
      <c r="I34" s="8">
        <f t="shared" si="13"/>
        <v>13.288634080682025</v>
      </c>
      <c r="J34" s="8">
        <f t="shared" ref="J34:K34" si="14">J22</f>
        <v>11.532961321259215</v>
      </c>
      <c r="K34" s="8">
        <f t="shared" si="14"/>
        <v>10.067922661841489</v>
      </c>
      <c r="L34" s="8">
        <f t="shared" si="13"/>
        <v>25.755361891142741</v>
      </c>
      <c r="M34" s="8">
        <f t="shared" si="13"/>
        <v>25.706039736299225</v>
      </c>
      <c r="N34" s="8">
        <f t="shared" si="13"/>
        <v>25.946710085536886</v>
      </c>
      <c r="O34" s="8">
        <f t="shared" si="13"/>
        <v>26.998265626975765</v>
      </c>
      <c r="P34" s="8">
        <f t="shared" si="13"/>
        <v>29.070852674872505</v>
      </c>
      <c r="Q34" s="8">
        <f t="shared" si="13"/>
        <v>27.588189845016228</v>
      </c>
      <c r="R34" s="8">
        <f t="shared" si="13"/>
        <v>27.055753946862811</v>
      </c>
      <c r="S34" s="8">
        <f t="shared" si="13"/>
        <v>26.68689126821349</v>
      </c>
      <c r="T34" s="8">
        <f t="shared" si="13"/>
        <v>26.425076198823913</v>
      </c>
      <c r="U34" s="8">
        <f t="shared" si="13"/>
        <v>26.344725858934108</v>
      </c>
      <c r="V34" s="8">
        <f t="shared" si="13"/>
        <v>25.880996459950325</v>
      </c>
      <c r="W34" s="8">
        <f t="shared" si="13"/>
        <v>25.194855473014009</v>
      </c>
      <c r="X34" s="8">
        <f t="shared" si="13"/>
        <v>24.52033490644407</v>
      </c>
      <c r="Y34" s="8">
        <f t="shared" si="13"/>
        <v>23.803114612570383</v>
      </c>
      <c r="Z34" s="8">
        <f t="shared" si="13"/>
        <v>23.090377608846801</v>
      </c>
      <c r="AA34" s="8">
        <f t="shared" si="13"/>
        <v>22.405551071204908</v>
      </c>
      <c r="AB34" s="8">
        <f t="shared" si="13"/>
        <v>21.735495434413586</v>
      </c>
      <c r="AC34" s="8">
        <f t="shared" si="13"/>
        <v>21.072547748180128</v>
      </c>
      <c r="AD34" s="8">
        <f t="shared" si="13"/>
        <v>20.412647121219958</v>
      </c>
      <c r="AE34" s="8">
        <f t="shared" si="13"/>
        <v>19.77118119247832</v>
      </c>
      <c r="AF34" s="8">
        <f t="shared" si="13"/>
        <v>19.158224162905658</v>
      </c>
      <c r="AG34" s="8">
        <f t="shared" si="13"/>
        <v>18.560787181527573</v>
      </c>
      <c r="AH34" s="8">
        <f t="shared" si="13"/>
        <v>17.987510505895742</v>
      </c>
      <c r="AI34" s="8">
        <f t="shared" si="13"/>
        <v>17.440135720439955</v>
      </c>
      <c r="AJ34" s="8">
        <f t="shared" si="13"/>
        <v>15.091956805241869</v>
      </c>
      <c r="AK34" s="8">
        <f t="shared" si="13"/>
        <v>13.288634080682025</v>
      </c>
      <c r="AL34" s="8">
        <f t="shared" si="13"/>
        <v>11.532961321259215</v>
      </c>
      <c r="AM34" s="8">
        <f t="shared" si="13"/>
        <v>10.067922661841489</v>
      </c>
      <c r="AN34" s="8"/>
      <c r="AO34" s="8"/>
      <c r="AP34" s="8"/>
      <c r="AQ34" s="8"/>
      <c r="AR34" s="8"/>
      <c r="AS34" s="8"/>
    </row>
    <row r="35" spans="1:45">
      <c r="A35" t="s">
        <v>16</v>
      </c>
      <c r="B35" t="str">
        <f>[12]RES!B27</f>
        <v>ME</v>
      </c>
      <c r="C35" t="str">
        <f>[12]RES!A27</f>
        <v>Middle Income Electrified</v>
      </c>
      <c r="D35" t="s">
        <v>38</v>
      </c>
      <c r="E35" s="8">
        <f t="shared" ref="E35:AM35" si="15">E23</f>
        <v>17.422744808714206</v>
      </c>
      <c r="F35" s="8">
        <f t="shared" si="15"/>
        <v>19.311259441517389</v>
      </c>
      <c r="G35" s="8">
        <f t="shared" si="15"/>
        <v>21.347980188376898</v>
      </c>
      <c r="H35" s="8">
        <f t="shared" si="15"/>
        <v>24.863346506211318</v>
      </c>
      <c r="I35" s="8">
        <f t="shared" si="15"/>
        <v>27.460718354102966</v>
      </c>
      <c r="J35" s="8">
        <f t="shared" ref="J35:K35" si="16">J23</f>
        <v>28.253475889590398</v>
      </c>
      <c r="K35" s="8">
        <f t="shared" si="16"/>
        <v>29.706591891277423</v>
      </c>
      <c r="L35" s="8">
        <f t="shared" si="15"/>
        <v>17.422744808714206</v>
      </c>
      <c r="M35" s="8">
        <f t="shared" si="15"/>
        <v>17.892835083270921</v>
      </c>
      <c r="N35" s="8">
        <f t="shared" si="15"/>
        <v>18.376375848815535</v>
      </c>
      <c r="O35" s="8">
        <f t="shared" si="15"/>
        <v>19.311259441517389</v>
      </c>
      <c r="P35" s="8">
        <f t="shared" si="15"/>
        <v>17.426024276026553</v>
      </c>
      <c r="Q35" s="8">
        <f t="shared" si="15"/>
        <v>18.388961136139937</v>
      </c>
      <c r="R35" s="8">
        <f t="shared" si="15"/>
        <v>18.844661075962907</v>
      </c>
      <c r="S35" s="8">
        <f t="shared" si="15"/>
        <v>19.201914460921149</v>
      </c>
      <c r="T35" s="8">
        <f t="shared" si="15"/>
        <v>19.618221632752388</v>
      </c>
      <c r="U35" s="8">
        <f t="shared" si="15"/>
        <v>19.939304652012364</v>
      </c>
      <c r="V35" s="8">
        <f t="shared" si="15"/>
        <v>20.16940272070374</v>
      </c>
      <c r="W35" s="8">
        <f t="shared" si="15"/>
        <v>20.581881682147458</v>
      </c>
      <c r="X35" s="8">
        <f t="shared" si="15"/>
        <v>20.983832961629101</v>
      </c>
      <c r="Y35" s="8">
        <f t="shared" si="15"/>
        <v>21.347980188376898</v>
      </c>
      <c r="Z35" s="8">
        <f t="shared" si="15"/>
        <v>21.754334331630734</v>
      </c>
      <c r="AA35" s="8">
        <f t="shared" si="15"/>
        <v>22.128523795005211</v>
      </c>
      <c r="AB35" s="8">
        <f t="shared" si="15"/>
        <v>22.514248016949992</v>
      </c>
      <c r="AC35" s="8">
        <f t="shared" si="15"/>
        <v>22.877131289672054</v>
      </c>
      <c r="AD35" s="8">
        <f t="shared" si="15"/>
        <v>23.235832044958428</v>
      </c>
      <c r="AE35" s="8">
        <f t="shared" si="15"/>
        <v>23.58023156741833</v>
      </c>
      <c r="AF35" s="8">
        <f t="shared" si="15"/>
        <v>23.914610160549604</v>
      </c>
      <c r="AG35" s="8">
        <f t="shared" si="15"/>
        <v>24.23910413336985</v>
      </c>
      <c r="AH35" s="8">
        <f t="shared" si="15"/>
        <v>24.558632431887236</v>
      </c>
      <c r="AI35" s="8">
        <f t="shared" si="15"/>
        <v>24.863346506211318</v>
      </c>
      <c r="AJ35" s="8">
        <f t="shared" si="15"/>
        <v>26.258897026841961</v>
      </c>
      <c r="AK35" s="8">
        <f t="shared" si="15"/>
        <v>27.460718354102966</v>
      </c>
      <c r="AL35" s="8">
        <f t="shared" si="15"/>
        <v>28.253475889590398</v>
      </c>
      <c r="AM35" s="8">
        <f t="shared" si="15"/>
        <v>29.706591891277423</v>
      </c>
      <c r="AN35" s="8"/>
      <c r="AO35" s="8"/>
      <c r="AP35" s="8"/>
      <c r="AQ35" s="8"/>
      <c r="AR35" s="8"/>
      <c r="AS35" s="8"/>
    </row>
    <row r="36" spans="1:45">
      <c r="A36" t="s">
        <v>16</v>
      </c>
      <c r="B36" t="str">
        <f>[12]RES!B28</f>
        <v>HE</v>
      </c>
      <c r="C36" t="str">
        <f>[12]RES!A28</f>
        <v>High Income Electrified</v>
      </c>
      <c r="D36" t="s">
        <v>38</v>
      </c>
      <c r="E36" s="8">
        <f t="shared" ref="E36:AM36" si="17">E24</f>
        <v>13.343841341791148</v>
      </c>
      <c r="F36" s="8">
        <f t="shared" si="17"/>
        <v>11.858701524628284</v>
      </c>
      <c r="G36" s="8">
        <f t="shared" si="17"/>
        <v>19.50818319905272</v>
      </c>
      <c r="H36" s="8">
        <f t="shared" si="17"/>
        <v>27.410454773348725</v>
      </c>
      <c r="I36" s="8">
        <f t="shared" si="17"/>
        <v>32.780400565215011</v>
      </c>
      <c r="J36" s="8">
        <f t="shared" ref="J36:K36" si="18">J24</f>
        <v>35.012612789150403</v>
      </c>
      <c r="K36" s="8">
        <f t="shared" si="18"/>
        <v>35.888683446881096</v>
      </c>
      <c r="L36" s="8">
        <f t="shared" si="17"/>
        <v>13.343841341791148</v>
      </c>
      <c r="M36" s="8">
        <f t="shared" si="17"/>
        <v>13.837125797729508</v>
      </c>
      <c r="N36" s="8">
        <f t="shared" si="17"/>
        <v>14.041748987467024</v>
      </c>
      <c r="O36" s="8">
        <f t="shared" si="17"/>
        <v>11.858701524628284</v>
      </c>
      <c r="P36" s="8">
        <f t="shared" si="17"/>
        <v>12.895378049100939</v>
      </c>
      <c r="Q36" s="8">
        <f t="shared" si="17"/>
        <v>13.916734018843847</v>
      </c>
      <c r="R36" s="8">
        <f t="shared" si="17"/>
        <v>14.514079977174283</v>
      </c>
      <c r="S36" s="8">
        <f t="shared" si="17"/>
        <v>15.131415270865356</v>
      </c>
      <c r="T36" s="8">
        <f t="shared" si="17"/>
        <v>15.629783168423694</v>
      </c>
      <c r="U36" s="8">
        <f t="shared" si="17"/>
        <v>16.021008489053521</v>
      </c>
      <c r="V36" s="8">
        <f t="shared" si="17"/>
        <v>16.868516819345924</v>
      </c>
      <c r="W36" s="8">
        <f t="shared" si="17"/>
        <v>17.73776484483853</v>
      </c>
      <c r="X36" s="8">
        <f t="shared" si="17"/>
        <v>18.589564131926828</v>
      </c>
      <c r="Y36" s="8">
        <f t="shared" si="17"/>
        <v>19.50818319905272</v>
      </c>
      <c r="Z36" s="8">
        <f t="shared" si="17"/>
        <v>20.366814059522461</v>
      </c>
      <c r="AA36" s="8">
        <f t="shared" si="17"/>
        <v>21.218849133789874</v>
      </c>
      <c r="AB36" s="8">
        <f t="shared" si="17"/>
        <v>22.034445548636427</v>
      </c>
      <c r="AC36" s="8">
        <f t="shared" si="17"/>
        <v>22.854487962147818</v>
      </c>
      <c r="AD36" s="8">
        <f t="shared" si="17"/>
        <v>23.665653833821608</v>
      </c>
      <c r="AE36" s="8">
        <f t="shared" si="17"/>
        <v>24.464520240103344</v>
      </c>
      <c r="AF36" s="8">
        <f t="shared" si="17"/>
        <v>25.235411676544732</v>
      </c>
      <c r="AG36" s="8">
        <f t="shared" si="17"/>
        <v>25.988603685102575</v>
      </c>
      <c r="AH36" s="8">
        <f t="shared" si="17"/>
        <v>26.71068006221703</v>
      </c>
      <c r="AI36" s="8">
        <f t="shared" si="17"/>
        <v>27.410454773348725</v>
      </c>
      <c r="AJ36" s="8">
        <f t="shared" si="17"/>
        <v>30.465347167916182</v>
      </c>
      <c r="AK36" s="8">
        <f t="shared" si="17"/>
        <v>32.780400565215011</v>
      </c>
      <c r="AL36" s="8">
        <f t="shared" si="17"/>
        <v>35.012612789150403</v>
      </c>
      <c r="AM36" s="8">
        <f t="shared" si="17"/>
        <v>35.888683446881096</v>
      </c>
      <c r="AN36" s="8"/>
      <c r="AO36" s="8"/>
      <c r="AP36" s="8"/>
      <c r="AQ36" s="8"/>
      <c r="AR36" s="8"/>
      <c r="AS36" s="8"/>
    </row>
    <row r="37" spans="1:45">
      <c r="A37" t="s">
        <v>16</v>
      </c>
      <c r="B37" t="str">
        <f>[12]RES!B29</f>
        <v>LN</v>
      </c>
      <c r="C37" t="str">
        <f>[12]RES!A29</f>
        <v>Low Income Non-Electrified</v>
      </c>
      <c r="D37" t="s">
        <v>38</v>
      </c>
      <c r="E37" s="8">
        <f t="shared" ref="E37:AM37" si="19">E22-E34</f>
        <v>0</v>
      </c>
      <c r="F37" s="8">
        <f t="shared" si="19"/>
        <v>0</v>
      </c>
      <c r="G37" s="8">
        <f t="shared" si="19"/>
        <v>0</v>
      </c>
      <c r="H37" s="8">
        <f t="shared" si="19"/>
        <v>0</v>
      </c>
      <c r="I37" s="8">
        <f t="shared" si="19"/>
        <v>0</v>
      </c>
      <c r="J37" s="8">
        <f t="shared" ref="J37:K37" si="20">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c r="A38" t="s">
        <v>16</v>
      </c>
      <c r="B38" t="str">
        <f>[12]RES!B30</f>
        <v>MN</v>
      </c>
      <c r="C38" t="str">
        <f>[12]RES!A30</f>
        <v>Middle Income Non-Electrified</v>
      </c>
      <c r="D38" t="s">
        <v>38</v>
      </c>
      <c r="E38" s="8">
        <f t="shared" ref="E38:AM38" si="21">E23-E35</f>
        <v>0</v>
      </c>
      <c r="F38" s="8">
        <f t="shared" si="21"/>
        <v>0</v>
      </c>
      <c r="G38" s="8">
        <f t="shared" si="21"/>
        <v>0</v>
      </c>
      <c r="H38" s="8">
        <f t="shared" si="21"/>
        <v>0</v>
      </c>
      <c r="I38" s="8">
        <f t="shared" si="21"/>
        <v>0</v>
      </c>
      <c r="J38" s="8">
        <f t="shared" ref="J38:K38" si="22">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45">
      <c r="A39" t="s">
        <v>16</v>
      </c>
      <c r="B39" s="19"/>
    </row>
    <row r="40" spans="1:45" ht="18" thickBot="1">
      <c r="A40" t="s">
        <v>16</v>
      </c>
      <c r="B40" s="19"/>
      <c r="C40" s="29" t="s">
        <v>51</v>
      </c>
    </row>
    <row r="41" spans="1:45" ht="15.75" thickTop="1">
      <c r="A41" t="s">
        <v>16</v>
      </c>
    </row>
    <row r="42" spans="1:45" ht="15.75" thickBot="1">
      <c r="A42" t="s">
        <v>16</v>
      </c>
      <c r="C42" s="2" t="s">
        <v>49</v>
      </c>
      <c r="D42" s="2"/>
      <c r="E42" s="6">
        <v>2017</v>
      </c>
      <c r="F42" s="6">
        <v>2020</v>
      </c>
      <c r="G42" s="6">
        <v>2030</v>
      </c>
      <c r="H42" s="6">
        <v>2040</v>
      </c>
      <c r="I42" s="6">
        <v>2050</v>
      </c>
      <c r="J42" s="6">
        <v>2060</v>
      </c>
      <c r="K42" s="6">
        <v>2070</v>
      </c>
    </row>
    <row r="43" spans="1:45">
      <c r="A43" t="s">
        <v>16</v>
      </c>
      <c r="C43" t="s">
        <v>40</v>
      </c>
      <c r="D43" s="27"/>
      <c r="E43" s="8">
        <f t="shared" ref="E43:K45" si="23">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c r="A45" t="s">
        <v>16</v>
      </c>
      <c r="C45" t="s">
        <v>41</v>
      </c>
      <c r="E45" s="8">
        <f t="shared" si="23"/>
        <v>1.0761183212512533</v>
      </c>
      <c r="F45" s="8">
        <f t="shared" si="23"/>
        <v>0.99921096731572434</v>
      </c>
      <c r="G45" s="8">
        <f t="shared" si="23"/>
        <v>1.761451909481951</v>
      </c>
      <c r="H45" s="8">
        <f t="shared" si="23"/>
        <v>2.5165952612991904</v>
      </c>
      <c r="I45" s="5">
        <f t="shared" si="23"/>
        <v>3.5865077534062668</v>
      </c>
      <c r="J45" s="5">
        <f t="shared" si="23"/>
        <v>4.1812137122895852</v>
      </c>
      <c r="K45" s="5">
        <f t="shared" si="23"/>
        <v>4.5622592282338905</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1.156308853080366</v>
      </c>
      <c r="Q45" s="40" cm="1">
        <f t="array" ref="Q45">INDEX(Drivers!$C$39:$AG$39,1,Q21)/Drivers!$C$39</f>
        <v>1.3134067388450075</v>
      </c>
      <c r="R45" s="40" cm="1">
        <f t="array" ref="R45">INDEX(Drivers!$C$39:$AG$39,1,R21)/Drivers!$C$39</f>
        <v>1.3383132773243125</v>
      </c>
      <c r="S45" s="40" cm="1">
        <f t="array" ref="S45">INDEX(Drivers!$C$39:$AG$39,1,S21)/Drivers!$C$39</f>
        <v>1.3661070088567673</v>
      </c>
      <c r="T45" s="40" cm="1">
        <f t="array" ref="T45">INDEX(Drivers!$C$39:$AG$39,1,T21)/Drivers!$C$39</f>
        <v>1.3824601582408831</v>
      </c>
      <c r="U45" s="40" cm="1">
        <f t="array" ref="U45">INDEX(Drivers!$C$39:$AG$39,1,U21)/Drivers!$C$39</f>
        <v>1.3988133076249987</v>
      </c>
      <c r="V45" s="40" cm="1">
        <f t="array" ref="V45">INDEX(Drivers!$C$39:$AG$39,1,V21)/Drivers!$C$39</f>
        <v>1.4465904557694305</v>
      </c>
      <c r="W45" s="40" cm="1">
        <f t="array" ref="W45">INDEX(Drivers!$C$39:$AG$39,1,W21)/Drivers!$C$39</f>
        <v>1.4932563593762906</v>
      </c>
      <c r="X45" s="40" cm="1">
        <f t="array" ref="X45">INDEX(Drivers!$C$39:$AG$39,1,X21)/Drivers!$C$39</f>
        <v>1.5423025162186235</v>
      </c>
      <c r="Y45" s="40" cm="1">
        <f t="array" ref="Y45">INDEX(Drivers!$C$39:$AG$39,1,Y21)/Drivers!$C$39</f>
        <v>1.761451909481951</v>
      </c>
      <c r="Z45" s="40" cm="1">
        <f t="array" ref="Z45">INDEX(Drivers!$C$39:$AG$39,1,Z21)/Drivers!$C$39</f>
        <v>1.8239595317941599</v>
      </c>
      <c r="AA45" s="40" cm="1">
        <f t="array" ref="AA45">INDEX(Drivers!$C$39:$AG$39,1,AA21)/Drivers!$C$39</f>
        <v>1.8907341518153817</v>
      </c>
      <c r="AB45" s="40" cm="1">
        <f t="array" ref="AB45">INDEX(Drivers!$C$39:$AG$39,1,AB21)/Drivers!$C$39</f>
        <v>1.9567124547405039</v>
      </c>
      <c r="AC45" s="40" cm="1">
        <f t="array" ref="AC45">INDEX(Drivers!$C$39:$AG$39,1,AC21)/Drivers!$C$39</f>
        <v>2.0280940296383494</v>
      </c>
      <c r="AD45" s="40" cm="1">
        <f t="array" ref="AD45">INDEX(Drivers!$C$39:$AG$39,1,AD21)/Drivers!$C$39</f>
        <v>2.1030777076751566</v>
      </c>
      <c r="AE45" s="40" cm="1">
        <f t="array" ref="AE45">INDEX(Drivers!$C$39:$AG$39,1,AE21)/Drivers!$C$39</f>
        <v>2.1821051368701507</v>
      </c>
      <c r="AF45" s="40" cm="1">
        <f t="array" ref="AF45">INDEX(Drivers!$C$39:$AG$39,1,AF21)/Drivers!$C$39</f>
        <v>2.2628422218352644</v>
      </c>
      <c r="AG45" s="40" cm="1">
        <f t="array" ref="AG45">INDEX(Drivers!$C$39:$AG$39,1,AG21)/Drivers!$C$39</f>
        <v>2.3462948086465385</v>
      </c>
      <c r="AH45" s="40" cm="1">
        <f t="array" ref="AH45">INDEX(Drivers!$C$39:$AG$39,1,AH21)/Drivers!$C$39</f>
        <v>2.4302074375492015</v>
      </c>
      <c r="AI45" s="40" cm="1">
        <f t="array" ref="AI45">INDEX(Drivers!$C$39:$AG$39,1,AI21)/Drivers!$C$39</f>
        <v>2.5165952612991904</v>
      </c>
      <c r="AJ45" s="40" cm="1">
        <f t="array" ref="AJ45">INDEX(Drivers!$C$39:$AG$39,1,AJ21)/Drivers!$C$39</f>
        <v>3.1720643952979763</v>
      </c>
      <c r="AK45" s="40" cm="1">
        <f t="array" ref="AK45">INDEX(Drivers!$C$39:$AK$39,1,AK21)/Drivers!$C$39</f>
        <v>3.5865077534062668</v>
      </c>
      <c r="AL45" s="40" cm="1">
        <f t="array" ref="AL45">INDEX(Drivers!$C$39:$AK$39,1,AL21)/Drivers!$C$39</f>
        <v>4.1812137122895852</v>
      </c>
      <c r="AM45" s="40" cm="1">
        <f t="array" ref="AM45">INDEX(Drivers!$C$39:$AK$39,1,AM21)/Drivers!$C$39</f>
        <v>4.5622592282338905</v>
      </c>
      <c r="AN45" s="28"/>
      <c r="AO45" s="28"/>
      <c r="AP45" s="8"/>
      <c r="AQ45" s="8"/>
      <c r="AR45" s="8"/>
      <c r="AS45" s="8"/>
    </row>
    <row r="46" spans="1:45">
      <c r="A46" t="s">
        <v>16</v>
      </c>
      <c r="H46" s="46">
        <f>I46^(1/40)-1</f>
        <v>3.055290941277633E-2</v>
      </c>
      <c r="I46" s="5">
        <f>I45/E45</f>
        <v>3.3328191543436096</v>
      </c>
      <c r="J46" s="5"/>
      <c r="K46" s="5"/>
    </row>
    <row r="47" spans="1:45" ht="15.75" thickBot="1">
      <c r="A47" t="s">
        <v>16</v>
      </c>
      <c r="C47" s="2" t="s">
        <v>199</v>
      </c>
      <c r="D47" s="2"/>
      <c r="E47" s="6">
        <v>2017</v>
      </c>
      <c r="F47" s="6">
        <v>2020</v>
      </c>
      <c r="G47" s="6">
        <v>2030</v>
      </c>
      <c r="H47" s="6">
        <v>2040</v>
      </c>
      <c r="I47" s="6">
        <v>2050</v>
      </c>
      <c r="J47" s="6"/>
      <c r="K47" s="6"/>
    </row>
    <row r="48" spans="1:45">
      <c r="A48" t="s">
        <v>16</v>
      </c>
      <c r="C48" t="s">
        <v>40</v>
      </c>
      <c r="D48" s="27" t="s">
        <v>46</v>
      </c>
      <c r="E48" s="64"/>
      <c r="F48" s="64">
        <f t="shared" ref="F48:I50" si="24">(F43/E43)^(1/(F$42-E$42))-1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c r="A50" t="s">
        <v>16</v>
      </c>
      <c r="C50" t="s">
        <v>41</v>
      </c>
      <c r="E50" s="64"/>
      <c r="F50" s="46">
        <f t="shared" si="24"/>
        <v>-2.4413634205925572E-2</v>
      </c>
      <c r="G50" s="46">
        <f t="shared" si="24"/>
        <v>5.8330616055960904E-2</v>
      </c>
      <c r="H50" s="46">
        <f t="shared" si="24"/>
        <v>3.6320903581854802E-2</v>
      </c>
      <c r="I50" s="46">
        <f t="shared" si="24"/>
        <v>3.6062225980854734E-2</v>
      </c>
      <c r="J50" s="46"/>
      <c r="K50" s="46"/>
      <c r="L50" s="8"/>
      <c r="M50" s="8"/>
      <c r="N50" s="8"/>
      <c r="O50" s="8"/>
      <c r="P50" s="8"/>
      <c r="Q50" s="8"/>
      <c r="R50" s="8"/>
      <c r="S50" s="8"/>
      <c r="T50" s="8"/>
      <c r="V50" s="8"/>
      <c r="W50" s="8"/>
      <c r="X50" s="8"/>
      <c r="Y50" s="8"/>
      <c r="Z50" s="8"/>
      <c r="AA50" s="8"/>
      <c r="AB50" s="8"/>
      <c r="AC50" s="8"/>
      <c r="AD50" s="8"/>
      <c r="AP50" s="7"/>
      <c r="AR50" s="7"/>
    </row>
    <row r="51" spans="1:44">
      <c r="A51" t="s">
        <v>16</v>
      </c>
    </row>
    <row r="52" spans="1:44" ht="18" thickBot="1">
      <c r="A52" t="s">
        <v>16</v>
      </c>
      <c r="C52" s="29" t="s">
        <v>278</v>
      </c>
    </row>
    <row r="53" spans="1:44" ht="15.75" thickTop="1">
      <c r="A53" t="s">
        <v>16</v>
      </c>
      <c r="D53" t="s">
        <v>43</v>
      </c>
      <c r="E53">
        <v>1</v>
      </c>
      <c r="F53">
        <v>2</v>
      </c>
      <c r="G53">
        <v>3</v>
      </c>
      <c r="H53" s="32"/>
    </row>
    <row r="54" spans="1:44">
      <c r="A54" t="s">
        <v>16</v>
      </c>
      <c r="B54">
        <f>[12]RES!$B32</f>
        <v>0</v>
      </c>
      <c r="C54" t="str">
        <f>[12]RES!A32</f>
        <v>USE the names but not the numbers in the greyed out stuff, all the balance numbers are taken directly from the energy balance sheet</v>
      </c>
      <c r="E54">
        <v>0.3</v>
      </c>
      <c r="F54" s="10">
        <v>0.25</v>
      </c>
      <c r="G54" s="10">
        <v>0.2</v>
      </c>
      <c r="H54" s="32"/>
    </row>
    <row r="55" spans="1:44">
      <c r="A55" t="s">
        <v>16</v>
      </c>
      <c r="B55" t="str">
        <f>[12]RES!$B33</f>
        <v>Demand</v>
      </c>
      <c r="C55" t="str">
        <f>[12]RES!A33</f>
        <v>End use demands</v>
      </c>
      <c r="E55">
        <v>0.1</v>
      </c>
      <c r="F55" s="10">
        <v>0.1</v>
      </c>
      <c r="G55" s="10">
        <v>0.1</v>
      </c>
      <c r="H55" s="32"/>
    </row>
    <row r="56" spans="1:44">
      <c r="A56" t="s">
        <v>16</v>
      </c>
      <c r="B56" t="str">
        <f>[12]RES!$B34</f>
        <v>L</v>
      </c>
      <c r="C56" t="str">
        <f>[12]RES!A34</f>
        <v>Lighting</v>
      </c>
      <c r="E56">
        <v>0.5</v>
      </c>
      <c r="F56" s="10">
        <v>0.4</v>
      </c>
      <c r="G56" s="10">
        <v>0.3</v>
      </c>
      <c r="H56" s="32"/>
    </row>
    <row r="57" spans="1:44">
      <c r="A57" t="s">
        <v>16</v>
      </c>
      <c r="B57" t="str">
        <f>[12]RES!$B35</f>
        <v>K</v>
      </c>
      <c r="C57" t="str">
        <f>[12]RES!A35</f>
        <v>Cooking</v>
      </c>
      <c r="E57">
        <v>0.3</v>
      </c>
      <c r="F57" s="10">
        <v>0.25</v>
      </c>
      <c r="G57" s="10">
        <v>0.2</v>
      </c>
      <c r="H57" s="32"/>
    </row>
    <row r="58" spans="1:44">
      <c r="A58" t="s">
        <v>16</v>
      </c>
      <c r="B58" t="str">
        <f>[12]RES!$B36</f>
        <v>H</v>
      </c>
      <c r="C58" t="str">
        <f>[12]RES!A36</f>
        <v>Space Heating</v>
      </c>
      <c r="E58">
        <v>0.2</v>
      </c>
      <c r="F58" s="10">
        <v>0.15</v>
      </c>
      <c r="G58" s="10">
        <v>0.1</v>
      </c>
      <c r="H58" s="32"/>
    </row>
    <row r="59" spans="1:44">
      <c r="A59" t="s">
        <v>16</v>
      </c>
      <c r="B59" t="str">
        <f>[12]RES!$B37</f>
        <v>WG</v>
      </c>
      <c r="C59" t="str">
        <f>[12]RES!A37</f>
        <v>Water Heating Geyser</v>
      </c>
      <c r="E59">
        <v>0.5</v>
      </c>
      <c r="F59" s="10">
        <v>0.4</v>
      </c>
      <c r="G59" s="10">
        <v>0.3</v>
      </c>
      <c r="H59" s="32"/>
    </row>
    <row r="60" spans="1:44">
      <c r="A60" t="s">
        <v>16</v>
      </c>
      <c r="B60" t="str">
        <f>[12]RES!$B38</f>
        <v>W</v>
      </c>
      <c r="C60" t="str">
        <f>[12]RES!A38</f>
        <v>Water Heating</v>
      </c>
      <c r="E60">
        <v>0</v>
      </c>
      <c r="F60" s="10">
        <v>0</v>
      </c>
      <c r="G60" s="10">
        <v>0</v>
      </c>
      <c r="H60" s="32"/>
    </row>
    <row r="61" spans="1:44">
      <c r="A61" t="s">
        <v>16</v>
      </c>
      <c r="B61" s="19"/>
    </row>
    <row r="62" spans="1:44">
      <c r="A62" t="s">
        <v>16</v>
      </c>
      <c r="C62" s="4" t="str">
        <f>C52</f>
        <v>High Income Household Elasticities</v>
      </c>
    </row>
    <row r="63" spans="1:44">
      <c r="A63" t="s">
        <v>16</v>
      </c>
      <c r="C63" t="str">
        <f t="shared" ref="C63:C69" si="25">C54</f>
        <v>USE the names but not the numbers in the greyed out stuff, all the balance numbers are taken directly from the energy balance sheet</v>
      </c>
      <c r="E63" s="5">
        <f t="shared" ref="E63:I69" si="26">FORECAST(E$45,$E54:$G54,$E$53:$G$53)</f>
        <v>0.29619408393743735</v>
      </c>
      <c r="F63" s="5">
        <f t="shared" si="26"/>
        <v>0.30003945163421375</v>
      </c>
      <c r="G63" s="5">
        <f t="shared" si="26"/>
        <v>0.26192740452590246</v>
      </c>
      <c r="H63" s="5">
        <f t="shared" si="26"/>
        <v>0.22417023693504048</v>
      </c>
      <c r="I63" s="5">
        <f t="shared" si="26"/>
        <v>0.17067461232968667</v>
      </c>
      <c r="J63" s="5">
        <f t="shared" ref="J63:K63" si="27">FORECAST(J$45,$E54:$G54,$E$53:$G$53)</f>
        <v>0.14093931438552076</v>
      </c>
      <c r="K63" s="5">
        <f t="shared" si="27"/>
        <v>0.12188703858830549</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0.29622824692338262</v>
      </c>
      <c r="Q63" cm="1">
        <f t="array" ref="Q63">IF(Q$7=-1,R63,IF(Q$7=99,P63,IF(Q$7=0,INDEX($E63:$I63,0,Q$5),(INDEX($E63:$I63,0,Q$7+1)-INDEX($E63:$I63,0,Q$7))/(INDEX($E$4:$I$4,0,Q$7+1)-INDEX($E$4:$I$4,0,Q$7))+P63)))</f>
        <v>0.29241704221255149</v>
      </c>
      <c r="R63" cm="1">
        <f t="array" ref="R63">IF(R$7=-1,S63,IF(R$7=99,Q63,IF(R$7=0,INDEX($E63:$I63,0,R$5),(INDEX($E63:$I63,0,R$7+1)-INDEX($E63:$I63,0,R$7))/(INDEX($E$4:$I$4,0,R$7+1)-INDEX($E$4:$I$4,0,R$7))+Q63)))</f>
        <v>0.28860583750172036</v>
      </c>
      <c r="S63" cm="1">
        <f t="array" ref="S63">IF(S$7=-1,T63,IF(S$7=99,R63,IF(S$7=0,INDEX($E63:$I63,0,S$5),(INDEX($E63:$I63,0,S$7+1)-INDEX($E63:$I63,0,S$7))/(INDEX($E$4:$I$4,0,S$7+1)-INDEX($E$4:$I$4,0,S$7))+R63)))</f>
        <v>0.28479463279088923</v>
      </c>
      <c r="T63" cm="1">
        <f t="array" ref="T63">IF(T$7=-1,U63,IF(T$7=99,S63,IF(T$7=0,INDEX($E63:$I63,0,T$5),(INDEX($E63:$I63,0,T$7+1)-INDEX($E63:$I63,0,T$7))/(INDEX($E$4:$I$4,0,T$7+1)-INDEX($E$4:$I$4,0,T$7))+S63)))</f>
        <v>0.28098342808005811</v>
      </c>
      <c r="U63" cm="1">
        <f t="array" ref="U63">IF(U$7=-1,V63,IF(U$7=99,T63,IF(U$7=0,INDEX($E63:$I63,0,U$5),(INDEX($E63:$I63,0,U$7+1)-INDEX($E63:$I63,0,U$7))/(INDEX($E$4:$I$4,0,U$7+1)-INDEX($E$4:$I$4,0,U$7))+T63)))</f>
        <v>0.27717222336922698</v>
      </c>
      <c r="V63" cm="1">
        <f t="array" ref="V63">IF(V$7=-1,W63,IF(V$7=99,U63,IF(V$7=0,INDEX($E63:$I63,0,V$5),(INDEX($E63:$I63,0,V$7+1)-INDEX($E63:$I63,0,V$7))/(INDEX($E$4:$I$4,0,V$7+1)-INDEX($E$4:$I$4,0,V$7))+U63)))</f>
        <v>0.27336101865839585</v>
      </c>
      <c r="W63" cm="1">
        <f t="array" ref="W63">IF(W$7=-1,X63,IF(W$7=99,V63,IF(W$7=0,INDEX($E63:$I63,0,W$5),(INDEX($E63:$I63,0,W$7+1)-INDEX($E63:$I63,0,W$7))/(INDEX($E$4:$I$4,0,W$7+1)-INDEX($E$4:$I$4,0,W$7))+V63)))</f>
        <v>0.26954981394756472</v>
      </c>
      <c r="X63" cm="1">
        <f t="array" ref="X63">IF(X$7=-1,Y63,IF(X$7=99,W63,IF(X$7=0,INDEX($E63:$I63,0,X$5),(INDEX($E63:$I63,0,X$7+1)-INDEX($E63:$I63,0,X$7))/(INDEX($E$4:$I$4,0,X$7+1)-INDEX($E$4:$I$4,0,X$7))+W63)))</f>
        <v>0.26573860923673359</v>
      </c>
      <c r="Y63" cm="1">
        <f t="array" ref="Y63">IF(Y$7=-1,Z63,IF(Y$7=99,X63,IF(Y$7=0,INDEX($E63:$I63,0,Y$5),(INDEX($E63:$I63,0,Y$7+1)-INDEX($E63:$I63,0,Y$7))/(INDEX($E$4:$I$4,0,Y$7+1)-INDEX($E$4:$I$4,0,Y$7))+X63)))</f>
        <v>0.26192740452590246</v>
      </c>
      <c r="Z63" cm="1">
        <f t="array" ref="Z63">IF(Z$7=-1,AA63,IF(Z$7=99,Y63,IF(Z$7=0,INDEX($E63:$I63,0,Z$5),(INDEX($E63:$I63,0,Z$7+1)-INDEX($E63:$I63,0,Z$7))/(INDEX($E$4:$I$4,0,Z$7+1)-INDEX($E$4:$I$4,0,Z$7))+Y63)))</f>
        <v>0.25815168776681624</v>
      </c>
      <c r="AA63" cm="1">
        <f t="array" ref="AA63">IF(AA$7=-1,AB63,IF(AA$7=99,Z63,IF(AA$7=0,INDEX($E63:$I63,0,AA$5),(INDEX($E63:$I63,0,AA$7+1)-INDEX($E63:$I63,0,AA$7))/(INDEX($E$4:$I$4,0,AA$7+1)-INDEX($E$4:$I$4,0,AA$7))+Z63)))</f>
        <v>0.25437597100773002</v>
      </c>
      <c r="AB63" cm="1">
        <f t="array" ref="AB63">IF(AB$7=-1,AC63,IF(AB$7=99,AA63,IF(AB$7=0,INDEX($E63:$I63,0,AB$5),(INDEX($E63:$I63,0,AB$7+1)-INDEX($E63:$I63,0,AB$7))/(INDEX($E$4:$I$4,0,AB$7+1)-INDEX($E$4:$I$4,0,AB$7))+AA63)))</f>
        <v>0.25060025424864379</v>
      </c>
      <c r="AC63" cm="1">
        <f t="array" ref="AC63">IF(AC$7=-1,AD63,IF(AC$7=99,AB63,IF(AC$7=0,INDEX($E63:$I63,0,AC$5),(INDEX($E63:$I63,0,AC$7+1)-INDEX($E63:$I63,0,AC$7))/(INDEX($E$4:$I$4,0,AC$7+1)-INDEX($E$4:$I$4,0,AC$7))+AB63)))</f>
        <v>0.2468245374895576</v>
      </c>
      <c r="AD63" cm="1">
        <f t="array" ref="AD63">IF(AD$7=-1,AE63,IF(AD$7=99,AC63,IF(AD$7=0,INDEX($E63:$I63,0,AD$5),(INDEX($E63:$I63,0,AD$7+1)-INDEX($E63:$I63,0,AD$7))/(INDEX($E$4:$I$4,0,AD$7+1)-INDEX($E$4:$I$4,0,AD$7))+AC63)))</f>
        <v>0.2430488207304714</v>
      </c>
      <c r="AE63" cm="1">
        <f t="array" ref="AE63">IF(AE$7=-1,AF63,IF(AE$7=99,AD63,IF(AE$7=0,INDEX($E63:$I63,0,AE$5),(INDEX($E63:$I63,0,AE$7+1)-INDEX($E63:$I63,0,AE$7))/(INDEX($E$4:$I$4,0,AE$7+1)-INDEX($E$4:$I$4,0,AE$7))+AD63)))</f>
        <v>0.23927310397138521</v>
      </c>
      <c r="AF63" cm="1">
        <f t="array" ref="AF63">IF(AF$7=-1,AG63,IF(AF$7=99,AE63,IF(AF$7=0,INDEX($E63:$I63,0,AF$5),(INDEX($E63:$I63,0,AF$7+1)-INDEX($E63:$I63,0,AF$7))/(INDEX($E$4:$I$4,0,AF$7+1)-INDEX($E$4:$I$4,0,AF$7))+AE63)))</f>
        <v>0.23549738721229901</v>
      </c>
      <c r="AG63" cm="1">
        <f t="array" ref="AG63">IF(AG$7=-1,AH63,IF(AG$7=99,AF63,IF(AG$7=0,INDEX($E63:$I63,0,AG$5),(INDEX($E63:$I63,0,AG$7+1)-INDEX($E63:$I63,0,AG$7))/(INDEX($E$4:$I$4,0,AG$7+1)-INDEX($E$4:$I$4,0,AG$7))+AF63)))</f>
        <v>0.23172167045321282</v>
      </c>
      <c r="AH63" cm="1">
        <f t="array" ref="AH63">IF(AH$7=-1,AI63,IF(AH$7=99,AG63,IF(AH$7=0,INDEX($E63:$I63,0,AH$5),(INDEX($E63:$I63,0,AH$7+1)-INDEX($E63:$I63,0,AH$7))/(INDEX($E$4:$I$4,0,AH$7+1)-INDEX($E$4:$I$4,0,AH$7))+AG63)))</f>
        <v>0.22794595369412662</v>
      </c>
      <c r="AI63" cm="1">
        <f t="array" ref="AI63">IF(AI$7=-1,AJ63,IF(AI$7=99,AH63,IF(AI$7=0,INDEX($E63:$I63,0,AI$5),(INDEX($E63:$I63,0,AI$7+1)-INDEX($E63:$I63,0,AI$7))/(INDEX($E$4:$I$4,0,AI$7+1)-INDEX($E$4:$I$4,0,AI$7))+AH63)))</f>
        <v>0.22417023693504048</v>
      </c>
      <c r="AJ63" cm="1">
        <f t="array" ref="AJ63">IF(AJ$7=-1,AK63,IF(AJ$7=99,AI63,IF(AJ$7=0,INDEX($E63:$I63,0,AJ$5),(INDEX($E63:$I63,0,AJ$7+1)-INDEX($E63:$I63,0,AJ$7))/(INDEX($E$4:$I$4,0,AJ$7+1)-INDEX($E$4:$I$4,0,AJ$7))+AI63)))</f>
        <v>0.21882067447450509</v>
      </c>
      <c r="AK63" cm="1">
        <f t="array" ref="AK63">IF(AK$7=-1,AL63,IF(AK$7=99,AJ63,IF(AK$7=0,INDEX($E63:$I63,0,AK$5),(INDEX($E63:$I63,0,AK$7+1)-INDEX($E63:$I63,0,AK$7))/(INDEX($E$4:$I$4,0,AK$7+1)-INDEX($E$4:$I$4,0,AK$7))+AJ63)))</f>
        <v>0.17067461232968667</v>
      </c>
      <c r="AL63" cm="1">
        <f t="array" ref="AL63">IF(AL$7=-1,AM63,IF(AL$7=99,AK63,IF(AL$7=0,INDEX($E63:$K63,0,AL$5),(INDEX($E63:$K63,0,AL$7+1)-INDEX($E63:$K63,0,AL$7))/(INDEX($E$4:$K$4,0,AL$7+1)-INDEX($E$4:$K$4,0,AL$7))+AK63)))</f>
        <v>0.14093931438552076</v>
      </c>
      <c r="AM63" cm="1">
        <f t="array" ref="AM63">IF(AM$7=-1,AN63,IF(AM$7=99,AL63,IF(AM$7=0,INDEX($E63:$K63,0,AM$5),(INDEX($E63:$K63,0,AM$7+1)-INDEX($E63:$K63,0,AM$7))/(INDEX($E$4:$K$4,0,AM$7+1)-INDEX($E$4:$K$4,0,AM$7))+AL63)))</f>
        <v>0.12188703858830549</v>
      </c>
    </row>
    <row r="64" spans="1:44">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ref="J64:K64" si="28">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5">
        <f t="shared" si="26"/>
        <v>0.49238816787487466</v>
      </c>
      <c r="F65" s="5">
        <f t="shared" si="26"/>
        <v>0.50007890326842752</v>
      </c>
      <c r="G65" s="5">
        <f t="shared" si="26"/>
        <v>0.42385480905180484</v>
      </c>
      <c r="H65" s="5">
        <f t="shared" si="26"/>
        <v>0.34834047387008094</v>
      </c>
      <c r="I65" s="5">
        <f t="shared" si="26"/>
        <v>0.24134922465937325</v>
      </c>
      <c r="J65" s="5">
        <f t="shared" ref="J65:K65" si="29">FORECAST(J$45,$E56:$G56,$E$53:$G$53)</f>
        <v>0.18187862877104144</v>
      </c>
      <c r="K65" s="5">
        <f t="shared" si="29"/>
        <v>0.14377407717661089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0.49245649384676526</v>
      </c>
      <c r="Q65" cm="1">
        <f t="array" ref="Q65">IF(Q$7=-1,R65,IF(Q$7=99,P65,IF(Q$7=0,INDEX($E65:$I65,0,Q$5),(INDEX($E65:$I65,0,Q$7+1)-INDEX($E65:$I65,0,Q$7))/(INDEX($E$4:$I$4,0,Q$7+1)-INDEX($E$4:$I$4,0,Q$7))+P65)))</f>
        <v>0.48483408442510301</v>
      </c>
      <c r="R65" cm="1">
        <f t="array" ref="R65">IF(R$7=-1,S65,IF(R$7=99,Q65,IF(R$7=0,INDEX($E65:$I65,0,R$5),(INDEX($E65:$I65,0,R$7+1)-INDEX($E65:$I65,0,R$7))/(INDEX($E$4:$I$4,0,R$7+1)-INDEX($E$4:$I$4,0,R$7))+Q65)))</f>
        <v>0.47721167500344075</v>
      </c>
      <c r="S65" cm="1">
        <f t="array" ref="S65">IF(S$7=-1,T65,IF(S$7=99,R65,IF(S$7=0,INDEX($E65:$I65,0,S$5),(INDEX($E65:$I65,0,S$7+1)-INDEX($E65:$I65,0,S$7))/(INDEX($E$4:$I$4,0,S$7+1)-INDEX($E$4:$I$4,0,S$7))+R65)))</f>
        <v>0.46958926558177849</v>
      </c>
      <c r="T65" cm="1">
        <f t="array" ref="T65">IF(T$7=-1,U65,IF(T$7=99,S65,IF(T$7=0,INDEX($E65:$I65,0,T$5),(INDEX($E65:$I65,0,T$7+1)-INDEX($E65:$I65,0,T$7))/(INDEX($E$4:$I$4,0,T$7+1)-INDEX($E$4:$I$4,0,T$7))+S65)))</f>
        <v>0.46196685616011623</v>
      </c>
      <c r="U65" cm="1">
        <f t="array" ref="U65">IF(U$7=-1,V65,IF(U$7=99,T65,IF(U$7=0,INDEX($E65:$I65,0,U$5),(INDEX($E65:$I65,0,U$7+1)-INDEX($E65:$I65,0,U$7))/(INDEX($E$4:$I$4,0,U$7+1)-INDEX($E$4:$I$4,0,U$7))+T65)))</f>
        <v>0.45434444673845398</v>
      </c>
      <c r="V65" cm="1">
        <f t="array" ref="V65">IF(V$7=-1,W65,IF(V$7=99,U65,IF(V$7=0,INDEX($E65:$I65,0,V$5),(INDEX($E65:$I65,0,V$7+1)-INDEX($E65:$I65,0,V$7))/(INDEX($E$4:$I$4,0,V$7+1)-INDEX($E$4:$I$4,0,V$7))+U65)))</f>
        <v>0.44672203731679172</v>
      </c>
      <c r="W65" cm="1">
        <f t="array" ref="W65">IF(W$7=-1,X65,IF(W$7=99,V65,IF(W$7=0,INDEX($E65:$I65,0,W$5),(INDEX($E65:$I65,0,W$7+1)-INDEX($E65:$I65,0,W$7))/(INDEX($E$4:$I$4,0,W$7+1)-INDEX($E$4:$I$4,0,W$7))+V65)))</f>
        <v>0.43909962789512946</v>
      </c>
      <c r="X65" cm="1">
        <f t="array" ref="X65">IF(X$7=-1,Y65,IF(X$7=99,W65,IF(X$7=0,INDEX($E65:$I65,0,X$5),(INDEX($E65:$I65,0,X$7+1)-INDEX($E65:$I65,0,X$7))/(INDEX($E$4:$I$4,0,X$7+1)-INDEX($E$4:$I$4,0,X$7))+W65)))</f>
        <v>0.43147721847346721</v>
      </c>
      <c r="Y65" cm="1">
        <f t="array" ref="Y65">IF(Y$7=-1,Z65,IF(Y$7=99,X65,IF(Y$7=0,INDEX($E65:$I65,0,Y$5),(INDEX($E65:$I65,0,Y$7+1)-INDEX($E65:$I65,0,Y$7))/(INDEX($E$4:$I$4,0,Y$7+1)-INDEX($E$4:$I$4,0,Y$7))+X65)))</f>
        <v>0.42385480905180484</v>
      </c>
      <c r="Z65" cm="1">
        <f t="array" ref="Z65">IF(Z$7=-1,AA65,IF(Z$7=99,Y65,IF(Z$7=0,INDEX($E65:$I65,0,Z$5),(INDEX($E65:$I65,0,Z$7+1)-INDEX($E65:$I65,0,Z$7))/(INDEX($E$4:$I$4,0,Z$7+1)-INDEX($E$4:$I$4,0,Z$7))+Y65)))</f>
        <v>0.41630337553363245</v>
      </c>
      <c r="AA65" cm="1">
        <f t="array" ref="AA65">IF(AA$7=-1,AB65,IF(AA$7=99,Z65,IF(AA$7=0,INDEX($E65:$I65,0,AA$5),(INDEX($E65:$I65,0,AA$7+1)-INDEX($E65:$I65,0,AA$7))/(INDEX($E$4:$I$4,0,AA$7+1)-INDEX($E$4:$I$4,0,AA$7))+Z65)))</f>
        <v>0.40875194201546006</v>
      </c>
      <c r="AB65" cm="1">
        <f t="array" ref="AB65">IF(AB$7=-1,AC65,IF(AB$7=99,AA65,IF(AB$7=0,INDEX($E65:$I65,0,AB$5),(INDEX($E65:$I65,0,AB$7+1)-INDEX($E65:$I65,0,AB$7))/(INDEX($E$4:$I$4,0,AB$7+1)-INDEX($E$4:$I$4,0,AB$7))+AA65)))</f>
        <v>0.40120050849728767</v>
      </c>
      <c r="AC65" cm="1">
        <f t="array" ref="AC65">IF(AC$7=-1,AD65,IF(AC$7=99,AB65,IF(AC$7=0,INDEX($E65:$I65,0,AC$5),(INDEX($E65:$I65,0,AC$7+1)-INDEX($E65:$I65,0,AC$7))/(INDEX($E$4:$I$4,0,AC$7+1)-INDEX($E$4:$I$4,0,AC$7))+AB65)))</f>
        <v>0.39364907497911528</v>
      </c>
      <c r="AD65" cm="1">
        <f t="array" ref="AD65">IF(AD$7=-1,AE65,IF(AD$7=99,AC65,IF(AD$7=0,INDEX($E65:$I65,0,AD$5),(INDEX($E65:$I65,0,AD$7+1)-INDEX($E65:$I65,0,AD$7))/(INDEX($E$4:$I$4,0,AD$7+1)-INDEX($E$4:$I$4,0,AD$7))+AC65)))</f>
        <v>0.38609764146094289</v>
      </c>
      <c r="AE65" cm="1">
        <f t="array" ref="AE65">IF(AE$7=-1,AF65,IF(AE$7=99,AD65,IF(AE$7=0,INDEX($E65:$I65,0,AE$5),(INDEX($E65:$I65,0,AE$7+1)-INDEX($E65:$I65,0,AE$7))/(INDEX($E$4:$I$4,0,AE$7+1)-INDEX($E$4:$I$4,0,AE$7))+AD65)))</f>
        <v>0.3785462079427705</v>
      </c>
      <c r="AF65" cm="1">
        <f t="array" ref="AF65">IF(AF$7=-1,AG65,IF(AF$7=99,AE65,IF(AF$7=0,INDEX($E65:$I65,0,AF$5),(INDEX($E65:$I65,0,AF$7+1)-INDEX($E65:$I65,0,AF$7))/(INDEX($E$4:$I$4,0,AF$7+1)-INDEX($E$4:$I$4,0,AF$7))+AE65)))</f>
        <v>0.37099477442459811</v>
      </c>
      <c r="AG65" cm="1">
        <f t="array" ref="AG65">IF(AG$7=-1,AH65,IF(AG$7=99,AF65,IF(AG$7=0,INDEX($E65:$I65,0,AG$5),(INDEX($E65:$I65,0,AG$7+1)-INDEX($E65:$I65,0,AG$7))/(INDEX($E$4:$I$4,0,AG$7+1)-INDEX($E$4:$I$4,0,AG$7))+AF65)))</f>
        <v>0.36344334090642572</v>
      </c>
      <c r="AH65" cm="1">
        <f t="array" ref="AH65">IF(AH$7=-1,AI65,IF(AH$7=99,AG65,IF(AH$7=0,INDEX($E65:$I65,0,AH$5),(INDEX($E65:$I65,0,AH$7+1)-INDEX($E65:$I65,0,AH$7))/(INDEX($E$4:$I$4,0,AH$7+1)-INDEX($E$4:$I$4,0,AH$7))+AG65)))</f>
        <v>0.35589190738825333</v>
      </c>
      <c r="AI65" cm="1">
        <f t="array" ref="AI65">IF(AI$7=-1,AJ65,IF(AI$7=99,AH65,IF(AI$7=0,INDEX($E65:$I65,0,AI$5),(INDEX($E65:$I65,0,AI$7+1)-INDEX($E65:$I65,0,AI$7))/(INDEX($E$4:$I$4,0,AI$7+1)-INDEX($E$4:$I$4,0,AI$7))+AH65)))</f>
        <v>0.34834047387008094</v>
      </c>
      <c r="AJ65" cm="1">
        <f t="array" ref="AJ65">IF(AJ$7=-1,AK65,IF(AJ$7=99,AI65,IF(AJ$7=0,INDEX($E65:$I65,0,AJ$5),(INDEX($E65:$I65,0,AJ$7+1)-INDEX($E65:$I65,0,AJ$7))/(INDEX($E$4:$I$4,0,AJ$7+1)-INDEX($E$4:$I$4,0,AJ$7))+AI65)))</f>
        <v>0.33764134894901016</v>
      </c>
      <c r="AK65" cm="1">
        <f t="array" ref="AK65">IF(AK$7=-1,AL65,IF(AK$7=99,AJ65,IF(AK$7=0,INDEX($E65:$I65,0,AK$5),(INDEX($E65:$I65,0,AK$7+1)-INDEX($E65:$I65,0,AK$7))/(INDEX($E$4:$I$4,0,AK$7+1)-INDEX($E$4:$I$4,0,AK$7))+AJ65)))</f>
        <v>0.24134922465937325</v>
      </c>
      <c r="AL65" cm="1">
        <f t="array" ref="AL65">IF(AL$7=-1,AM65,IF(AL$7=99,AK65,IF(AL$7=0,INDEX($E65:$K65,0,AL$5),(INDEX($E65:$K65,0,AL$7+1)-INDEX($E65:$K65,0,AL$7))/(INDEX($E$4:$K$4,0,AL$7+1)-INDEX($E$4:$K$4,0,AL$7))+AK65)))</f>
        <v>0.18187862877104144</v>
      </c>
      <c r="AM65" cm="1">
        <f t="array" ref="AM65">IF(AM$7=-1,AN65,IF(AM$7=99,AL65,IF(AM$7=0,INDEX($E65:$K65,0,AM$5),(INDEX($E65:$K65,0,AM$7+1)-INDEX($E65:$K65,0,AM$7))/(INDEX($E$4:$K$4,0,AM$7+1)-INDEX($E$4:$K$4,0,AM$7))+AL65)))</f>
        <v>0.14377407717661089</v>
      </c>
    </row>
    <row r="66" spans="1:39">
      <c r="A66" t="s">
        <v>16</v>
      </c>
      <c r="C66" t="str">
        <f t="shared" si="25"/>
        <v>Cooking</v>
      </c>
      <c r="E66" s="5">
        <f t="shared" si="26"/>
        <v>0.29619408393743735</v>
      </c>
      <c r="F66" s="5">
        <f t="shared" si="26"/>
        <v>0.30003945163421375</v>
      </c>
      <c r="G66" s="5">
        <f t="shared" si="26"/>
        <v>0.26192740452590246</v>
      </c>
      <c r="H66" s="5">
        <f t="shared" si="26"/>
        <v>0.22417023693504048</v>
      </c>
      <c r="I66" s="5">
        <f t="shared" si="26"/>
        <v>0.17067461232968667</v>
      </c>
      <c r="J66" s="5">
        <f t="shared" ref="J66:K66" si="30">FORECAST(J$45,$E57:$G57,$E$53:$G$53)</f>
        <v>0.14093931438552076</v>
      </c>
      <c r="K66" s="5">
        <f t="shared" si="30"/>
        <v>0.12188703858830549</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0.29622824692338262</v>
      </c>
      <c r="Q66" cm="1">
        <f t="array" ref="Q66">IF(Q$7=-1,R66,IF(Q$7=99,P66,IF(Q$7=0,INDEX($E66:$I66,0,Q$5),(INDEX($E66:$I66,0,Q$7+1)-INDEX($E66:$I66,0,Q$7))/(INDEX($E$4:$I$4,0,Q$7+1)-INDEX($E$4:$I$4,0,Q$7))+P66)))</f>
        <v>0.29241704221255149</v>
      </c>
      <c r="R66" cm="1">
        <f t="array" ref="R66">IF(R$7=-1,S66,IF(R$7=99,Q66,IF(R$7=0,INDEX($E66:$I66,0,R$5),(INDEX($E66:$I66,0,R$7+1)-INDEX($E66:$I66,0,R$7))/(INDEX($E$4:$I$4,0,R$7+1)-INDEX($E$4:$I$4,0,R$7))+Q66)))</f>
        <v>0.28860583750172036</v>
      </c>
      <c r="S66" cm="1">
        <f t="array" ref="S66">IF(S$7=-1,T66,IF(S$7=99,R66,IF(S$7=0,INDEX($E66:$I66,0,S$5),(INDEX($E66:$I66,0,S$7+1)-INDEX($E66:$I66,0,S$7))/(INDEX($E$4:$I$4,0,S$7+1)-INDEX($E$4:$I$4,0,S$7))+R66)))</f>
        <v>0.28479463279088923</v>
      </c>
      <c r="T66" cm="1">
        <f t="array" ref="T66">IF(T$7=-1,U66,IF(T$7=99,S66,IF(T$7=0,INDEX($E66:$I66,0,T$5),(INDEX($E66:$I66,0,T$7+1)-INDEX($E66:$I66,0,T$7))/(INDEX($E$4:$I$4,0,T$7+1)-INDEX($E$4:$I$4,0,T$7))+S66)))</f>
        <v>0.28098342808005811</v>
      </c>
      <c r="U66" cm="1">
        <f t="array" ref="U66">IF(U$7=-1,V66,IF(U$7=99,T66,IF(U$7=0,INDEX($E66:$I66,0,U$5),(INDEX($E66:$I66,0,U$7+1)-INDEX($E66:$I66,0,U$7))/(INDEX($E$4:$I$4,0,U$7+1)-INDEX($E$4:$I$4,0,U$7))+T66)))</f>
        <v>0.27717222336922698</v>
      </c>
      <c r="V66" cm="1">
        <f t="array" ref="V66">IF(V$7=-1,W66,IF(V$7=99,U66,IF(V$7=0,INDEX($E66:$I66,0,V$5),(INDEX($E66:$I66,0,V$7+1)-INDEX($E66:$I66,0,V$7))/(INDEX($E$4:$I$4,0,V$7+1)-INDEX($E$4:$I$4,0,V$7))+U66)))</f>
        <v>0.27336101865839585</v>
      </c>
      <c r="W66" cm="1">
        <f t="array" ref="W66">IF(W$7=-1,X66,IF(W$7=99,V66,IF(W$7=0,INDEX($E66:$I66,0,W$5),(INDEX($E66:$I66,0,W$7+1)-INDEX($E66:$I66,0,W$7))/(INDEX($E$4:$I$4,0,W$7+1)-INDEX($E$4:$I$4,0,W$7))+V66)))</f>
        <v>0.26954981394756472</v>
      </c>
      <c r="X66" cm="1">
        <f t="array" ref="X66">IF(X$7=-1,Y66,IF(X$7=99,W66,IF(X$7=0,INDEX($E66:$I66,0,X$5),(INDEX($E66:$I66,0,X$7+1)-INDEX($E66:$I66,0,X$7))/(INDEX($E$4:$I$4,0,X$7+1)-INDEX($E$4:$I$4,0,X$7))+W66)))</f>
        <v>0.26573860923673359</v>
      </c>
      <c r="Y66" cm="1">
        <f t="array" ref="Y66">IF(Y$7=-1,Z66,IF(Y$7=99,X66,IF(Y$7=0,INDEX($E66:$I66,0,Y$5),(INDEX($E66:$I66,0,Y$7+1)-INDEX($E66:$I66,0,Y$7))/(INDEX($E$4:$I$4,0,Y$7+1)-INDEX($E$4:$I$4,0,Y$7))+X66)))</f>
        <v>0.26192740452590246</v>
      </c>
      <c r="Z66" cm="1">
        <f t="array" ref="Z66">IF(Z$7=-1,AA66,IF(Z$7=99,Y66,IF(Z$7=0,INDEX($E66:$I66,0,Z$5),(INDEX($E66:$I66,0,Z$7+1)-INDEX($E66:$I66,0,Z$7))/(INDEX($E$4:$I$4,0,Z$7+1)-INDEX($E$4:$I$4,0,Z$7))+Y66)))</f>
        <v>0.25815168776681624</v>
      </c>
      <c r="AA66" cm="1">
        <f t="array" ref="AA66">IF(AA$7=-1,AB66,IF(AA$7=99,Z66,IF(AA$7=0,INDEX($E66:$I66,0,AA$5),(INDEX($E66:$I66,0,AA$7+1)-INDEX($E66:$I66,0,AA$7))/(INDEX($E$4:$I$4,0,AA$7+1)-INDEX($E$4:$I$4,0,AA$7))+Z66)))</f>
        <v>0.25437597100773002</v>
      </c>
      <c r="AB66" cm="1">
        <f t="array" ref="AB66">IF(AB$7=-1,AC66,IF(AB$7=99,AA66,IF(AB$7=0,INDEX($E66:$I66,0,AB$5),(INDEX($E66:$I66,0,AB$7+1)-INDEX($E66:$I66,0,AB$7))/(INDEX($E$4:$I$4,0,AB$7+1)-INDEX($E$4:$I$4,0,AB$7))+AA66)))</f>
        <v>0.25060025424864379</v>
      </c>
      <c r="AC66" cm="1">
        <f t="array" ref="AC66">IF(AC$7=-1,AD66,IF(AC$7=99,AB66,IF(AC$7=0,INDEX($E66:$I66,0,AC$5),(INDEX($E66:$I66,0,AC$7+1)-INDEX($E66:$I66,0,AC$7))/(INDEX($E$4:$I$4,0,AC$7+1)-INDEX($E$4:$I$4,0,AC$7))+AB66)))</f>
        <v>0.2468245374895576</v>
      </c>
      <c r="AD66" cm="1">
        <f t="array" ref="AD66">IF(AD$7=-1,AE66,IF(AD$7=99,AC66,IF(AD$7=0,INDEX($E66:$I66,0,AD$5),(INDEX($E66:$I66,0,AD$7+1)-INDEX($E66:$I66,0,AD$7))/(INDEX($E$4:$I$4,0,AD$7+1)-INDEX($E$4:$I$4,0,AD$7))+AC66)))</f>
        <v>0.2430488207304714</v>
      </c>
      <c r="AE66" cm="1">
        <f t="array" ref="AE66">IF(AE$7=-1,AF66,IF(AE$7=99,AD66,IF(AE$7=0,INDEX($E66:$I66,0,AE$5),(INDEX($E66:$I66,0,AE$7+1)-INDEX($E66:$I66,0,AE$7))/(INDEX($E$4:$I$4,0,AE$7+1)-INDEX($E$4:$I$4,0,AE$7))+AD66)))</f>
        <v>0.23927310397138521</v>
      </c>
      <c r="AF66" cm="1">
        <f t="array" ref="AF66">IF(AF$7=-1,AG66,IF(AF$7=99,AE66,IF(AF$7=0,INDEX($E66:$I66,0,AF$5),(INDEX($E66:$I66,0,AF$7+1)-INDEX($E66:$I66,0,AF$7))/(INDEX($E$4:$I$4,0,AF$7+1)-INDEX($E$4:$I$4,0,AF$7))+AE66)))</f>
        <v>0.23549738721229901</v>
      </c>
      <c r="AG66" cm="1">
        <f t="array" ref="AG66">IF(AG$7=-1,AH66,IF(AG$7=99,AF66,IF(AG$7=0,INDEX($E66:$I66,0,AG$5),(INDEX($E66:$I66,0,AG$7+1)-INDEX($E66:$I66,0,AG$7))/(INDEX($E$4:$I$4,0,AG$7+1)-INDEX($E$4:$I$4,0,AG$7))+AF66)))</f>
        <v>0.23172167045321282</v>
      </c>
      <c r="AH66" cm="1">
        <f t="array" ref="AH66">IF(AH$7=-1,AI66,IF(AH$7=99,AG66,IF(AH$7=0,INDEX($E66:$I66,0,AH$5),(INDEX($E66:$I66,0,AH$7+1)-INDEX($E66:$I66,0,AH$7))/(INDEX($E$4:$I$4,0,AH$7+1)-INDEX($E$4:$I$4,0,AH$7))+AG66)))</f>
        <v>0.22794595369412662</v>
      </c>
      <c r="AI66" cm="1">
        <f t="array" ref="AI66">IF(AI$7=-1,AJ66,IF(AI$7=99,AH66,IF(AI$7=0,INDEX($E66:$I66,0,AI$5),(INDEX($E66:$I66,0,AI$7+1)-INDEX($E66:$I66,0,AI$7))/(INDEX($E$4:$I$4,0,AI$7+1)-INDEX($E$4:$I$4,0,AI$7))+AH66)))</f>
        <v>0.22417023693504048</v>
      </c>
      <c r="AJ66" cm="1">
        <f t="array" ref="AJ66">IF(AJ$7=-1,AK66,IF(AJ$7=99,AI66,IF(AJ$7=0,INDEX($E66:$I66,0,AJ$5),(INDEX($E66:$I66,0,AJ$7+1)-INDEX($E66:$I66,0,AJ$7))/(INDEX($E$4:$I$4,0,AJ$7+1)-INDEX($E$4:$I$4,0,AJ$7))+AI66)))</f>
        <v>0.21882067447450509</v>
      </c>
      <c r="AK66" cm="1">
        <f t="array" ref="AK66">IF(AK$7=-1,AL66,IF(AK$7=99,AJ66,IF(AK$7=0,INDEX($E66:$I66,0,AK$5),(INDEX($E66:$I66,0,AK$7+1)-INDEX($E66:$I66,0,AK$7))/(INDEX($E$4:$I$4,0,AK$7+1)-INDEX($E$4:$I$4,0,AK$7))+AJ66)))</f>
        <v>0.17067461232968667</v>
      </c>
      <c r="AL66" cm="1">
        <f t="array" ref="AL66">IF(AL$7=-1,AM66,IF(AL$7=99,AK66,IF(AL$7=0,INDEX($E66:$K66,0,AL$5),(INDEX($E66:$K66,0,AL$7+1)-INDEX($E66:$K66,0,AL$7))/(INDEX($E$4:$K$4,0,AL$7+1)-INDEX($E$4:$K$4,0,AL$7))+AK66)))</f>
        <v>0.14093931438552076</v>
      </c>
      <c r="AM66" cm="1">
        <f t="array" ref="AM66">IF(AM$7=-1,AN66,IF(AM$7=99,AL66,IF(AM$7=0,INDEX($E66:$K66,0,AM$5),(INDEX($E66:$K66,0,AM$7+1)-INDEX($E66:$K66,0,AM$7))/(INDEX($E$4:$K$4,0,AM$7+1)-INDEX($E$4:$K$4,0,AM$7))+AL66)))</f>
        <v>0.12188703858830549</v>
      </c>
    </row>
    <row r="67" spans="1:39">
      <c r="A67" t="s">
        <v>16</v>
      </c>
      <c r="C67" t="str">
        <f t="shared" si="25"/>
        <v>Space Heating</v>
      </c>
      <c r="E67" s="5">
        <f t="shared" si="26"/>
        <v>0.19619408393743734</v>
      </c>
      <c r="F67" s="5">
        <f t="shared" si="26"/>
        <v>0.20003945163421377</v>
      </c>
      <c r="G67" s="5">
        <f t="shared" si="26"/>
        <v>0.16192740452590243</v>
      </c>
      <c r="H67" s="5">
        <f t="shared" si="26"/>
        <v>0.12417023693504048</v>
      </c>
      <c r="I67" s="5">
        <f t="shared" si="26"/>
        <v>7.0674612329686637E-2</v>
      </c>
      <c r="J67" s="5">
        <f t="shared" ref="J67:K67" si="31">FORECAST(J$45,$E58:$G58,$E$53:$G$53)</f>
        <v>4.0939314385520731E-2</v>
      </c>
      <c r="K67" s="5">
        <f t="shared" si="31"/>
        <v>2.1887038588305457E-2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0.19622824692338264</v>
      </c>
      <c r="Q67" cm="1">
        <f t="array" ref="Q67">IF(Q$7=-1,R67,IF(Q$7=99,P67,IF(Q$7=0,INDEX($E67:$I67,0,Q$5),(INDEX($E67:$I67,0,Q$7+1)-INDEX($E67:$I67,0,Q$7))/(INDEX($E$4:$I$4,0,Q$7+1)-INDEX($E$4:$I$4,0,Q$7))+P67)))</f>
        <v>0.19241704221255151</v>
      </c>
      <c r="R67" cm="1">
        <f t="array" ref="R67">IF(R$7=-1,S67,IF(R$7=99,Q67,IF(R$7=0,INDEX($E67:$I67,0,R$5),(INDEX($E67:$I67,0,R$7+1)-INDEX($E67:$I67,0,R$7))/(INDEX($E$4:$I$4,0,R$7+1)-INDEX($E$4:$I$4,0,R$7))+Q67)))</f>
        <v>0.18860583750172039</v>
      </c>
      <c r="S67" cm="1">
        <f t="array" ref="S67">IF(S$7=-1,T67,IF(S$7=99,R67,IF(S$7=0,INDEX($E67:$I67,0,S$5),(INDEX($E67:$I67,0,S$7+1)-INDEX($E67:$I67,0,S$7))/(INDEX($E$4:$I$4,0,S$7+1)-INDEX($E$4:$I$4,0,S$7))+R67)))</f>
        <v>0.18479463279088926</v>
      </c>
      <c r="T67" cm="1">
        <f t="array" ref="T67">IF(T$7=-1,U67,IF(T$7=99,S67,IF(T$7=0,INDEX($E67:$I67,0,T$5),(INDEX($E67:$I67,0,T$7+1)-INDEX($E67:$I67,0,T$7))/(INDEX($E$4:$I$4,0,T$7+1)-INDEX($E$4:$I$4,0,T$7))+S67)))</f>
        <v>0.18098342808005813</v>
      </c>
      <c r="U67" cm="1">
        <f t="array" ref="U67">IF(U$7=-1,V67,IF(U$7=99,T67,IF(U$7=0,INDEX($E67:$I67,0,U$5),(INDEX($E67:$I67,0,U$7+1)-INDEX($E67:$I67,0,U$7))/(INDEX($E$4:$I$4,0,U$7+1)-INDEX($E$4:$I$4,0,U$7))+T67)))</f>
        <v>0.177172223369227</v>
      </c>
      <c r="V67" cm="1">
        <f t="array" ref="V67">IF(V$7=-1,W67,IF(V$7=99,U67,IF(V$7=0,INDEX($E67:$I67,0,V$5),(INDEX($E67:$I67,0,V$7+1)-INDEX($E67:$I67,0,V$7))/(INDEX($E$4:$I$4,0,V$7+1)-INDEX($E$4:$I$4,0,V$7))+U67)))</f>
        <v>0.17336101865839587</v>
      </c>
      <c r="W67" cm="1">
        <f t="array" ref="W67">IF(W$7=-1,X67,IF(W$7=99,V67,IF(W$7=0,INDEX($E67:$I67,0,W$5),(INDEX($E67:$I67,0,W$7+1)-INDEX($E67:$I67,0,W$7))/(INDEX($E$4:$I$4,0,W$7+1)-INDEX($E$4:$I$4,0,W$7))+V67)))</f>
        <v>0.16954981394756474</v>
      </c>
      <c r="X67" cm="1">
        <f t="array" ref="X67">IF(X$7=-1,Y67,IF(X$7=99,W67,IF(X$7=0,INDEX($E67:$I67,0,X$5),(INDEX($E67:$I67,0,X$7+1)-INDEX($E67:$I67,0,X$7))/(INDEX($E$4:$I$4,0,X$7+1)-INDEX($E$4:$I$4,0,X$7))+W67)))</f>
        <v>0.16573860923673361</v>
      </c>
      <c r="Y67" cm="1">
        <f t="array" ref="Y67">IF(Y$7=-1,Z67,IF(Y$7=99,X67,IF(Y$7=0,INDEX($E67:$I67,0,Y$5),(INDEX($E67:$I67,0,Y$7+1)-INDEX($E67:$I67,0,Y$7))/(INDEX($E$4:$I$4,0,Y$7+1)-INDEX($E$4:$I$4,0,Y$7))+X67)))</f>
        <v>0.16192740452590243</v>
      </c>
      <c r="Z67" cm="1">
        <f t="array" ref="Z67">IF(Z$7=-1,AA67,IF(Z$7=99,Y67,IF(Z$7=0,INDEX($E67:$I67,0,Z$5),(INDEX($E67:$I67,0,Z$7+1)-INDEX($E67:$I67,0,Z$7))/(INDEX($E$4:$I$4,0,Z$7+1)-INDEX($E$4:$I$4,0,Z$7))+Y67)))</f>
        <v>0.15815168776681623</v>
      </c>
      <c r="AA67" cm="1">
        <f t="array" ref="AA67">IF(AA$7=-1,AB67,IF(AA$7=99,Z67,IF(AA$7=0,INDEX($E67:$I67,0,AA$5),(INDEX($E67:$I67,0,AA$7+1)-INDEX($E67:$I67,0,AA$7))/(INDEX($E$4:$I$4,0,AA$7+1)-INDEX($E$4:$I$4,0,AA$7))+Z67)))</f>
        <v>0.15437597100773004</v>
      </c>
      <c r="AB67" cm="1">
        <f t="array" ref="AB67">IF(AB$7=-1,AC67,IF(AB$7=99,AA67,IF(AB$7=0,INDEX($E67:$I67,0,AB$5),(INDEX($E67:$I67,0,AB$7+1)-INDEX($E67:$I67,0,AB$7))/(INDEX($E$4:$I$4,0,AB$7+1)-INDEX($E$4:$I$4,0,AB$7))+AA67)))</f>
        <v>0.15060025424864384</v>
      </c>
      <c r="AC67" cm="1">
        <f t="array" ref="AC67">IF(AC$7=-1,AD67,IF(AC$7=99,AB67,IF(AC$7=0,INDEX($E67:$I67,0,AC$5),(INDEX($E67:$I67,0,AC$7+1)-INDEX($E67:$I67,0,AC$7))/(INDEX($E$4:$I$4,0,AC$7+1)-INDEX($E$4:$I$4,0,AC$7))+AB67)))</f>
        <v>0.14682453748955765</v>
      </c>
      <c r="AD67" cm="1">
        <f t="array" ref="AD67">IF(AD$7=-1,AE67,IF(AD$7=99,AC67,IF(AD$7=0,INDEX($E67:$I67,0,AD$5),(INDEX($E67:$I67,0,AD$7+1)-INDEX($E67:$I67,0,AD$7))/(INDEX($E$4:$I$4,0,AD$7+1)-INDEX($E$4:$I$4,0,AD$7))+AC67)))</f>
        <v>0.14304882073047145</v>
      </c>
      <c r="AE67" cm="1">
        <f t="array" ref="AE67">IF(AE$7=-1,AF67,IF(AE$7=99,AD67,IF(AE$7=0,INDEX($E67:$I67,0,AE$5),(INDEX($E67:$I67,0,AE$7+1)-INDEX($E67:$I67,0,AE$7))/(INDEX($E$4:$I$4,0,AE$7+1)-INDEX($E$4:$I$4,0,AE$7))+AD67)))</f>
        <v>0.13927310397138526</v>
      </c>
      <c r="AF67" cm="1">
        <f t="array" ref="AF67">IF(AF$7=-1,AG67,IF(AF$7=99,AE67,IF(AF$7=0,INDEX($E67:$I67,0,AF$5),(INDEX($E67:$I67,0,AF$7+1)-INDEX($E67:$I67,0,AF$7))/(INDEX($E$4:$I$4,0,AF$7+1)-INDEX($E$4:$I$4,0,AF$7))+AE67)))</f>
        <v>0.13549738721229906</v>
      </c>
      <c r="AG67" cm="1">
        <f t="array" ref="AG67">IF(AG$7=-1,AH67,IF(AG$7=99,AF67,IF(AG$7=0,INDEX($E67:$I67,0,AG$5),(INDEX($E67:$I67,0,AG$7+1)-INDEX($E67:$I67,0,AG$7))/(INDEX($E$4:$I$4,0,AG$7+1)-INDEX($E$4:$I$4,0,AG$7))+AF67)))</f>
        <v>0.13172167045321287</v>
      </c>
      <c r="AH67" cm="1">
        <f t="array" ref="AH67">IF(AH$7=-1,AI67,IF(AH$7=99,AG67,IF(AH$7=0,INDEX($E67:$I67,0,AH$5),(INDEX($E67:$I67,0,AH$7+1)-INDEX($E67:$I67,0,AH$7))/(INDEX($E$4:$I$4,0,AH$7+1)-INDEX($E$4:$I$4,0,AH$7))+AG67)))</f>
        <v>0.12794595369412667</v>
      </c>
      <c r="AI67" cm="1">
        <f t="array" ref="AI67">IF(AI$7=-1,AJ67,IF(AI$7=99,AH67,IF(AI$7=0,INDEX($E67:$I67,0,AI$5),(INDEX($E67:$I67,0,AI$7+1)-INDEX($E67:$I67,0,AI$7))/(INDEX($E$4:$I$4,0,AI$7+1)-INDEX($E$4:$I$4,0,AI$7))+AH67)))</f>
        <v>0.12417023693504048</v>
      </c>
      <c r="AJ67" cm="1">
        <f t="array" ref="AJ67">IF(AJ$7=-1,AK67,IF(AJ$7=99,AI67,IF(AJ$7=0,INDEX($E67:$I67,0,AJ$5),(INDEX($E67:$I67,0,AJ$7+1)-INDEX($E67:$I67,0,AJ$7))/(INDEX($E$4:$I$4,0,AJ$7+1)-INDEX($E$4:$I$4,0,AJ$7))+AI67)))</f>
        <v>0.11882067447450509</v>
      </c>
      <c r="AK67" cm="1">
        <f t="array" ref="AK67">IF(AK$7=-1,AL67,IF(AK$7=99,AJ67,IF(AK$7=0,INDEX($E67:$I67,0,AK$5),(INDEX($E67:$I67,0,AK$7+1)-INDEX($E67:$I67,0,AK$7))/(INDEX($E$4:$I$4,0,AK$7+1)-INDEX($E$4:$I$4,0,AK$7))+AJ67)))</f>
        <v>7.0674612329686637E-2</v>
      </c>
      <c r="AL67" cm="1">
        <f t="array" ref="AL67">IF(AL$7=-1,AM67,IF(AL$7=99,AK67,IF(AL$7=0,INDEX($E67:$K67,0,AL$5),(INDEX($E67:$K67,0,AL$7+1)-INDEX($E67:$K67,0,AL$7))/(INDEX($E$4:$K$4,0,AL$7+1)-INDEX($E$4:$K$4,0,AL$7))+AK67)))</f>
        <v>4.0939314385520731E-2</v>
      </c>
      <c r="AM67" cm="1">
        <f t="array" ref="AM67">IF(AM$7=-1,AN67,IF(AM$7=99,AL67,IF(AM$7=0,INDEX($E67:$K67,0,AM$5),(INDEX($E67:$K67,0,AM$7+1)-INDEX($E67:$K67,0,AM$7))/(INDEX($E$4:$K$4,0,AM$7+1)-INDEX($E$4:$K$4,0,AM$7))+AL67)))</f>
        <v>2.1887038588305457E-2</v>
      </c>
    </row>
    <row r="68" spans="1:39">
      <c r="A68" t="s">
        <v>16</v>
      </c>
      <c r="C68" t="str">
        <f t="shared" si="25"/>
        <v>Water Heating Geyser</v>
      </c>
      <c r="E68" s="5">
        <f t="shared" si="26"/>
        <v>0.49238816787487466</v>
      </c>
      <c r="F68" s="5">
        <f t="shared" si="26"/>
        <v>0.50007890326842752</v>
      </c>
      <c r="G68" s="5">
        <f t="shared" si="26"/>
        <v>0.42385480905180484</v>
      </c>
      <c r="H68" s="5">
        <f t="shared" si="26"/>
        <v>0.34834047387008094</v>
      </c>
      <c r="I68" s="5">
        <f t="shared" si="26"/>
        <v>0.24134922465937325</v>
      </c>
      <c r="J68" s="5">
        <f t="shared" ref="J68:K68" si="32">FORECAST(J$45,$E59:$G59,$E$53:$G$53)</f>
        <v>0.18187862877104144</v>
      </c>
      <c r="K68" s="5">
        <f t="shared" si="32"/>
        <v>0.14377407717661089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0.49245649384676526</v>
      </c>
      <c r="Q68" cm="1">
        <f t="array" ref="Q68">IF(Q$7=-1,R68,IF(Q$7=99,P68,IF(Q$7=0,INDEX($E68:$I68,0,Q$5),(INDEX($E68:$I68,0,Q$7+1)-INDEX($E68:$I68,0,Q$7))/(INDEX($E$4:$I$4,0,Q$7+1)-INDEX($E$4:$I$4,0,Q$7))+P68)))</f>
        <v>0.48483408442510301</v>
      </c>
      <c r="R68" cm="1">
        <f t="array" ref="R68">IF(R$7=-1,S68,IF(R$7=99,Q68,IF(R$7=0,INDEX($E68:$I68,0,R$5),(INDEX($E68:$I68,0,R$7+1)-INDEX($E68:$I68,0,R$7))/(INDEX($E$4:$I$4,0,R$7+1)-INDEX($E$4:$I$4,0,R$7))+Q68)))</f>
        <v>0.47721167500344075</v>
      </c>
      <c r="S68" cm="1">
        <f t="array" ref="S68">IF(S$7=-1,T68,IF(S$7=99,R68,IF(S$7=0,INDEX($E68:$I68,0,S$5),(INDEX($E68:$I68,0,S$7+1)-INDEX($E68:$I68,0,S$7))/(INDEX($E$4:$I$4,0,S$7+1)-INDEX($E$4:$I$4,0,S$7))+R68)))</f>
        <v>0.46958926558177849</v>
      </c>
      <c r="T68" cm="1">
        <f t="array" ref="T68">IF(T$7=-1,U68,IF(T$7=99,S68,IF(T$7=0,INDEX($E68:$I68,0,T$5),(INDEX($E68:$I68,0,T$7+1)-INDEX($E68:$I68,0,T$7))/(INDEX($E$4:$I$4,0,T$7+1)-INDEX($E$4:$I$4,0,T$7))+S68)))</f>
        <v>0.46196685616011623</v>
      </c>
      <c r="U68" cm="1">
        <f t="array" ref="U68">IF(U$7=-1,V68,IF(U$7=99,T68,IF(U$7=0,INDEX($E68:$I68,0,U$5),(INDEX($E68:$I68,0,U$7+1)-INDEX($E68:$I68,0,U$7))/(INDEX($E$4:$I$4,0,U$7+1)-INDEX($E$4:$I$4,0,U$7))+T68)))</f>
        <v>0.45434444673845398</v>
      </c>
      <c r="V68" cm="1">
        <f t="array" ref="V68">IF(V$7=-1,W68,IF(V$7=99,U68,IF(V$7=0,INDEX($E68:$I68,0,V$5),(INDEX($E68:$I68,0,V$7+1)-INDEX($E68:$I68,0,V$7))/(INDEX($E$4:$I$4,0,V$7+1)-INDEX($E$4:$I$4,0,V$7))+U68)))</f>
        <v>0.44672203731679172</v>
      </c>
      <c r="W68" cm="1">
        <f t="array" ref="W68">IF(W$7=-1,X68,IF(W$7=99,V68,IF(W$7=0,INDEX($E68:$I68,0,W$5),(INDEX($E68:$I68,0,W$7+1)-INDEX($E68:$I68,0,W$7))/(INDEX($E$4:$I$4,0,W$7+1)-INDEX($E$4:$I$4,0,W$7))+V68)))</f>
        <v>0.43909962789512946</v>
      </c>
      <c r="X68" cm="1">
        <f t="array" ref="X68">IF(X$7=-1,Y68,IF(X$7=99,W68,IF(X$7=0,INDEX($E68:$I68,0,X$5),(INDEX($E68:$I68,0,X$7+1)-INDEX($E68:$I68,0,X$7))/(INDEX($E$4:$I$4,0,X$7+1)-INDEX($E$4:$I$4,0,X$7))+W68)))</f>
        <v>0.43147721847346721</v>
      </c>
      <c r="Y68" cm="1">
        <f t="array" ref="Y68">IF(Y$7=-1,Z68,IF(Y$7=99,X68,IF(Y$7=0,INDEX($E68:$I68,0,Y$5),(INDEX($E68:$I68,0,Y$7+1)-INDEX($E68:$I68,0,Y$7))/(INDEX($E$4:$I$4,0,Y$7+1)-INDEX($E$4:$I$4,0,Y$7))+X68)))</f>
        <v>0.42385480905180484</v>
      </c>
      <c r="Z68" cm="1">
        <f t="array" ref="Z68">IF(Z$7=-1,AA68,IF(Z$7=99,Y68,IF(Z$7=0,INDEX($E68:$I68,0,Z$5),(INDEX($E68:$I68,0,Z$7+1)-INDEX($E68:$I68,0,Z$7))/(INDEX($E$4:$I$4,0,Z$7+1)-INDEX($E$4:$I$4,0,Z$7))+Y68)))</f>
        <v>0.41630337553363245</v>
      </c>
      <c r="AA68" cm="1">
        <f t="array" ref="AA68">IF(AA$7=-1,AB68,IF(AA$7=99,Z68,IF(AA$7=0,INDEX($E68:$I68,0,AA$5),(INDEX($E68:$I68,0,AA$7+1)-INDEX($E68:$I68,0,AA$7))/(INDEX($E$4:$I$4,0,AA$7+1)-INDEX($E$4:$I$4,0,AA$7))+Z68)))</f>
        <v>0.40875194201546006</v>
      </c>
      <c r="AB68" cm="1">
        <f t="array" ref="AB68">IF(AB$7=-1,AC68,IF(AB$7=99,AA68,IF(AB$7=0,INDEX($E68:$I68,0,AB$5),(INDEX($E68:$I68,0,AB$7+1)-INDEX($E68:$I68,0,AB$7))/(INDEX($E$4:$I$4,0,AB$7+1)-INDEX($E$4:$I$4,0,AB$7))+AA68)))</f>
        <v>0.40120050849728767</v>
      </c>
      <c r="AC68" cm="1">
        <f t="array" ref="AC68">IF(AC$7=-1,AD68,IF(AC$7=99,AB68,IF(AC$7=0,INDEX($E68:$I68,0,AC$5),(INDEX($E68:$I68,0,AC$7+1)-INDEX($E68:$I68,0,AC$7))/(INDEX($E$4:$I$4,0,AC$7+1)-INDEX($E$4:$I$4,0,AC$7))+AB68)))</f>
        <v>0.39364907497911528</v>
      </c>
      <c r="AD68" cm="1">
        <f t="array" ref="AD68">IF(AD$7=-1,AE68,IF(AD$7=99,AC68,IF(AD$7=0,INDEX($E68:$I68,0,AD$5),(INDEX($E68:$I68,0,AD$7+1)-INDEX($E68:$I68,0,AD$7))/(INDEX($E$4:$I$4,0,AD$7+1)-INDEX($E$4:$I$4,0,AD$7))+AC68)))</f>
        <v>0.38609764146094289</v>
      </c>
      <c r="AE68" cm="1">
        <f t="array" ref="AE68">IF(AE$7=-1,AF68,IF(AE$7=99,AD68,IF(AE$7=0,INDEX($E68:$I68,0,AE$5),(INDEX($E68:$I68,0,AE$7+1)-INDEX($E68:$I68,0,AE$7))/(INDEX($E$4:$I$4,0,AE$7+1)-INDEX($E$4:$I$4,0,AE$7))+AD68)))</f>
        <v>0.3785462079427705</v>
      </c>
      <c r="AF68" cm="1">
        <f t="array" ref="AF68">IF(AF$7=-1,AG68,IF(AF$7=99,AE68,IF(AF$7=0,INDEX($E68:$I68,0,AF$5),(INDEX($E68:$I68,0,AF$7+1)-INDEX($E68:$I68,0,AF$7))/(INDEX($E$4:$I$4,0,AF$7+1)-INDEX($E$4:$I$4,0,AF$7))+AE68)))</f>
        <v>0.37099477442459811</v>
      </c>
      <c r="AG68" cm="1">
        <f t="array" ref="AG68">IF(AG$7=-1,AH68,IF(AG$7=99,AF68,IF(AG$7=0,INDEX($E68:$I68,0,AG$5),(INDEX($E68:$I68,0,AG$7+1)-INDEX($E68:$I68,0,AG$7))/(INDEX($E$4:$I$4,0,AG$7+1)-INDEX($E$4:$I$4,0,AG$7))+AF68)))</f>
        <v>0.36344334090642572</v>
      </c>
      <c r="AH68" cm="1">
        <f t="array" ref="AH68">IF(AH$7=-1,AI68,IF(AH$7=99,AG68,IF(AH$7=0,INDEX($E68:$I68,0,AH$5),(INDEX($E68:$I68,0,AH$7+1)-INDEX($E68:$I68,0,AH$7))/(INDEX($E$4:$I$4,0,AH$7+1)-INDEX($E$4:$I$4,0,AH$7))+AG68)))</f>
        <v>0.35589190738825333</v>
      </c>
      <c r="AI68" cm="1">
        <f t="array" ref="AI68">IF(AI$7=-1,AJ68,IF(AI$7=99,AH68,IF(AI$7=0,INDEX($E68:$I68,0,AI$5),(INDEX($E68:$I68,0,AI$7+1)-INDEX($E68:$I68,0,AI$7))/(INDEX($E$4:$I$4,0,AI$7+1)-INDEX($E$4:$I$4,0,AI$7))+AH68)))</f>
        <v>0.34834047387008094</v>
      </c>
      <c r="AJ68" cm="1">
        <f t="array" ref="AJ68">IF(AJ$7=-1,AK68,IF(AJ$7=99,AI68,IF(AJ$7=0,INDEX($E68:$I68,0,AJ$5),(INDEX($E68:$I68,0,AJ$7+1)-INDEX($E68:$I68,0,AJ$7))/(INDEX($E$4:$I$4,0,AJ$7+1)-INDEX($E$4:$I$4,0,AJ$7))+AI68)))</f>
        <v>0.33764134894901016</v>
      </c>
      <c r="AK68" cm="1">
        <f t="array" ref="AK68">IF(AK$7=-1,AL68,IF(AK$7=99,AJ68,IF(AK$7=0,INDEX($E68:$I68,0,AK$5),(INDEX($E68:$I68,0,AK$7+1)-INDEX($E68:$I68,0,AK$7))/(INDEX($E$4:$I$4,0,AK$7+1)-INDEX($E$4:$I$4,0,AK$7))+AJ68)))</f>
        <v>0.24134922465937325</v>
      </c>
      <c r="AL68" cm="1">
        <f t="array" ref="AL68">IF(AL$7=-1,AM68,IF(AL$7=99,AK68,IF(AL$7=0,INDEX($E68:$K68,0,AL$5),(INDEX($E68:$K68,0,AL$7+1)-INDEX($E68:$K68,0,AL$7))/(INDEX($E$4:$K$4,0,AL$7+1)-INDEX($E$4:$K$4,0,AL$7))+AK68)))</f>
        <v>0.18187862877104144</v>
      </c>
      <c r="AM68" cm="1">
        <f t="array" ref="AM68">IF(AM$7=-1,AN68,IF(AM$7=99,AL68,IF(AM$7=0,INDEX($E68:$K68,0,AM$5),(INDEX($E68:$K68,0,AM$7+1)-INDEX($E68:$K68,0,AM$7))/(INDEX($E$4:$K$4,0,AM$7+1)-INDEX($E$4:$K$4,0,AM$7))+AL68)))</f>
        <v>0.14377407717661089</v>
      </c>
    </row>
    <row r="69" spans="1:39">
      <c r="A69" t="s">
        <v>16</v>
      </c>
      <c r="C69" t="str">
        <f t="shared" si="25"/>
        <v>Water Heating</v>
      </c>
      <c r="E69" s="5">
        <f t="shared" si="26"/>
        <v>0</v>
      </c>
      <c r="F69" s="5">
        <f t="shared" si="26"/>
        <v>0</v>
      </c>
      <c r="G69" s="5">
        <f t="shared" si="26"/>
        <v>0</v>
      </c>
      <c r="H69" s="5">
        <f t="shared" si="26"/>
        <v>0</v>
      </c>
      <c r="I69" s="5">
        <f t="shared" si="26"/>
        <v>0</v>
      </c>
      <c r="J69" s="5">
        <f t="shared" ref="J69:K69" si="33">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2" t="s">
        <v>526</v>
      </c>
      <c r="D71" s="173" t="s">
        <v>527</v>
      </c>
      <c r="E71" s="174"/>
      <c r="F71" s="174"/>
      <c r="G71" s="174"/>
      <c r="H71" s="174"/>
      <c r="I71" s="174"/>
      <c r="J71" s="174"/>
      <c r="K71" s="174"/>
    </row>
    <row r="72" spans="1:39">
      <c r="A72" t="s">
        <v>16</v>
      </c>
      <c r="E72" s="5"/>
      <c r="F72" s="5"/>
      <c r="G72" s="5"/>
      <c r="H72" s="5"/>
      <c r="I72" s="5"/>
      <c r="J72" s="5"/>
      <c r="K72" s="5"/>
    </row>
    <row r="73" spans="1:39">
      <c r="A73" t="s">
        <v>16</v>
      </c>
      <c r="E73" s="5"/>
      <c r="F73" s="5"/>
      <c r="G73" s="5"/>
      <c r="H73" s="5"/>
      <c r="I73" s="5"/>
      <c r="J73" s="5"/>
      <c r="K73" s="5"/>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528</v>
      </c>
      <c r="E74" s="5"/>
      <c r="F74" s="5"/>
      <c r="G74" s="5"/>
      <c r="H74" s="5"/>
      <c r="I74" s="5"/>
      <c r="J74" s="5"/>
      <c r="K74" s="5"/>
      <c r="L74" s="5">
        <f t="shared" ref="L74:AM74" si="35">L102+L109+L116</f>
        <v>24.154971024725953</v>
      </c>
      <c r="M74" s="5">
        <f t="shared" ca="1" si="35"/>
        <v>24.589643362482196</v>
      </c>
      <c r="N74" s="5">
        <f t="shared" ca="1" si="35"/>
        <v>25.024586855413357</v>
      </c>
      <c r="O74" s="5">
        <f t="shared" ca="1" si="35"/>
        <v>25.077460822404735</v>
      </c>
      <c r="P74" s="5">
        <f t="shared" ca="1" si="35"/>
        <v>24.852712537573311</v>
      </c>
      <c r="Q74" s="5">
        <f t="shared" ca="1" si="35"/>
        <v>24.91083208486868</v>
      </c>
      <c r="R74" s="5">
        <f t="shared" ca="1" si="35"/>
        <v>24.859517010465559</v>
      </c>
      <c r="S74" s="5">
        <f t="shared" ca="1" si="35"/>
        <v>24.812067689366589</v>
      </c>
      <c r="T74" s="5">
        <f t="shared" ca="1" si="35"/>
        <v>24.780395727250067</v>
      </c>
      <c r="U74" s="5">
        <f t="shared" ca="1" si="35"/>
        <v>24.713465102278985</v>
      </c>
      <c r="V74" s="5">
        <f t="shared" ca="1" si="35"/>
        <v>24.627713922319501</v>
      </c>
      <c r="W74" s="5">
        <f t="shared" ca="1" si="35"/>
        <v>24.560858402986451</v>
      </c>
      <c r="X74" s="5">
        <f t="shared" ca="1" si="35"/>
        <v>24.478288146765763</v>
      </c>
      <c r="Y74" s="5">
        <f t="shared" ca="1" si="35"/>
        <v>24.378503325427193</v>
      </c>
      <c r="Z74" s="5">
        <f t="shared" ca="1" si="35"/>
        <v>24.640681997426036</v>
      </c>
      <c r="AA74" s="5">
        <f t="shared" ca="1" si="35"/>
        <v>24.893852599424356</v>
      </c>
      <c r="AB74" s="5">
        <f t="shared" ca="1" si="35"/>
        <v>25.144949582174398</v>
      </c>
      <c r="AC74" s="5">
        <f t="shared" ca="1" si="35"/>
        <v>25.388735889529354</v>
      </c>
      <c r="AD74" s="5">
        <f t="shared" ca="1" si="35"/>
        <v>25.62846324281065</v>
      </c>
      <c r="AE74" s="5">
        <f t="shared" ca="1" si="35"/>
        <v>25.862918679890921</v>
      </c>
      <c r="AF74" s="5">
        <f t="shared" ca="1" si="35"/>
        <v>26.092049051085322</v>
      </c>
      <c r="AG74" s="5">
        <f t="shared" ca="1" si="35"/>
        <v>26.315305902311195</v>
      </c>
      <c r="AH74" s="5">
        <f t="shared" ca="1" si="35"/>
        <v>26.533256448499561</v>
      </c>
      <c r="AI74" s="5">
        <f t="shared" ca="1" si="35"/>
        <v>26.744659086136323</v>
      </c>
      <c r="AJ74" s="5">
        <f t="shared" ca="1" si="35"/>
        <v>27.712127947438987</v>
      </c>
      <c r="AK74" s="5">
        <f t="shared" ca="1" si="35"/>
        <v>28.507548443210432</v>
      </c>
      <c r="AL74" s="5">
        <f t="shared" ca="1" si="35"/>
        <v>31.674709006928229</v>
      </c>
      <c r="AM74" s="5">
        <f t="shared" ca="1" si="35"/>
        <v>32.2487460972132</v>
      </c>
    </row>
    <row r="75" spans="1:39">
      <c r="A75" t="s">
        <v>16</v>
      </c>
      <c r="C75" t="s">
        <v>529</v>
      </c>
      <c r="D75" s="5" t="s">
        <v>470</v>
      </c>
      <c r="E75" s="175">
        <f>IF(E78=1,0.2,IF(E78=2,0.13,IF(E78=3,0.2,0.2)))</f>
        <v>0.13</v>
      </c>
      <c r="F75" s="5"/>
      <c r="G75" s="5"/>
      <c r="H75" s="5"/>
      <c r="I75" s="5"/>
      <c r="J75" s="5"/>
      <c r="K75" s="5"/>
      <c r="L75" s="64">
        <v>0</v>
      </c>
      <c r="M75" s="64">
        <v>0</v>
      </c>
      <c r="N75" s="64">
        <v>0</v>
      </c>
      <c r="O75" s="64">
        <v>0</v>
      </c>
      <c r="P75" s="64">
        <f>(($Y$75-$O$75)/($Y$73-$O$73))*(P$73-$O$73)</f>
        <v>1.3000000000000001E-2</v>
      </c>
      <c r="Q75" s="64">
        <f t="shared" ref="Q75:X75" si="36">(($Y$75-$O$75)/($Y$73-$O$73))*(Q$73-$O$73)</f>
        <v>2.6000000000000002E-2</v>
      </c>
      <c r="R75" s="64">
        <f t="shared" si="36"/>
        <v>3.9000000000000007E-2</v>
      </c>
      <c r="S75" s="64">
        <f t="shared" si="36"/>
        <v>5.2000000000000005E-2</v>
      </c>
      <c r="T75" s="46">
        <f t="shared" si="36"/>
        <v>6.5000000000000002E-2</v>
      </c>
      <c r="U75" s="46">
        <f t="shared" si="36"/>
        <v>7.8000000000000014E-2</v>
      </c>
      <c r="V75" s="46">
        <f t="shared" si="36"/>
        <v>9.1000000000000011E-2</v>
      </c>
      <c r="W75" s="46">
        <f t="shared" si="36"/>
        <v>0.10400000000000001</v>
      </c>
      <c r="X75" s="46">
        <f t="shared" si="36"/>
        <v>0.11700000000000001</v>
      </c>
      <c r="Y75" s="22">
        <f>$E$75</f>
        <v>0.13</v>
      </c>
      <c r="Z75" s="64">
        <f t="shared" ref="Z75:AM75" si="37">Y75</f>
        <v>0.13</v>
      </c>
      <c r="AA75" s="64">
        <f t="shared" si="37"/>
        <v>0.13</v>
      </c>
      <c r="AB75" s="64">
        <f t="shared" si="37"/>
        <v>0.13</v>
      </c>
      <c r="AC75" s="64">
        <f t="shared" si="37"/>
        <v>0.13</v>
      </c>
      <c r="AD75" s="64">
        <f t="shared" si="37"/>
        <v>0.13</v>
      </c>
      <c r="AE75" s="64">
        <f t="shared" si="37"/>
        <v>0.13</v>
      </c>
      <c r="AF75" s="64">
        <f t="shared" si="37"/>
        <v>0.13</v>
      </c>
      <c r="AG75" s="64">
        <f t="shared" si="37"/>
        <v>0.13</v>
      </c>
      <c r="AH75" s="64">
        <f t="shared" si="37"/>
        <v>0.13</v>
      </c>
      <c r="AI75" s="64">
        <f t="shared" si="37"/>
        <v>0.13</v>
      </c>
      <c r="AJ75" s="64">
        <f t="shared" si="37"/>
        <v>0.13</v>
      </c>
      <c r="AK75" s="64">
        <f t="shared" si="37"/>
        <v>0.13</v>
      </c>
      <c r="AL75" s="64">
        <f t="shared" si="37"/>
        <v>0.13</v>
      </c>
      <c r="AM75" s="64">
        <f t="shared" si="37"/>
        <v>0.13</v>
      </c>
    </row>
    <row r="76" spans="1:39">
      <c r="A76" t="s">
        <v>16</v>
      </c>
      <c r="D76" t="s">
        <v>471</v>
      </c>
      <c r="E76" s="175">
        <f>IF(E78=1,0.2,IF(E78=2,0.13,IF(E78=3,0.2,0.2)))</f>
        <v>0.13</v>
      </c>
      <c r="F76" s="5"/>
      <c r="G76" s="5"/>
      <c r="H76" s="5"/>
      <c r="I76" s="5"/>
      <c r="J76" s="5"/>
      <c r="K76" s="5"/>
      <c r="L76" s="64">
        <v>0</v>
      </c>
      <c r="M76" s="64">
        <v>0</v>
      </c>
      <c r="N76" s="64">
        <v>0</v>
      </c>
      <c r="O76" s="64">
        <v>0</v>
      </c>
      <c r="P76" s="46">
        <f>(($Y$76-$O$76)/($Y$73-$O$73))*(P$73-$O$73)</f>
        <v>1.3000000000000001E-2</v>
      </c>
      <c r="Q76" s="46">
        <f t="shared" ref="Q76:X76" si="38">(($Y$76-$O$76)/($Y$73-$O$73))*(Q$73-$O$73)</f>
        <v>2.6000000000000002E-2</v>
      </c>
      <c r="R76" s="46">
        <f t="shared" si="38"/>
        <v>3.9000000000000007E-2</v>
      </c>
      <c r="S76" s="46">
        <f t="shared" si="38"/>
        <v>5.2000000000000005E-2</v>
      </c>
      <c r="T76" s="46">
        <f t="shared" si="38"/>
        <v>6.5000000000000002E-2</v>
      </c>
      <c r="U76" s="46">
        <f t="shared" si="38"/>
        <v>7.8000000000000014E-2</v>
      </c>
      <c r="V76" s="46">
        <f t="shared" si="38"/>
        <v>9.1000000000000011E-2</v>
      </c>
      <c r="W76" s="46">
        <f t="shared" si="38"/>
        <v>0.10400000000000001</v>
      </c>
      <c r="X76" s="46">
        <f t="shared" si="38"/>
        <v>0.11700000000000001</v>
      </c>
      <c r="Y76" s="22">
        <f>$E$76</f>
        <v>0.13</v>
      </c>
      <c r="Z76" s="64">
        <f t="shared" ref="Z76:AM76" si="39">Y76</f>
        <v>0.13</v>
      </c>
      <c r="AA76" s="64">
        <f t="shared" si="39"/>
        <v>0.13</v>
      </c>
      <c r="AB76" s="64">
        <f t="shared" si="39"/>
        <v>0.13</v>
      </c>
      <c r="AC76" s="64">
        <f t="shared" si="39"/>
        <v>0.13</v>
      </c>
      <c r="AD76" s="64">
        <f t="shared" si="39"/>
        <v>0.13</v>
      </c>
      <c r="AE76" s="64">
        <f t="shared" si="39"/>
        <v>0.13</v>
      </c>
      <c r="AF76" s="64">
        <f t="shared" si="39"/>
        <v>0.13</v>
      </c>
      <c r="AG76" s="64">
        <f t="shared" si="39"/>
        <v>0.13</v>
      </c>
      <c r="AH76" s="64">
        <f t="shared" si="39"/>
        <v>0.13</v>
      </c>
      <c r="AI76" s="64">
        <f t="shared" si="39"/>
        <v>0.13</v>
      </c>
      <c r="AJ76" s="64">
        <f t="shared" si="39"/>
        <v>0.13</v>
      </c>
      <c r="AK76" s="64">
        <f t="shared" si="39"/>
        <v>0.13</v>
      </c>
      <c r="AL76" s="64">
        <f t="shared" si="39"/>
        <v>0.13</v>
      </c>
      <c r="AM76" s="64">
        <f t="shared" si="39"/>
        <v>0.13</v>
      </c>
    </row>
    <row r="77" spans="1:39">
      <c r="A77" t="s">
        <v>16</v>
      </c>
      <c r="C77" t="s">
        <v>530</v>
      </c>
      <c r="E77" s="5"/>
      <c r="F77" s="5"/>
      <c r="G77" s="5"/>
      <c r="L77" s="5">
        <f>(($L$74*(1-L$75))+((L74-$L$74)*(1-L$76)))</f>
        <v>24.154971024725953</v>
      </c>
      <c r="M77" s="5">
        <f t="shared" ref="M77:AM77" ca="1" si="40">(($L$74*(1-M$75))+((M74-$L$74)*(1-M$76)))</f>
        <v>24.589643362482196</v>
      </c>
      <c r="N77" s="5">
        <f t="shared" ca="1" si="40"/>
        <v>25.024586855413357</v>
      </c>
      <c r="O77" s="5">
        <f t="shared" ca="1" si="40"/>
        <v>25.077460822404735</v>
      </c>
      <c r="P77" s="5">
        <f t="shared" ca="1" si="40"/>
        <v>24.529627274584858</v>
      </c>
      <c r="Q77" s="5">
        <f t="shared" ca="1" si="40"/>
        <v>24.263150450662096</v>
      </c>
      <c r="R77" s="5">
        <f t="shared" ca="1" si="40"/>
        <v>23.889995847057403</v>
      </c>
      <c r="S77" s="5">
        <f t="shared" ca="1" si="40"/>
        <v>23.521840169519528</v>
      </c>
      <c r="T77" s="5">
        <f t="shared" ca="1" si="40"/>
        <v>23.169670004978812</v>
      </c>
      <c r="U77" s="5">
        <f t="shared" ca="1" si="40"/>
        <v>22.785814824301223</v>
      </c>
      <c r="V77" s="5">
        <f t="shared" ca="1" si="40"/>
        <v>22.386591955388425</v>
      </c>
      <c r="W77" s="5">
        <f t="shared" ca="1" si="40"/>
        <v>22.006529129075862</v>
      </c>
      <c r="X77" s="5">
        <f t="shared" ca="1" si="40"/>
        <v>21.614328433594167</v>
      </c>
      <c r="Y77" s="5">
        <f t="shared" ca="1" si="40"/>
        <v>21.209297893121658</v>
      </c>
      <c r="Z77" s="5">
        <f t="shared" ca="1" si="40"/>
        <v>21.43739333776065</v>
      </c>
      <c r="AA77" s="5">
        <f t="shared" ca="1" si="40"/>
        <v>21.657651761499189</v>
      </c>
      <c r="AB77" s="5">
        <f t="shared" ca="1" si="40"/>
        <v>21.876106136491728</v>
      </c>
      <c r="AC77" s="5">
        <f t="shared" ca="1" si="40"/>
        <v>22.088200223890539</v>
      </c>
      <c r="AD77" s="5">
        <f t="shared" ca="1" si="40"/>
        <v>22.296763021245265</v>
      </c>
      <c r="AE77" s="5">
        <f t="shared" ca="1" si="40"/>
        <v>22.500739251505102</v>
      </c>
      <c r="AF77" s="5">
        <f t="shared" ca="1" si="40"/>
        <v>22.700082674444232</v>
      </c>
      <c r="AG77" s="5">
        <f t="shared" ca="1" si="40"/>
        <v>22.89431613501074</v>
      </c>
      <c r="AH77" s="5">
        <f t="shared" ca="1" si="40"/>
        <v>23.083933110194618</v>
      </c>
      <c r="AI77" s="5">
        <f t="shared" ca="1" si="40"/>
        <v>23.267853404938602</v>
      </c>
      <c r="AJ77" s="5">
        <f t="shared" ca="1" si="40"/>
        <v>24.109551314271918</v>
      </c>
      <c r="AK77" s="5">
        <f t="shared" ca="1" si="40"/>
        <v>24.801567145593076</v>
      </c>
      <c r="AL77" s="5">
        <f t="shared" ca="1" si="40"/>
        <v>27.556996836027558</v>
      </c>
      <c r="AM77" s="5">
        <f t="shared" ca="1" si="40"/>
        <v>28.056409104575483</v>
      </c>
    </row>
    <row r="78" spans="1:39">
      <c r="A78" t="s">
        <v>16</v>
      </c>
      <c r="D78" t="s">
        <v>531</v>
      </c>
      <c r="E78" s="176">
        <f>DriversGams!A164</f>
        <v>2</v>
      </c>
      <c r="F78" s="262" t="s">
        <v>628</v>
      </c>
      <c r="G78" s="5" t="s">
        <v>32</v>
      </c>
    </row>
    <row r="79" spans="1:39">
      <c r="A79" t="s">
        <v>16</v>
      </c>
      <c r="B79" s="19"/>
      <c r="D79" s="5"/>
      <c r="F79" s="75">
        <v>1</v>
      </c>
      <c r="G79" s="75" t="s">
        <v>608</v>
      </c>
      <c r="L79" s="4"/>
    </row>
    <row r="80" spans="1:39">
      <c r="A80" t="s">
        <v>16</v>
      </c>
      <c r="B80" s="19"/>
      <c r="D80" s="5"/>
      <c r="F80" s="75">
        <v>2</v>
      </c>
      <c r="G80" s="75" t="s">
        <v>611</v>
      </c>
      <c r="L80" s="6">
        <f t="shared" ref="L80:AM80" si="41">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c r="A81" t="s">
        <v>16</v>
      </c>
      <c r="B81" s="19"/>
      <c r="C81" t="s">
        <v>532</v>
      </c>
      <c r="D81" s="5" t="str">
        <f>D102</f>
        <v>RLEH</v>
      </c>
      <c r="F81" s="75">
        <v>3</v>
      </c>
      <c r="G81" s="75" t="s">
        <v>608</v>
      </c>
      <c r="L81" s="33">
        <f t="shared" ref="L81" si="42">L102</f>
        <v>9.2994915751840495</v>
      </c>
      <c r="M81" s="18">
        <f t="shared" ref="M81:AM81" ca="1" si="43">OFFSET(M$33,$AY81,$L$95)/OFFSET(L$33,$AY81,$L$95)*L81</f>
        <v>9.281682818880185</v>
      </c>
      <c r="N81" s="18">
        <f t="shared" ca="1" si="43"/>
        <v>9.3685816904468826</v>
      </c>
      <c r="O81" s="18">
        <f t="shared" ca="1" si="43"/>
        <v>9.7482669746133581</v>
      </c>
      <c r="P81" s="18">
        <f t="shared" ca="1" si="43"/>
        <v>10.496616226012526</v>
      </c>
      <c r="Q81" s="18">
        <f t="shared" ca="1" si="43"/>
        <v>9.961270982044951</v>
      </c>
      <c r="R81" s="18">
        <f t="shared" ca="1" si="43"/>
        <v>9.7690242890988106</v>
      </c>
      <c r="S81" s="18">
        <f t="shared" ca="1" si="43"/>
        <v>9.6358389979350765</v>
      </c>
      <c r="T81" s="18">
        <f t="shared" ca="1" si="43"/>
        <v>9.5413053997532575</v>
      </c>
      <c r="U81" s="18">
        <f t="shared" ca="1" si="43"/>
        <v>9.5122932929916999</v>
      </c>
      <c r="V81" s="18">
        <f t="shared" ca="1" si="43"/>
        <v>9.3448544638561675</v>
      </c>
      <c r="W81" s="18">
        <f t="shared" ca="1" si="43"/>
        <v>9.0971094562584653</v>
      </c>
      <c r="X81" s="18">
        <f t="shared" ca="1" si="43"/>
        <v>8.8535602352217886</v>
      </c>
      <c r="Y81" s="18">
        <f t="shared" ca="1" si="43"/>
        <v>8.5945934185791106</v>
      </c>
      <c r="Z81" s="18">
        <f t="shared" ca="1" si="43"/>
        <v>8.3372453840430953</v>
      </c>
      <c r="AA81" s="18">
        <f t="shared" ca="1" si="43"/>
        <v>8.0899749848081548</v>
      </c>
      <c r="AB81" s="18">
        <f t="shared" ca="1" si="43"/>
        <v>7.8480379164966285</v>
      </c>
      <c r="AC81" s="18">
        <f t="shared" ca="1" si="43"/>
        <v>7.6086673167367405</v>
      </c>
      <c r="AD81" s="18">
        <f t="shared" ca="1" si="43"/>
        <v>7.3703969190303429</v>
      </c>
      <c r="AE81" s="18">
        <f t="shared" ca="1" si="43"/>
        <v>7.1387827399979011</v>
      </c>
      <c r="AF81" s="18">
        <f t="shared" ca="1" si="43"/>
        <v>6.9174622725723935</v>
      </c>
      <c r="AG81" s="18">
        <f t="shared" ca="1" si="43"/>
        <v>6.7017456307907244</v>
      </c>
      <c r="AH81" s="18">
        <f t="shared" ca="1" si="43"/>
        <v>6.4947525534726722</v>
      </c>
      <c r="AI81" s="18">
        <f t="shared" ca="1" si="43"/>
        <v>6.2971118747150259</v>
      </c>
      <c r="AJ81" s="18">
        <f t="shared" ca="1" si="43"/>
        <v>5.4492546350767386</v>
      </c>
      <c r="AK81" s="18">
        <f t="shared" ca="1" si="43"/>
        <v>4.7981286848663709</v>
      </c>
      <c r="AL81" s="18">
        <f t="shared" ca="1" si="43"/>
        <v>4.1642077132240605</v>
      </c>
      <c r="AM81" s="18">
        <f t="shared" ca="1" si="43"/>
        <v>3.6352260305687136</v>
      </c>
      <c r="AY81">
        <v>1</v>
      </c>
    </row>
    <row r="82" spans="1:51">
      <c r="A82" t="s">
        <v>16</v>
      </c>
      <c r="B82" s="19"/>
      <c r="D82" s="5" t="str">
        <f>D109</f>
        <v>RMEH</v>
      </c>
      <c r="H82" t="s">
        <v>624</v>
      </c>
      <c r="L82" s="33">
        <f t="shared" ref="L82" si="44">L109</f>
        <v>9.6822001330816203</v>
      </c>
      <c r="M82" s="18">
        <f t="shared" ref="M82:AM82" ca="1" si="45">OFFSET(M$33,$AY82,$L$95)/OFFSET(L$33,$AY82,$L$95)*L82</f>
        <v>9.9434395743318245</v>
      </c>
      <c r="N82" s="18">
        <f t="shared" ca="1" si="45"/>
        <v>10.212153747437592</v>
      </c>
      <c r="O82" s="18">
        <f t="shared" ca="1" si="45"/>
        <v>10.73168899547419</v>
      </c>
      <c r="P82" s="18">
        <f t="shared" ca="1" si="45"/>
        <v>9.684022604752796</v>
      </c>
      <c r="Q82" s="18">
        <f t="shared" ca="1" si="45"/>
        <v>10.219147666704906</v>
      </c>
      <c r="R82" s="18">
        <f t="shared" ca="1" si="45"/>
        <v>10.472390084385985</v>
      </c>
      <c r="S82" s="18">
        <f t="shared" ca="1" si="45"/>
        <v>10.670923599590575</v>
      </c>
      <c r="T82" s="18">
        <f t="shared" ca="1" si="45"/>
        <v>10.902274595014168</v>
      </c>
      <c r="U82" s="18">
        <f t="shared" ca="1" si="45"/>
        <v>11.080707447354076</v>
      </c>
      <c r="V82" s="18">
        <f t="shared" ca="1" si="45"/>
        <v>11.208577973827676</v>
      </c>
      <c r="W82" s="18">
        <f t="shared" ca="1" si="45"/>
        <v>11.437801549058269</v>
      </c>
      <c r="X82" s="18">
        <f t="shared" ca="1" si="45"/>
        <v>11.661174661298482</v>
      </c>
      <c r="Y82" s="18">
        <f t="shared" ca="1" si="45"/>
        <v>11.863539235077658</v>
      </c>
      <c r="Z82" s="18">
        <f t="shared" ca="1" si="45"/>
        <v>12.089359114958048</v>
      </c>
      <c r="AA82" s="18">
        <f t="shared" ca="1" si="45"/>
        <v>12.297304379143403</v>
      </c>
      <c r="AB82" s="18">
        <f t="shared" ca="1" si="45"/>
        <v>12.511659760803969</v>
      </c>
      <c r="AC82" s="18">
        <f t="shared" ca="1" si="45"/>
        <v>12.71332192770234</v>
      </c>
      <c r="AD82" s="18">
        <f t="shared" ca="1" si="45"/>
        <v>12.912659778236266</v>
      </c>
      <c r="AE82" s="18">
        <f t="shared" ca="1" si="45"/>
        <v>13.104050121078611</v>
      </c>
      <c r="AF82" s="18">
        <f t="shared" ca="1" si="45"/>
        <v>13.28987161444606</v>
      </c>
      <c r="AG82" s="18">
        <f t="shared" ca="1" si="45"/>
        <v>13.470200008239265</v>
      </c>
      <c r="AH82" s="18">
        <f t="shared" ca="1" si="45"/>
        <v>13.647768868277955</v>
      </c>
      <c r="AI82" s="18">
        <f t="shared" ca="1" si="45"/>
        <v>13.817105140109064</v>
      </c>
      <c r="AJ82" s="18">
        <f t="shared" ca="1" si="45"/>
        <v>14.592643069690281</v>
      </c>
      <c r="AK82" s="18">
        <f t="shared" ca="1" si="45"/>
        <v>15.260521451799557</v>
      </c>
      <c r="AL82" s="18">
        <f t="shared" ca="1" si="45"/>
        <v>15.701074143115957</v>
      </c>
      <c r="AM82" s="18">
        <f t="shared" ca="1" si="45"/>
        <v>16.508602468841083</v>
      </c>
      <c r="AY82">
        <v>2</v>
      </c>
    </row>
    <row r="83" spans="1:51">
      <c r="A83" t="s">
        <v>16</v>
      </c>
      <c r="B83" s="19"/>
      <c r="D83" s="5" t="str">
        <f>D116</f>
        <v>RHEH</v>
      </c>
      <c r="H83" t="s">
        <v>623</v>
      </c>
      <c r="L83" s="33">
        <f t="shared" ref="L83" si="46">L116</f>
        <v>5.1732793164602802</v>
      </c>
      <c r="M83" s="18">
        <f t="shared" ref="M83:AM83" ca="1" si="47">OFFSET(M$33,$AY83,$L$95)/OFFSET(L$33,$AY83,$L$95)*L83</f>
        <v>5.3645209692701856</v>
      </c>
      <c r="N83" s="18">
        <f t="shared" ca="1" si="47"/>
        <v>5.4438514175288821</v>
      </c>
      <c r="O83" s="18">
        <f t="shared" ca="1" si="47"/>
        <v>4.5975048523171873</v>
      </c>
      <c r="P83" s="18">
        <f t="shared" ca="1" si="47"/>
        <v>4.9994143987922381</v>
      </c>
      <c r="Q83" s="18">
        <f t="shared" ca="1" si="47"/>
        <v>5.3953843131276384</v>
      </c>
      <c r="R83" s="18">
        <f t="shared" ca="1" si="47"/>
        <v>5.6269696124315036</v>
      </c>
      <c r="S83" s="18">
        <f t="shared" ca="1" si="47"/>
        <v>5.8663045853504991</v>
      </c>
      <c r="T83" s="18">
        <f t="shared" ca="1" si="47"/>
        <v>6.0595170397246214</v>
      </c>
      <c r="U83" s="18">
        <f t="shared" ca="1" si="47"/>
        <v>6.2111913445555089</v>
      </c>
      <c r="V83" s="18">
        <f t="shared" ca="1" si="47"/>
        <v>6.5397621963310106</v>
      </c>
      <c r="W83" s="18">
        <f t="shared" ca="1" si="47"/>
        <v>6.8767613194449275</v>
      </c>
      <c r="X83" s="18">
        <f t="shared" ca="1" si="47"/>
        <v>7.2069957340185349</v>
      </c>
      <c r="Y83" s="18">
        <f t="shared" ca="1" si="47"/>
        <v>7.563135536489427</v>
      </c>
      <c r="Z83" s="18">
        <f t="shared" ca="1" si="47"/>
        <v>7.8960184865460237</v>
      </c>
      <c r="AA83" s="18">
        <f t="shared" ca="1" si="47"/>
        <v>8.226344313547699</v>
      </c>
      <c r="AB83" s="18">
        <f t="shared" ca="1" si="47"/>
        <v>8.5425432217504316</v>
      </c>
      <c r="AC83" s="18">
        <f t="shared" ca="1" si="47"/>
        <v>8.8604658009969572</v>
      </c>
      <c r="AD83" s="18">
        <f t="shared" ca="1" si="47"/>
        <v>9.1749470301019507</v>
      </c>
      <c r="AE83" s="18">
        <f t="shared" ca="1" si="47"/>
        <v>9.4846598744302923</v>
      </c>
      <c r="AF83" s="18">
        <f t="shared" ca="1" si="47"/>
        <v>9.7835270912405381</v>
      </c>
      <c r="AG83" s="18">
        <f t="shared" ca="1" si="47"/>
        <v>10.075532409603566</v>
      </c>
      <c r="AH83" s="18">
        <f t="shared" ca="1" si="47"/>
        <v>10.355474496064959</v>
      </c>
      <c r="AI83" s="18">
        <f t="shared" ca="1" si="47"/>
        <v>10.62677044050502</v>
      </c>
      <c r="AJ83" s="18">
        <f t="shared" ca="1" si="47"/>
        <v>11.811122924473199</v>
      </c>
      <c r="AK83" s="18">
        <f t="shared" ca="1" si="47"/>
        <v>12.708646924495486</v>
      </c>
      <c r="AL83" s="18">
        <f t="shared" ca="1" si="47"/>
        <v>13.574054196078402</v>
      </c>
      <c r="AM83" s="18">
        <f t="shared" ca="1" si="47"/>
        <v>13.913698388279776</v>
      </c>
      <c r="AY83">
        <v>3</v>
      </c>
    </row>
    <row r="84" spans="1:51">
      <c r="A84" t="s">
        <v>16</v>
      </c>
      <c r="B84" s="19"/>
      <c r="D84" s="5" t="s">
        <v>361</v>
      </c>
      <c r="L84" s="33">
        <f t="shared" ref="L84" si="48">L113</f>
        <v>7.7618829459684902</v>
      </c>
      <c r="M84" s="18">
        <f t="shared" ref="M84:AM84" ca="1" si="49">OFFSET(M$33,$AY113,$L$95)/OFFSET(L$33,$AY113,$L$95)*L84</f>
        <v>7.971309515961206</v>
      </c>
      <c r="N84" s="18">
        <f t="shared" ca="1" si="49"/>
        <v>8.1867283183926158</v>
      </c>
      <c r="O84" s="18">
        <f t="shared" ca="1" si="49"/>
        <v>8.6032216490547775</v>
      </c>
      <c r="P84" s="18">
        <f t="shared" ca="1" si="49"/>
        <v>7.7633439580927579</v>
      </c>
      <c r="Q84" s="18">
        <f t="shared" ca="1" si="49"/>
        <v>8.1923351001096112</v>
      </c>
      <c r="R84" s="18">
        <f t="shared" ca="1" si="49"/>
        <v>8.3953507345704725</v>
      </c>
      <c r="S84" s="18">
        <f t="shared" ca="1" si="49"/>
        <v>8.5545081455606145</v>
      </c>
      <c r="T84" s="18">
        <f t="shared" ca="1" si="49"/>
        <v>8.7399741885290609</v>
      </c>
      <c r="U84" s="18">
        <f t="shared" ca="1" si="49"/>
        <v>8.8830175975209436</v>
      </c>
      <c r="V84" s="18">
        <f t="shared" ca="1" si="49"/>
        <v>8.9855269492266867</v>
      </c>
      <c r="W84" s="18">
        <f t="shared" ca="1" si="49"/>
        <v>9.1692875134518754</v>
      </c>
      <c r="X84" s="18">
        <f t="shared" ca="1" si="49"/>
        <v>9.3483579650697131</v>
      </c>
      <c r="Y84" s="18">
        <f t="shared" ca="1" si="49"/>
        <v>9.510586602414028</v>
      </c>
      <c r="Z84" s="18">
        <f t="shared" ca="1" si="49"/>
        <v>9.6916185425115504</v>
      </c>
      <c r="AA84" s="18">
        <f t="shared" ca="1" si="49"/>
        <v>9.8583210251694364</v>
      </c>
      <c r="AB84" s="18">
        <f t="shared" ca="1" si="49"/>
        <v>10.030162275961487</v>
      </c>
      <c r="AC84" s="18">
        <f t="shared" ca="1" si="49"/>
        <v>10.19182781815033</v>
      </c>
      <c r="AD84" s="18">
        <f t="shared" ca="1" si="49"/>
        <v>10.351630036786441</v>
      </c>
      <c r="AE84" s="18">
        <f t="shared" ca="1" si="49"/>
        <v>10.505061015046776</v>
      </c>
      <c r="AF84" s="18">
        <f t="shared" ca="1" si="49"/>
        <v>10.654027640456134</v>
      </c>
      <c r="AG84" s="18">
        <f t="shared" ca="1" si="49"/>
        <v>10.798590639074082</v>
      </c>
      <c r="AH84" s="18">
        <f t="shared" ca="1" si="49"/>
        <v>10.940941415501454</v>
      </c>
      <c r="AI84" s="18">
        <f t="shared" ca="1" si="49"/>
        <v>11.076692412423002</v>
      </c>
      <c r="AJ84" s="18">
        <f t="shared" ca="1" si="49"/>
        <v>11.698414185039599</v>
      </c>
      <c r="AK84" s="18">
        <f t="shared" ca="1" si="49"/>
        <v>12.233829044557181</v>
      </c>
      <c r="AL84" s="18">
        <f t="shared" ca="1" si="49"/>
        <v>12.587004807764725</v>
      </c>
      <c r="AM84" s="18">
        <f t="shared" ca="1" si="49"/>
        <v>13.234372167835748</v>
      </c>
      <c r="AY84">
        <v>4</v>
      </c>
    </row>
    <row r="85" spans="1:51">
      <c r="A85" t="s">
        <v>16</v>
      </c>
      <c r="B85" s="19"/>
      <c r="D85" s="5" t="s">
        <v>349</v>
      </c>
      <c r="L85" s="33">
        <f t="shared" ref="L85" si="50">L119</f>
        <v>14.27502736796</v>
      </c>
      <c r="M85" s="18">
        <f t="shared" ref="M85:AM85" ca="1" si="51">OFFSET(M$33,$AY119,$L$95)/OFFSET(L$33,$AY119,$L$95)*L85</f>
        <v>14.80273516426419</v>
      </c>
      <c r="N85" s="18">
        <f t="shared" ca="1" si="51"/>
        <v>15.021637769503817</v>
      </c>
      <c r="O85" s="18">
        <f t="shared" ca="1" si="51"/>
        <v>12.686248620355284</v>
      </c>
      <c r="P85" s="18">
        <f t="shared" ca="1" si="51"/>
        <v>13.795268532951336</v>
      </c>
      <c r="Q85" s="18">
        <f t="shared" ca="1" si="51"/>
        <v>14.887898761912997</v>
      </c>
      <c r="R85" s="18">
        <f t="shared" ca="1" si="51"/>
        <v>15.526929883828499</v>
      </c>
      <c r="S85" s="18">
        <f t="shared" ca="1" si="51"/>
        <v>16.187345275987589</v>
      </c>
      <c r="T85" s="18">
        <f t="shared" ca="1" si="51"/>
        <v>16.720491256573943</v>
      </c>
      <c r="U85" s="18">
        <f t="shared" ca="1" si="51"/>
        <v>17.139017827445183</v>
      </c>
      <c r="V85" s="18">
        <f t="shared" ca="1" si="51"/>
        <v>18.045668641076198</v>
      </c>
      <c r="W85" s="18">
        <f t="shared" ca="1" si="51"/>
        <v>18.97557623182297</v>
      </c>
      <c r="X85" s="18">
        <f t="shared" ca="1" si="51"/>
        <v>19.886817442186619</v>
      </c>
      <c r="Y85" s="18">
        <f t="shared" ca="1" si="51"/>
        <v>20.869541381123366</v>
      </c>
      <c r="Z85" s="18">
        <f t="shared" ca="1" si="51"/>
        <v>21.78809089907914</v>
      </c>
      <c r="AA85" s="18">
        <f t="shared" ca="1" si="51"/>
        <v>22.699584350783844</v>
      </c>
      <c r="AB85" s="18">
        <f t="shared" ca="1" si="51"/>
        <v>23.572096309291727</v>
      </c>
      <c r="AC85" s="18">
        <f t="shared" ca="1" si="51"/>
        <v>24.449364525836017</v>
      </c>
      <c r="AD85" s="18">
        <f t="shared" ca="1" si="51"/>
        <v>25.31713676034493</v>
      </c>
      <c r="AE85" s="18">
        <f t="shared" ca="1" si="51"/>
        <v>26.171751224120086</v>
      </c>
      <c r="AF85" s="18">
        <f t="shared" ca="1" si="51"/>
        <v>26.996438514013306</v>
      </c>
      <c r="AG85" s="18">
        <f t="shared" ca="1" si="51"/>
        <v>27.802191239940782</v>
      </c>
      <c r="AH85" s="18">
        <f t="shared" ca="1" si="51"/>
        <v>28.574656962594727</v>
      </c>
      <c r="AI85" s="18">
        <f t="shared" ca="1" si="51"/>
        <v>29.323264720806453</v>
      </c>
      <c r="AJ85" s="18">
        <f t="shared" ca="1" si="51"/>
        <v>32.59133958932626</v>
      </c>
      <c r="AK85" s="18">
        <f t="shared" ca="1" si="51"/>
        <v>35.067946569149179</v>
      </c>
      <c r="AL85" s="18">
        <f t="shared" ca="1" si="51"/>
        <v>37.455931390879336</v>
      </c>
      <c r="AM85" s="18">
        <f t="shared" ca="1" si="51"/>
        <v>38.393137724126532</v>
      </c>
      <c r="AY85">
        <v>5</v>
      </c>
    </row>
    <row r="86" spans="1:51">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51">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51">
      <c r="A88" t="s">
        <v>16</v>
      </c>
      <c r="B88" s="19"/>
      <c r="AO88" t="s">
        <v>629</v>
      </c>
    </row>
    <row r="89" spans="1:51">
      <c r="A89" t="s">
        <v>16</v>
      </c>
      <c r="B89" s="19"/>
      <c r="C89" t="s">
        <v>630</v>
      </c>
      <c r="D89" s="5" t="str">
        <f>D81</f>
        <v>RLEH</v>
      </c>
      <c r="L89" s="33">
        <f t="shared" ref="L89:L93" si="52">L81</f>
        <v>9.2994915751840495</v>
      </c>
      <c r="M89" s="5">
        <f ca="1">(($L$81*(1-M$75))+((M81-$L$81)*(1-M$76)))</f>
        <v>9.281682818880185</v>
      </c>
      <c r="N89" s="5">
        <f ca="1">(($L$81*(1-N$75))+((N81-$L$81)*(1-N$76)))</f>
        <v>9.3685816904468826</v>
      </c>
      <c r="O89" s="5">
        <f t="shared" ref="O89:AM89" ca="1" si="53">(($L$81*(1-O$75))+((O81-$L$81)*(1-O$76)))</f>
        <v>9.7482669746133581</v>
      </c>
      <c r="P89" s="5">
        <f t="shared" ca="1" si="53"/>
        <v>10.360160215074362</v>
      </c>
      <c r="Q89" s="5">
        <f t="shared" ca="1" si="53"/>
        <v>9.7022779365117824</v>
      </c>
      <c r="R89" s="5">
        <f t="shared" ca="1" si="53"/>
        <v>9.3880323418239566</v>
      </c>
      <c r="S89" s="5">
        <f t="shared" ca="1" si="53"/>
        <v>9.1347753700424512</v>
      </c>
      <c r="T89" s="5">
        <f t="shared" ca="1" si="53"/>
        <v>8.9211205487692968</v>
      </c>
      <c r="U89" s="5">
        <f t="shared" ca="1" si="53"/>
        <v>8.770334416138347</v>
      </c>
      <c r="V89" s="5">
        <f t="shared" ca="1" si="53"/>
        <v>8.4944727076452562</v>
      </c>
      <c r="W89" s="5">
        <f t="shared" ca="1" si="53"/>
        <v>8.1510100728075852</v>
      </c>
      <c r="X89" s="5">
        <f t="shared" ca="1" si="53"/>
        <v>7.8176936877008396</v>
      </c>
      <c r="Y89" s="5">
        <f t="shared" ca="1" si="53"/>
        <v>7.4772962741638258</v>
      </c>
      <c r="Z89" s="5">
        <f t="shared" ca="1" si="53"/>
        <v>7.2534034841174924</v>
      </c>
      <c r="AA89" s="5">
        <f t="shared" ca="1" si="53"/>
        <v>7.0382782367830945</v>
      </c>
      <c r="AB89" s="5">
        <f t="shared" ca="1" si="53"/>
        <v>6.8277929873520664</v>
      </c>
      <c r="AC89" s="5">
        <f t="shared" ca="1" si="53"/>
        <v>6.619540565560964</v>
      </c>
      <c r="AD89" s="5">
        <f t="shared" ca="1" si="53"/>
        <v>6.4122453195563978</v>
      </c>
      <c r="AE89" s="5">
        <f t="shared" ca="1" si="53"/>
        <v>6.2107409837981731</v>
      </c>
      <c r="AF89" s="5">
        <f t="shared" ca="1" si="53"/>
        <v>6.0181921771379816</v>
      </c>
      <c r="AG89" s="5">
        <f t="shared" ca="1" si="53"/>
        <v>5.8305186987879303</v>
      </c>
      <c r="AH89" s="5">
        <f t="shared" ca="1" si="53"/>
        <v>5.6504347215212238</v>
      </c>
      <c r="AI89" s="5">
        <f t="shared" ca="1" si="53"/>
        <v>5.4784873310020714</v>
      </c>
      <c r="AJ89" s="5">
        <f t="shared" ca="1" si="53"/>
        <v>4.7408515325167624</v>
      </c>
      <c r="AK89" s="5">
        <f t="shared" ca="1" si="53"/>
        <v>4.1743719558337418</v>
      </c>
      <c r="AL89" s="5">
        <f t="shared" ca="1" si="53"/>
        <v>3.6228607105049324</v>
      </c>
      <c r="AM89" s="5">
        <f t="shared" ca="1" si="53"/>
        <v>3.16264664659478</v>
      </c>
      <c r="AO89" s="5">
        <v>5.6509347274363675</v>
      </c>
    </row>
    <row r="90" spans="1:51">
      <c r="A90" t="s">
        <v>16</v>
      </c>
      <c r="B90" s="19"/>
      <c r="D90" s="5" t="str">
        <f>D82</f>
        <v>RMEH</v>
      </c>
      <c r="L90" s="33">
        <f t="shared" si="52"/>
        <v>9.6822001330816203</v>
      </c>
      <c r="M90" s="5">
        <f ca="1">(($L$82*(1-M$75))+((M82-$L$82)*(1-M$76)))</f>
        <v>9.9434395743318245</v>
      </c>
      <c r="N90" s="5">
        <f ca="1">(($L$82*(1-N$75))+((N82-$L$82)*(1-N$76)))</f>
        <v>10.212153747437592</v>
      </c>
      <c r="O90" s="5">
        <f t="shared" ref="O90:AM90" ca="1" si="54">(($L$82*(1-O$75))+((O82-$L$82)*(1-O$76)))</f>
        <v>10.73168899547419</v>
      </c>
      <c r="P90" s="5">
        <f t="shared" ca="1" si="54"/>
        <v>9.5581303108910092</v>
      </c>
      <c r="Q90" s="5">
        <f t="shared" ca="1" si="54"/>
        <v>9.9534498273705783</v>
      </c>
      <c r="R90" s="5">
        <f t="shared" ca="1" si="54"/>
        <v>10.06396687109493</v>
      </c>
      <c r="S90" s="5">
        <f t="shared" ca="1" si="54"/>
        <v>10.116035572411866</v>
      </c>
      <c r="T90" s="5">
        <f t="shared" ca="1" si="54"/>
        <v>10.193626746338248</v>
      </c>
      <c r="U90" s="5">
        <f t="shared" ca="1" si="54"/>
        <v>10.216412266460457</v>
      </c>
      <c r="V90" s="5">
        <f t="shared" ca="1" si="54"/>
        <v>10.188597378209357</v>
      </c>
      <c r="W90" s="5">
        <f t="shared" ca="1" si="54"/>
        <v>10.24827018795621</v>
      </c>
      <c r="X90" s="5">
        <f t="shared" ca="1" si="54"/>
        <v>10.29681722592656</v>
      </c>
      <c r="Y90" s="5">
        <f t="shared" ca="1" si="54"/>
        <v>10.321279134517564</v>
      </c>
      <c r="Z90" s="5">
        <f t="shared" ca="1" si="54"/>
        <v>10.517742430013502</v>
      </c>
      <c r="AA90" s="5">
        <f t="shared" ca="1" si="54"/>
        <v>10.698654809854762</v>
      </c>
      <c r="AB90" s="5">
        <f t="shared" ca="1" si="54"/>
        <v>10.885143991899454</v>
      </c>
      <c r="AC90" s="5">
        <f t="shared" ca="1" si="54"/>
        <v>11.060590077101036</v>
      </c>
      <c r="AD90" s="5">
        <f t="shared" ca="1" si="54"/>
        <v>11.234014007065552</v>
      </c>
      <c r="AE90" s="5">
        <f t="shared" ca="1" si="54"/>
        <v>11.400523605338392</v>
      </c>
      <c r="AF90" s="5">
        <f t="shared" ca="1" si="54"/>
        <v>11.562188304568073</v>
      </c>
      <c r="AG90" s="5">
        <f t="shared" ca="1" si="54"/>
        <v>11.719074007168162</v>
      </c>
      <c r="AH90" s="5">
        <f t="shared" ca="1" si="54"/>
        <v>11.873558915401823</v>
      </c>
      <c r="AI90" s="5">
        <f t="shared" ca="1" si="54"/>
        <v>12.020881471894885</v>
      </c>
      <c r="AJ90" s="5">
        <f t="shared" ca="1" si="54"/>
        <v>12.695599470630544</v>
      </c>
      <c r="AK90" s="5">
        <f t="shared" ca="1" si="54"/>
        <v>13.276653663065616</v>
      </c>
      <c r="AL90" s="5">
        <f t="shared" ca="1" si="54"/>
        <v>13.659934504510883</v>
      </c>
      <c r="AM90" s="5">
        <f t="shared" ca="1" si="54"/>
        <v>14.362484147891742</v>
      </c>
      <c r="AO90" s="5">
        <v>15.965795038638294</v>
      </c>
    </row>
    <row r="91" spans="1:51">
      <c r="A91" t="s">
        <v>16</v>
      </c>
      <c r="B91" s="19"/>
      <c r="D91" s="5" t="str">
        <f>D83</f>
        <v>RHEH</v>
      </c>
      <c r="L91" s="33">
        <f t="shared" si="52"/>
        <v>5.1732793164602802</v>
      </c>
      <c r="M91" s="5">
        <f ca="1">(($L$83*(1-M$75))+((M83-$L$83)*(1-M$76)))</f>
        <v>5.3645209692701856</v>
      </c>
      <c r="N91" s="5">
        <f ca="1">(($L$83*(1-N$75))+((N83-$L$83)*(1-N$76)))</f>
        <v>5.4438514175288821</v>
      </c>
      <c r="O91" s="5">
        <f t="shared" ref="O91:AM91" ca="1" si="55">(($L$83*(1-O$75))+((O83-$L$83)*(1-O$76)))</f>
        <v>4.5975048523171873</v>
      </c>
      <c r="P91" s="5">
        <f t="shared" ca="1" si="55"/>
        <v>4.9344220116079383</v>
      </c>
      <c r="Q91" s="5">
        <f t="shared" ca="1" si="55"/>
        <v>5.2551043209863195</v>
      </c>
      <c r="R91" s="5">
        <f t="shared" ca="1" si="55"/>
        <v>5.4075177975466744</v>
      </c>
      <c r="S91" s="5">
        <f t="shared" ca="1" si="55"/>
        <v>5.5612567469122736</v>
      </c>
      <c r="T91" s="5">
        <f t="shared" ca="1" si="55"/>
        <v>5.6656484321425218</v>
      </c>
      <c r="U91" s="5">
        <f t="shared" ca="1" si="55"/>
        <v>5.7267184196801786</v>
      </c>
      <c r="V91" s="5">
        <f t="shared" ca="1" si="55"/>
        <v>5.9446438364648886</v>
      </c>
      <c r="W91" s="5">
        <f t="shared" ca="1" si="55"/>
        <v>6.1615781422226554</v>
      </c>
      <c r="X91" s="5">
        <f t="shared" ca="1" si="55"/>
        <v>6.3637772331383662</v>
      </c>
      <c r="Y91" s="5">
        <f t="shared" ca="1" si="55"/>
        <v>6.5799279167458025</v>
      </c>
      <c r="Z91" s="5">
        <f t="shared" ca="1" si="55"/>
        <v>6.8695360832950403</v>
      </c>
      <c r="AA91" s="5">
        <f t="shared" ca="1" si="55"/>
        <v>7.1569195527864986</v>
      </c>
      <c r="AB91" s="5">
        <f t="shared" ca="1" si="55"/>
        <v>7.4320126029228764</v>
      </c>
      <c r="AC91" s="5">
        <f t="shared" ca="1" si="55"/>
        <v>7.7086052468673536</v>
      </c>
      <c r="AD91" s="5">
        <f t="shared" ca="1" si="55"/>
        <v>7.9822039161886975</v>
      </c>
      <c r="AE91" s="5">
        <f t="shared" ca="1" si="55"/>
        <v>8.2516540907543536</v>
      </c>
      <c r="AF91" s="5">
        <f t="shared" ca="1" si="55"/>
        <v>8.5116685693792675</v>
      </c>
      <c r="AG91" s="5">
        <f t="shared" ca="1" si="55"/>
        <v>8.7657131963551027</v>
      </c>
      <c r="AH91" s="5">
        <f t="shared" ca="1" si="55"/>
        <v>9.0092628115765159</v>
      </c>
      <c r="AI91" s="5">
        <f t="shared" ca="1" si="55"/>
        <v>9.2452902832393669</v>
      </c>
      <c r="AJ91" s="5">
        <f t="shared" ca="1" si="55"/>
        <v>10.275676944291684</v>
      </c>
      <c r="AK91" s="5">
        <f t="shared" ca="1" si="55"/>
        <v>11.056522824311074</v>
      </c>
      <c r="AL91" s="5">
        <f t="shared" ca="1" si="55"/>
        <v>11.80942715058821</v>
      </c>
      <c r="AM91" s="5">
        <f t="shared" ca="1" si="55"/>
        <v>12.104917597803405</v>
      </c>
      <c r="AO91" s="5">
        <v>15.624866478724483</v>
      </c>
    </row>
    <row r="92" spans="1:51">
      <c r="A92" t="s">
        <v>16</v>
      </c>
      <c r="B92" s="19"/>
      <c r="D92" s="5" t="str">
        <f>D84</f>
        <v>RMEO</v>
      </c>
      <c r="I92">
        <v>0.1</v>
      </c>
      <c r="L92" s="33">
        <f t="shared" si="52"/>
        <v>7.7618829459684902</v>
      </c>
      <c r="M92" s="5">
        <f ca="1">OFFSET(M$33,$AY113,$L$95)/OFFSET(L$33,$AY113,$L$95)*L113</f>
        <v>7.971309515961206</v>
      </c>
      <c r="N92" s="5">
        <f t="shared" ref="N92:AM92" ca="1" si="56">(($L$84*(1-N$75*$I$92))+((N84-$L$84)*(1-N$76*$I$92)))</f>
        <v>8.1867283183926158</v>
      </c>
      <c r="O92" s="5">
        <f t="shared" ca="1" si="56"/>
        <v>8.6032216490547775</v>
      </c>
      <c r="P92" s="5">
        <f t="shared" ca="1" si="56"/>
        <v>7.7532516109472374</v>
      </c>
      <c r="Q92" s="5">
        <f t="shared" ca="1" si="56"/>
        <v>8.1710350288493245</v>
      </c>
      <c r="R92" s="5">
        <f t="shared" ca="1" si="56"/>
        <v>8.3626088667056475</v>
      </c>
      <c r="S92" s="5">
        <f t="shared" ca="1" si="56"/>
        <v>8.5100247032036993</v>
      </c>
      <c r="T92" s="5">
        <f t="shared" ca="1" si="56"/>
        <v>8.6831643563036227</v>
      </c>
      <c r="U92" s="5">
        <f t="shared" ca="1" si="56"/>
        <v>8.8137300602602799</v>
      </c>
      <c r="V92" s="5">
        <f t="shared" ca="1" si="56"/>
        <v>8.9037586539887243</v>
      </c>
      <c r="W92" s="5">
        <f t="shared" ca="1" si="56"/>
        <v>9.0739269233119764</v>
      </c>
      <c r="X92" s="5">
        <f t="shared" ca="1" si="56"/>
        <v>9.2389821768783964</v>
      </c>
      <c r="Y92" s="5">
        <f t="shared" ca="1" si="56"/>
        <v>9.3869489765826444</v>
      </c>
      <c r="Z92" s="5">
        <f t="shared" ca="1" si="56"/>
        <v>9.5656275014589003</v>
      </c>
      <c r="AA92" s="5">
        <f t="shared" ca="1" si="56"/>
        <v>9.7301628518422341</v>
      </c>
      <c r="AB92" s="5">
        <f t="shared" ca="1" si="56"/>
        <v>9.8997701663739868</v>
      </c>
      <c r="AC92" s="5">
        <f t="shared" ca="1" si="56"/>
        <v>10.059334056514375</v>
      </c>
      <c r="AD92" s="5">
        <f t="shared" ca="1" si="56"/>
        <v>10.217058846308216</v>
      </c>
      <c r="AE92" s="5">
        <f t="shared" ca="1" si="56"/>
        <v>10.368495221851168</v>
      </c>
      <c r="AF92" s="5">
        <f t="shared" ca="1" si="56"/>
        <v>10.515525281130204</v>
      </c>
      <c r="AG92" s="5">
        <f t="shared" ca="1" si="56"/>
        <v>10.658208960766117</v>
      </c>
      <c r="AH92" s="5">
        <f t="shared" ca="1" si="56"/>
        <v>10.798709177099935</v>
      </c>
      <c r="AI92" s="5">
        <f t="shared" ca="1" si="56"/>
        <v>10.932695411061502</v>
      </c>
      <c r="AJ92" s="5">
        <f t="shared" ca="1" si="56"/>
        <v>11.546334800634085</v>
      </c>
      <c r="AK92" s="5">
        <f t="shared" ca="1" si="56"/>
        <v>12.074789266977938</v>
      </c>
      <c r="AL92" s="5">
        <f t="shared" ca="1" si="56"/>
        <v>12.423373745263783</v>
      </c>
      <c r="AM92" s="5">
        <f t="shared" ca="1" si="56"/>
        <v>13.062325329653882</v>
      </c>
      <c r="AO92" s="5">
        <v>12.91511152465643</v>
      </c>
    </row>
    <row r="93" spans="1:51">
      <c r="A93" t="s">
        <v>16</v>
      </c>
      <c r="B93" s="19"/>
      <c r="D93" s="5" t="str">
        <f>D85</f>
        <v>RHEO</v>
      </c>
      <c r="I93">
        <v>0.1</v>
      </c>
      <c r="L93" s="33">
        <f t="shared" si="52"/>
        <v>14.27502736796</v>
      </c>
      <c r="M93" s="5">
        <f ca="1">(($L$85*(1-M$75))+((M85-$L$85)*(1-M$76)))</f>
        <v>14.80273516426419</v>
      </c>
      <c r="N93" s="5">
        <f ca="1">(($L$85*(1-N$75))+((N85-$L$85)*(1-N$76)))</f>
        <v>15.021637769503817</v>
      </c>
      <c r="O93" s="5">
        <f t="shared" ref="O93:AM93" ca="1" si="57">(($L$85*(1-O$75))+((O85-$L$85)*(1-O$76)))</f>
        <v>12.686248620355284</v>
      </c>
      <c r="P93" s="5">
        <f t="shared" ca="1" si="57"/>
        <v>13.615930042022969</v>
      </c>
      <c r="Q93" s="5">
        <f t="shared" ca="1" si="57"/>
        <v>14.500813394103259</v>
      </c>
      <c r="R93" s="5">
        <f t="shared" ca="1" si="57"/>
        <v>14.921379618359186</v>
      </c>
      <c r="S93" s="5">
        <f t="shared" ca="1" si="57"/>
        <v>15.345603321636235</v>
      </c>
      <c r="T93" s="5">
        <f t="shared" ca="1" si="57"/>
        <v>15.633659324896637</v>
      </c>
      <c r="U93" s="5">
        <f t="shared" ca="1" si="57"/>
        <v>15.802174436904458</v>
      </c>
      <c r="V93" s="5">
        <f t="shared" ca="1" si="57"/>
        <v>16.403512794738266</v>
      </c>
      <c r="W93" s="5">
        <f t="shared" ca="1" si="57"/>
        <v>17.002116303713379</v>
      </c>
      <c r="X93" s="5">
        <f t="shared" ca="1" si="57"/>
        <v>17.560059801450784</v>
      </c>
      <c r="Y93" s="5">
        <f t="shared" ca="1" si="57"/>
        <v>18.156501001577325</v>
      </c>
      <c r="Z93" s="5">
        <f t="shared" ca="1" si="57"/>
        <v>18.95563908219885</v>
      </c>
      <c r="AA93" s="5">
        <f t="shared" ca="1" si="57"/>
        <v>19.748638385181945</v>
      </c>
      <c r="AB93" s="5">
        <f t="shared" ca="1" si="57"/>
        <v>20.507723789083801</v>
      </c>
      <c r="AC93" s="5">
        <f t="shared" ca="1" si="57"/>
        <v>21.270947137477336</v>
      </c>
      <c r="AD93" s="5">
        <f t="shared" ca="1" si="57"/>
        <v>22.025908981500088</v>
      </c>
      <c r="AE93" s="5">
        <f t="shared" ca="1" si="57"/>
        <v>22.769423564984475</v>
      </c>
      <c r="AF93" s="5">
        <f t="shared" ca="1" si="57"/>
        <v>23.486901507191575</v>
      </c>
      <c r="AG93" s="5">
        <f t="shared" ca="1" si="57"/>
        <v>24.18790637874848</v>
      </c>
      <c r="AH93" s="5">
        <f t="shared" ca="1" si="57"/>
        <v>24.859951557457414</v>
      </c>
      <c r="AI93" s="5">
        <f t="shared" ca="1" si="57"/>
        <v>25.511240307101613</v>
      </c>
      <c r="AJ93" s="5">
        <f t="shared" ca="1" si="57"/>
        <v>28.354465442713845</v>
      </c>
      <c r="AK93" s="5">
        <f t="shared" ca="1" si="57"/>
        <v>30.509113515159783</v>
      </c>
      <c r="AL93" s="5">
        <f t="shared" ca="1" si="57"/>
        <v>32.586660310065021</v>
      </c>
      <c r="AM93" s="5">
        <f t="shared" ca="1" si="57"/>
        <v>33.402029819990084</v>
      </c>
      <c r="AO93" s="5">
        <v>32.227542399636981</v>
      </c>
    </row>
    <row r="94" spans="1:51">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51">
      <c r="A95" t="s">
        <v>16</v>
      </c>
      <c r="B95" s="19"/>
      <c r="D95" s="5"/>
      <c r="L95" s="32">
        <v>0</v>
      </c>
    </row>
    <row r="96" spans="1:51" ht="18" thickBot="1">
      <c r="A96" t="s">
        <v>16</v>
      </c>
      <c r="B96" s="19"/>
      <c r="C96" s="29" t="s">
        <v>142</v>
      </c>
      <c r="D96" s="11"/>
      <c r="I96" s="116" t="s">
        <v>428</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2" t="s">
        <v>18</v>
      </c>
      <c r="C97" s="12" t="s">
        <v>19</v>
      </c>
      <c r="D97" s="12" t="s">
        <v>20</v>
      </c>
      <c r="E97" s="12" t="s">
        <v>21</v>
      </c>
      <c r="F97" s="12" t="s">
        <v>22</v>
      </c>
      <c r="G97" s="12" t="s">
        <v>23</v>
      </c>
      <c r="H97" s="12" t="s">
        <v>24</v>
      </c>
      <c r="I97" s="13" t="s">
        <v>25</v>
      </c>
      <c r="J97" s="13"/>
      <c r="K97" s="13"/>
      <c r="L97" s="14">
        <v>2017</v>
      </c>
      <c r="M97" s="14">
        <f t="shared" ref="M97:AI97" si="58">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51">
      <c r="A98" t="s">
        <v>16</v>
      </c>
      <c r="B98" s="12"/>
      <c r="C98" s="4" t="str">
        <f>C34</f>
        <v>Low Income Electrified</v>
      </c>
      <c r="D98" s="12"/>
      <c r="E98" s="12"/>
      <c r="F98" s="12"/>
      <c r="G98" s="12"/>
      <c r="H98" s="12"/>
      <c r="I98" s="13"/>
      <c r="J98" s="13"/>
      <c r="K98" s="13"/>
    </row>
    <row r="99" spans="1:51">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0">
        <f>INDEX('BY-DMD'!$I$5:$I$138,MATCH(D99,'BY-DMD'!$H$5:$H$138,0))</f>
        <v>15.5426860393993</v>
      </c>
      <c r="M99" s="18">
        <f t="shared" ref="M99:AM99" ca="1" si="59">OFFSET(M$21,$AY99,$L$95)/OFFSET(L$21,$AY99,$L$95)*L99</f>
        <v>15.512921411328472</v>
      </c>
      <c r="N99" s="18">
        <f t="shared" ca="1" si="59"/>
        <v>15.658159660862832</v>
      </c>
      <c r="O99" s="18">
        <f t="shared" ca="1" si="59"/>
        <v>16.292745876449878</v>
      </c>
      <c r="P99" s="18">
        <f t="shared" ca="1" si="59"/>
        <v>17.543497852327285</v>
      </c>
      <c r="Q99" s="18">
        <f t="shared" ca="1" si="59"/>
        <v>16.648749684386829</v>
      </c>
      <c r="R99" s="18">
        <f t="shared" ca="1" si="59"/>
        <v>16.327438571148306</v>
      </c>
      <c r="S99" s="18">
        <f t="shared" ca="1" si="59"/>
        <v>16.104839609808536</v>
      </c>
      <c r="T99" s="18">
        <f t="shared" ca="1" si="59"/>
        <v>15.946841075712801</v>
      </c>
      <c r="U99" s="18">
        <f t="shared" ca="1" si="59"/>
        <v>15.898351750991033</v>
      </c>
      <c r="V99" s="18">
        <f t="shared" ca="1" si="59"/>
        <v>15.61850320970057</v>
      </c>
      <c r="W99" s="18">
        <f t="shared" ca="1" si="59"/>
        <v>15.204435102881142</v>
      </c>
      <c r="X99" s="18">
        <f t="shared" ca="1" si="59"/>
        <v>14.797379615265584</v>
      </c>
      <c r="Y99" s="18">
        <f t="shared" ca="1" si="59"/>
        <v>14.364555961073481</v>
      </c>
      <c r="Z99" s="18">
        <f t="shared" ca="1" si="59"/>
        <v>13.934437855012332</v>
      </c>
      <c r="AA99" s="18">
        <f t="shared" ca="1" si="59"/>
        <v>13.52116298389987</v>
      </c>
      <c r="AB99" s="18">
        <f t="shared" ca="1" si="59"/>
        <v>13.116801964412165</v>
      </c>
      <c r="AC99" s="18">
        <f t="shared" ca="1" si="59"/>
        <v>12.716730406838114</v>
      </c>
      <c r="AD99" s="18">
        <f t="shared" ca="1" si="59"/>
        <v>12.318497669694089</v>
      </c>
      <c r="AE99" s="18">
        <f t="shared" ca="1" si="59"/>
        <v>11.931389789884733</v>
      </c>
      <c r="AF99" s="18">
        <f t="shared" ca="1" si="59"/>
        <v>11.561486283711634</v>
      </c>
      <c r="AG99" s="18">
        <f t="shared" ca="1" si="59"/>
        <v>11.200948719955662</v>
      </c>
      <c r="AH99" s="18">
        <f t="shared" ca="1" si="59"/>
        <v>10.854991267650544</v>
      </c>
      <c r="AI99" s="18">
        <f t="shared" ca="1" si="59"/>
        <v>10.524664927365313</v>
      </c>
      <c r="AJ99" s="18">
        <f t="shared" ca="1" si="59"/>
        <v>9.1076004808427271</v>
      </c>
      <c r="AK99" s="18">
        <f t="shared" ca="1" si="59"/>
        <v>8.0193424686271513</v>
      </c>
      <c r="AL99" s="18">
        <f t="shared" ca="1" si="59"/>
        <v>6.9598399618105482</v>
      </c>
      <c r="AM99" s="18">
        <f t="shared" ca="1" si="59"/>
        <v>6.075727518927617</v>
      </c>
      <c r="AN99" s="5"/>
      <c r="AO99" s="5"/>
      <c r="AP99" s="5"/>
      <c r="AQ99" s="5"/>
      <c r="AR99" s="5"/>
      <c r="AS99" s="5"/>
      <c r="AY99">
        <f>MATCH(MID(D99,2,2),$B$34:$B$38,0)</f>
        <v>1</v>
      </c>
    </row>
    <row r="100" spans="1:51">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0">
        <f>INDEX('BY-DMD'!$I$5:$I$138,MATCH(D100,'BY-DMD'!$H$5:$H$138,0))</f>
        <v>3.6541482196776102E-2</v>
      </c>
      <c r="M100" s="18">
        <f t="shared" ref="M100:AM100" ca="1" si="60">OFFSET(M$21,$AY100,$L$95)/OFFSET(L$21,$AY100,$L$95)*L100</f>
        <v>3.6471504354851823E-2</v>
      </c>
      <c r="N100" s="18">
        <f t="shared" ca="1" si="60"/>
        <v>3.6812965341466199E-2</v>
      </c>
      <c r="O100" s="18">
        <f t="shared" ca="1" si="60"/>
        <v>3.8304903146837301E-2</v>
      </c>
      <c r="P100" s="18">
        <f t="shared" ca="1" si="60"/>
        <v>4.1245471523709255E-2</v>
      </c>
      <c r="Q100" s="18">
        <f t="shared" ca="1" si="60"/>
        <v>3.9141882467962116E-2</v>
      </c>
      <c r="R100" s="18">
        <f t="shared" ca="1" si="60"/>
        <v>3.8386467072304697E-2</v>
      </c>
      <c r="S100" s="18">
        <f t="shared" ca="1" si="60"/>
        <v>3.7863127929881127E-2</v>
      </c>
      <c r="T100" s="18">
        <f t="shared" ca="1" si="60"/>
        <v>3.7491666999245277E-2</v>
      </c>
      <c r="U100" s="18">
        <f t="shared" ca="1" si="60"/>
        <v>3.7377666639747398E-2</v>
      </c>
      <c r="V100" s="18">
        <f t="shared" ca="1" si="60"/>
        <v>3.67197314242102E-2</v>
      </c>
      <c r="W100" s="18">
        <f t="shared" ca="1" si="60"/>
        <v>3.5746240592880271E-2</v>
      </c>
      <c r="X100" s="18">
        <f t="shared" ca="1" si="60"/>
        <v>3.4789236712334873E-2</v>
      </c>
      <c r="Y100" s="18">
        <f t="shared" ca="1" si="60"/>
        <v>3.3771650832139385E-2</v>
      </c>
      <c r="Z100" s="18">
        <f t="shared" ca="1" si="60"/>
        <v>3.2760425804798363E-2</v>
      </c>
      <c r="AA100" s="18">
        <f t="shared" ca="1" si="60"/>
        <v>3.1788799902631289E-2</v>
      </c>
      <c r="AB100" s="18">
        <f t="shared" ca="1" si="60"/>
        <v>3.0838130825405864E-2</v>
      </c>
      <c r="AC100" s="18">
        <f t="shared" ca="1" si="60"/>
        <v>2.9897546446266358E-2</v>
      </c>
      <c r="AD100" s="18">
        <f t="shared" ca="1" si="60"/>
        <v>2.896128520817445E-2</v>
      </c>
      <c r="AE100" s="18">
        <f t="shared" ca="1" si="60"/>
        <v>2.8051178958686571E-2</v>
      </c>
      <c r="AF100" s="18">
        <f t="shared" ca="1" si="60"/>
        <v>2.7181520886003032E-2</v>
      </c>
      <c r="AG100" s="18">
        <f t="shared" ca="1" si="60"/>
        <v>2.6333882521960835E-2</v>
      </c>
      <c r="AH100" s="18">
        <f t="shared" ca="1" si="60"/>
        <v>2.5520522588407285E-2</v>
      </c>
      <c r="AI100" s="18">
        <f t="shared" ca="1" si="60"/>
        <v>2.4743912030099603E-2</v>
      </c>
      <c r="AJ100" s="18">
        <f t="shared" ca="1" si="60"/>
        <v>2.1412336322205378E-2</v>
      </c>
      <c r="AK100" s="18">
        <f t="shared" ca="1" si="60"/>
        <v>1.8853797812319131E-2</v>
      </c>
      <c r="AL100" s="18">
        <f t="shared" ca="1" si="60"/>
        <v>1.6362864656226449E-2</v>
      </c>
      <c r="AM100" s="18">
        <f t="shared" ca="1" si="60"/>
        <v>1.4284280619357912E-2</v>
      </c>
      <c r="AN100" s="5"/>
      <c r="AO100" s="5"/>
      <c r="AP100" s="5"/>
      <c r="AQ100" s="5"/>
      <c r="AR100" s="5"/>
      <c r="AS100" s="5"/>
      <c r="AY100" s="177">
        <v>1</v>
      </c>
    </row>
    <row r="101" spans="1:51">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0">
        <f>INDEX('BY-DMD'!$I$5:$I$138,MATCH(D101,'BY-DMD'!$H$5:$H$138,0))</f>
        <v>11.428450394710399</v>
      </c>
      <c r="M101" s="18">
        <f t="shared" ref="M101:AM101" ca="1" si="61">OFFSET(M$21,$AY101,$L$95)/OFFSET(L$21,$AY101,$L$95)*L101</f>
        <v>11.406564629626928</v>
      </c>
      <c r="N101" s="18">
        <f t="shared" ca="1" si="61"/>
        <v>11.513357504810177</v>
      </c>
      <c r="O101" s="18">
        <f t="shared" ca="1" si="61"/>
        <v>11.979965211330112</v>
      </c>
      <c r="P101" s="18">
        <f t="shared" ca="1" si="61"/>
        <v>12.899636166283882</v>
      </c>
      <c r="Q101" s="18">
        <f t="shared" ca="1" si="61"/>
        <v>12.241732826594424</v>
      </c>
      <c r="R101" s="18">
        <f t="shared" ca="1" si="61"/>
        <v>12.00547455633102</v>
      </c>
      <c r="S101" s="18">
        <f t="shared" ca="1" si="61"/>
        <v>11.841798781041156</v>
      </c>
      <c r="T101" s="18">
        <f t="shared" ca="1" si="61"/>
        <v>11.725623339758172</v>
      </c>
      <c r="U101" s="18">
        <f t="shared" ca="1" si="61"/>
        <v>11.689969409616948</v>
      </c>
      <c r="V101" s="18">
        <f t="shared" ca="1" si="61"/>
        <v>11.48419833735422</v>
      </c>
      <c r="W101" s="18">
        <f t="shared" ca="1" si="61"/>
        <v>11.179736366828541</v>
      </c>
      <c r="X101" s="18">
        <f t="shared" ca="1" si="61"/>
        <v>10.880430736108302</v>
      </c>
      <c r="Y101" s="18">
        <f t="shared" ca="1" si="61"/>
        <v>10.562177916161172</v>
      </c>
      <c r="Z101" s="18">
        <f t="shared" ca="1" si="61"/>
        <v>10.245914470671373</v>
      </c>
      <c r="AA101" s="18">
        <f t="shared" ca="1" si="61"/>
        <v>9.942035761938758</v>
      </c>
      <c r="AB101" s="18">
        <f t="shared" ca="1" si="61"/>
        <v>9.6447113586113407</v>
      </c>
      <c r="AC101" s="18">
        <f t="shared" ca="1" si="61"/>
        <v>9.3505409727153985</v>
      </c>
      <c r="AD101" s="18">
        <f t="shared" ca="1" si="61"/>
        <v>9.0577226612302795</v>
      </c>
      <c r="AE101" s="18">
        <f t="shared" ca="1" si="61"/>
        <v>8.7730843953225595</v>
      </c>
      <c r="AF101" s="18">
        <f t="shared" ca="1" si="61"/>
        <v>8.5010964094356556</v>
      </c>
      <c r="AG101" s="18">
        <f t="shared" ca="1" si="61"/>
        <v>8.2359951487931866</v>
      </c>
      <c r="AH101" s="18">
        <f t="shared" ca="1" si="61"/>
        <v>7.9816145628167972</v>
      </c>
      <c r="AI101" s="18">
        <f t="shared" ca="1" si="61"/>
        <v>7.7387274463655995</v>
      </c>
      <c r="AJ101" s="18">
        <f t="shared" ca="1" si="61"/>
        <v>6.6967678589340176</v>
      </c>
      <c r="AK101" s="18">
        <f t="shared" ca="1" si="61"/>
        <v>5.8965778095612817</v>
      </c>
      <c r="AL101" s="18">
        <f t="shared" ca="1" si="61"/>
        <v>5.1175315229972353</v>
      </c>
      <c r="AM101" s="18">
        <f t="shared" ca="1" si="61"/>
        <v>4.4674485726486921</v>
      </c>
      <c r="AN101" s="5"/>
      <c r="AO101" s="5"/>
      <c r="AP101" s="5"/>
      <c r="AQ101" s="5"/>
      <c r="AR101" s="5"/>
      <c r="AS101" s="5"/>
      <c r="AY101">
        <f t="shared" ref="AY101:AY106" si="62">MATCH(MID(D101,2,2),$B$34:$B$38,0)</f>
        <v>1</v>
      </c>
    </row>
    <row r="102" spans="1:51">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0">
        <f>INDEX('BY-DMD'!$I$5:$I$138,MATCH(D102,'BY-DMD'!$H$5:$H$138,0))</f>
        <v>9.2994915751840495</v>
      </c>
      <c r="M102" s="18">
        <f ca="1">IF(OR($E$78=1,$E$78=2,$E$78=3),M89,M81)</f>
        <v>9.281682818880185</v>
      </c>
      <c r="N102" s="18">
        <f t="shared" ref="N102:AK102" ca="1" si="63">IF(OR($E$78=1,$E$78=2,$E$78=3),N89,N81)</f>
        <v>9.3685816904468826</v>
      </c>
      <c r="O102" s="18">
        <f t="shared" ca="1" si="63"/>
        <v>9.7482669746133581</v>
      </c>
      <c r="P102" s="18">
        <f t="shared" ca="1" si="63"/>
        <v>10.360160215074362</v>
      </c>
      <c r="Q102" s="18">
        <f t="shared" ca="1" si="63"/>
        <v>9.7022779365117824</v>
      </c>
      <c r="R102" s="18">
        <f t="shared" ca="1" si="63"/>
        <v>9.3880323418239566</v>
      </c>
      <c r="S102" s="18">
        <f t="shared" ca="1" si="63"/>
        <v>9.1347753700424512</v>
      </c>
      <c r="T102" s="18">
        <f t="shared" ca="1" si="63"/>
        <v>8.9211205487692968</v>
      </c>
      <c r="U102" s="18">
        <f t="shared" ca="1" si="63"/>
        <v>8.770334416138347</v>
      </c>
      <c r="V102" s="18">
        <f t="shared" ca="1" si="63"/>
        <v>8.4944727076452562</v>
      </c>
      <c r="W102" s="18">
        <f t="shared" ca="1" si="63"/>
        <v>8.1510100728075852</v>
      </c>
      <c r="X102" s="18">
        <f t="shared" ca="1" si="63"/>
        <v>7.8176936877008396</v>
      </c>
      <c r="Y102" s="18">
        <f t="shared" ca="1" si="63"/>
        <v>7.4772962741638258</v>
      </c>
      <c r="Z102" s="18">
        <f t="shared" ca="1" si="63"/>
        <v>7.2534034841174924</v>
      </c>
      <c r="AA102" s="18">
        <f t="shared" ca="1" si="63"/>
        <v>7.0382782367830945</v>
      </c>
      <c r="AB102" s="18">
        <f t="shared" ca="1" si="63"/>
        <v>6.8277929873520664</v>
      </c>
      <c r="AC102" s="18">
        <f t="shared" ca="1" si="63"/>
        <v>6.619540565560964</v>
      </c>
      <c r="AD102" s="18">
        <f t="shared" ca="1" si="63"/>
        <v>6.4122453195563978</v>
      </c>
      <c r="AE102" s="18">
        <f t="shared" ca="1" si="63"/>
        <v>6.2107409837981731</v>
      </c>
      <c r="AF102" s="18">
        <f t="shared" ca="1" si="63"/>
        <v>6.0181921771379816</v>
      </c>
      <c r="AG102" s="18">
        <f t="shared" ca="1" si="63"/>
        <v>5.8305186987879303</v>
      </c>
      <c r="AH102" s="18">
        <f t="shared" ca="1" si="63"/>
        <v>5.6504347215212238</v>
      </c>
      <c r="AI102" s="18">
        <f t="shared" ca="1" si="63"/>
        <v>5.4784873310020714</v>
      </c>
      <c r="AJ102" s="18">
        <f t="shared" ca="1" si="63"/>
        <v>4.7408515325167624</v>
      </c>
      <c r="AK102" s="18">
        <f t="shared" ca="1" si="63"/>
        <v>4.1743719558337418</v>
      </c>
      <c r="AL102" s="18">
        <f t="shared" ref="AL102:AM102" ca="1" si="64">IF($E$78=1,AL89,AL81)</f>
        <v>4.1642077132240605</v>
      </c>
      <c r="AM102" s="18">
        <f t="shared" ca="1" si="64"/>
        <v>3.6352260305687136</v>
      </c>
      <c r="AN102" s="5"/>
      <c r="AO102" s="5"/>
      <c r="AP102" s="5"/>
      <c r="AQ102" s="5"/>
      <c r="AR102" s="5"/>
      <c r="AS102" s="5"/>
      <c r="AY102">
        <f t="shared" si="62"/>
        <v>1</v>
      </c>
    </row>
    <row r="103" spans="1:51">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0">
        <f>INDEX('BY-DMD'!$I$5:$I$138,MATCH(D103,'BY-DMD'!$H$5:$H$138,0))</f>
        <v>4.5736255741133904</v>
      </c>
      <c r="M103" s="18">
        <f t="shared" ref="M103:AM103" ca="1" si="65">OFFSET(M$21,$AY103,$L$95)/OFFSET(L$21,$AY103,$L$95)*L103</f>
        <v>4.564866968052403</v>
      </c>
      <c r="N103" s="18">
        <f t="shared" ca="1" si="65"/>
        <v>4.6076051003627354</v>
      </c>
      <c r="O103" s="18">
        <f t="shared" ca="1" si="65"/>
        <v>4.7943398601868434</v>
      </c>
      <c r="P103" s="18">
        <f t="shared" ca="1" si="65"/>
        <v>5.162388935439659</v>
      </c>
      <c r="Q103" s="18">
        <f t="shared" ca="1" si="65"/>
        <v>4.8990983373467616</v>
      </c>
      <c r="R103" s="18">
        <f t="shared" ca="1" si="65"/>
        <v>4.8045486101612953</v>
      </c>
      <c r="S103" s="18">
        <f t="shared" ca="1" si="65"/>
        <v>4.7390461416835885</v>
      </c>
      <c r="T103" s="18">
        <f t="shared" ca="1" si="65"/>
        <v>4.6925531394842972</v>
      </c>
      <c r="U103" s="18">
        <f t="shared" ca="1" si="65"/>
        <v>4.6782845622861995</v>
      </c>
      <c r="V103" s="18">
        <f t="shared" ca="1" si="65"/>
        <v>4.5959357043037441</v>
      </c>
      <c r="W103" s="18">
        <f t="shared" ca="1" si="65"/>
        <v>4.4740910966230985</v>
      </c>
      <c r="X103" s="18">
        <f t="shared" ca="1" si="65"/>
        <v>4.3543100379616533</v>
      </c>
      <c r="Y103" s="18">
        <f t="shared" ca="1" si="65"/>
        <v>4.2269463809414853</v>
      </c>
      <c r="Z103" s="18">
        <f t="shared" ca="1" si="65"/>
        <v>4.1003788645685875</v>
      </c>
      <c r="AA103" s="18">
        <f t="shared" ca="1" si="65"/>
        <v>3.9787676762021125</v>
      </c>
      <c r="AB103" s="18">
        <f t="shared" ca="1" si="65"/>
        <v>3.8597794977614308</v>
      </c>
      <c r="AC103" s="18">
        <f t="shared" ca="1" si="65"/>
        <v>3.7420535459820705</v>
      </c>
      <c r="AD103" s="18">
        <f t="shared" ca="1" si="65"/>
        <v>3.6248686896172129</v>
      </c>
      <c r="AE103" s="18">
        <f t="shared" ca="1" si="65"/>
        <v>3.5109574586659562</v>
      </c>
      <c r="AF103" s="18">
        <f t="shared" ca="1" si="65"/>
        <v>3.4021088251994542</v>
      </c>
      <c r="AG103" s="18">
        <f t="shared" ca="1" si="65"/>
        <v>3.2960162349069604</v>
      </c>
      <c r="AH103" s="18">
        <f t="shared" ca="1" si="65"/>
        <v>3.1942140208361831</v>
      </c>
      <c r="AI103" s="18">
        <f t="shared" ca="1" si="65"/>
        <v>3.0970114527664108</v>
      </c>
      <c r="AJ103" s="18">
        <f t="shared" ca="1" si="65"/>
        <v>2.6800228977410132</v>
      </c>
      <c r="AK103" s="18">
        <f t="shared" ca="1" si="65"/>
        <v>2.3597896598511148</v>
      </c>
      <c r="AL103" s="18">
        <f t="shared" ca="1" si="65"/>
        <v>2.0480180813266511</v>
      </c>
      <c r="AM103" s="18">
        <f t="shared" ca="1" si="65"/>
        <v>1.7878571754889421</v>
      </c>
      <c r="AN103" s="5"/>
      <c r="AO103" s="5"/>
      <c r="AP103" s="5"/>
      <c r="AQ103" s="5"/>
      <c r="AR103" s="5"/>
      <c r="AS103" s="5"/>
      <c r="AY103">
        <f t="shared" si="62"/>
        <v>1</v>
      </c>
    </row>
    <row r="104" spans="1:51">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0">
        <f>INDEX('BY-DMD'!$I$5:$I$138,MATCH(D104,'BY-DMD'!$H$5:$H$138,0))</f>
        <v>4.25340304491049</v>
      </c>
      <c r="M104" s="18">
        <f t="shared" ref="M104:AM104" ca="1" si="66">OFFSET(M$21,$AY104,$L$95)/OFFSET(L$21,$AY104,$L$95)*L104</f>
        <v>4.245257672910685</v>
      </c>
      <c r="N104" s="18">
        <f t="shared" ca="1" si="66"/>
        <v>4.2850034936292509</v>
      </c>
      <c r="O104" s="18">
        <f t="shared" ca="1" si="66"/>
        <v>4.4586640137474634</v>
      </c>
      <c r="P104" s="18">
        <f t="shared" ca="1" si="66"/>
        <v>4.8009441221623916</v>
      </c>
      <c r="Q104" s="18">
        <f t="shared" ca="1" si="66"/>
        <v>4.5560878230453117</v>
      </c>
      <c r="R104" s="18">
        <f t="shared" ca="1" si="66"/>
        <v>4.4681579977919457</v>
      </c>
      <c r="S104" s="18">
        <f t="shared" ca="1" si="66"/>
        <v>4.4072416865728661</v>
      </c>
      <c r="T104" s="18">
        <f t="shared" ca="1" si="66"/>
        <v>4.3640038932911471</v>
      </c>
      <c r="U104" s="18">
        <f t="shared" ca="1" si="66"/>
        <v>4.350734330945591</v>
      </c>
      <c r="V104" s="18">
        <f t="shared" ca="1" si="66"/>
        <v>4.2741511306788365</v>
      </c>
      <c r="W104" s="18">
        <f t="shared" ca="1" si="66"/>
        <v>4.1608374767916256</v>
      </c>
      <c r="X104" s="18">
        <f t="shared" ca="1" si="66"/>
        <v>4.0494428924782913</v>
      </c>
      <c r="Y104" s="18">
        <f t="shared" ca="1" si="66"/>
        <v>3.9309966056535255</v>
      </c>
      <c r="Z104" s="18">
        <f t="shared" ca="1" si="66"/>
        <v>3.8132907176651756</v>
      </c>
      <c r="AA104" s="18">
        <f t="shared" ca="1" si="66"/>
        <v>3.7001941402319827</v>
      </c>
      <c r="AB104" s="18">
        <f t="shared" ca="1" si="66"/>
        <v>3.5895369226074161</v>
      </c>
      <c r="AC104" s="18">
        <f t="shared" ca="1" si="66"/>
        <v>3.4800535568073232</v>
      </c>
      <c r="AD104" s="18">
        <f t="shared" ca="1" si="66"/>
        <v>3.3710734016103587</v>
      </c>
      <c r="AE104" s="18">
        <f t="shared" ca="1" si="66"/>
        <v>3.2651376688472977</v>
      </c>
      <c r="AF104" s="18">
        <f t="shared" ca="1" si="66"/>
        <v>3.1639100756570713</v>
      </c>
      <c r="AG104" s="18">
        <f t="shared" ca="1" si="66"/>
        <v>3.065245561196897</v>
      </c>
      <c r="AH104" s="18">
        <f t="shared" ca="1" si="66"/>
        <v>2.9705710321409824</v>
      </c>
      <c r="AI104" s="18">
        <f t="shared" ca="1" si="66"/>
        <v>2.8801741047359148</v>
      </c>
      <c r="AJ104" s="18">
        <f t="shared" ca="1" si="66"/>
        <v>2.4923810156652877</v>
      </c>
      <c r="AK104" s="18">
        <f t="shared" ca="1" si="66"/>
        <v>2.1945689173527834</v>
      </c>
      <c r="AL104" s="18">
        <f t="shared" ca="1" si="66"/>
        <v>1.9046260350761619</v>
      </c>
      <c r="AM104" s="18">
        <f t="shared" ca="1" si="66"/>
        <v>1.6626803027188963</v>
      </c>
      <c r="AN104" s="5"/>
      <c r="AO104" s="5"/>
      <c r="AP104" s="5"/>
      <c r="AQ104" s="5"/>
      <c r="AR104" s="5"/>
      <c r="AS104" s="5"/>
      <c r="AY104">
        <f t="shared" si="62"/>
        <v>1</v>
      </c>
    </row>
    <row r="105" spans="1:51">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0">
        <f>INDEX('BY-DMD'!$I$5:$I$138,MATCH(D105,'BY-DMD'!$H$5:$H$138,0))</f>
        <v>5.7452488569507203</v>
      </c>
      <c r="M105" s="18">
        <f t="shared" ref="M105:AM105" ca="1" si="67">OFFSET(M$21,$AY105,$L$95)/OFFSET(L$21,$AY105,$L$95)*L105</f>
        <v>5.734246563333774</v>
      </c>
      <c r="N105" s="18">
        <f t="shared" ca="1" si="67"/>
        <v>5.7879329007536766</v>
      </c>
      <c r="O105" s="18">
        <f t="shared" ca="1" si="67"/>
        <v>6.0225034068101095</v>
      </c>
      <c r="P105" s="18">
        <f t="shared" ca="1" si="67"/>
        <v>6.4848354221080431</v>
      </c>
      <c r="Q105" s="18">
        <f t="shared" ca="1" si="67"/>
        <v>6.1540978085393307</v>
      </c>
      <c r="R105" s="18">
        <f t="shared" ca="1" si="67"/>
        <v>6.0353273269520606</v>
      </c>
      <c r="S105" s="18">
        <f t="shared" ca="1" si="67"/>
        <v>5.9530451252171828</v>
      </c>
      <c r="T105" s="18">
        <f t="shared" ca="1" si="67"/>
        <v>5.894642034843204</v>
      </c>
      <c r="U105" s="18">
        <f t="shared" ca="1" si="67"/>
        <v>5.8767182836507867</v>
      </c>
      <c r="V105" s="18">
        <f t="shared" ca="1" si="67"/>
        <v>5.7732741615799474</v>
      </c>
      <c r="W105" s="18">
        <f t="shared" ca="1" si="67"/>
        <v>5.6202166841675032</v>
      </c>
      <c r="X105" s="18">
        <f t="shared" ca="1" si="67"/>
        <v>5.4697513740524704</v>
      </c>
      <c r="Y105" s="18">
        <f t="shared" ca="1" si="67"/>
        <v>5.3097610353037563</v>
      </c>
      <c r="Z105" s="18">
        <f t="shared" ca="1" si="67"/>
        <v>5.1507707841375474</v>
      </c>
      <c r="AA105" s="18">
        <f t="shared" ca="1" si="67"/>
        <v>4.9980065209434947</v>
      </c>
      <c r="AB105" s="18">
        <f t="shared" ca="1" si="67"/>
        <v>4.8485372027627003</v>
      </c>
      <c r="AC105" s="18">
        <f t="shared" ca="1" si="67"/>
        <v>4.7006534551900927</v>
      </c>
      <c r="AD105" s="18">
        <f t="shared" ca="1" si="67"/>
        <v>4.5534494151626914</v>
      </c>
      <c r="AE105" s="18">
        <f t="shared" ca="1" si="67"/>
        <v>4.4103576034672356</v>
      </c>
      <c r="AF105" s="18">
        <f t="shared" ca="1" si="67"/>
        <v>4.2736252722192196</v>
      </c>
      <c r="AG105" s="18">
        <f t="shared" ca="1" si="67"/>
        <v>4.1403549982906309</v>
      </c>
      <c r="AH105" s="18">
        <f t="shared" ca="1" si="67"/>
        <v>4.0124741640274184</v>
      </c>
      <c r="AI105" s="18">
        <f t="shared" ca="1" si="67"/>
        <v>3.8903712646872619</v>
      </c>
      <c r="AJ105" s="18">
        <f t="shared" ca="1" si="67"/>
        <v>3.3665629685554537</v>
      </c>
      <c r="AK105" s="18">
        <f t="shared" ca="1" si="67"/>
        <v>2.9642957487904815</v>
      </c>
      <c r="AL105" s="18">
        <f t="shared" ca="1" si="67"/>
        <v>2.5726578072664585</v>
      </c>
      <c r="AM105" s="18">
        <f t="shared" ca="1" si="67"/>
        <v>2.2458516175890031</v>
      </c>
      <c r="AN105" s="5"/>
      <c r="AO105" s="5"/>
      <c r="AP105" s="5"/>
      <c r="AQ105" s="5"/>
      <c r="AR105" s="5"/>
      <c r="AS105" s="5"/>
      <c r="AY105">
        <f t="shared" si="62"/>
        <v>1</v>
      </c>
    </row>
    <row r="106" spans="1:51">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0">
        <f>INDEX('BY-DMD'!$I$5:$I$138,MATCH(D106,'BY-DMD'!$H$5:$H$138,0))</f>
        <v>14.579147778971199</v>
      </c>
      <c r="M106" s="18">
        <f t="shared" ref="M106:AM106" ca="1" si="68">OFFSET(M$33,$AY106,$L$95)/OFFSET(L$33,$AY106,$L$95)*L106</f>
        <v>14.972513787454066</v>
      </c>
      <c r="N106" s="18">
        <f t="shared" ca="1" si="68"/>
        <v>15.377135008474639</v>
      </c>
      <c r="O106" s="18">
        <f t="shared" ca="1" si="68"/>
        <v>16.159434594663765</v>
      </c>
      <c r="P106" s="18">
        <f t="shared" ca="1" si="68"/>
        <v>14.581891998616722</v>
      </c>
      <c r="Q106" s="18">
        <f t="shared" ca="1" si="68"/>
        <v>15.387666228770735</v>
      </c>
      <c r="R106" s="18">
        <f t="shared" ca="1" si="68"/>
        <v>15.768990574531941</v>
      </c>
      <c r="S106" s="18">
        <f t="shared" ca="1" si="68"/>
        <v>16.067936001961886</v>
      </c>
      <c r="T106" s="18">
        <f t="shared" ca="1" si="68"/>
        <v>16.416296943145937</v>
      </c>
      <c r="U106" s="18">
        <f t="shared" ca="1" si="68"/>
        <v>16.684975434308143</v>
      </c>
      <c r="V106" s="18">
        <f t="shared" ca="1" si="68"/>
        <v>16.877518789786183</v>
      </c>
      <c r="W106" s="18">
        <f t="shared" ca="1" si="68"/>
        <v>17.222676329578466</v>
      </c>
      <c r="X106" s="18">
        <f t="shared" ca="1" si="68"/>
        <v>17.5590244290225</v>
      </c>
      <c r="Y106" s="18">
        <f t="shared" ca="1" si="68"/>
        <v>17.863738542116973</v>
      </c>
      <c r="Z106" s="18">
        <f t="shared" ca="1" si="68"/>
        <v>18.203770906141024</v>
      </c>
      <c r="AA106" s="18">
        <f t="shared" ca="1" si="68"/>
        <v>18.516888244641088</v>
      </c>
      <c r="AB106" s="18">
        <f t="shared" ca="1" si="68"/>
        <v>18.839657733341223</v>
      </c>
      <c r="AC106" s="18">
        <f t="shared" ca="1" si="68"/>
        <v>19.143314184584515</v>
      </c>
      <c r="AD106" s="18">
        <f t="shared" ca="1" si="68"/>
        <v>19.443470754468557</v>
      </c>
      <c r="AE106" s="18">
        <f t="shared" ca="1" si="68"/>
        <v>19.731660221058153</v>
      </c>
      <c r="AF106" s="18">
        <f t="shared" ca="1" si="68"/>
        <v>20.011464291938363</v>
      </c>
      <c r="AG106" s="18">
        <f t="shared" ca="1" si="68"/>
        <v>20.282997028890673</v>
      </c>
      <c r="AH106" s="18">
        <f t="shared" ca="1" si="68"/>
        <v>20.550374548035546</v>
      </c>
      <c r="AI106" s="18">
        <f t="shared" ca="1" si="68"/>
        <v>20.80535569874845</v>
      </c>
      <c r="AJ106" s="18">
        <f t="shared" ca="1" si="68"/>
        <v>21.973135947881069</v>
      </c>
      <c r="AK106" s="18">
        <f t="shared" ca="1" si="68"/>
        <v>22.978805888319723</v>
      </c>
      <c r="AL106" s="18">
        <f t="shared" ca="1" si="68"/>
        <v>23.642176062747321</v>
      </c>
      <c r="AM106" s="18">
        <f t="shared" ca="1" si="68"/>
        <v>24.858126428845022</v>
      </c>
      <c r="AN106" s="5"/>
      <c r="AO106" s="5"/>
      <c r="AP106" s="5"/>
      <c r="AQ106" s="5"/>
      <c r="AR106" s="5"/>
      <c r="AS106" s="5"/>
      <c r="AY106">
        <f t="shared" si="62"/>
        <v>2</v>
      </c>
    </row>
    <row r="107" spans="1:51" s="248" customFormat="1">
      <c r="A107" s="251" t="str">
        <f>'[12]TS BYDem'!A22</f>
        <v/>
      </c>
      <c r="B107" s="251" t="str">
        <f>'[12]TS BYDem'!B22</f>
        <v>COM_PROJ</v>
      </c>
      <c r="C107" s="251" t="str">
        <f>'[12]TS BYDem'!C22</f>
        <v>-</v>
      </c>
      <c r="D107" s="251" t="str">
        <f>'[12]TS BYDem'!D22</f>
        <v>RMNL</v>
      </c>
      <c r="E107" s="250" t="s">
        <v>125</v>
      </c>
      <c r="F107" s="250" t="s">
        <v>125</v>
      </c>
      <c r="G107" s="250" t="s">
        <v>125</v>
      </c>
      <c r="H107" s="250" t="s">
        <v>125</v>
      </c>
      <c r="I107" s="250">
        <v>0</v>
      </c>
      <c r="J107" s="250"/>
      <c r="K107" s="250"/>
      <c r="L107" s="270">
        <f>INDEX('BY-DMD'!$I$5:$I$138,MATCH(D107,'BY-DMD'!$H$5:$H$138,0))</f>
        <v>7.1482186957706306E-2</v>
      </c>
      <c r="M107" s="18">
        <f t="shared" ref="M107:AM107" ca="1" si="69">OFFSET(M$33,$AY107,$L$95)/OFFSET(L$33,$AY107,$L$95)*L107</f>
        <v>7.3410877371403671E-2</v>
      </c>
      <c r="N107" s="18">
        <f t="shared" ca="1" si="69"/>
        <v>7.5394752574984944E-2</v>
      </c>
      <c r="O107" s="18">
        <f t="shared" ca="1" si="69"/>
        <v>7.9230401004145287E-2</v>
      </c>
      <c r="P107" s="18">
        <f t="shared" ca="1" si="69"/>
        <v>7.1495641984346298E-2</v>
      </c>
      <c r="Q107" s="18">
        <f t="shared" ca="1" si="69"/>
        <v>7.5446387599851381E-2</v>
      </c>
      <c r="R107" s="18">
        <f t="shared" ca="1" si="69"/>
        <v>7.7316037224676781E-2</v>
      </c>
      <c r="S107" s="18">
        <f t="shared" ca="1" si="69"/>
        <v>7.8781779479139794E-2</v>
      </c>
      <c r="T107" s="18">
        <f t="shared" ca="1" si="69"/>
        <v>8.0489808117301942E-2</v>
      </c>
      <c r="U107" s="18">
        <f t="shared" ca="1" si="69"/>
        <v>8.1807150284892383E-2</v>
      </c>
      <c r="V107" s="18">
        <f t="shared" ca="1" si="69"/>
        <v>8.2751198616276861E-2</v>
      </c>
      <c r="W107" s="18">
        <f t="shared" ca="1" si="69"/>
        <v>8.44435208399998E-2</v>
      </c>
      <c r="X107" s="18">
        <f t="shared" ca="1" si="69"/>
        <v>8.6092649999799306E-2</v>
      </c>
      <c r="Y107" s="18">
        <f t="shared" ca="1" si="69"/>
        <v>8.7586676367533103E-2</v>
      </c>
      <c r="Z107" s="18">
        <f t="shared" ca="1" si="69"/>
        <v>8.9253869634611252E-2</v>
      </c>
      <c r="AA107" s="18">
        <f t="shared" ca="1" si="69"/>
        <v>9.0789097376979364E-2</v>
      </c>
      <c r="AB107" s="18">
        <f t="shared" ca="1" si="69"/>
        <v>9.237165002582387E-2</v>
      </c>
      <c r="AC107" s="18">
        <f t="shared" ca="1" si="69"/>
        <v>9.3860490632131144E-2</v>
      </c>
      <c r="AD107" s="18">
        <f t="shared" ca="1" si="69"/>
        <v>9.5332171170000618E-2</v>
      </c>
      <c r="AE107" s="18">
        <f t="shared" ca="1" si="69"/>
        <v>9.6745176487068124E-2</v>
      </c>
      <c r="AF107" s="18">
        <f t="shared" ca="1" si="69"/>
        <v>9.8117067849266659E-2</v>
      </c>
      <c r="AG107" s="18">
        <f t="shared" ca="1" si="69"/>
        <v>9.9448404506403715E-2</v>
      </c>
      <c r="AH107" s="18">
        <f t="shared" ca="1" si="69"/>
        <v>0.10075936795238576</v>
      </c>
      <c r="AI107" s="18">
        <f t="shared" ca="1" si="69"/>
        <v>0.10200955147218248</v>
      </c>
      <c r="AJ107" s="18">
        <f t="shared" ca="1" si="69"/>
        <v>0.10773522812760529</v>
      </c>
      <c r="AK107" s="18">
        <f t="shared" ca="1" si="69"/>
        <v>0.11266607098550341</v>
      </c>
      <c r="AL107" s="18">
        <f t="shared" ca="1" si="69"/>
        <v>0.11591860340711702</v>
      </c>
      <c r="AM107" s="18">
        <f t="shared" ca="1" si="69"/>
        <v>0.12188046021235896</v>
      </c>
      <c r="AN107" s="249"/>
      <c r="AO107" s="249"/>
      <c r="AP107" s="249"/>
      <c r="AQ107" s="249"/>
      <c r="AR107" s="249"/>
      <c r="AS107" s="249"/>
      <c r="AY107" s="252">
        <v>2</v>
      </c>
    </row>
    <row r="108" spans="1:51">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0">
        <f>INDEX('BY-DMD'!$I$5:$I$138,MATCH(D108,'BY-DMD'!$H$5:$H$138,0))</f>
        <v>10.2728758528227</v>
      </c>
      <c r="M108" s="18">
        <f t="shared" ref="M108:AM108" ca="1" si="70">OFFSET(M$33,$AY108,$L$95)/OFFSET(L$33,$AY108,$L$95)*L108</f>
        <v>10.550052559659679</v>
      </c>
      <c r="N108" s="18">
        <f t="shared" ca="1" si="70"/>
        <v>10.83516000448285</v>
      </c>
      <c r="O108" s="18">
        <f t="shared" ca="1" si="70"/>
        <v>11.386390203289611</v>
      </c>
      <c r="P108" s="18">
        <f t="shared" ca="1" si="70"/>
        <v>10.274809506844097</v>
      </c>
      <c r="Q108" s="18">
        <f t="shared" ca="1" si="70"/>
        <v>10.842580597258278</v>
      </c>
      <c r="R108" s="18">
        <f t="shared" ca="1" si="70"/>
        <v>11.111272411282824</v>
      </c>
      <c r="S108" s="18">
        <f t="shared" ca="1" si="70"/>
        <v>11.321917732210736</v>
      </c>
      <c r="T108" s="18">
        <f t="shared" ca="1" si="70"/>
        <v>11.567382608142514</v>
      </c>
      <c r="U108" s="18">
        <f t="shared" ca="1" si="70"/>
        <v>11.75670099807023</v>
      </c>
      <c r="V108" s="18">
        <f t="shared" ca="1" si="70"/>
        <v>11.892372439028174</v>
      </c>
      <c r="W108" s="18">
        <f t="shared" ca="1" si="70"/>
        <v>12.135580108619546</v>
      </c>
      <c r="X108" s="18">
        <f t="shared" ca="1" si="70"/>
        <v>12.372580399809765</v>
      </c>
      <c r="Y108" s="18">
        <f t="shared" ca="1" si="70"/>
        <v>12.587290498224268</v>
      </c>
      <c r="Z108" s="18">
        <f t="shared" ca="1" si="70"/>
        <v>12.826886825425186</v>
      </c>
      <c r="AA108" s="18">
        <f t="shared" ca="1" si="70"/>
        <v>13.047518071815118</v>
      </c>
      <c r="AB108" s="18">
        <f t="shared" ca="1" si="70"/>
        <v>13.274950493570126</v>
      </c>
      <c r="AC108" s="18">
        <f t="shared" ca="1" si="70"/>
        <v>13.488915333821659</v>
      </c>
      <c r="AD108" s="18">
        <f t="shared" ca="1" si="70"/>
        <v>13.700414059643988</v>
      </c>
      <c r="AE108" s="18">
        <f t="shared" ca="1" si="70"/>
        <v>13.903480429314536</v>
      </c>
      <c r="AF108" s="18">
        <f t="shared" ca="1" si="70"/>
        <v>14.100638214312971</v>
      </c>
      <c r="AG108" s="18">
        <f t="shared" ca="1" si="70"/>
        <v>14.291967785765129</v>
      </c>
      <c r="AH108" s="18">
        <f t="shared" ca="1" si="70"/>
        <v>14.480369474372255</v>
      </c>
      <c r="AI108" s="18">
        <f t="shared" ca="1" si="70"/>
        <v>14.660036334588989</v>
      </c>
      <c r="AJ108" s="18">
        <f t="shared" ca="1" si="70"/>
        <v>15.482887004915639</v>
      </c>
      <c r="AK108" s="18">
        <f t="shared" ca="1" si="70"/>
        <v>16.191510211406719</v>
      </c>
      <c r="AL108" s="18">
        <f t="shared" ca="1" si="70"/>
        <v>16.658939415752226</v>
      </c>
      <c r="AM108" s="18">
        <f t="shared" ca="1" si="70"/>
        <v>17.515732099624554</v>
      </c>
      <c r="AN108" s="5"/>
      <c r="AO108" s="5"/>
      <c r="AP108" s="5"/>
      <c r="AQ108" s="5"/>
      <c r="AR108" s="5"/>
      <c r="AS108" s="5"/>
      <c r="AY108">
        <f t="shared" ref="AY108:AY119" si="71">MATCH(MID(D108,2,2),$B$34:$B$38,0)</f>
        <v>2</v>
      </c>
    </row>
    <row r="109" spans="1:51">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0">
        <f>INDEX('BY-DMD'!$I$5:$I$138,MATCH(D109,'BY-DMD'!$H$5:$H$138,0))</f>
        <v>9.6822001330816203</v>
      </c>
      <c r="M109" s="18">
        <f t="shared" ref="M109:AK109" ca="1" si="72">IF(OR($E$78=1,$E$78=2,$E$78=3),M90,M82)</f>
        <v>9.9434395743318245</v>
      </c>
      <c r="N109" s="18">
        <f t="shared" ca="1" si="72"/>
        <v>10.212153747437592</v>
      </c>
      <c r="O109" s="18">
        <f t="shared" ca="1" si="72"/>
        <v>10.73168899547419</v>
      </c>
      <c r="P109" s="18">
        <f t="shared" ca="1" si="72"/>
        <v>9.5581303108910092</v>
      </c>
      <c r="Q109" s="18">
        <f t="shared" ca="1" si="72"/>
        <v>9.9534498273705783</v>
      </c>
      <c r="R109" s="18">
        <f t="shared" ca="1" si="72"/>
        <v>10.06396687109493</v>
      </c>
      <c r="S109" s="18">
        <f t="shared" ca="1" si="72"/>
        <v>10.116035572411866</v>
      </c>
      <c r="T109" s="18">
        <f t="shared" ca="1" si="72"/>
        <v>10.193626746338248</v>
      </c>
      <c r="U109" s="18">
        <f t="shared" ca="1" si="72"/>
        <v>10.216412266460457</v>
      </c>
      <c r="V109" s="18">
        <f t="shared" ca="1" si="72"/>
        <v>10.188597378209357</v>
      </c>
      <c r="W109" s="18">
        <f t="shared" ca="1" si="72"/>
        <v>10.24827018795621</v>
      </c>
      <c r="X109" s="18">
        <f t="shared" ca="1" si="72"/>
        <v>10.29681722592656</v>
      </c>
      <c r="Y109" s="18">
        <f t="shared" ca="1" si="72"/>
        <v>10.321279134517564</v>
      </c>
      <c r="Z109" s="18">
        <f t="shared" ca="1" si="72"/>
        <v>10.517742430013502</v>
      </c>
      <c r="AA109" s="18">
        <f t="shared" ca="1" si="72"/>
        <v>10.698654809854762</v>
      </c>
      <c r="AB109" s="18">
        <f t="shared" ca="1" si="72"/>
        <v>10.885143991899454</v>
      </c>
      <c r="AC109" s="18">
        <f t="shared" ca="1" si="72"/>
        <v>11.060590077101036</v>
      </c>
      <c r="AD109" s="18">
        <f t="shared" ca="1" si="72"/>
        <v>11.234014007065552</v>
      </c>
      <c r="AE109" s="18">
        <f t="shared" ca="1" si="72"/>
        <v>11.400523605338392</v>
      </c>
      <c r="AF109" s="18">
        <f t="shared" ca="1" si="72"/>
        <v>11.562188304568073</v>
      </c>
      <c r="AG109" s="18">
        <f t="shared" ca="1" si="72"/>
        <v>11.719074007168162</v>
      </c>
      <c r="AH109" s="18">
        <f t="shared" ca="1" si="72"/>
        <v>11.873558915401823</v>
      </c>
      <c r="AI109" s="18">
        <f t="shared" ca="1" si="72"/>
        <v>12.020881471894885</v>
      </c>
      <c r="AJ109" s="18">
        <f t="shared" ca="1" si="72"/>
        <v>12.695599470630544</v>
      </c>
      <c r="AK109" s="18">
        <f t="shared" ca="1" si="72"/>
        <v>13.276653663065616</v>
      </c>
      <c r="AL109" s="18">
        <f ca="1">IF($E$78=1,AL90,AL82)</f>
        <v>15.701074143115957</v>
      </c>
      <c r="AM109" s="18">
        <f ca="1">IF($E$78=1,AM90,AM82)</f>
        <v>16.508602468841083</v>
      </c>
      <c r="AN109" s="5"/>
      <c r="AO109" s="5"/>
      <c r="AP109" s="5"/>
      <c r="AQ109" s="5"/>
      <c r="AR109" s="5"/>
      <c r="AS109" s="5"/>
      <c r="AY109">
        <f t="shared" si="71"/>
        <v>2</v>
      </c>
    </row>
    <row r="110" spans="1:51">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0">
        <f>INDEX('BY-DMD'!$I$5:$I$138,MATCH(D110,'BY-DMD'!$H$5:$H$138,0))</f>
        <v>7.1740496070211197</v>
      </c>
      <c r="M110" s="18">
        <f t="shared" ref="M110:AM110" ca="1" si="73">OFFSET(M$33,$AY110,$L$95)/OFFSET(L$33,$AY110,$L$95)*L110</f>
        <v>7.3676156028773683</v>
      </c>
      <c r="N110" s="18">
        <f t="shared" ca="1" si="73"/>
        <v>7.5667200193811892</v>
      </c>
      <c r="O110" s="18">
        <f t="shared" ca="1" si="73"/>
        <v>7.9516709180179346</v>
      </c>
      <c r="P110" s="18">
        <f t="shared" ca="1" si="73"/>
        <v>7.1753999718139045</v>
      </c>
      <c r="Q110" s="18">
        <f t="shared" ca="1" si="73"/>
        <v>7.5719021807785536</v>
      </c>
      <c r="R110" s="18">
        <f t="shared" ca="1" si="73"/>
        <v>7.7595427626787945</v>
      </c>
      <c r="S110" s="18">
        <f t="shared" ca="1" si="73"/>
        <v>7.9066466509642241</v>
      </c>
      <c r="T110" s="18">
        <f t="shared" ca="1" si="73"/>
        <v>8.0780667305938234</v>
      </c>
      <c r="U110" s="18">
        <f t="shared" ca="1" si="73"/>
        <v>8.2102769841120349</v>
      </c>
      <c r="V110" s="18">
        <f t="shared" ca="1" si="73"/>
        <v>8.3050229599841057</v>
      </c>
      <c r="W110" s="18">
        <f t="shared" ca="1" si="73"/>
        <v>8.4748667224760936</v>
      </c>
      <c r="X110" s="18">
        <f t="shared" ca="1" si="73"/>
        <v>8.6403755702647977</v>
      </c>
      <c r="Y110" s="18">
        <f t="shared" ca="1" si="73"/>
        <v>8.7903180906672791</v>
      </c>
      <c r="Z110" s="18">
        <f t="shared" ca="1" si="73"/>
        <v>8.9576398768569891</v>
      </c>
      <c r="AA110" s="18">
        <f t="shared" ca="1" si="73"/>
        <v>9.1117174233139888</v>
      </c>
      <c r="AB110" s="18">
        <f t="shared" ca="1" si="73"/>
        <v>9.270544561818447</v>
      </c>
      <c r="AC110" s="18">
        <f t="shared" ca="1" si="73"/>
        <v>9.4199666321436784</v>
      </c>
      <c r="AD110" s="18">
        <f t="shared" ca="1" si="73"/>
        <v>9.5676664946368319</v>
      </c>
      <c r="AE110" s="18">
        <f t="shared" ca="1" si="73"/>
        <v>9.7094776320832086</v>
      </c>
      <c r="AF110" s="18">
        <f t="shared" ca="1" si="73"/>
        <v>9.8471625170417401</v>
      </c>
      <c r="AG110" s="18">
        <f t="shared" ca="1" si="73"/>
        <v>9.9807772765845328</v>
      </c>
      <c r="AH110" s="18">
        <f t="shared" ca="1" si="73"/>
        <v>10.112347352917411</v>
      </c>
      <c r="AI110" s="18">
        <f t="shared" ca="1" si="73"/>
        <v>10.237817473105656</v>
      </c>
      <c r="AJ110" s="18">
        <f t="shared" ca="1" si="73"/>
        <v>10.812454177828602</v>
      </c>
      <c r="AK110" s="18">
        <f t="shared" ca="1" si="73"/>
        <v>11.307320280455212</v>
      </c>
      <c r="AL110" s="18">
        <f t="shared" ca="1" si="73"/>
        <v>11.633748862654388</v>
      </c>
      <c r="AM110" s="18">
        <f t="shared" ca="1" si="73"/>
        <v>12.232088928775589</v>
      </c>
      <c r="AN110" s="5"/>
      <c r="AO110" s="5"/>
      <c r="AP110" s="5"/>
      <c r="AQ110" s="5"/>
      <c r="AR110" s="5"/>
      <c r="AS110" s="5"/>
      <c r="AY110">
        <f t="shared" si="71"/>
        <v>2</v>
      </c>
    </row>
    <row r="111" spans="1:51">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0">
        <f>INDEX('BY-DMD'!$I$5:$I$138,MATCH(D111,'BY-DMD'!$H$5:$H$138,0))</f>
        <v>4.3678647382810798</v>
      </c>
      <c r="M111" s="18">
        <f t="shared" ref="M111:AM111" ca="1" si="74">OFFSET(M$33,$AY111,$L$95)/OFFSET(L$33,$AY111,$L$95)*L111</f>
        <v>4.48571590103347</v>
      </c>
      <c r="N111" s="18">
        <f t="shared" ca="1" si="74"/>
        <v>4.606939088454971</v>
      </c>
      <c r="O111" s="18">
        <f t="shared" ca="1" si="74"/>
        <v>4.8413134722729314</v>
      </c>
      <c r="P111" s="18">
        <f t="shared" ca="1" si="74"/>
        <v>4.3686868974638715</v>
      </c>
      <c r="Q111" s="18">
        <f t="shared" ca="1" si="74"/>
        <v>4.6100942074289852</v>
      </c>
      <c r="R111" s="18">
        <f t="shared" ca="1" si="74"/>
        <v>4.724337727623003</v>
      </c>
      <c r="S111" s="18">
        <f t="shared" ca="1" si="74"/>
        <v>4.8139007947472017</v>
      </c>
      <c r="T111" s="18">
        <f t="shared" ca="1" si="74"/>
        <v>4.9182685873137162</v>
      </c>
      <c r="U111" s="18">
        <f t="shared" ca="1" si="74"/>
        <v>4.9987637798499138</v>
      </c>
      <c r="V111" s="18">
        <f t="shared" ca="1" si="74"/>
        <v>5.056449136067779</v>
      </c>
      <c r="W111" s="18">
        <f t="shared" ca="1" si="74"/>
        <v>5.1598572001101166</v>
      </c>
      <c r="X111" s="18">
        <f t="shared" ca="1" si="74"/>
        <v>5.2606259847895958</v>
      </c>
      <c r="Y111" s="18">
        <f t="shared" ca="1" si="74"/>
        <v>5.3519173311714248</v>
      </c>
      <c r="Z111" s="18">
        <f t="shared" ca="1" si="74"/>
        <v>5.4537899094051996</v>
      </c>
      <c r="AA111" s="18">
        <f t="shared" ca="1" si="74"/>
        <v>5.5475988344887046</v>
      </c>
      <c r="AB111" s="18">
        <f t="shared" ca="1" si="74"/>
        <v>5.6442995120358406</v>
      </c>
      <c r="AC111" s="18">
        <f t="shared" ca="1" si="74"/>
        <v>5.7352739864046534</v>
      </c>
      <c r="AD111" s="18">
        <f t="shared" ca="1" si="74"/>
        <v>5.8251999078258585</v>
      </c>
      <c r="AE111" s="18">
        <f t="shared" ca="1" si="74"/>
        <v>5.9115405244479335</v>
      </c>
      <c r="AF111" s="18">
        <f t="shared" ca="1" si="74"/>
        <v>5.9953689040866927</v>
      </c>
      <c r="AG111" s="18">
        <f t="shared" ca="1" si="74"/>
        <v>6.0767192192768329</v>
      </c>
      <c r="AH111" s="18">
        <f t="shared" ca="1" si="74"/>
        <v>6.1568246448742387</v>
      </c>
      <c r="AI111" s="18">
        <f t="shared" ca="1" si="74"/>
        <v>6.2332161592487374</v>
      </c>
      <c r="AJ111" s="18">
        <f t="shared" ca="1" si="74"/>
        <v>6.583079282222541</v>
      </c>
      <c r="AK111" s="18">
        <f t="shared" ca="1" si="74"/>
        <v>6.8843746897310041</v>
      </c>
      <c r="AL111" s="18">
        <f t="shared" ca="1" si="74"/>
        <v>7.0831182128256129</v>
      </c>
      <c r="AM111" s="18">
        <f t="shared" ca="1" si="74"/>
        <v>7.4474129444586099</v>
      </c>
      <c r="AN111" s="5"/>
      <c r="AO111" s="5"/>
      <c r="AP111" s="5"/>
      <c r="AQ111" s="5"/>
      <c r="AR111" s="5"/>
      <c r="AS111" s="5"/>
      <c r="AY111">
        <f t="shared" si="71"/>
        <v>2</v>
      </c>
    </row>
    <row r="112" spans="1:51">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0">
        <f>INDEX('BY-DMD'!$I$5:$I$138,MATCH(D112,'BY-DMD'!$H$5:$H$138,0))</f>
        <v>6.4871161947221303</v>
      </c>
      <c r="M112" s="18">
        <f t="shared" ref="M112:AM112" ca="1" si="75">OFFSET(M$33,$AY112,$L$95)/OFFSET(L$33,$AY112,$L$95)*L112</f>
        <v>6.6621477564272054</v>
      </c>
      <c r="N112" s="18">
        <f t="shared" ca="1" si="75"/>
        <v>6.8421874209813174</v>
      </c>
      <c r="O112" s="18">
        <f t="shared" ca="1" si="75"/>
        <v>7.1902782964995575</v>
      </c>
      <c r="P112" s="18">
        <f t="shared" ca="1" si="75"/>
        <v>6.4883372586673094</v>
      </c>
      <c r="Q112" s="18">
        <f t="shared" ca="1" si="75"/>
        <v>6.8468733773052888</v>
      </c>
      <c r="R112" s="18">
        <f t="shared" ca="1" si="75"/>
        <v>7.0165468984419199</v>
      </c>
      <c r="S112" s="18">
        <f t="shared" ca="1" si="75"/>
        <v>7.1495652170034569</v>
      </c>
      <c r="T112" s="18">
        <f t="shared" ca="1" si="75"/>
        <v>7.3045713900270473</v>
      </c>
      <c r="U112" s="18">
        <f t="shared" ca="1" si="75"/>
        <v>7.4241221770563044</v>
      </c>
      <c r="V112" s="18">
        <f t="shared" ca="1" si="75"/>
        <v>7.5097959858717527</v>
      </c>
      <c r="W112" s="18">
        <f t="shared" ca="1" si="75"/>
        <v>7.6633767781143947</v>
      </c>
      <c r="X112" s="18">
        <f t="shared" ca="1" si="75"/>
        <v>7.8130377347112256</v>
      </c>
      <c r="Y112" s="18">
        <f t="shared" ca="1" si="75"/>
        <v>7.9486228791780871</v>
      </c>
      <c r="Z112" s="18">
        <f t="shared" ca="1" si="75"/>
        <v>8.0999231807342422</v>
      </c>
      <c r="AA112" s="18">
        <f t="shared" ca="1" si="75"/>
        <v>8.2392474120423227</v>
      </c>
      <c r="AB112" s="18">
        <f t="shared" ca="1" si="75"/>
        <v>8.382866449934852</v>
      </c>
      <c r="AC112" s="18">
        <f t="shared" ca="1" si="75"/>
        <v>8.5179809787369756</v>
      </c>
      <c r="AD112" s="18">
        <f t="shared" ca="1" si="75"/>
        <v>8.6515382054670287</v>
      </c>
      <c r="AE112" s="18">
        <f t="shared" ca="1" si="75"/>
        <v>8.7797705674819255</v>
      </c>
      <c r="AF112" s="18">
        <f t="shared" ca="1" si="75"/>
        <v>8.9042717761310559</v>
      </c>
      <c r="AG112" s="18">
        <f t="shared" ca="1" si="75"/>
        <v>9.0250925841772762</v>
      </c>
      <c r="AH112" s="18">
        <f t="shared" ca="1" si="75"/>
        <v>9.1440644926074217</v>
      </c>
      <c r="AI112" s="18">
        <f t="shared" ca="1" si="75"/>
        <v>9.2575205311369437</v>
      </c>
      <c r="AJ112" s="18">
        <f t="shared" ca="1" si="75"/>
        <v>9.7771343165841085</v>
      </c>
      <c r="AK112" s="18">
        <f t="shared" ca="1" si="75"/>
        <v>10.224615737039619</v>
      </c>
      <c r="AL112" s="18">
        <f t="shared" ca="1" si="75"/>
        <v>10.519787956079201</v>
      </c>
      <c r="AM112" s="18">
        <f t="shared" ca="1" si="75"/>
        <v>11.060835446061317</v>
      </c>
      <c r="AN112" s="5"/>
      <c r="AO112" s="5"/>
      <c r="AP112" s="5"/>
      <c r="AQ112" s="5"/>
      <c r="AR112" s="5"/>
      <c r="AS112" s="5"/>
      <c r="AY112">
        <f t="shared" si="71"/>
        <v>2</v>
      </c>
    </row>
    <row r="113" spans="1:51">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0">
        <f>INDEX('BY-DMD'!$I$5:$I$138,MATCH(D113,'BY-DMD'!$H$5:$H$138,0))</f>
        <v>7.7618829459684902</v>
      </c>
      <c r="M113" s="18">
        <f t="shared" ref="M113:AK113" ca="1" si="76">IF(OR($E$78=1,$E$78=2,$E$78=3),M92,M84)</f>
        <v>7.971309515961206</v>
      </c>
      <c r="N113" s="18">
        <f t="shared" ca="1" si="76"/>
        <v>8.1867283183926158</v>
      </c>
      <c r="O113" s="18">
        <f t="shared" ca="1" si="76"/>
        <v>8.6032216490547775</v>
      </c>
      <c r="P113" s="18">
        <f t="shared" ca="1" si="76"/>
        <v>7.7532516109472374</v>
      </c>
      <c r="Q113" s="18">
        <f t="shared" ca="1" si="76"/>
        <v>8.1710350288493245</v>
      </c>
      <c r="R113" s="18">
        <f t="shared" ca="1" si="76"/>
        <v>8.3626088667056475</v>
      </c>
      <c r="S113" s="18">
        <f t="shared" ca="1" si="76"/>
        <v>8.5100247032036993</v>
      </c>
      <c r="T113" s="18">
        <f t="shared" ca="1" si="76"/>
        <v>8.6831643563036227</v>
      </c>
      <c r="U113" s="18">
        <f t="shared" ca="1" si="76"/>
        <v>8.8137300602602799</v>
      </c>
      <c r="V113" s="18">
        <f t="shared" ca="1" si="76"/>
        <v>8.9037586539887243</v>
      </c>
      <c r="W113" s="18">
        <f t="shared" ca="1" si="76"/>
        <v>9.0739269233119764</v>
      </c>
      <c r="X113" s="18">
        <f t="shared" ca="1" si="76"/>
        <v>9.2389821768783964</v>
      </c>
      <c r="Y113" s="18">
        <f t="shared" ca="1" si="76"/>
        <v>9.3869489765826444</v>
      </c>
      <c r="Z113" s="18">
        <f t="shared" ca="1" si="76"/>
        <v>9.5656275014589003</v>
      </c>
      <c r="AA113" s="18">
        <f t="shared" ca="1" si="76"/>
        <v>9.7301628518422341</v>
      </c>
      <c r="AB113" s="18">
        <f t="shared" ca="1" si="76"/>
        <v>9.8997701663739868</v>
      </c>
      <c r="AC113" s="18">
        <f t="shared" ca="1" si="76"/>
        <v>10.059334056514375</v>
      </c>
      <c r="AD113" s="18">
        <f t="shared" ca="1" si="76"/>
        <v>10.217058846308216</v>
      </c>
      <c r="AE113" s="18">
        <f t="shared" ca="1" si="76"/>
        <v>10.368495221851168</v>
      </c>
      <c r="AF113" s="18">
        <f t="shared" ca="1" si="76"/>
        <v>10.515525281130204</v>
      </c>
      <c r="AG113" s="18">
        <f t="shared" ca="1" si="76"/>
        <v>10.658208960766117</v>
      </c>
      <c r="AH113" s="18">
        <f t="shared" ca="1" si="76"/>
        <v>10.798709177099935</v>
      </c>
      <c r="AI113" s="18">
        <f t="shared" ca="1" si="76"/>
        <v>10.932695411061502</v>
      </c>
      <c r="AJ113" s="18">
        <f t="shared" ca="1" si="76"/>
        <v>11.546334800634085</v>
      </c>
      <c r="AK113" s="18">
        <f t="shared" ca="1" si="76"/>
        <v>12.074789266977938</v>
      </c>
      <c r="AL113" s="18">
        <f ca="1">IF($E$78=1,AL92,AL84)</f>
        <v>12.587004807764725</v>
      </c>
      <c r="AM113" s="18">
        <f ca="1">IF($E$78=1,AM92,AM84)</f>
        <v>13.234372167835748</v>
      </c>
      <c r="AN113" s="5"/>
      <c r="AO113" s="5"/>
      <c r="AP113" s="5"/>
      <c r="AQ113" s="5"/>
      <c r="AR113" s="5"/>
      <c r="AS113" s="5"/>
      <c r="AY113">
        <f t="shared" si="71"/>
        <v>2</v>
      </c>
    </row>
    <row r="114" spans="1:51" s="248" customFormat="1">
      <c r="A114" s="251" t="str">
        <f>'[12]TS BYDem'!A32</f>
        <v/>
      </c>
      <c r="B114" s="251" t="str">
        <f>'[12]TS BYDem'!B32</f>
        <v>COM_PROJ</v>
      </c>
      <c r="C114" s="251" t="str">
        <f>'[12]TS BYDem'!C32</f>
        <v>-</v>
      </c>
      <c r="D114" s="251" t="str">
        <f>'[12]TS BYDem'!D32</f>
        <v>RHEL</v>
      </c>
      <c r="E114" s="250" t="s">
        <v>125</v>
      </c>
      <c r="F114" s="250" t="s">
        <v>125</v>
      </c>
      <c r="G114" s="250" t="s">
        <v>125</v>
      </c>
      <c r="H114" s="250" t="s">
        <v>125</v>
      </c>
      <c r="I114" s="250">
        <v>0</v>
      </c>
      <c r="J114" s="250"/>
      <c r="K114" s="250"/>
      <c r="L114" s="270">
        <f>INDEX('BY-DMD'!$I$5:$I$138,MATCH(D114,'BY-DMD'!$H$5:$H$138,0))</f>
        <v>18.7538979805365</v>
      </c>
      <c r="M114" s="18">
        <f t="shared" ref="M114:AM114" ca="1" si="77">OFFSET(M$33,$AY114,$L$95)/OFFSET(L$33,$AY114,$L$95)*L114</f>
        <v>19.447177083989232</v>
      </c>
      <c r="N114" s="18">
        <f t="shared" ca="1" si="77"/>
        <v>19.734761620292947</v>
      </c>
      <c r="O114" s="18">
        <f t="shared" ca="1" si="77"/>
        <v>16.6666309106954</v>
      </c>
      <c r="P114" s="18">
        <f t="shared" ca="1" si="77"/>
        <v>18.123612096307102</v>
      </c>
      <c r="Q114" s="18">
        <f t="shared" ca="1" si="77"/>
        <v>19.559061242302366</v>
      </c>
      <c r="R114" s="18">
        <f t="shared" ca="1" si="77"/>
        <v>20.398591994704965</v>
      </c>
      <c r="S114" s="18">
        <f t="shared" ca="1" si="77"/>
        <v>21.266216453143922</v>
      </c>
      <c r="T114" s="18">
        <f t="shared" ca="1" si="77"/>
        <v>21.966640001969555</v>
      </c>
      <c r="U114" s="18">
        <f t="shared" ca="1" si="77"/>
        <v>22.516481652702915</v>
      </c>
      <c r="V114" s="18">
        <f t="shared" ca="1" si="77"/>
        <v>23.707599289434729</v>
      </c>
      <c r="W114" s="18">
        <f t="shared" ca="1" si="77"/>
        <v>24.929270648701877</v>
      </c>
      <c r="X114" s="18">
        <f t="shared" ca="1" si="77"/>
        <v>26.12641894511615</v>
      </c>
      <c r="Y114" s="18">
        <f t="shared" ca="1" si="77"/>
        <v>27.417478080681541</v>
      </c>
      <c r="Z114" s="18">
        <f t="shared" ca="1" si="77"/>
        <v>28.624227707549355</v>
      </c>
      <c r="AA114" s="18">
        <f t="shared" ca="1" si="77"/>
        <v>29.821707387452761</v>
      </c>
      <c r="AB114" s="18">
        <f t="shared" ca="1" si="77"/>
        <v>30.967974910090323</v>
      </c>
      <c r="AC114" s="18">
        <f t="shared" ca="1" si="77"/>
        <v>32.120490993636714</v>
      </c>
      <c r="AD114" s="18">
        <f t="shared" ca="1" si="77"/>
        <v>33.260531677050693</v>
      </c>
      <c r="AE114" s="18">
        <f t="shared" ca="1" si="77"/>
        <v>34.383286264709369</v>
      </c>
      <c r="AF114" s="18">
        <f t="shared" ca="1" si="77"/>
        <v>35.466723858336401</v>
      </c>
      <c r="AG114" s="18">
        <f t="shared" ca="1" si="77"/>
        <v>36.525286061411364</v>
      </c>
      <c r="AH114" s="18">
        <f t="shared" ca="1" si="77"/>
        <v>37.540117275579732</v>
      </c>
      <c r="AI114" s="18">
        <f t="shared" ca="1" si="77"/>
        <v>38.523604953960778</v>
      </c>
      <c r="AJ114" s="18">
        <f t="shared" ca="1" si="77"/>
        <v>42.817056805026084</v>
      </c>
      <c r="AK114" s="18">
        <f t="shared" ca="1" si="77"/>
        <v>46.070713238759502</v>
      </c>
      <c r="AL114" s="18">
        <f t="shared" ca="1" si="77"/>
        <v>49.207941810826114</v>
      </c>
      <c r="AM114" s="18">
        <f t="shared" ca="1" si="77"/>
        <v>50.439201934353456</v>
      </c>
      <c r="AN114" s="249"/>
      <c r="AO114" s="249"/>
      <c r="AP114" s="249"/>
      <c r="AR114" s="249"/>
      <c r="AS114" s="249"/>
      <c r="AY114" s="248">
        <f t="shared" si="71"/>
        <v>3</v>
      </c>
    </row>
    <row r="115" spans="1:51">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0">
        <f>INDEX('BY-DMD'!$I$5:$I$138,MATCH(D115,'BY-DMD'!$H$5:$H$138,0))</f>
        <v>7.6194416260697402</v>
      </c>
      <c r="M115" s="18">
        <f t="shared" ref="M115:AM115" ca="1" si="78">OFFSET(M$33,$AY115,$L$95)/OFFSET(L$33,$AY115,$L$95)*L115</f>
        <v>7.9011110509975246</v>
      </c>
      <c r="N115" s="18">
        <f t="shared" ca="1" si="78"/>
        <v>8.0179525518524741</v>
      </c>
      <c r="O115" s="18">
        <f t="shared" ca="1" si="78"/>
        <v>6.7714147458351635</v>
      </c>
      <c r="P115" s="18">
        <f t="shared" ca="1" si="78"/>
        <v>7.3633654488608329</v>
      </c>
      <c r="Q115" s="18">
        <f t="shared" ca="1" si="78"/>
        <v>7.9465679908845628</v>
      </c>
      <c r="R115" s="18">
        <f t="shared" ca="1" si="78"/>
        <v>8.2876573776275642</v>
      </c>
      <c r="S115" s="18">
        <f t="shared" ca="1" si="78"/>
        <v>8.6401608369770262</v>
      </c>
      <c r="T115" s="18">
        <f t="shared" ca="1" si="78"/>
        <v>8.924732948297045</v>
      </c>
      <c r="U115" s="18">
        <f t="shared" ca="1" si="78"/>
        <v>9.1481257792537161</v>
      </c>
      <c r="V115" s="18">
        <f t="shared" ca="1" si="78"/>
        <v>9.6320599092292145</v>
      </c>
      <c r="W115" s="18">
        <f t="shared" ca="1" si="78"/>
        <v>10.128407581475164</v>
      </c>
      <c r="X115" s="18">
        <f t="shared" ca="1" si="78"/>
        <v>10.614791882581214</v>
      </c>
      <c r="Y115" s="18">
        <f t="shared" ca="1" si="78"/>
        <v>11.139330820003925</v>
      </c>
      <c r="Z115" s="18">
        <f t="shared" ca="1" si="78"/>
        <v>11.629616004915533</v>
      </c>
      <c r="AA115" s="18">
        <f t="shared" ca="1" si="78"/>
        <v>12.116134942413117</v>
      </c>
      <c r="AB115" s="18">
        <f t="shared" ca="1" si="78"/>
        <v>12.581847109860165</v>
      </c>
      <c r="AC115" s="18">
        <f t="shared" ca="1" si="78"/>
        <v>13.050097978602336</v>
      </c>
      <c r="AD115" s="18">
        <f t="shared" ca="1" si="78"/>
        <v>13.513280269965582</v>
      </c>
      <c r="AE115" s="18">
        <f t="shared" ca="1" si="78"/>
        <v>13.969439466840052</v>
      </c>
      <c r="AF115" s="18">
        <f t="shared" ca="1" si="78"/>
        <v>14.409624729055842</v>
      </c>
      <c r="AG115" s="18">
        <f t="shared" ca="1" si="78"/>
        <v>14.839703474405971</v>
      </c>
      <c r="AH115" s="18">
        <f t="shared" ca="1" si="78"/>
        <v>15.252014941850998</v>
      </c>
      <c r="AI115" s="18">
        <f t="shared" ca="1" si="78"/>
        <v>15.651591977151094</v>
      </c>
      <c r="AJ115" s="18">
        <f t="shared" ca="1" si="78"/>
        <v>17.395960309936346</v>
      </c>
      <c r="AK115" s="18">
        <f t="shared" ca="1" si="78"/>
        <v>18.717874575111889</v>
      </c>
      <c r="AL115" s="18">
        <f t="shared" ca="1" si="78"/>
        <v>19.992485858446589</v>
      </c>
      <c r="AM115" s="18">
        <f t="shared" ca="1" si="78"/>
        <v>20.492729309032725</v>
      </c>
      <c r="AN115" s="5"/>
      <c r="AO115" s="5"/>
      <c r="AP115" s="5"/>
      <c r="AR115" s="5"/>
      <c r="AS115" s="5"/>
      <c r="AY115">
        <f t="shared" si="71"/>
        <v>3</v>
      </c>
    </row>
    <row r="116" spans="1:51">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0">
        <f>INDEX('BY-DMD'!$I$5:$I$138,MATCH(D116,'BY-DMD'!$H$5:$H$138,0))</f>
        <v>5.1732793164602802</v>
      </c>
      <c r="M116" s="18">
        <f t="shared" ref="M116:AM116" ca="1" si="79">IF(OR($E$78=1,$E$78=2,$E$78=3),M91,M83)</f>
        <v>5.3645209692701856</v>
      </c>
      <c r="N116" s="18">
        <f t="shared" ca="1" si="79"/>
        <v>5.4438514175288821</v>
      </c>
      <c r="O116" s="18">
        <f t="shared" ca="1" si="79"/>
        <v>4.5975048523171873</v>
      </c>
      <c r="P116" s="18">
        <f t="shared" ca="1" si="79"/>
        <v>4.9344220116079383</v>
      </c>
      <c r="Q116" s="18">
        <f t="shared" ca="1" si="79"/>
        <v>5.2551043209863195</v>
      </c>
      <c r="R116" s="18">
        <f t="shared" ca="1" si="79"/>
        <v>5.4075177975466744</v>
      </c>
      <c r="S116" s="18">
        <f t="shared" ca="1" si="79"/>
        <v>5.5612567469122736</v>
      </c>
      <c r="T116" s="18">
        <f t="shared" ca="1" si="79"/>
        <v>5.6656484321425218</v>
      </c>
      <c r="U116" s="18">
        <f t="shared" ca="1" si="79"/>
        <v>5.7267184196801786</v>
      </c>
      <c r="V116" s="18">
        <f t="shared" ca="1" si="79"/>
        <v>5.9446438364648886</v>
      </c>
      <c r="W116" s="18">
        <f t="shared" ca="1" si="79"/>
        <v>6.1615781422226554</v>
      </c>
      <c r="X116" s="18">
        <f t="shared" ca="1" si="79"/>
        <v>6.3637772331383662</v>
      </c>
      <c r="Y116" s="18">
        <f t="shared" ca="1" si="79"/>
        <v>6.5799279167458025</v>
      </c>
      <c r="Z116" s="18">
        <f t="shared" ca="1" si="79"/>
        <v>6.8695360832950403</v>
      </c>
      <c r="AA116" s="18">
        <f t="shared" ca="1" si="79"/>
        <v>7.1569195527864986</v>
      </c>
      <c r="AB116" s="18">
        <f t="shared" ca="1" si="79"/>
        <v>7.4320126029228764</v>
      </c>
      <c r="AC116" s="18">
        <f t="shared" ca="1" si="79"/>
        <v>7.7086052468673536</v>
      </c>
      <c r="AD116" s="18">
        <f t="shared" ca="1" si="79"/>
        <v>7.9822039161886975</v>
      </c>
      <c r="AE116" s="18">
        <f t="shared" ca="1" si="79"/>
        <v>8.2516540907543536</v>
      </c>
      <c r="AF116" s="18">
        <f t="shared" ca="1" si="79"/>
        <v>8.5116685693792675</v>
      </c>
      <c r="AG116" s="18">
        <f t="shared" ca="1" si="79"/>
        <v>8.7657131963551027</v>
      </c>
      <c r="AH116" s="18">
        <f t="shared" ca="1" si="79"/>
        <v>9.0092628115765159</v>
      </c>
      <c r="AI116" s="18">
        <f t="shared" ca="1" si="79"/>
        <v>9.2452902832393669</v>
      </c>
      <c r="AJ116" s="18">
        <f t="shared" ca="1" si="79"/>
        <v>10.275676944291684</v>
      </c>
      <c r="AK116" s="18">
        <f t="shared" ca="1" si="79"/>
        <v>11.056522824311074</v>
      </c>
      <c r="AL116" s="18">
        <f t="shared" ca="1" si="79"/>
        <v>11.80942715058821</v>
      </c>
      <c r="AM116" s="18">
        <f t="shared" ca="1" si="79"/>
        <v>12.104917597803405</v>
      </c>
      <c r="AN116" s="5"/>
      <c r="AO116" s="5"/>
      <c r="AP116" s="5"/>
      <c r="AR116" s="5"/>
      <c r="AS116" s="5"/>
      <c r="AY116">
        <f t="shared" si="71"/>
        <v>3</v>
      </c>
    </row>
    <row r="117" spans="1:51">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0">
        <f>INDEX('BY-DMD'!$I$5:$I$138,MATCH(D117,'BY-DMD'!$H$5:$H$138,0))</f>
        <v>34.754847546913702</v>
      </c>
      <c r="M117" s="18">
        <f t="shared" ref="M117:AM117" ca="1" si="80">OFFSET(M$33,$AY117,$L$95)/OFFSET(L$33,$AY117,$L$95)*L117</f>
        <v>36.039636958318582</v>
      </c>
      <c r="N117" s="18">
        <f t="shared" ca="1" si="80"/>
        <v>36.572590519570682</v>
      </c>
      <c r="O117" s="18">
        <f t="shared" ca="1" si="80"/>
        <v>30.886710433375583</v>
      </c>
      <c r="P117" s="18">
        <f t="shared" ca="1" si="80"/>
        <v>33.586797585241797</v>
      </c>
      <c r="Q117" s="18">
        <f t="shared" ca="1" si="80"/>
        <v>36.246981419140724</v>
      </c>
      <c r="R117" s="18">
        <f t="shared" ca="1" si="80"/>
        <v>37.802805351902855</v>
      </c>
      <c r="S117" s="18">
        <f t="shared" ca="1" si="80"/>
        <v>39.410692726160441</v>
      </c>
      <c r="T117" s="18">
        <f t="shared" ca="1" si="80"/>
        <v>40.708722270896544</v>
      </c>
      <c r="U117" s="18">
        <f t="shared" ca="1" si="80"/>
        <v>41.727692447977276</v>
      </c>
      <c r="V117" s="18">
        <f t="shared" ca="1" si="80"/>
        <v>43.93507951588272</v>
      </c>
      <c r="W117" s="18">
        <f t="shared" ca="1" si="80"/>
        <v>46.199088944100048</v>
      </c>
      <c r="X117" s="18">
        <f t="shared" ca="1" si="80"/>
        <v>48.417652070342207</v>
      </c>
      <c r="Y117" s="18">
        <f t="shared" ca="1" si="80"/>
        <v>50.810251383679294</v>
      </c>
      <c r="Z117" s="18">
        <f t="shared" ca="1" si="80"/>
        <v>53.046607758903967</v>
      </c>
      <c r="AA117" s="18">
        <f t="shared" ca="1" si="80"/>
        <v>55.265785007215911</v>
      </c>
      <c r="AB117" s="18">
        <f t="shared" ca="1" si="80"/>
        <v>57.390055547590649</v>
      </c>
      <c r="AC117" s="18">
        <f t="shared" ca="1" si="80"/>
        <v>59.525905962293351</v>
      </c>
      <c r="AD117" s="18">
        <f t="shared" ca="1" si="80"/>
        <v>61.638636883110621</v>
      </c>
      <c r="AE117" s="18">
        <f t="shared" ca="1" si="80"/>
        <v>63.719333097154909</v>
      </c>
      <c r="AF117" s="18">
        <f t="shared" ca="1" si="80"/>
        <v>65.727166798297034</v>
      </c>
      <c r="AG117" s="18">
        <f t="shared" ca="1" si="80"/>
        <v>67.688901261445849</v>
      </c>
      <c r="AH117" s="18">
        <f t="shared" ca="1" si="80"/>
        <v>69.569593167249948</v>
      </c>
      <c r="AI117" s="18">
        <f t="shared" ca="1" si="80"/>
        <v>71.392199025609401</v>
      </c>
      <c r="AJ117" s="18">
        <f t="shared" ca="1" si="80"/>
        <v>79.348852340491106</v>
      </c>
      <c r="AK117" s="18">
        <f t="shared" ca="1" si="80"/>
        <v>85.378549923457527</v>
      </c>
      <c r="AL117" s="18">
        <f t="shared" ca="1" si="80"/>
        <v>91.192482624550195</v>
      </c>
      <c r="AM117" s="18">
        <f t="shared" ca="1" si="80"/>
        <v>93.47426201399756</v>
      </c>
      <c r="AN117" s="5"/>
      <c r="AO117" s="5"/>
      <c r="AP117" s="5"/>
      <c r="AR117" s="5"/>
      <c r="AS117" s="5"/>
      <c r="AY117">
        <f t="shared" si="71"/>
        <v>3</v>
      </c>
    </row>
    <row r="118" spans="1:51">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0">
        <f>INDEX('BY-DMD'!$I$5:$I$138,MATCH(D118,'BY-DMD'!$H$5:$H$138,0))</f>
        <v>8.0408397122186805</v>
      </c>
      <c r="M118" s="18">
        <f t="shared" ref="M118:AM118" ca="1" si="81">OFFSET(M$33,$AY118,$L$95)/OFFSET(L$33,$AY118,$L$95)*L118</f>
        <v>8.338087044612168</v>
      </c>
      <c r="N118" s="18">
        <f t="shared" ca="1" si="81"/>
        <v>8.4613905393059543</v>
      </c>
      <c r="O118" s="18">
        <f t="shared" ca="1" si="81"/>
        <v>7.145912163684339</v>
      </c>
      <c r="P118" s="18">
        <f t="shared" ca="1" si="81"/>
        <v>7.7706010784571866</v>
      </c>
      <c r="Q118" s="18">
        <f t="shared" ca="1" si="81"/>
        <v>8.3860580095958799</v>
      </c>
      <c r="R118" s="18">
        <f t="shared" ca="1" si="81"/>
        <v>8.7460115627480608</v>
      </c>
      <c r="S118" s="18">
        <f t="shared" ca="1" si="81"/>
        <v>9.1180104510830926</v>
      </c>
      <c r="T118" s="18">
        <f t="shared" ca="1" si="81"/>
        <v>9.4183210047938672</v>
      </c>
      <c r="U118" s="18">
        <f t="shared" ca="1" si="81"/>
        <v>9.6540687189617245</v>
      </c>
      <c r="V118" s="18">
        <f t="shared" ca="1" si="81"/>
        <v>10.164767135114847</v>
      </c>
      <c r="W118" s="18">
        <f t="shared" ca="1" si="81"/>
        <v>10.688565632423002</v>
      </c>
      <c r="X118" s="18">
        <f t="shared" ca="1" si="81"/>
        <v>11.201849727986129</v>
      </c>
      <c r="Y118" s="18">
        <f t="shared" ca="1" si="81"/>
        <v>11.75539862639919</v>
      </c>
      <c r="Z118" s="18">
        <f t="shared" ca="1" si="81"/>
        <v>12.272799346638482</v>
      </c>
      <c r="AA118" s="18">
        <f t="shared" ca="1" si="81"/>
        <v>12.786225524744777</v>
      </c>
      <c r="AB118" s="18">
        <f t="shared" ca="1" si="81"/>
        <v>13.277694201092293</v>
      </c>
      <c r="AC118" s="18">
        <f t="shared" ca="1" si="81"/>
        <v>13.771841983231688</v>
      </c>
      <c r="AD118" s="18">
        <f t="shared" ca="1" si="81"/>
        <v>14.260640867082595</v>
      </c>
      <c r="AE118" s="18">
        <f t="shared" ca="1" si="81"/>
        <v>14.742028239717929</v>
      </c>
      <c r="AF118" s="18">
        <f t="shared" ca="1" si="81"/>
        <v>15.206558229034723</v>
      </c>
      <c r="AG118" s="18">
        <f t="shared" ca="1" si="81"/>
        <v>15.660422754114929</v>
      </c>
      <c r="AH118" s="18">
        <f t="shared" ca="1" si="81"/>
        <v>16.095537370636407</v>
      </c>
      <c r="AI118" s="18">
        <f t="shared" ca="1" si="81"/>
        <v>16.517213269108893</v>
      </c>
      <c r="AJ118" s="18">
        <f t="shared" ca="1" si="81"/>
        <v>18.358055006777185</v>
      </c>
      <c r="AK118" s="18">
        <f t="shared" ca="1" si="81"/>
        <v>19.753078584778489</v>
      </c>
      <c r="AL118" s="18">
        <f t="shared" ca="1" si="81"/>
        <v>21.098183059312838</v>
      </c>
      <c r="AM118" s="18">
        <f t="shared" ca="1" si="81"/>
        <v>21.626092793470765</v>
      </c>
      <c r="AN118" s="5"/>
      <c r="AO118" s="5"/>
      <c r="AP118" s="5"/>
      <c r="AR118" s="5"/>
      <c r="AS118" s="5"/>
      <c r="AY118">
        <f t="shared" si="71"/>
        <v>3</v>
      </c>
    </row>
    <row r="119" spans="1:51">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0">
        <f>INDEX('BY-DMD'!$I$5:$I$138,MATCH(D119,'BY-DMD'!$H$5:$H$138,0))</f>
        <v>14.27502736796</v>
      </c>
      <c r="M119" s="18">
        <f t="shared" ref="M119:AM119" ca="1" si="82">IF(OR($E$78=1,$E$78=2,$E$78=3),M93,M85)</f>
        <v>14.80273516426419</v>
      </c>
      <c r="N119" s="18">
        <f t="shared" ca="1" si="82"/>
        <v>15.021637769503817</v>
      </c>
      <c r="O119" s="18">
        <f t="shared" ca="1" si="82"/>
        <v>12.686248620355284</v>
      </c>
      <c r="P119" s="18">
        <f t="shared" ca="1" si="82"/>
        <v>13.615930042022969</v>
      </c>
      <c r="Q119" s="18">
        <f t="shared" ca="1" si="82"/>
        <v>14.500813394103259</v>
      </c>
      <c r="R119" s="18">
        <f t="shared" ca="1" si="82"/>
        <v>14.921379618359186</v>
      </c>
      <c r="S119" s="18">
        <f t="shared" ca="1" si="82"/>
        <v>15.345603321636235</v>
      </c>
      <c r="T119" s="18">
        <f t="shared" ca="1" si="82"/>
        <v>15.633659324896637</v>
      </c>
      <c r="U119" s="18">
        <f t="shared" ca="1" si="82"/>
        <v>15.802174436904458</v>
      </c>
      <c r="V119" s="18">
        <f t="shared" ca="1" si="82"/>
        <v>16.403512794738266</v>
      </c>
      <c r="W119" s="18">
        <f t="shared" ca="1" si="82"/>
        <v>17.002116303713379</v>
      </c>
      <c r="X119" s="18">
        <f t="shared" ca="1" si="82"/>
        <v>17.560059801450784</v>
      </c>
      <c r="Y119" s="18">
        <f t="shared" ca="1" si="82"/>
        <v>18.156501001577325</v>
      </c>
      <c r="Z119" s="18">
        <f t="shared" ca="1" si="82"/>
        <v>18.95563908219885</v>
      </c>
      <c r="AA119" s="18">
        <f t="shared" ca="1" si="82"/>
        <v>19.748638385181945</v>
      </c>
      <c r="AB119" s="18">
        <f t="shared" ca="1" si="82"/>
        <v>20.507723789083801</v>
      </c>
      <c r="AC119" s="18">
        <f t="shared" ca="1" si="82"/>
        <v>21.270947137477336</v>
      </c>
      <c r="AD119" s="18">
        <f t="shared" ca="1" si="82"/>
        <v>22.025908981500088</v>
      </c>
      <c r="AE119" s="18">
        <f t="shared" ca="1" si="82"/>
        <v>22.769423564984475</v>
      </c>
      <c r="AF119" s="18">
        <f t="shared" ca="1" si="82"/>
        <v>23.486901507191575</v>
      </c>
      <c r="AG119" s="18">
        <f t="shared" ca="1" si="82"/>
        <v>24.18790637874848</v>
      </c>
      <c r="AH119" s="18">
        <f t="shared" ca="1" si="82"/>
        <v>24.859951557457414</v>
      </c>
      <c r="AI119" s="18">
        <f t="shared" ca="1" si="82"/>
        <v>25.511240307101613</v>
      </c>
      <c r="AJ119" s="18">
        <f t="shared" ca="1" si="82"/>
        <v>28.354465442713845</v>
      </c>
      <c r="AK119" s="18">
        <f t="shared" ca="1" si="82"/>
        <v>30.509113515159783</v>
      </c>
      <c r="AL119" s="18">
        <f t="shared" ca="1" si="82"/>
        <v>32.586660310065021</v>
      </c>
      <c r="AM119" s="18">
        <f t="shared" ca="1" si="82"/>
        <v>33.402029819990084</v>
      </c>
      <c r="AN119" s="5"/>
      <c r="AO119" s="5"/>
      <c r="AP119" s="5"/>
      <c r="AR119" s="5"/>
      <c r="AS119" s="5"/>
      <c r="AY119">
        <f t="shared" si="71"/>
        <v>3</v>
      </c>
    </row>
    <row r="120" spans="1:51">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51">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51">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51">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51">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51">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51">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51">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51">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73296304208503"/>
  </sheetPr>
  <dimension ref="A1:CL269"/>
  <sheetViews>
    <sheetView topLeftCell="A42" zoomScale="85" zoomScaleNormal="85" workbookViewId="0">
      <selection activeCell="V72" sqref="V72"/>
    </sheetView>
  </sheetViews>
  <sheetFormatPr defaultColWidth="9.140625" defaultRowHeight="15"/>
  <cols>
    <col min="1" max="1" width="9.140625" style="71"/>
    <col min="2" max="2" width="32.42578125" style="71" customWidth="1"/>
    <col min="3" max="3" width="31.85546875" style="71" customWidth="1"/>
    <col min="4" max="4" width="12" style="71" customWidth="1"/>
    <col min="5" max="5" width="13.42578125" style="71" customWidth="1"/>
    <col min="6" max="6" width="9.140625" style="71"/>
    <col min="7" max="7" width="12.7109375" style="71" customWidth="1"/>
    <col min="8" max="8" width="8.140625" style="71" customWidth="1"/>
    <col min="9" max="11" width="9.140625" style="71"/>
    <col min="12" max="12" width="14.5703125" style="71" customWidth="1"/>
    <col min="13" max="13" width="6.85546875" style="70" customWidth="1"/>
    <col min="14" max="14" width="6.85546875" style="71" customWidth="1"/>
    <col min="15" max="15" width="8.42578125" style="71" customWidth="1"/>
    <col min="16" max="18" width="16.140625" style="71" customWidth="1"/>
    <col min="19" max="23" width="11.85546875" style="71" customWidth="1"/>
    <col min="24" max="42" width="6.85546875" style="71" customWidth="1"/>
    <col min="43" max="43" width="9.42578125" style="71" customWidth="1"/>
    <col min="44" max="49" width="6.85546875" style="71" customWidth="1"/>
    <col min="50" max="50" width="9.85546875" style="71" customWidth="1"/>
    <col min="51" max="51" width="17.85546875" style="71" bestFit="1" customWidth="1"/>
    <col min="52" max="16384" width="9.140625" style="71"/>
  </cols>
  <sheetData>
    <row r="1" spans="1:70" customFormat="1">
      <c r="A1" t="str">
        <f>IF(COM,"TS DATA","")</f>
        <v>TS DATA</v>
      </c>
      <c r="B1" t="s">
        <v>17</v>
      </c>
      <c r="L1" s="32"/>
    </row>
    <row r="2" spans="1:70" customFormat="1" ht="15.75" thickBot="1">
      <c r="A2" t="s">
        <v>16</v>
      </c>
      <c r="B2" s="362" t="s">
        <v>280</v>
      </c>
      <c r="C2" s="362"/>
      <c r="L2" s="32"/>
    </row>
    <row r="3" spans="1:70">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75" thickBot="1">
      <c r="A4" t="s">
        <v>16</v>
      </c>
      <c r="B4" s="68" t="s">
        <v>11</v>
      </c>
      <c r="C4" s="68"/>
      <c r="D4" s="68"/>
      <c r="E4" s="69"/>
      <c r="F4" s="69"/>
      <c r="G4" s="69"/>
      <c r="H4" s="69"/>
      <c r="I4" s="69"/>
      <c r="J4" s="69"/>
      <c r="K4" s="69"/>
      <c r="L4" s="70">
        <v>2012</v>
      </c>
      <c r="M4" s="71">
        <f>L4+1</f>
        <v>2013</v>
      </c>
      <c r="N4" s="71">
        <f>M4+1</f>
        <v>2014</v>
      </c>
      <c r="O4" s="71">
        <f t="shared" ref="O4:AT4" si="0">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ref="AY4:BO4" si="1">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ref="BR4" si="2">BQ4+1</f>
        <v>2070</v>
      </c>
    </row>
    <row r="5" spans="1:70" customFormat="1">
      <c r="A5" t="s">
        <v>16</v>
      </c>
      <c r="C5">
        <v>1</v>
      </c>
      <c r="D5">
        <v>2012</v>
      </c>
      <c r="E5">
        <v>2017</v>
      </c>
      <c r="F5">
        <v>2020</v>
      </c>
      <c r="G5">
        <v>2030</v>
      </c>
      <c r="H5">
        <v>2040</v>
      </c>
      <c r="I5" s="71">
        <v>2050</v>
      </c>
      <c r="J5" s="71">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1">
        <v>5</v>
      </c>
      <c r="J7" s="71">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1"/>
      <c r="K8" t="s">
        <v>378</v>
      </c>
      <c r="L8" s="4">
        <f>IF(ISNA(L5),-1,IF(ISNA(L7),99,IF(ISNA(L6),L5,0)))</f>
        <v>0</v>
      </c>
      <c r="M8" s="4">
        <f t="shared" ref="M8:AX8" si="6">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ref="AY8:BR8" si="7">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70">
      <c r="A9" t="s">
        <v>16</v>
      </c>
      <c r="B9" s="71" t="s">
        <v>9</v>
      </c>
      <c r="C9" s="71" t="s">
        <v>10</v>
      </c>
      <c r="L9" s="70"/>
      <c r="M9" s="71"/>
    </row>
    <row r="10" spans="1:70">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v>
      </c>
      <c r="T10" s="5" cm="1">
        <f t="array" ref="T10">INDEX(Drivers!$C$7:$AG$27,$E$10,T3)</f>
        <v>2570.58</v>
      </c>
      <c r="U10" s="5" cm="1">
        <f t="array" ref="U10">INDEX(Drivers!$C$7:$AG$27,$E$10,U3)</f>
        <v>2662.9252402640709</v>
      </c>
      <c r="V10" s="5" cm="1">
        <f t="array" ref="V10">INDEX(Drivers!$C$7:$AG$27,$E$10,V3)</f>
        <v>2767.8804543374972</v>
      </c>
      <c r="W10" s="5" cm="1">
        <f t="array" ref="W10">INDEX(Drivers!$C$7:$AG$27,$E$10,W3)</f>
        <v>2808.9096433371542</v>
      </c>
      <c r="X10" s="5" cm="1">
        <f t="array" ref="X10">INDEX(Drivers!$C$7:$AG$27,$E$10,X3)</f>
        <v>2864.4343802475973</v>
      </c>
      <c r="Y10" s="5" cm="1">
        <f t="array" ref="Y10">INDEX(Drivers!$C$7:$AG$27,$E$10,Y3)</f>
        <v>2920.6767645440164</v>
      </c>
      <c r="Z10" s="5" cm="1">
        <f t="array" ref="Z10">INDEX(Drivers!$C$7:$AG$27,$E$10,Z3)</f>
        <v>2986.0440755992977</v>
      </c>
      <c r="AA10" s="5" cm="1">
        <f t="array" ref="AA10">INDEX(Drivers!$C$7:$AG$27,$E$10,AA3)</f>
        <v>3071.3768764539382</v>
      </c>
      <c r="AB10" s="5" cm="1">
        <f t="array" ref="AB10">INDEX(Drivers!$C$7:$AG$27,$E$10,AB3)</f>
        <v>3167.4591922833911</v>
      </c>
      <c r="AC10" s="5" cm="1">
        <f t="array" ref="AC10">INDEX(Drivers!$C$7:$AG$27,$E$10,AC3)</f>
        <v>3273.930007448505</v>
      </c>
      <c r="AD10" s="5" cm="1">
        <f t="array" ref="AD10">INDEX(Drivers!$C$7:$AG$27,$E$10,AD3)</f>
        <v>3398.0144759896702</v>
      </c>
      <c r="AE10" s="5" cm="1">
        <f t="array" ref="AE10">INDEX(Drivers!$C$7:$AG$27,$E$10,AE3)</f>
        <v>3529.16499897522</v>
      </c>
      <c r="AF10" s="5" cm="1">
        <f t="array" ref="AF10">INDEX(Drivers!$C$7:$AG$27,$E$10,AF3)</f>
        <v>3668.5665787775183</v>
      </c>
      <c r="AG10" s="5" cm="1">
        <f t="array" ref="AG10">INDEX(Drivers!$C$7:$AG$27,$E$10,AG3)</f>
        <v>3811.5340717598383</v>
      </c>
      <c r="AH10" s="5" cm="1">
        <f t="array" ref="AH10">INDEX(Drivers!$C$7:$AG$27,$E$10,AH3)</f>
        <v>3962.2414712721747</v>
      </c>
      <c r="AI10" s="5" cm="1">
        <f t="array" ref="AI10">INDEX(Drivers!$C$7:$AG$27,$E$10,AI3)</f>
        <v>4123.8348279310476</v>
      </c>
      <c r="AJ10" s="5" cm="1">
        <f t="array" ref="AJ10">INDEX(Drivers!$C$7:$AG$27,$E$10,AJ3)</f>
        <v>4289.088828862491</v>
      </c>
      <c r="AK10" s="5" cm="1">
        <f t="array" ref="AK10">INDEX(Drivers!$C$7:$AG$27,$E$10,AK3)</f>
        <v>4461.869549346834</v>
      </c>
      <c r="AL10" s="5" cm="1">
        <f t="array" ref="AL10">INDEX(Drivers!$C$7:$AG$27,$E$10,AL3)</f>
        <v>4644.061078713049</v>
      </c>
      <c r="AM10" s="5" cm="1">
        <f t="array" ref="AM10">INDEX(Drivers!$C$7:$AG$27,$E$10,AM3)</f>
        <v>4833.889792709334</v>
      </c>
      <c r="AN10" s="5" cm="1">
        <f t="array" ref="AN10">INDEX(Drivers!$C$7:$AG$27,$E$10,AN3)</f>
        <v>5028.6937328798494</v>
      </c>
      <c r="AO10" s="5">
        <f>(AS10-AN10)/5+AN10</f>
        <v>5233.1437651937767</v>
      </c>
      <c r="AP10" s="5">
        <f>(AS10-AN10)/5+AO10</f>
        <v>5437.593797507704</v>
      </c>
      <c r="AQ10" s="5">
        <f>(AS10-AN10)/5+AP10</f>
        <v>5642.0438298216313</v>
      </c>
      <c r="AR10" s="5">
        <f>(AS10-AN10)/5+AQ10</f>
        <v>5846.4938621355586</v>
      </c>
      <c r="AS10" s="5" cm="1">
        <f t="array" ref="AS10">INDEX(Drivers!$C$7:$AG$27,$E$10,AS3)</f>
        <v>6050.943894449485</v>
      </c>
      <c r="AT10" s="5">
        <f>(AX10-AS10)/5+AS10</f>
        <v>6260.3274654012703</v>
      </c>
      <c r="AU10" s="5">
        <f>(AX10-AS10)/5+AT10</f>
        <v>6469.7110363530555</v>
      </c>
      <c r="AV10" s="5">
        <f>(AX10-AS10)/5+AU10</f>
        <v>6679.0946073048408</v>
      </c>
      <c r="AW10" s="5">
        <f>(AX10-AS10)/5+AV10</f>
        <v>6888.4781782566261</v>
      </c>
      <c r="AX10" s="5" cm="1">
        <f t="array" ref="AX10">INDEX(Drivers!$C$7:$AG$27,$E$10,AX3)</f>
        <v>7097.8617492084104</v>
      </c>
      <c r="AY10" s="5">
        <f>($BH10-$AX10)/10+AX10</f>
        <v>7307.9682205942872</v>
      </c>
      <c r="AZ10" s="5">
        <f t="shared" ref="AZ10:BG10" si="8">($BH10-$AX10)/10+AY10</f>
        <v>7518.0746919801641</v>
      </c>
      <c r="BA10" s="5">
        <f t="shared" si="8"/>
        <v>7728.1811633660409</v>
      </c>
      <c r="BB10" s="5">
        <f t="shared" si="8"/>
        <v>7938.2876347519177</v>
      </c>
      <c r="BC10" s="5">
        <f t="shared" si="8"/>
        <v>8148.3941061377946</v>
      </c>
      <c r="BD10" s="5">
        <f t="shared" si="8"/>
        <v>8358.5005775236714</v>
      </c>
      <c r="BE10" s="5">
        <f t="shared" si="8"/>
        <v>8568.6070489095473</v>
      </c>
      <c r="BF10" s="5">
        <f t="shared" si="8"/>
        <v>8778.7135202954232</v>
      </c>
      <c r="BG10" s="5">
        <f t="shared" si="8"/>
        <v>8988.8199916812991</v>
      </c>
      <c r="BH10" s="5" cm="1">
        <f t="array" ref="BH10">INDEX(Drivers!$C$7:$AK$27,$E$10,BH3)</f>
        <v>9198.9264630671769</v>
      </c>
      <c r="BI10" s="5">
        <f>($BR10-$BH10)/10+BH10</f>
        <v>9281.3477534906415</v>
      </c>
      <c r="BJ10" s="5">
        <f t="shared" ref="BJ10:BQ10" si="9">($BR10-$BH10)/10+BI10</f>
        <v>9363.7690439141061</v>
      </c>
      <c r="BK10" s="5">
        <f t="shared" si="9"/>
        <v>9446.1903343375707</v>
      </c>
      <c r="BL10" s="5">
        <f t="shared" si="9"/>
        <v>9528.6116247610353</v>
      </c>
      <c r="BM10" s="5">
        <f t="shared" si="9"/>
        <v>9611.0329151844999</v>
      </c>
      <c r="BN10" s="5">
        <f t="shared" si="9"/>
        <v>9693.4542056079645</v>
      </c>
      <c r="BO10" s="5">
        <f t="shared" si="9"/>
        <v>9775.8754960314291</v>
      </c>
      <c r="BP10" s="5">
        <f t="shared" si="9"/>
        <v>9858.2967864548937</v>
      </c>
      <c r="BQ10" s="5">
        <f t="shared" si="9"/>
        <v>9940.7180768783583</v>
      </c>
      <c r="BR10" s="5" cm="1">
        <f t="array" ref="BR10">INDEX(Drivers!$C$7:$AK$27,$E$10,BR3)</f>
        <v>10023.139367301817</v>
      </c>
    </row>
    <row r="11" spans="1:70">
      <c r="A11" t="s">
        <v>16</v>
      </c>
      <c r="B11" s="74" t="s">
        <v>213</v>
      </c>
      <c r="C11" s="75"/>
      <c r="D11" s="75"/>
      <c r="E11" s="75"/>
      <c r="F11" s="75"/>
      <c r="G11" s="75"/>
      <c r="H11" s="75"/>
      <c r="I11" s="75"/>
      <c r="J11" s="75"/>
      <c r="K11" s="75"/>
      <c r="L11" s="216" t="str">
        <f t="shared" ref="L11:BR11" si="10">INDEX($C$14:$C$18,MATCH(L$12,$B$14:$B$18,0))</f>
        <v>A</v>
      </c>
      <c r="M11" s="216" t="str">
        <f t="shared" si="10"/>
        <v>A</v>
      </c>
      <c r="N11" s="216" t="str">
        <f t="shared" si="10"/>
        <v>A</v>
      </c>
      <c r="O11" s="216" t="str">
        <f t="shared" si="10"/>
        <v>A</v>
      </c>
      <c r="P11" s="216" t="str">
        <f t="shared" si="10"/>
        <v>A</v>
      </c>
      <c r="Q11" s="216" t="str">
        <f t="shared" si="10"/>
        <v>A</v>
      </c>
      <c r="R11" s="216" t="str">
        <f t="shared" si="10"/>
        <v>B</v>
      </c>
      <c r="S11" s="216" t="str">
        <f t="shared" si="10"/>
        <v>B</v>
      </c>
      <c r="T11" s="216" t="str">
        <f t="shared" si="10"/>
        <v>B</v>
      </c>
      <c r="U11" s="216" t="str">
        <f t="shared" si="10"/>
        <v>B</v>
      </c>
      <c r="V11" s="216" t="str">
        <f t="shared" si="10"/>
        <v>B</v>
      </c>
      <c r="W11" s="216" t="str">
        <f t="shared" si="10"/>
        <v>B</v>
      </c>
      <c r="X11" s="216" t="str">
        <f t="shared" si="10"/>
        <v>B</v>
      </c>
      <c r="Y11" s="216" t="str">
        <f t="shared" si="10"/>
        <v>B</v>
      </c>
      <c r="Z11" s="216" t="str">
        <f t="shared" si="10"/>
        <v>B</v>
      </c>
      <c r="AA11" s="216" t="str">
        <f t="shared" si="10"/>
        <v>B</v>
      </c>
      <c r="AB11" s="216" t="str">
        <f t="shared" si="10"/>
        <v>B</v>
      </c>
      <c r="AC11" s="216" t="str">
        <f t="shared" si="10"/>
        <v>B</v>
      </c>
      <c r="AD11" s="216" t="str">
        <f t="shared" si="10"/>
        <v>B</v>
      </c>
      <c r="AE11" s="216" t="str">
        <f t="shared" si="10"/>
        <v>C</v>
      </c>
      <c r="AF11" s="216" t="str">
        <f t="shared" si="10"/>
        <v>C</v>
      </c>
      <c r="AG11" s="216" t="str">
        <f t="shared" si="10"/>
        <v>C</v>
      </c>
      <c r="AH11" s="216" t="str">
        <f t="shared" si="10"/>
        <v>C</v>
      </c>
      <c r="AI11" s="216" t="str">
        <f t="shared" si="10"/>
        <v>C</v>
      </c>
      <c r="AJ11" s="216" t="str">
        <f t="shared" si="10"/>
        <v>C</v>
      </c>
      <c r="AK11" s="216" t="str">
        <f t="shared" si="10"/>
        <v>C</v>
      </c>
      <c r="AL11" s="216" t="str">
        <f t="shared" si="10"/>
        <v>C</v>
      </c>
      <c r="AM11" s="216" t="str">
        <f t="shared" si="10"/>
        <v>C</v>
      </c>
      <c r="AN11" s="216" t="str">
        <f t="shared" si="10"/>
        <v>C</v>
      </c>
      <c r="AO11" s="216" t="str">
        <f t="shared" si="10"/>
        <v>D</v>
      </c>
      <c r="AP11" s="216" t="str">
        <f t="shared" si="10"/>
        <v>D</v>
      </c>
      <c r="AQ11" s="216" t="str">
        <f t="shared" si="10"/>
        <v>D</v>
      </c>
      <c r="AR11" s="216" t="str">
        <f t="shared" si="10"/>
        <v>D</v>
      </c>
      <c r="AS11" s="216" t="str">
        <f t="shared" si="10"/>
        <v>D</v>
      </c>
      <c r="AT11" s="216" t="str">
        <f t="shared" si="10"/>
        <v>D</v>
      </c>
      <c r="AU11" s="216" t="str">
        <f t="shared" si="10"/>
        <v>D</v>
      </c>
      <c r="AV11" s="216" t="str">
        <f t="shared" si="10"/>
        <v>D</v>
      </c>
      <c r="AW11" s="216" t="str">
        <f t="shared" si="10"/>
        <v>D</v>
      </c>
      <c r="AX11" s="216" t="str">
        <f t="shared" si="10"/>
        <v>D</v>
      </c>
      <c r="AY11" s="216" t="str">
        <f t="shared" si="10"/>
        <v>D</v>
      </c>
      <c r="AZ11" s="216" t="str">
        <f t="shared" si="10"/>
        <v>D</v>
      </c>
      <c r="BA11" s="216" t="str">
        <f t="shared" si="10"/>
        <v>D</v>
      </c>
      <c r="BB11" s="216" t="str">
        <f t="shared" si="10"/>
        <v>D</v>
      </c>
      <c r="BC11" s="216" t="str">
        <f t="shared" si="10"/>
        <v>D</v>
      </c>
      <c r="BD11" s="216" t="str">
        <f t="shared" si="10"/>
        <v>D</v>
      </c>
      <c r="BE11" s="216" t="str">
        <f t="shared" si="10"/>
        <v>D</v>
      </c>
      <c r="BF11" s="216" t="str">
        <f t="shared" si="10"/>
        <v>D</v>
      </c>
      <c r="BG11" s="216" t="str">
        <f t="shared" si="10"/>
        <v>D</v>
      </c>
      <c r="BH11" s="216" t="str">
        <f t="shared" si="10"/>
        <v>D</v>
      </c>
      <c r="BI11" s="216" t="str">
        <f t="shared" si="10"/>
        <v>D</v>
      </c>
      <c r="BJ11" s="216" t="str">
        <f t="shared" si="10"/>
        <v>D</v>
      </c>
      <c r="BK11" s="216" t="str">
        <f t="shared" si="10"/>
        <v>D</v>
      </c>
      <c r="BL11" s="216" t="str">
        <f t="shared" si="10"/>
        <v>D</v>
      </c>
      <c r="BM11" s="216" t="str">
        <f t="shared" si="10"/>
        <v>D</v>
      </c>
      <c r="BN11" s="216" t="str">
        <f t="shared" si="10"/>
        <v>D</v>
      </c>
      <c r="BO11" s="216" t="str">
        <f t="shared" si="10"/>
        <v>D</v>
      </c>
      <c r="BP11" s="216" t="str">
        <f t="shared" si="10"/>
        <v>D</v>
      </c>
      <c r="BQ11" s="216" t="str">
        <f t="shared" si="10"/>
        <v>D</v>
      </c>
      <c r="BR11" s="216" t="str">
        <f t="shared" si="10"/>
        <v>D</v>
      </c>
    </row>
    <row r="12" spans="1:70">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70">
      <c r="A13" t="s">
        <v>16</v>
      </c>
      <c r="B13" s="363" t="s">
        <v>214</v>
      </c>
      <c r="C13" s="364"/>
      <c r="D13" s="71" t="s">
        <v>215</v>
      </c>
      <c r="E13" s="71" t="s">
        <v>216</v>
      </c>
      <c r="L13" s="70"/>
      <c r="M13" s="71"/>
    </row>
    <row r="14" spans="1:70">
      <c r="A14" t="s">
        <v>16</v>
      </c>
      <c r="B14" s="1">
        <v>1</v>
      </c>
      <c r="C14" s="71" t="s">
        <v>97</v>
      </c>
      <c r="D14" s="76">
        <v>2012</v>
      </c>
      <c r="E14" s="76">
        <f>D14+5</f>
        <v>2017</v>
      </c>
      <c r="L14" s="70"/>
      <c r="M14" s="71"/>
      <c r="R14" s="71">
        <f>R10/Q10</f>
        <v>1.016232006845156</v>
      </c>
      <c r="S14" s="71">
        <f t="shared" ref="S14:V14" si="11">S10/R10</f>
        <v>1.0132880512724867</v>
      </c>
      <c r="T14" s="71">
        <f t="shared" si="11"/>
        <v>0.93596801677808361</v>
      </c>
      <c r="U14" s="71">
        <f t="shared" si="11"/>
        <v>1.0359238927650845</v>
      </c>
      <c r="V14" s="71">
        <f t="shared" si="11"/>
        <v>1.0394135037989345</v>
      </c>
    </row>
    <row r="15" spans="1:70">
      <c r="A15" t="s">
        <v>16</v>
      </c>
      <c r="B15" s="1">
        <v>2</v>
      </c>
      <c r="C15" s="71" t="s">
        <v>217</v>
      </c>
      <c r="D15" s="76">
        <f>E14+1</f>
        <v>2018</v>
      </c>
      <c r="E15" s="76">
        <v>2030</v>
      </c>
      <c r="L15" s="70"/>
      <c r="M15" s="71"/>
    </row>
    <row r="16" spans="1:70">
      <c r="A16" t="s">
        <v>16</v>
      </c>
      <c r="B16" s="1">
        <v>3</v>
      </c>
      <c r="C16" s="71" t="s">
        <v>100</v>
      </c>
      <c r="D16" s="76">
        <v>2031</v>
      </c>
      <c r="E16" s="76">
        <v>2040</v>
      </c>
      <c r="L16" s="70"/>
      <c r="M16" s="71"/>
    </row>
    <row r="17" spans="1:70">
      <c r="A17" t="s">
        <v>16</v>
      </c>
      <c r="B17" s="1">
        <v>4</v>
      </c>
      <c r="C17" s="71" t="s">
        <v>218</v>
      </c>
      <c r="D17" s="76">
        <v>2041</v>
      </c>
      <c r="E17" s="76">
        <v>2070</v>
      </c>
      <c r="L17" s="70"/>
      <c r="M17" s="71"/>
    </row>
    <row r="18" spans="1:70">
      <c r="A18" t="s">
        <v>16</v>
      </c>
      <c r="B18" s="1"/>
      <c r="L18" s="70"/>
      <c r="M18" s="71"/>
    </row>
    <row r="19" spans="1:70" ht="15.75" thickBot="1">
      <c r="A19" t="s">
        <v>16</v>
      </c>
      <c r="B19" s="68" t="s">
        <v>493</v>
      </c>
      <c r="C19" s="68" t="s">
        <v>219</v>
      </c>
      <c r="D19" s="68"/>
      <c r="E19" s="69"/>
      <c r="F19" s="69"/>
      <c r="G19" s="69"/>
      <c r="H19" s="69"/>
      <c r="I19" s="69"/>
      <c r="J19" s="69"/>
      <c r="K19" s="69"/>
      <c r="L19" s="70"/>
      <c r="M19" s="71"/>
    </row>
    <row r="20" spans="1:70">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70">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9.5" thickBot="1">
      <c r="A22" t="s">
        <v>16</v>
      </c>
      <c r="B22" s="145" t="s">
        <v>61</v>
      </c>
      <c r="C22" s="68"/>
      <c r="D22" s="68"/>
      <c r="E22" s="81">
        <v>2006</v>
      </c>
      <c r="F22" s="81">
        <v>2010</v>
      </c>
      <c r="G22" s="81">
        <v>2020</v>
      </c>
      <c r="H22" s="81">
        <v>2030</v>
      </c>
      <c r="I22" s="81">
        <v>2050</v>
      </c>
      <c r="L22" s="70">
        <f t="shared" ref="L22:BR22" si="1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c r="A23" t="s">
        <v>16</v>
      </c>
      <c r="B23" s="1" t="str">
        <f>B10</f>
        <v>COM</v>
      </c>
      <c r="C23" s="71" t="str">
        <f>C10</f>
        <v>Commercial</v>
      </c>
      <c r="D23" s="71" t="s">
        <v>62</v>
      </c>
      <c r="L23" s="180">
        <f>[13]Forecast!I$8</f>
        <v>132.81549000000001</v>
      </c>
      <c r="M23" s="180">
        <f>[13]Forecast!J$8</f>
        <v>134.00787500000001</v>
      </c>
      <c r="N23" s="180">
        <f>[13]Forecast!K$8</f>
        <v>135.598851</v>
      </c>
      <c r="O23" s="180">
        <f>[13]Forecast!L$8</f>
        <v>136.99421599999999</v>
      </c>
      <c r="P23" s="180">
        <f>[13]Forecast!M$8</f>
        <v>138.328236</v>
      </c>
      <c r="Q23" s="181">
        <f>IF(Q10/P10&lt;1,P23,(1+$B$20*(Q10/P10-1))*P23)</f>
        <v>139.22563422464734</v>
      </c>
      <c r="R23" s="263">
        <f t="shared" ref="R23:AQ23" si="13">IF(R10/Q10&lt;1,Q23,(1+$B$20*(R10/Q10-1))*Q23)</f>
        <v>140.22718478624111</v>
      </c>
      <c r="S23" s="263">
        <f t="shared" si="13"/>
        <v>141.05298495459101</v>
      </c>
      <c r="T23" s="263">
        <f t="shared" si="13"/>
        <v>141.05298495459101</v>
      </c>
      <c r="U23" s="263">
        <f t="shared" si="13"/>
        <v>143.29866111748234</v>
      </c>
      <c r="V23" s="263">
        <f t="shared" si="13"/>
        <v>145.80170598252931</v>
      </c>
      <c r="W23" s="181">
        <f t="shared" si="13"/>
        <v>146.75953869666026</v>
      </c>
      <c r="X23" s="181">
        <f t="shared" si="13"/>
        <v>148.04522949305954</v>
      </c>
      <c r="Y23" s="181">
        <f t="shared" si="13"/>
        <v>149.33348118081204</v>
      </c>
      <c r="Z23" s="181">
        <f t="shared" si="13"/>
        <v>150.81468823105257</v>
      </c>
      <c r="AA23" s="181">
        <f t="shared" si="13"/>
        <v>152.7247388820758</v>
      </c>
      <c r="AB23" s="181">
        <f t="shared" si="13"/>
        <v>154.84213055035576</v>
      </c>
      <c r="AC23" s="181">
        <f t="shared" si="13"/>
        <v>157.14882539931207</v>
      </c>
      <c r="AD23" s="181">
        <f t="shared" si="13"/>
        <v>159.78844065916809</v>
      </c>
      <c r="AE23" s="181">
        <f t="shared" si="13"/>
        <v>162.52164195120591</v>
      </c>
      <c r="AF23" s="181">
        <f t="shared" si="13"/>
        <v>165.36668203911947</v>
      </c>
      <c r="AG23" s="181">
        <f t="shared" si="13"/>
        <v>168.22276202417942</v>
      </c>
      <c r="AH23" s="181">
        <f t="shared" si="13"/>
        <v>171.17058219158702</v>
      </c>
      <c r="AI23" s="181">
        <f t="shared" si="13"/>
        <v>174.26438869160472</v>
      </c>
      <c r="AJ23" s="181">
        <f t="shared" si="13"/>
        <v>177.35924738518358</v>
      </c>
      <c r="AK23" s="181">
        <f t="shared" si="13"/>
        <v>180.52564561302879</v>
      </c>
      <c r="AL23" s="181">
        <f t="shared" si="13"/>
        <v>183.79251428510085</v>
      </c>
      <c r="AM23" s="181">
        <f t="shared" si="13"/>
        <v>187.12197011956579</v>
      </c>
      <c r="AN23" s="181">
        <f t="shared" si="13"/>
        <v>190.46397615658904</v>
      </c>
      <c r="AO23" s="181">
        <f t="shared" si="13"/>
        <v>193.89581037740291</v>
      </c>
      <c r="AP23" s="181">
        <f t="shared" si="13"/>
        <v>197.25298861720333</v>
      </c>
      <c r="AQ23" s="181">
        <f t="shared" si="13"/>
        <v>200.5398808923197</v>
      </c>
      <c r="AR23" s="82">
        <f t="shared" ref="AR23:AX23" si="14">(1+$B$20*(AR10/AQ10-1))*AQ23</f>
        <v>203.76045233218974</v>
      </c>
      <c r="AS23" s="82">
        <f t="shared" si="14"/>
        <v>206.91831353952259</v>
      </c>
      <c r="AT23" s="82">
        <f t="shared" si="14"/>
        <v>210.09153120199849</v>
      </c>
      <c r="AU23" s="82">
        <f t="shared" si="14"/>
        <v>213.2056527125126</v>
      </c>
      <c r="AV23" s="82">
        <f t="shared" si="14"/>
        <v>216.26365559288232</v>
      </c>
      <c r="AW23" s="82">
        <f t="shared" si="14"/>
        <v>219.26827870478661</v>
      </c>
      <c r="AX23" s="82">
        <f t="shared" si="14"/>
        <v>222.22204805221489</v>
      </c>
      <c r="AY23" s="82">
        <f t="shared" ref="AY23" si="15">(1+$B$20*(AY10/AX10-1))*AX23</f>
        <v>225.1373295454629</v>
      </c>
      <c r="AZ23" s="82">
        <f t="shared" ref="AZ23" si="16">(1+$B$20*(AZ10/AY10-1))*AY23</f>
        <v>228.00594111799347</v>
      </c>
      <c r="BA23" s="82">
        <f t="shared" ref="BA23" si="17">(1+$B$20*(BA10/AZ10-1))*AZ23</f>
        <v>230.8299132926854</v>
      </c>
      <c r="BB23" s="82">
        <f t="shared" ref="BB23" si="18">(1+$B$20*(BB10/BA10-1))*BA23</f>
        <v>233.61113544597018</v>
      </c>
      <c r="BC23" s="82">
        <f t="shared" ref="BC23" si="19">(1+$B$20*(BC10/BB10-1))*BB23</f>
        <v>236.35136909536271</v>
      </c>
      <c r="BD23" s="82">
        <f t="shared" ref="BD23" si="20">(1+$B$20*(BD10/BC10-1))*BC23</f>
        <v>239.05225962573817</v>
      </c>
      <c r="BE23" s="82">
        <f t="shared" ref="BE23" si="21">(1+$B$20*(BE10/BD10-1))*BD23</f>
        <v>241.71534667243287</v>
      </c>
      <c r="BF23" s="82">
        <f t="shared" ref="BF23" si="22">(1+$B$20*(BF10/BE10-1))*BE23</f>
        <v>244.34207334418491</v>
      </c>
      <c r="BG23" s="82">
        <f t="shared" ref="BG23" si="23">(1+$B$20*(BG10/BF10-1))*BF23</f>
        <v>246.93379444020968</v>
      </c>
      <c r="BH23" s="82">
        <f t="shared" ref="BH23" si="24">(1+$B$20*(BH10/BG10-1))*BG23</f>
        <v>249.4917837920583</v>
      </c>
      <c r="BI23" s="82">
        <f t="shared" ref="BI23" si="25">(1+$B$20*(BI10/BH10-1))*BH23</f>
        <v>250.48247878368778</v>
      </c>
      <c r="BJ23" s="82">
        <f t="shared" ref="BJ23" si="26">(1+$B$20*(BJ10/BI10-1))*BI23</f>
        <v>251.46827506091537</v>
      </c>
      <c r="BK23" s="82">
        <f t="shared" ref="BK23" si="27">(1+$B$20*(BK10/BJ10-1))*BJ23</f>
        <v>252.44923975253869</v>
      </c>
      <c r="BL23" s="82">
        <f t="shared" ref="BL23" si="28">(1+$B$20*(BL10/BK10-1))*BK23</f>
        <v>253.42543848977019</v>
      </c>
      <c r="BM23" s="82">
        <f t="shared" ref="BM23" si="29">(1+$B$20*(BM10/BL10-1))*BL23</f>
        <v>254.39693545231191</v>
      </c>
      <c r="BN23" s="82">
        <f t="shared" ref="BN23" si="30">(1+$B$20*(BN10/BM10-1))*BM23</f>
        <v>255.36379341262992</v>
      </c>
      <c r="BO23" s="82">
        <f t="shared" ref="BO23" si="31">(1+$B$20*(BO10/BN10-1))*BN23</f>
        <v>256.32607377851281</v>
      </c>
      <c r="BP23" s="82">
        <f t="shared" ref="BP23" si="32">(1+$B$20*(BP10/BO10-1))*BO23</f>
        <v>257.28383663399586</v>
      </c>
      <c r="BQ23" s="82">
        <f t="shared" ref="BQ23" si="33">(1+$B$20*(BQ10/BP10-1))*BP23</f>
        <v>258.23714077872523</v>
      </c>
      <c r="BR23" s="82">
        <f t="shared" ref="BR23" si="34">(1+$B$20*(BR10/BQ10-1))*BQ23</f>
        <v>259.18604376583562</v>
      </c>
    </row>
    <row r="24" spans="1:70">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ref="R24:AX24" si="35">Q24*(1+((R23-Q23)/Q23))</f>
        <v>1.0071937223857621</v>
      </c>
      <c r="S24" s="73">
        <f t="shared" si="35"/>
        <v>1.0131251025726711</v>
      </c>
      <c r="T24" s="73">
        <f t="shared" si="35"/>
        <v>1.0131251025726711</v>
      </c>
      <c r="U24" s="73">
        <f t="shared" si="35"/>
        <v>1.0292548632693816</v>
      </c>
      <c r="V24" s="73">
        <f t="shared" si="35"/>
        <v>1.0472331966344011</v>
      </c>
      <c r="W24" s="73">
        <f t="shared" si="35"/>
        <v>1.0541129118496713</v>
      </c>
      <c r="X24" s="73">
        <f t="shared" si="35"/>
        <v>1.0633474957218105</v>
      </c>
      <c r="Y24" s="73">
        <f t="shared" si="35"/>
        <v>1.072600473414653</v>
      </c>
      <c r="Z24" s="73">
        <f t="shared" si="35"/>
        <v>1.0832393694662992</v>
      </c>
      <c r="AA24" s="73">
        <f t="shared" si="35"/>
        <v>1.0969584712801308</v>
      </c>
      <c r="AB24" s="73">
        <f t="shared" si="35"/>
        <v>1.1121668176458832</v>
      </c>
      <c r="AC24" s="73">
        <f t="shared" si="35"/>
        <v>1.128734850262882</v>
      </c>
      <c r="AD24" s="73">
        <f t="shared" si="35"/>
        <v>1.1476941121441879</v>
      </c>
      <c r="AE24" s="73">
        <f t="shared" si="35"/>
        <v>1.1673255636887192</v>
      </c>
      <c r="AF24" s="73">
        <f t="shared" si="35"/>
        <v>1.1877603069294858</v>
      </c>
      <c r="AG24" s="73">
        <f t="shared" si="35"/>
        <v>1.2082743451737039</v>
      </c>
      <c r="AH24" s="73">
        <f t="shared" si="35"/>
        <v>1.2294473151071799</v>
      </c>
      <c r="AI24" s="73">
        <f t="shared" si="35"/>
        <v>1.2516688443337998</v>
      </c>
      <c r="AJ24" s="73">
        <f t="shared" si="35"/>
        <v>1.2738979310304721</v>
      </c>
      <c r="AK24" s="73">
        <f t="shared" si="35"/>
        <v>1.2966408565375382</v>
      </c>
      <c r="AL24" s="73">
        <f t="shared" si="35"/>
        <v>1.320105419584892</v>
      </c>
      <c r="AM24" s="73">
        <f t="shared" si="35"/>
        <v>1.3440195202676204</v>
      </c>
      <c r="AN24" s="73">
        <f t="shared" si="35"/>
        <v>1.3680237638513182</v>
      </c>
      <c r="AO24" s="73">
        <f t="shared" si="35"/>
        <v>1.3926732060314588</v>
      </c>
      <c r="AP24" s="73">
        <f t="shared" si="35"/>
        <v>1.4167864252564721</v>
      </c>
      <c r="AQ24" s="73">
        <f t="shared" si="35"/>
        <v>1.4403948095416017</v>
      </c>
      <c r="AR24" s="73">
        <f t="shared" si="35"/>
        <v>1.4635268387674374</v>
      </c>
      <c r="AS24" s="73">
        <f t="shared" si="35"/>
        <v>1.4862084463960834</v>
      </c>
      <c r="AT24" s="73">
        <f t="shared" si="35"/>
        <v>1.5090003530743878</v>
      </c>
      <c r="AU24" s="73">
        <f t="shared" si="35"/>
        <v>1.5313677965976784</v>
      </c>
      <c r="AV24" s="73">
        <f t="shared" si="35"/>
        <v>1.5533321632705246</v>
      </c>
      <c r="AW24" s="73">
        <f t="shared" si="35"/>
        <v>1.5749131252006832</v>
      </c>
      <c r="AX24" s="73">
        <f t="shared" si="35"/>
        <v>1.5961288256273891</v>
      </c>
      <c r="AY24" s="73">
        <f t="shared" ref="AY24" si="36">AX24*(1+((AY23-AX23)/AX23))</f>
        <v>1.617068083756708</v>
      </c>
      <c r="AZ24" s="73">
        <f t="shared" ref="AZ24" si="37">AY24*(1+((AZ23-AY23)/AY23))</f>
        <v>1.6376721311974396</v>
      </c>
      <c r="BA24" s="73">
        <f t="shared" ref="BA24" si="38">AZ24*(1+((BA23-AZ23)/AZ23))</f>
        <v>1.6579555523534555</v>
      </c>
      <c r="BB24" s="73">
        <f t="shared" ref="BB24" si="39">BA24*(1+((BB23-BA23)/BA23))</f>
        <v>1.6779319178322232</v>
      </c>
      <c r="BC24" s="73">
        <f t="shared" ref="BC24" si="40">BB24*(1+((BC23-BB23)/BB23))</f>
        <v>1.69761387988363</v>
      </c>
      <c r="BD24" s="73">
        <f t="shared" ref="BD24" si="41">BC24*(1+((BD23-BC23)/BC23))</f>
        <v>1.7170132566249665</v>
      </c>
      <c r="BE24" s="73">
        <f t="shared" ref="BE24" si="42">BD24*(1+((BE23-BD23)/BD23))</f>
        <v>1.736141106618436</v>
      </c>
      <c r="BF24" s="73">
        <f t="shared" ref="BF24" si="43">BE24*(1+((BF23-BE23)/BE23))</f>
        <v>1.7550077951157115</v>
      </c>
      <c r="BG24" s="73">
        <f t="shared" ref="BG24" si="44">BF24*(1+((BG23-BF23)/BF23))</f>
        <v>1.7736230530777826</v>
      </c>
      <c r="BH24" s="73">
        <f t="shared" ref="BH24" si="45">BG24*(1+((BH23-BG23)/BG23))</f>
        <v>1.7919960299084801</v>
      </c>
      <c r="BI24" s="73">
        <f t="shared" ref="BI24" si="46">BH24*(1+((BI23-BH23)/BH23))</f>
        <v>1.7991117812365074</v>
      </c>
      <c r="BJ24" s="73">
        <f t="shared" ref="BJ24" si="47">BI24*(1+((BJ23-BI23)/BI23))</f>
        <v>1.8061923471302634</v>
      </c>
      <c r="BK24" s="73">
        <f t="shared" ref="BK24" si="48">BJ24*(1+((BK23-BJ23)/BJ23))</f>
        <v>1.8132382097480662</v>
      </c>
      <c r="BL24" s="73">
        <f t="shared" ref="BL24" si="49">BK24*(1+((BL23-BK23)/BK23))</f>
        <v>1.8202498404917002</v>
      </c>
      <c r="BM24" s="73">
        <f t="shared" ref="BM24" si="50">BL24*(1+((BM23-BL23)/BL23))</f>
        <v>1.8272277003373532</v>
      </c>
      <c r="BN24" s="73">
        <f t="shared" ref="BN24" si="51">BM24*(1+((BN23-BM23)/BM23))</f>
        <v>1.8341722401536196</v>
      </c>
      <c r="BO24" s="73">
        <f t="shared" ref="BO24" si="52">BN24*(1+((BO23-BN23)/BN23))</f>
        <v>1.841083901007182</v>
      </c>
      <c r="BP24" s="73">
        <f t="shared" ref="BP24" si="53">BO24*(1+((BP23-BO23)/BO23))</f>
        <v>1.8479631144567514</v>
      </c>
      <c r="BQ24" s="73">
        <f t="shared" ref="BQ24" si="54">BP24*(1+((BQ23-BP23)/BP23))</f>
        <v>1.8548103028358052</v>
      </c>
      <c r="BR24" s="73">
        <f t="shared" ref="BR24" si="55">BQ24*(1+((BR23-BQ23)/BQ23))</f>
        <v>1.8616258795246448</v>
      </c>
    </row>
    <row r="25" spans="1:70">
      <c r="A25" t="s">
        <v>16</v>
      </c>
      <c r="B25" s="1" t="str">
        <f>B10&amp;"-"&amp;"EXISTING"</f>
        <v>COM-EXISTING</v>
      </c>
      <c r="C25" s="71" t="str">
        <f>C10&amp;"-"&amp;"existing"</f>
        <v>Commercial-existing</v>
      </c>
      <c r="D25" s="71" t="s">
        <v>44</v>
      </c>
      <c r="E25" s="83">
        <v>1</v>
      </c>
      <c r="I25" s="131"/>
      <c r="L25" s="179">
        <f>E25</f>
        <v>1</v>
      </c>
      <c r="M25" s="179">
        <v>1</v>
      </c>
      <c r="N25" s="179">
        <v>1</v>
      </c>
      <c r="O25" s="179">
        <v>1</v>
      </c>
      <c r="P25" s="179">
        <v>1</v>
      </c>
      <c r="Q25" s="179">
        <f>E25</f>
        <v>1</v>
      </c>
      <c r="R25" s="73">
        <f t="shared" ref="R25:AX25" si="56">IF(Q25-$C$20*(R22-Q22)&lt;0,0,Q25-$C$20*(R22-Q22))</f>
        <v>0.99</v>
      </c>
      <c r="S25" s="73">
        <f t="shared" si="56"/>
        <v>0.98</v>
      </c>
      <c r="T25" s="73">
        <f t="shared" si="56"/>
        <v>0.97</v>
      </c>
      <c r="U25" s="73">
        <f t="shared" si="56"/>
        <v>0.96</v>
      </c>
      <c r="V25" s="73">
        <f t="shared" si="56"/>
        <v>0.95</v>
      </c>
      <c r="W25" s="73">
        <f t="shared" si="56"/>
        <v>0.94</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ref="AY25" si="57">IF(AX25-$C$20*(AY22-AX22)&lt;0,0,AX25-$C$20*(AY22-AX22))</f>
        <v>0.6599999999999997</v>
      </c>
      <c r="AZ25" s="73">
        <f t="shared" ref="AZ25" si="58">IF(AY25-$C$20*(AZ22-AY22)&lt;0,0,AY25-$C$20*(AZ22-AY22))</f>
        <v>0.64999999999999969</v>
      </c>
      <c r="BA25" s="73">
        <f t="shared" ref="BA25" si="59">IF(AZ25-$C$20*(BA22-AZ22)&lt;0,0,AZ25-$C$20*(BA22-AZ22))</f>
        <v>0.63999999999999968</v>
      </c>
      <c r="BB25" s="73">
        <f t="shared" ref="BB25" si="60">IF(BA25-$C$20*(BB22-BA22)&lt;0,0,BA25-$C$20*(BB22-BA22))</f>
        <v>0.62999999999999967</v>
      </c>
      <c r="BC25" s="73">
        <f t="shared" ref="BC25" si="61">IF(BB25-$C$20*(BC22-BB22)&lt;0,0,BB25-$C$20*(BC22-BB22))</f>
        <v>0.61999999999999966</v>
      </c>
      <c r="BD25" s="73">
        <f t="shared" ref="BD25" si="62">IF(BC25-$C$20*(BD22-BC22)&lt;0,0,BC25-$C$20*(BD22-BC22))</f>
        <v>0.60999999999999965</v>
      </c>
      <c r="BE25" s="73">
        <f t="shared" ref="BE25" si="63">IF(BD25-$C$20*(BE22-BD22)&lt;0,0,BD25-$C$20*(BE22-BD22))</f>
        <v>0.59999999999999964</v>
      </c>
      <c r="BF25" s="73">
        <f t="shared" ref="BF25" si="64">IF(BE25-$C$20*(BF22-BE22)&lt;0,0,BE25-$C$20*(BF22-BE22))</f>
        <v>0.58999999999999964</v>
      </c>
      <c r="BG25" s="73">
        <f t="shared" ref="BG25" si="65">IF(BF25-$C$20*(BG22-BF22)&lt;0,0,BF25-$C$20*(BG22-BF22))</f>
        <v>0.57999999999999963</v>
      </c>
      <c r="BH25" s="73">
        <f t="shared" ref="BH25" si="66">IF(BG25-$C$20*(BH22-BG22)&lt;0,0,BG25-$C$20*(BH22-BG22))</f>
        <v>0.56999999999999962</v>
      </c>
      <c r="BI25" s="73">
        <f t="shared" ref="BI25" si="67">IF(BH25-$C$20*(BI22-BH22)&lt;0,0,BH25-$C$20*(BI22-BH22))</f>
        <v>0.55999999999999961</v>
      </c>
      <c r="BJ25" s="73">
        <f t="shared" ref="BJ25" si="68">IF(BI25-$C$20*(BJ22-BI22)&lt;0,0,BI25-$C$20*(BJ22-BI22))</f>
        <v>0.5499999999999996</v>
      </c>
      <c r="BK25" s="73">
        <f t="shared" ref="BK25" si="69">IF(BJ25-$C$20*(BK22-BJ22)&lt;0,0,BJ25-$C$20*(BK22-BJ22))</f>
        <v>0.53999999999999959</v>
      </c>
      <c r="BL25" s="73">
        <f t="shared" ref="BL25" si="70">IF(BK25-$C$20*(BL22-BK22)&lt;0,0,BK25-$C$20*(BL22-BK22))</f>
        <v>0.52999999999999958</v>
      </c>
      <c r="BM25" s="73">
        <f t="shared" ref="BM25" si="71">IF(BL25-$C$20*(BM22-BL22)&lt;0,0,BL25-$C$20*(BM22-BL22))</f>
        <v>0.51999999999999957</v>
      </c>
      <c r="BN25" s="73">
        <f t="shared" ref="BN25" si="72">IF(BM25-$C$20*(BN22-BM22)&lt;0,0,BM25-$C$20*(BN22-BM22))</f>
        <v>0.50999999999999956</v>
      </c>
      <c r="BO25" s="73">
        <f t="shared" ref="BO25" si="73">IF(BN25-$C$20*(BO22-BN22)&lt;0,0,BN25-$C$20*(BO22-BN22))</f>
        <v>0.49999999999999956</v>
      </c>
      <c r="BP25" s="73">
        <f t="shared" ref="BP25" si="74">IF(BO25-$C$20*(BP22-BO22)&lt;0,0,BO25-$C$20*(BP22-BO22))</f>
        <v>0.48999999999999955</v>
      </c>
      <c r="BQ25" s="73">
        <f t="shared" ref="BQ25" si="75">IF(BP25-$C$20*(BQ22-BP22)&lt;0,0,BP25-$C$20*(BQ22-BP22))</f>
        <v>0.47999999999999954</v>
      </c>
      <c r="BR25" s="73">
        <f t="shared" ref="BR25" si="76">IF(BQ25-$C$20*(BR22-BQ22)&lt;0,0,BQ25-$C$20*(BR22-BQ22))</f>
        <v>0.46999999999999953</v>
      </c>
    </row>
    <row r="26" spans="1:70">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70">
      <c r="A27" t="s">
        <v>16</v>
      </c>
      <c r="B27" s="1" t="s">
        <v>469</v>
      </c>
      <c r="C27" s="217">
        <v>0.2</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70">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70">
      <c r="A29" t="s">
        <v>16</v>
      </c>
      <c r="B29" s="218" t="s">
        <v>473</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c r="A30" t="s">
        <v>16</v>
      </c>
      <c r="B30" s="1" t="s">
        <v>470</v>
      </c>
      <c r="D30" s="71" t="s">
        <v>62</v>
      </c>
      <c r="I30" s="131"/>
      <c r="L30" s="179">
        <f>L23</f>
        <v>132.81549000000001</v>
      </c>
      <c r="M30" s="179">
        <f t="shared" ref="M30:Q30" si="77">M23</f>
        <v>134.00787500000001</v>
      </c>
      <c r="N30" s="179">
        <f t="shared" si="77"/>
        <v>135.598851</v>
      </c>
      <c r="O30" s="179">
        <f t="shared" si="77"/>
        <v>136.99421599999999</v>
      </c>
      <c r="P30" s="179">
        <f t="shared" si="77"/>
        <v>138.328236</v>
      </c>
      <c r="Q30" s="179">
        <f t="shared" si="77"/>
        <v>139.22563422464734</v>
      </c>
      <c r="R30" s="73">
        <f>R25*$Q$23</f>
        <v>137.83337788240087</v>
      </c>
      <c r="S30" s="73">
        <f t="shared" ref="S30:AX30" si="78">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ref="AY30:BR30" si="79">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c r="A31" t="s">
        <v>16</v>
      </c>
      <c r="B31" s="1" t="s">
        <v>471</v>
      </c>
      <c r="D31" s="71" t="s">
        <v>62</v>
      </c>
      <c r="I31" s="131"/>
      <c r="L31" s="73">
        <f>L23-L30</f>
        <v>0</v>
      </c>
      <c r="M31" s="73">
        <f t="shared" ref="M31:AX31" si="80">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9.6420522618209077</v>
      </c>
      <c r="V31" s="73">
        <f t="shared" si="80"/>
        <v>13.53735346911435</v>
      </c>
      <c r="W31" s="73">
        <f t="shared" si="80"/>
        <v>15.887442525491764</v>
      </c>
      <c r="X31" s="73">
        <f t="shared" si="80"/>
        <v>18.565389664137513</v>
      </c>
      <c r="Y31" s="73">
        <f t="shared" si="80"/>
        <v>21.245897694136517</v>
      </c>
      <c r="Z31" s="73">
        <f t="shared" si="80"/>
        <v>24.119361086623499</v>
      </c>
      <c r="AA31" s="73">
        <f t="shared" si="80"/>
        <v>27.421668079893209</v>
      </c>
      <c r="AB31" s="73">
        <f t="shared" si="80"/>
        <v>30.931316090419642</v>
      </c>
      <c r="AC31" s="73">
        <f t="shared" si="80"/>
        <v>34.630267281622437</v>
      </c>
      <c r="AD31" s="73">
        <f t="shared" si="80"/>
        <v>38.662138883724921</v>
      </c>
      <c r="AE31" s="73">
        <f t="shared" si="80"/>
        <v>42.787596518009209</v>
      </c>
      <c r="AF31" s="73">
        <f t="shared" si="80"/>
        <v>47.024892948169253</v>
      </c>
      <c r="AG31" s="73">
        <f t="shared" si="80"/>
        <v>51.273229275475671</v>
      </c>
      <c r="AH31" s="73">
        <f t="shared" si="80"/>
        <v>55.613305785129754</v>
      </c>
      <c r="AI31" s="73">
        <f t="shared" si="80"/>
        <v>60.099368627393929</v>
      </c>
      <c r="AJ31" s="73">
        <f t="shared" si="80"/>
        <v>64.586483663219255</v>
      </c>
      <c r="AK31" s="73">
        <f t="shared" si="80"/>
        <v>69.145138233310945</v>
      </c>
      <c r="AL31" s="73">
        <f t="shared" si="80"/>
        <v>73.804263247629478</v>
      </c>
      <c r="AM31" s="73">
        <f t="shared" si="80"/>
        <v>78.525975424340899</v>
      </c>
      <c r="AN31" s="73">
        <f t="shared" si="80"/>
        <v>83.260237803610622</v>
      </c>
      <c r="AO31" s="73">
        <f t="shared" si="80"/>
        <v>88.08432836667096</v>
      </c>
      <c r="AP31" s="73">
        <f t="shared" si="80"/>
        <v>92.833762948717862</v>
      </c>
      <c r="AQ31" s="73">
        <f t="shared" si="80"/>
        <v>97.512911566080703</v>
      </c>
      <c r="AR31" s="73">
        <f t="shared" si="80"/>
        <v>102.12573934819721</v>
      </c>
      <c r="AS31" s="73">
        <f t="shared" si="80"/>
        <v>106.67585689777654</v>
      </c>
      <c r="AT31" s="73">
        <f t="shared" si="80"/>
        <v>111.24133090249892</v>
      </c>
      <c r="AU31" s="73">
        <f t="shared" si="80"/>
        <v>115.74770875525951</v>
      </c>
      <c r="AV31" s="73">
        <f t="shared" si="80"/>
        <v>120.19796797787569</v>
      </c>
      <c r="AW31" s="73">
        <f t="shared" si="80"/>
        <v>124.59484743202646</v>
      </c>
      <c r="AX31" s="73">
        <f t="shared" si="80"/>
        <v>128.9408731217012</v>
      </c>
      <c r="AY31" s="73">
        <f t="shared" ref="AY31:BR31" si="81">AY23-AY30</f>
        <v>133.24841095719569</v>
      </c>
      <c r="AZ31" s="73">
        <f t="shared" si="81"/>
        <v>137.50927887197275</v>
      </c>
      <c r="BA31" s="73">
        <f t="shared" si="81"/>
        <v>141.72550738891115</v>
      </c>
      <c r="BB31" s="73">
        <f t="shared" si="81"/>
        <v>145.8989858844424</v>
      </c>
      <c r="BC31" s="73">
        <f t="shared" si="81"/>
        <v>150.0314758760814</v>
      </c>
      <c r="BD31" s="73">
        <f t="shared" si="81"/>
        <v>154.12462274870336</v>
      </c>
      <c r="BE31" s="73">
        <f t="shared" si="81"/>
        <v>158.1799661376445</v>
      </c>
      <c r="BF31" s="73">
        <f t="shared" si="81"/>
        <v>162.19894915164303</v>
      </c>
      <c r="BG31" s="73">
        <f t="shared" si="81"/>
        <v>166.18292658991427</v>
      </c>
      <c r="BH31" s="73">
        <f t="shared" si="81"/>
        <v>170.13317228400939</v>
      </c>
      <c r="BI31" s="73">
        <f t="shared" si="81"/>
        <v>172.51612361788534</v>
      </c>
      <c r="BJ31" s="73">
        <f t="shared" si="81"/>
        <v>174.89417623735937</v>
      </c>
      <c r="BK31" s="73">
        <f t="shared" si="81"/>
        <v>177.26739727122919</v>
      </c>
      <c r="BL31" s="73">
        <f t="shared" si="81"/>
        <v>179.63585235070715</v>
      </c>
      <c r="BM31" s="73">
        <f t="shared" si="81"/>
        <v>181.99960565549537</v>
      </c>
      <c r="BN31" s="73">
        <f t="shared" si="81"/>
        <v>184.35871995805985</v>
      </c>
      <c r="BO31" s="73">
        <f t="shared" si="81"/>
        <v>186.71325666618918</v>
      </c>
      <c r="BP31" s="73">
        <f t="shared" si="81"/>
        <v>189.06327586391873</v>
      </c>
      <c r="BQ31" s="73">
        <f t="shared" si="81"/>
        <v>191.40883635089457</v>
      </c>
      <c r="BR31" s="73">
        <f t="shared" si="81"/>
        <v>193.74999568025146</v>
      </c>
    </row>
    <row r="32" spans="1:70">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c r="A33" t="s">
        <v>16</v>
      </c>
      <c r="B33" s="218" t="s">
        <v>478</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c r="A34" t="s">
        <v>16</v>
      </c>
      <c r="B34" s="1" t="s">
        <v>472</v>
      </c>
      <c r="D34" s="71" t="s">
        <v>62</v>
      </c>
      <c r="I34" s="131"/>
      <c r="L34" s="73">
        <f>SUM(L30:L31)*$C$27</f>
        <v>26.563098000000004</v>
      </c>
      <c r="M34" s="73">
        <f t="shared" ref="M34:AX34" si="82">SUM(M30:M31)*$C$27</f>
        <v>26.801575000000003</v>
      </c>
      <c r="N34" s="73">
        <f t="shared" si="82"/>
        <v>27.119770200000001</v>
      </c>
      <c r="O34" s="73">
        <f t="shared" si="82"/>
        <v>27.398843200000002</v>
      </c>
      <c r="P34" s="73">
        <f t="shared" si="82"/>
        <v>27.665647200000002</v>
      </c>
      <c r="Q34" s="73">
        <f t="shared" si="82"/>
        <v>27.845126844929467</v>
      </c>
      <c r="R34" s="182">
        <f t="shared" si="82"/>
        <v>28.045436957248224</v>
      </c>
      <c r="S34" s="73">
        <f t="shared" si="82"/>
        <v>28.210596990918205</v>
      </c>
      <c r="T34" s="73">
        <f t="shared" si="82"/>
        <v>28.210596990918205</v>
      </c>
      <c r="U34" s="73">
        <f t="shared" si="82"/>
        <v>28.659732223496469</v>
      </c>
      <c r="V34" s="73">
        <f t="shared" si="82"/>
        <v>29.160341196505865</v>
      </c>
      <c r="W34" s="73">
        <f t="shared" si="82"/>
        <v>29.351907739332052</v>
      </c>
      <c r="X34" s="73">
        <f t="shared" si="82"/>
        <v>29.60904589861191</v>
      </c>
      <c r="Y34" s="73">
        <f t="shared" si="82"/>
        <v>29.866696236162412</v>
      </c>
      <c r="Z34" s="73">
        <f t="shared" si="82"/>
        <v>30.162937646210516</v>
      </c>
      <c r="AA34" s="73">
        <f t="shared" si="82"/>
        <v>30.54494777641516</v>
      </c>
      <c r="AB34" s="73">
        <f t="shared" si="82"/>
        <v>30.968426110071153</v>
      </c>
      <c r="AC34" s="73">
        <f t="shared" si="82"/>
        <v>31.429765079862417</v>
      </c>
      <c r="AD34" s="73">
        <f t="shared" si="82"/>
        <v>31.957688131833621</v>
      </c>
      <c r="AE34" s="73">
        <f t="shared" si="82"/>
        <v>32.504328390241184</v>
      </c>
      <c r="AF34" s="73">
        <f t="shared" si="82"/>
        <v>33.073336407823895</v>
      </c>
      <c r="AG34" s="73">
        <f t="shared" si="82"/>
        <v>33.644552404835885</v>
      </c>
      <c r="AH34" s="73">
        <f t="shared" si="82"/>
        <v>34.234116438317407</v>
      </c>
      <c r="AI34" s="73">
        <f t="shared" si="82"/>
        <v>34.852877738320949</v>
      </c>
      <c r="AJ34" s="73">
        <f t="shared" si="82"/>
        <v>35.47184947703672</v>
      </c>
      <c r="AK34" s="73">
        <f t="shared" si="82"/>
        <v>36.10512912260576</v>
      </c>
      <c r="AL34" s="73">
        <f t="shared" si="82"/>
        <v>36.758502857020169</v>
      </c>
      <c r="AM34" s="73">
        <f t="shared" si="82"/>
        <v>37.424394023913159</v>
      </c>
      <c r="AN34" s="73">
        <f t="shared" si="82"/>
        <v>38.092795231317808</v>
      </c>
      <c r="AO34" s="73">
        <f t="shared" si="82"/>
        <v>38.779162075480585</v>
      </c>
      <c r="AP34" s="73">
        <f t="shared" si="82"/>
        <v>39.450597723440666</v>
      </c>
      <c r="AQ34" s="73">
        <f t="shared" si="82"/>
        <v>40.107976178463943</v>
      </c>
      <c r="AR34" s="73">
        <f t="shared" si="82"/>
        <v>40.752090466437949</v>
      </c>
      <c r="AS34" s="73">
        <f t="shared" si="82"/>
        <v>41.38366270790452</v>
      </c>
      <c r="AT34" s="73">
        <f t="shared" si="82"/>
        <v>42.018306240399703</v>
      </c>
      <c r="AU34" s="73">
        <f t="shared" si="82"/>
        <v>42.641130542502523</v>
      </c>
      <c r="AV34" s="73">
        <f t="shared" si="82"/>
        <v>43.252731118576463</v>
      </c>
      <c r="AW34" s="73">
        <f t="shared" si="82"/>
        <v>43.853655740957322</v>
      </c>
      <c r="AX34" s="73">
        <f t="shared" si="82"/>
        <v>44.444409610442975</v>
      </c>
      <c r="AY34" s="73">
        <f t="shared" ref="AY34:BR34" si="83">SUM(AY30:AY31)*$C$27</f>
        <v>45.027465909092577</v>
      </c>
      <c r="AZ34" s="73">
        <f t="shared" si="83"/>
        <v>45.601188223598697</v>
      </c>
      <c r="BA34" s="73">
        <f t="shared" si="83"/>
        <v>46.165982658537082</v>
      </c>
      <c r="BB34" s="73">
        <f t="shared" si="83"/>
        <v>46.722227089194035</v>
      </c>
      <c r="BC34" s="73">
        <f t="shared" si="83"/>
        <v>47.270273819072543</v>
      </c>
      <c r="BD34" s="73">
        <f t="shared" si="83"/>
        <v>47.810451925147646</v>
      </c>
      <c r="BE34" s="73">
        <f t="shared" si="83"/>
        <v>48.343069334486579</v>
      </c>
      <c r="BF34" s="73">
        <f t="shared" si="83"/>
        <v>48.868414668836984</v>
      </c>
      <c r="BG34" s="73">
        <f t="shared" si="83"/>
        <v>49.386758888041939</v>
      </c>
      <c r="BH34" s="73">
        <f t="shared" si="83"/>
        <v>49.898356758411666</v>
      </c>
      <c r="BI34" s="73">
        <f t="shared" si="83"/>
        <v>50.096495756737561</v>
      </c>
      <c r="BJ34" s="73">
        <f t="shared" si="83"/>
        <v>50.293655012183073</v>
      </c>
      <c r="BK34" s="73">
        <f t="shared" si="83"/>
        <v>50.489847950507738</v>
      </c>
      <c r="BL34" s="73">
        <f t="shared" si="83"/>
        <v>50.685087697954039</v>
      </c>
      <c r="BM34" s="73">
        <f t="shared" si="83"/>
        <v>50.879387090462387</v>
      </c>
      <c r="BN34" s="73">
        <f t="shared" si="83"/>
        <v>51.072758682525993</v>
      </c>
      <c r="BO34" s="73">
        <f t="shared" si="83"/>
        <v>51.265214755702566</v>
      </c>
      <c r="BP34" s="73">
        <f t="shared" si="83"/>
        <v>51.456767326799174</v>
      </c>
      <c r="BQ34" s="73">
        <f t="shared" si="83"/>
        <v>51.647428155745047</v>
      </c>
      <c r="BR34" s="73">
        <f t="shared" si="83"/>
        <v>51.837208753167126</v>
      </c>
    </row>
    <row r="35" spans="1:70">
      <c r="A35" t="s">
        <v>16</v>
      </c>
      <c r="B35" s="1" t="s">
        <v>474</v>
      </c>
      <c r="C35" s="1"/>
      <c r="D35" s="71" t="s">
        <v>62</v>
      </c>
      <c r="E35" s="73"/>
      <c r="F35" s="73"/>
      <c r="G35" s="73"/>
      <c r="H35" s="73"/>
      <c r="I35" s="131"/>
      <c r="L35" s="73">
        <f>L30-L34*(L30/SUM(L30:L31))</f>
        <v>106.25239200000001</v>
      </c>
      <c r="M35" s="73">
        <f t="shared" ref="M35:AX35" si="84">M30-M34*(M30/SUM(M30:M31))</f>
        <v>107.20630000000001</v>
      </c>
      <c r="N35" s="73">
        <f t="shared" si="84"/>
        <v>108.47908079999999</v>
      </c>
      <c r="O35" s="73">
        <f t="shared" si="84"/>
        <v>109.59537279999999</v>
      </c>
      <c r="P35" s="73">
        <f t="shared" si="84"/>
        <v>110.66258880000001</v>
      </c>
      <c r="Q35" s="73">
        <f t="shared" si="84"/>
        <v>111.38050737971787</v>
      </c>
      <c r="R35" s="182">
        <f t="shared" si="84"/>
        <v>110.26670230592069</v>
      </c>
      <c r="S35" s="73">
        <f t="shared" si="84"/>
        <v>109.15289723212351</v>
      </c>
      <c r="T35" s="73">
        <f t="shared" si="84"/>
        <v>108.03909215832633</v>
      </c>
      <c r="U35" s="73">
        <f t="shared" si="84"/>
        <v>106.92528708452915</v>
      </c>
      <c r="V35" s="73">
        <f t="shared" si="84"/>
        <v>105.81148201073196</v>
      </c>
      <c r="W35" s="73">
        <f t="shared" si="84"/>
        <v>104.6976769369348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98.014846494151712</v>
      </c>
      <c r="AD35" s="73">
        <f t="shared" si="84"/>
        <v>96.901041420354531</v>
      </c>
      <c r="AE35" s="73">
        <f t="shared" si="84"/>
        <v>95.78723634655735</v>
      </c>
      <c r="AF35" s="73">
        <f t="shared" si="84"/>
        <v>94.673431272760169</v>
      </c>
      <c r="AG35" s="73">
        <f t="shared" si="84"/>
        <v>93.559626198963002</v>
      </c>
      <c r="AH35" s="73">
        <f t="shared" si="84"/>
        <v>92.445821125165807</v>
      </c>
      <c r="AI35" s="73">
        <f t="shared" si="84"/>
        <v>91.332016051368626</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81.307770387194026</v>
      </c>
      <c r="AS35" s="73">
        <f t="shared" si="84"/>
        <v>80.193965313396831</v>
      </c>
      <c r="AT35" s="73">
        <f t="shared" si="84"/>
        <v>79.080160239599664</v>
      </c>
      <c r="AU35" s="73">
        <f t="shared" si="84"/>
        <v>77.966355165802469</v>
      </c>
      <c r="AV35" s="73">
        <f t="shared" si="84"/>
        <v>76.852550092005302</v>
      </c>
      <c r="AW35" s="73">
        <f t="shared" si="84"/>
        <v>75.738745018208121</v>
      </c>
      <c r="AX35" s="73">
        <f t="shared" si="84"/>
        <v>74.62493994441094</v>
      </c>
      <c r="AY35" s="73">
        <f t="shared" ref="AY35:BR35" si="85">AY30-AY34*(AY30/SUM(AY30:AY31))</f>
        <v>73.511134870613759</v>
      </c>
      <c r="AZ35" s="73">
        <f t="shared" si="85"/>
        <v>72.397329796816578</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65.714499354033507</v>
      </c>
      <c r="BG35" s="73">
        <f t="shared" si="85"/>
        <v>64.600694280236326</v>
      </c>
      <c r="BH35" s="73">
        <f t="shared" si="85"/>
        <v>63.486889206439137</v>
      </c>
      <c r="BI35" s="73">
        <f t="shared" si="85"/>
        <v>62.373084132641964</v>
      </c>
      <c r="BJ35" s="73">
        <f t="shared" si="85"/>
        <v>61.259279058844783</v>
      </c>
      <c r="BK35" s="73">
        <f t="shared" si="85"/>
        <v>60.145473985047602</v>
      </c>
      <c r="BL35" s="73">
        <f t="shared" si="85"/>
        <v>59.031668911250421</v>
      </c>
      <c r="BM35" s="73">
        <f t="shared" si="85"/>
        <v>57.91786383745324</v>
      </c>
      <c r="BN35" s="73">
        <f t="shared" si="85"/>
        <v>56.804058763656066</v>
      </c>
      <c r="BO35" s="73">
        <f t="shared" si="85"/>
        <v>55.690253689858892</v>
      </c>
      <c r="BP35" s="73">
        <f t="shared" si="85"/>
        <v>54.576448616061704</v>
      </c>
      <c r="BQ35" s="73">
        <f t="shared" si="85"/>
        <v>53.46264354226453</v>
      </c>
      <c r="BR35" s="73">
        <f t="shared" si="85"/>
        <v>52.348838468467342</v>
      </c>
    </row>
    <row r="36" spans="1:70">
      <c r="A36" t="s">
        <v>16</v>
      </c>
      <c r="B36" s="1" t="s">
        <v>475</v>
      </c>
      <c r="C36" s="1"/>
      <c r="D36" s="71" t="s">
        <v>62</v>
      </c>
      <c r="E36" s="73"/>
      <c r="F36" s="73"/>
      <c r="G36" s="73"/>
      <c r="H36" s="73"/>
      <c r="I36" s="131"/>
      <c r="L36" s="73">
        <f>L23-L35-L34</f>
        <v>0</v>
      </c>
      <c r="M36" s="73">
        <f t="shared" ref="M36:AX36" si="86">M23-M35-M34</f>
        <v>0</v>
      </c>
      <c r="N36" s="73">
        <f t="shared" si="86"/>
        <v>0</v>
      </c>
      <c r="O36" s="73">
        <f t="shared" si="86"/>
        <v>0</v>
      </c>
      <c r="P36" s="73">
        <f t="shared" si="86"/>
        <v>0</v>
      </c>
      <c r="Q36" s="73">
        <f t="shared" si="86"/>
        <v>0</v>
      </c>
      <c r="R36" s="182">
        <f t="shared" si="86"/>
        <v>1.9150455230721981</v>
      </c>
      <c r="S36" s="73">
        <f t="shared" si="86"/>
        <v>3.6894907315492986</v>
      </c>
      <c r="T36" s="73">
        <f t="shared" si="86"/>
        <v>4.8032958053464796</v>
      </c>
      <c r="U36" s="73">
        <f t="shared" si="86"/>
        <v>7.7136418094567247</v>
      </c>
      <c r="V36" s="73">
        <f t="shared" si="86"/>
        <v>10.829882775291484</v>
      </c>
      <c r="W36" s="73">
        <f t="shared" si="86"/>
        <v>12.709954020393408</v>
      </c>
      <c r="X36" s="73">
        <f t="shared" si="86"/>
        <v>14.85231173131001</v>
      </c>
      <c r="Y36" s="73">
        <f t="shared" si="86"/>
        <v>16.99671815530921</v>
      </c>
      <c r="Z36" s="73">
        <f t="shared" si="86"/>
        <v>19.295488869298801</v>
      </c>
      <c r="AA36" s="73">
        <f t="shared" si="86"/>
        <v>21.937334463914564</v>
      </c>
      <c r="AB36" s="73">
        <f t="shared" si="86"/>
        <v>24.745052872335716</v>
      </c>
      <c r="AC36" s="73">
        <f t="shared" si="86"/>
        <v>27.704213825297945</v>
      </c>
      <c r="AD36" s="73">
        <f t="shared" si="86"/>
        <v>30.929711106979937</v>
      </c>
      <c r="AE36" s="73">
        <f t="shared" si="86"/>
        <v>34.230077214407373</v>
      </c>
      <c r="AF36" s="73">
        <f t="shared" si="86"/>
        <v>37.619914358535404</v>
      </c>
      <c r="AG36" s="73">
        <f t="shared" si="86"/>
        <v>41.01858342038053</v>
      </c>
      <c r="AH36" s="73">
        <f t="shared" si="86"/>
        <v>44.490644628103801</v>
      </c>
      <c r="AI36" s="73">
        <f t="shared" si="86"/>
        <v>48.079494901915147</v>
      </c>
      <c r="AJ36" s="73">
        <f t="shared" si="86"/>
        <v>51.6691869305754</v>
      </c>
      <c r="AK36" s="73">
        <f t="shared" si="86"/>
        <v>55.316110586648747</v>
      </c>
      <c r="AL36" s="73">
        <f t="shared" si="86"/>
        <v>59.043410598103584</v>
      </c>
      <c r="AM36" s="73">
        <f t="shared" si="86"/>
        <v>62.820780339472712</v>
      </c>
      <c r="AN36" s="73">
        <f t="shared" si="86"/>
        <v>66.608190242888497</v>
      </c>
      <c r="AO36" s="73">
        <f t="shared" si="86"/>
        <v>70.46746269333677</v>
      </c>
      <c r="AP36" s="73">
        <f t="shared" si="86"/>
        <v>74.267010358974289</v>
      </c>
      <c r="AQ36" s="73">
        <f t="shared" si="86"/>
        <v>78.010329252864565</v>
      </c>
      <c r="AR36" s="73">
        <f t="shared" si="86"/>
        <v>81.700591478557769</v>
      </c>
      <c r="AS36" s="73">
        <f t="shared" si="86"/>
        <v>85.340685518221235</v>
      </c>
      <c r="AT36" s="73">
        <f t="shared" si="86"/>
        <v>88.993064721999104</v>
      </c>
      <c r="AU36" s="73">
        <f t="shared" si="86"/>
        <v>92.59816700420761</v>
      </c>
      <c r="AV36" s="73">
        <f t="shared" si="86"/>
        <v>96.158374382300536</v>
      </c>
      <c r="AW36" s="73">
        <f t="shared" si="86"/>
        <v>99.675877945621153</v>
      </c>
      <c r="AX36" s="73">
        <f t="shared" si="86"/>
        <v>103.15269849736096</v>
      </c>
      <c r="AY36" s="73">
        <f t="shared" ref="AY36:BR36" si="87">AY23-AY35-AY34</f>
        <v>106.59872876575659</v>
      </c>
      <c r="AZ36" s="73">
        <f t="shared" si="87"/>
        <v>110.00742309757821</v>
      </c>
      <c r="BA36" s="73">
        <f t="shared" si="87"/>
        <v>113.38040591112895</v>
      </c>
      <c r="BB36" s="73">
        <f t="shared" si="87"/>
        <v>116.71918870755391</v>
      </c>
      <c r="BC36" s="73">
        <f t="shared" si="87"/>
        <v>120.02518070086512</v>
      </c>
      <c r="BD36" s="73">
        <f t="shared" si="87"/>
        <v>123.29969819896266</v>
      </c>
      <c r="BE36" s="73">
        <f t="shared" si="87"/>
        <v>126.5439729101156</v>
      </c>
      <c r="BF36" s="73">
        <f t="shared" si="87"/>
        <v>129.75915932131443</v>
      </c>
      <c r="BG36" s="73">
        <f t="shared" si="87"/>
        <v>132.94634127193143</v>
      </c>
      <c r="BH36" s="73">
        <f t="shared" si="87"/>
        <v>136.10653782720749</v>
      </c>
      <c r="BI36" s="73">
        <f t="shared" si="87"/>
        <v>138.01289889430825</v>
      </c>
      <c r="BJ36" s="73">
        <f t="shared" si="87"/>
        <v>139.91534098988751</v>
      </c>
      <c r="BK36" s="73">
        <f t="shared" si="87"/>
        <v>141.81391781698335</v>
      </c>
      <c r="BL36" s="73">
        <f t="shared" si="87"/>
        <v>143.70868188056573</v>
      </c>
      <c r="BM36" s="73">
        <f t="shared" si="87"/>
        <v>145.59968452439628</v>
      </c>
      <c r="BN36" s="73">
        <f t="shared" si="87"/>
        <v>147.48697596644786</v>
      </c>
      <c r="BO36" s="73">
        <f t="shared" si="87"/>
        <v>149.37060533295136</v>
      </c>
      <c r="BP36" s="73">
        <f t="shared" si="87"/>
        <v>151.250620691135</v>
      </c>
      <c r="BQ36" s="73">
        <f t="shared" si="87"/>
        <v>153.12706908071567</v>
      </c>
      <c r="BR36" s="73">
        <f t="shared" si="87"/>
        <v>154.99999654420117</v>
      </c>
    </row>
    <row r="37" spans="1:70">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75">
      <c r="A39" t="s">
        <v>16</v>
      </c>
      <c r="B39" s="219" t="s">
        <v>476</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c r="A40" t="s">
        <v>16</v>
      </c>
      <c r="B40" s="220" t="s">
        <v>481</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c r="A41" t="s">
        <v>16</v>
      </c>
      <c r="B41" s="74" t="s">
        <v>220</v>
      </c>
      <c r="C41" s="74"/>
      <c r="D41" s="75" t="s">
        <v>221</v>
      </c>
      <c r="E41" s="84"/>
      <c r="F41" s="84"/>
      <c r="G41" s="84"/>
      <c r="H41" s="84"/>
      <c r="I41" s="84"/>
      <c r="J41" s="84"/>
      <c r="K41" s="84"/>
      <c r="L41" s="85">
        <v>0</v>
      </c>
      <c r="M41" s="84">
        <f t="shared" ref="M41:AX41" si="88">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2.9103460041102451</v>
      </c>
      <c r="V41" s="84">
        <f t="shared" si="88"/>
        <v>3.1162409658347592</v>
      </c>
      <c r="W41" s="84">
        <f t="shared" si="88"/>
        <v>1.8800712451019237</v>
      </c>
      <c r="X41" s="84">
        <f t="shared" si="88"/>
        <v>2.1423577109166025</v>
      </c>
      <c r="Y41" s="84">
        <f t="shared" si="88"/>
        <v>2.1444064239992002</v>
      </c>
      <c r="Z41" s="84">
        <f t="shared" si="88"/>
        <v>2.2987707139895903</v>
      </c>
      <c r="AA41" s="84">
        <f t="shared" si="88"/>
        <v>2.6418455946157628</v>
      </c>
      <c r="AB41" s="84">
        <f t="shared" si="88"/>
        <v>2.8077184084211524</v>
      </c>
      <c r="AC41" s="84">
        <f t="shared" si="88"/>
        <v>2.9591609529622289</v>
      </c>
      <c r="AD41" s="84">
        <f t="shared" si="88"/>
        <v>3.2254972816819922</v>
      </c>
      <c r="AE41" s="84">
        <f t="shared" si="88"/>
        <v>3.3003661074274362</v>
      </c>
      <c r="AF41" s="84">
        <f t="shared" si="88"/>
        <v>3.3898371441280304</v>
      </c>
      <c r="AG41" s="84">
        <f t="shared" si="88"/>
        <v>3.3986690618451263</v>
      </c>
      <c r="AH41" s="84">
        <f t="shared" si="88"/>
        <v>3.4720612077232715</v>
      </c>
      <c r="AI41" s="84">
        <f t="shared" si="88"/>
        <v>3.5888502738113459</v>
      </c>
      <c r="AJ41" s="84">
        <f t="shared" si="88"/>
        <v>3.5896920286602523</v>
      </c>
      <c r="AK41" s="84">
        <f t="shared" si="88"/>
        <v>3.6469236560733478</v>
      </c>
      <c r="AL41" s="84">
        <f t="shared" si="88"/>
        <v>3.7273000114548367</v>
      </c>
      <c r="AM41" s="84">
        <f t="shared" si="88"/>
        <v>3.7773697413691281</v>
      </c>
      <c r="AN41" s="84">
        <f t="shared" si="88"/>
        <v>3.7874099034157851</v>
      </c>
      <c r="AO41" s="84">
        <f t="shared" si="88"/>
        <v>3.8592724504482732</v>
      </c>
      <c r="AP41" s="84">
        <f t="shared" si="88"/>
        <v>3.7995476656375189</v>
      </c>
      <c r="AQ41" s="84">
        <f t="shared" si="88"/>
        <v>3.7433188938902759</v>
      </c>
      <c r="AR41" s="84">
        <f t="shared" si="88"/>
        <v>3.6902622256932034</v>
      </c>
      <c r="AS41" s="84">
        <f t="shared" si="88"/>
        <v>3.6400940396634667</v>
      </c>
      <c r="AT41" s="84">
        <f t="shared" si="88"/>
        <v>3.6523792037778691</v>
      </c>
      <c r="AU41" s="84">
        <f t="shared" si="88"/>
        <v>3.6051022822085059</v>
      </c>
      <c r="AV41" s="84">
        <f t="shared" si="88"/>
        <v>3.560207378092926</v>
      </c>
      <c r="AW41" s="84">
        <f t="shared" si="88"/>
        <v>3.5175035633206164</v>
      </c>
      <c r="AX41" s="84">
        <f t="shared" si="88"/>
        <v>3.4768205517398059</v>
      </c>
      <c r="AY41" s="84">
        <f t="shared" ref="AY41" si="89">AY36-AX36</f>
        <v>3.4460302683956314</v>
      </c>
      <c r="AZ41" s="84">
        <f t="shared" ref="AZ41" si="90">AZ36-AY36</f>
        <v>3.4086943318216214</v>
      </c>
      <c r="BA41" s="84">
        <f t="shared" ref="BA41" si="91">BA36-AZ36</f>
        <v>3.3729828135507347</v>
      </c>
      <c r="BB41" s="84">
        <f t="shared" ref="BB41" si="92">BB36-BA36</f>
        <v>3.3387827964249652</v>
      </c>
      <c r="BC41" s="84">
        <f t="shared" ref="BC41" si="93">BC36-BB36</f>
        <v>3.3059919933112099</v>
      </c>
      <c r="BD41" s="84">
        <f t="shared" ref="BD41" si="94">BD36-BC36</f>
        <v>3.2745174980975378</v>
      </c>
      <c r="BE41" s="84">
        <f t="shared" ref="BE41" si="95">BE36-BD36</f>
        <v>3.24427471115294</v>
      </c>
      <c r="BF41" s="84">
        <f t="shared" ref="BF41" si="96">BF36-BE36</f>
        <v>3.2151864111988289</v>
      </c>
      <c r="BG41" s="84">
        <f t="shared" ref="BG41" si="97">BG36-BF36</f>
        <v>3.1871819506170027</v>
      </c>
      <c r="BH41" s="84">
        <f t="shared" ref="BH41" si="98">BH36-BG36</f>
        <v>3.1601965552760589</v>
      </c>
      <c r="BI41" s="84">
        <f t="shared" ref="BI41" si="99">BI36-BH36</f>
        <v>1.9063610671007609</v>
      </c>
      <c r="BJ41" s="84">
        <f t="shared" ref="BJ41" si="100">BJ36-BI36</f>
        <v>1.9024420955792607</v>
      </c>
      <c r="BK41" s="84">
        <f t="shared" ref="BK41" si="101">BK36-BJ36</f>
        <v>1.8985768270958374</v>
      </c>
      <c r="BL41" s="84">
        <f t="shared" ref="BL41" si="102">BL36-BK36</f>
        <v>1.8947640635823859</v>
      </c>
      <c r="BM41" s="84">
        <f t="shared" ref="BM41" si="103">BM36-BL36</f>
        <v>1.8910026438305465</v>
      </c>
      <c r="BN41" s="84">
        <f t="shared" ref="BN41" si="104">BN36-BM36</f>
        <v>1.887291442051577</v>
      </c>
      <c r="BO41" s="84">
        <f t="shared" ref="BO41" si="105">BO36-BN36</f>
        <v>1.8836293665034987</v>
      </c>
      <c r="BP41" s="84">
        <f t="shared" ref="BP41" si="106">BP36-BO36</f>
        <v>1.8800153581836412</v>
      </c>
      <c r="BQ41" s="84">
        <f t="shared" ref="BQ41" si="107">BQ36-BP36</f>
        <v>1.8764483895806734</v>
      </c>
      <c r="BR41" s="84">
        <f t="shared" ref="BR41" si="108">BR36-BQ36</f>
        <v>1.872927463485496</v>
      </c>
    </row>
    <row r="42" spans="1:70">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c r="A43" t="s">
        <v>16</v>
      </c>
      <c r="B43" s="220"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c r="A44" t="s">
        <v>16</v>
      </c>
      <c r="B44" s="220"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2.9103460041102451</v>
      </c>
      <c r="V44" s="73" cm="1">
        <f t="array" ref="V44">SUM($L$41:$AX$41*(V$4=$L$4:$AX$4)*($B44=$L$11:$AX$11))</f>
        <v>3.1162409658347592</v>
      </c>
      <c r="W44" s="73" cm="1">
        <f t="array" ref="W44">SUM($L$41:$AX$41*(W$4=$L$4:$AX$4)*($B44=$L$11:$AX$11))</f>
        <v>1.8800712451019237</v>
      </c>
      <c r="X44" s="73" cm="1">
        <f t="array" ref="X44">SUM($L$41:$AX$41*(X$4=$L$4:$AX$4)*($B44=$L$11:$AX$11))</f>
        <v>2.1423577109166025</v>
      </c>
      <c r="Y44" s="73" cm="1">
        <f t="array" ref="Y44">SUM($L$41:$AX$41*(Y$4=$L$4:$AX$4)*($B44=$L$11:$AX$11))</f>
        <v>2.1444064239992002</v>
      </c>
      <c r="Z44" s="73" cm="1">
        <f t="array" ref="Z44">SUM($L$41:$AX$41*(Z$4=$L$4:$AX$4)*($B44=$L$11:$AX$11))</f>
        <v>2.2987707139895903</v>
      </c>
      <c r="AA44" s="73" cm="1">
        <f t="array" ref="AA44">SUM($L$41:$AX$41*(AA$4=$L$4:$AX$4)*($B44=$L$11:$AX$11))</f>
        <v>2.6418455946157628</v>
      </c>
      <c r="AB44" s="73" cm="1">
        <f t="array" ref="AB44">SUM($L$41:$AX$41*(AB$4=$L$4:$AX$4)*($B44=$L$11:$AX$11))</f>
        <v>2.8077184084211524</v>
      </c>
      <c r="AC44" s="73" cm="1">
        <f t="array" ref="AC44">SUM($L$41:$AX$41*(AC$4=$L$4:$AX$4)*($B44=$L$11:$AX$11))</f>
        <v>2.9591609529622289</v>
      </c>
      <c r="AD44" s="73" cm="1">
        <f t="array" ref="AD44">SUM($L$41:$AX$41*(AD$4=$L$4:$AX$4)*($B44=$L$11:$AX$11))</f>
        <v>3.2254972816819922</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c r="A45" t="s">
        <v>16</v>
      </c>
      <c r="B45" s="220"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3.3003661074274362</v>
      </c>
      <c r="AF45" s="73" cm="1">
        <f t="array" ref="AF45">SUM($L$41:$AX$41*(AF$4=$L$4:$AX$4)*($B45=$L$11:$AX$11))</f>
        <v>3.3898371441280304</v>
      </c>
      <c r="AG45" s="73" cm="1">
        <f t="array" ref="AG45">SUM($L$41:$AX$41*(AG$4=$L$4:$AX$4)*($B45=$L$11:$AX$11))</f>
        <v>3.3986690618451263</v>
      </c>
      <c r="AH45" s="73" cm="1">
        <f t="array" ref="AH45">SUM($L$41:$AX$41*(AH$4=$L$4:$AX$4)*($B45=$L$11:$AX$11))</f>
        <v>3.4720612077232715</v>
      </c>
      <c r="AI45" s="73" cm="1">
        <f t="array" ref="AI45">SUM($L$41:$AX$41*(AI$4=$L$4:$AX$4)*($B45=$L$11:$AX$11))</f>
        <v>3.5888502738113459</v>
      </c>
      <c r="AJ45" s="73" cm="1">
        <f t="array" ref="AJ45">SUM($L$41:$AX$41*(AJ$4=$L$4:$AX$4)*($B45=$L$11:$AX$11))</f>
        <v>3.5896920286602523</v>
      </c>
      <c r="AK45" s="73" cm="1">
        <f t="array" ref="AK45">SUM($L$41:$AX$41*(AK$4=$L$4:$AX$4)*($B45=$L$11:$AX$11))</f>
        <v>3.6469236560733478</v>
      </c>
      <c r="AL45" s="73" cm="1">
        <f t="array" ref="AL45">SUM($L$41:$AX$41*(AL$4=$L$4:$AX$4)*($B45=$L$11:$AX$11))</f>
        <v>3.7273000114548367</v>
      </c>
      <c r="AM45" s="73" cm="1">
        <f t="array" ref="AM45">SUM($L$41:$AX$41*(AM$4=$L$4:$AX$4)*($B45=$L$11:$AX$11))</f>
        <v>3.7773697413691281</v>
      </c>
      <c r="AN45" s="73" cm="1">
        <f t="array" ref="AN45">SUM($L$41:$AX$41*(AN$4=$L$4:$AX$4)*($B45=$L$11:$AX$11))</f>
        <v>3.7874099034157851</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c r="A46" t="s">
        <v>16</v>
      </c>
      <c r="B46" s="220"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3.8592724504482732</v>
      </c>
      <c r="AP46" s="73" cm="1">
        <f t="array" ref="AP46">SUM($L$41:$AX$41*(AP$4=$L$4:$AX$4)*($B46=$L$11:$AX$11))</f>
        <v>3.7995476656375189</v>
      </c>
      <c r="AQ46" s="73" cm="1">
        <f t="array" ref="AQ46">SUM($L$41:$AX$41*(AQ$4=$L$4:$AX$4)*($B46=$L$11:$AX$11))</f>
        <v>3.7433188938902759</v>
      </c>
      <c r="AR46" s="73" cm="1">
        <f t="array" ref="AR46">SUM($L$41:$AX$41*(AR$4=$L$4:$AX$4)*($B46=$L$11:$AX$11))</f>
        <v>3.6902622256932034</v>
      </c>
      <c r="AS46" s="73" cm="1">
        <f t="array" ref="AS46">SUM($L$41:$AX$41*(AS$4=$L$4:$AX$4)*($B46=$L$11:$AX$11))</f>
        <v>3.6400940396634667</v>
      </c>
      <c r="AT46" s="73" cm="1">
        <f t="array" ref="AT46">SUM($L$41:$AX$41*(AT$4=$L$4:$AX$4)*($B46=$L$11:$AX$11))</f>
        <v>3.6523792037778691</v>
      </c>
      <c r="AU46" s="73" cm="1">
        <f t="array" ref="AU46">SUM($L$41:$AX$41*(AU$4=$L$4:$AX$4)*($B46=$L$11:$AX$11))</f>
        <v>3.6051022822085059</v>
      </c>
      <c r="AV46" s="73" cm="1">
        <f t="array" ref="AV46">SUM($L$41:$AX$41*(AV$4=$L$4:$AX$4)*($B46=$L$11:$AX$11))</f>
        <v>3.560207378092926</v>
      </c>
      <c r="AW46" s="73" cm="1">
        <f t="array" ref="AW46">SUM($L$41:$AX$41*(AW$4=$L$4:$AX$4)*($B46=$L$11:$AX$11))</f>
        <v>3.5175035633206164</v>
      </c>
      <c r="AX46" s="73" cm="1">
        <f t="array" ref="AX46">SUM($L$41:$BR$41*(AX$4=$L$4:$BR$4)*($B46=$L$11:$BR$11))</f>
        <v>3.4768205517398059</v>
      </c>
      <c r="AY46" s="73" cm="1">
        <f t="array" ref="AY46">SUM($L$41:$BR$41*(AY$4=$L$4:$BR$4)*($B46=$L$11:$BR$11))</f>
        <v>3.4460302683956314</v>
      </c>
      <c r="AZ46" s="73" cm="1">
        <f t="array" ref="AZ46">SUM($L$41:$BR$41*(AZ$4=$L$4:$BR$4)*($B46=$L$11:$BR$11))</f>
        <v>3.4086943318216214</v>
      </c>
      <c r="BA46" s="73" cm="1">
        <f t="array" ref="BA46">SUM($L$41:$BR$41*(BA$4=$L$4:$BR$4)*($B46=$L$11:$BR$11))</f>
        <v>3.3729828135507347</v>
      </c>
      <c r="BB46" s="73" cm="1">
        <f t="array" ref="BB46">SUM($L$41:$BR$41*(BB$4=$L$4:$BR$4)*($B46=$L$11:$BR$11))</f>
        <v>3.3387827964249652</v>
      </c>
      <c r="BC46" s="73" cm="1">
        <f t="array" ref="BC46">SUM($L$41:$BR$41*(BC$4=$L$4:$BR$4)*($B46=$L$11:$BR$11))</f>
        <v>3.3059919933112099</v>
      </c>
      <c r="BD46" s="73" cm="1">
        <f t="array" ref="BD46">SUM($L$41:$BR$41*(BD$4=$L$4:$BR$4)*($B46=$L$11:$BR$11))</f>
        <v>3.2745174980975378</v>
      </c>
      <c r="BE46" s="73" cm="1">
        <f t="array" ref="BE46">SUM($L$41:$BR$41*(BE$4=$L$4:$BR$4)*($B46=$L$11:$BR$11))</f>
        <v>3.24427471115294</v>
      </c>
      <c r="BF46" s="73" cm="1">
        <f t="array" ref="BF46">SUM($L$41:$BR$41*(BF$4=$L$4:$BR$4)*($B46=$L$11:$BR$11))</f>
        <v>3.2151864111988289</v>
      </c>
      <c r="BG46" s="73" cm="1">
        <f t="array" ref="BG46">SUM($L$41:$BR$41*(BG$4=$L$4:$BR$4)*($B46=$L$11:$BR$11))</f>
        <v>3.1871819506170027</v>
      </c>
      <c r="BH46" s="73" cm="1">
        <f t="array" ref="BH46">SUM($L$41:$BR$41*(BH$4=$L$4:$BR$4)*($B46=$L$11:$BR$11))</f>
        <v>3.1601965552760589</v>
      </c>
      <c r="BI46" s="73" cm="1">
        <f t="array" ref="BI46">SUM($L$41:$BR$41*(BI$4=$L$4:$BR$4)*($B46=$L$11:$BR$11))</f>
        <v>1.9063610671007609</v>
      </c>
      <c r="BJ46" s="73" cm="1">
        <f t="array" ref="BJ46">SUM($L$41:$BR$41*(BJ$4=$L$4:$BR$4)*($B46=$L$11:$BR$11))</f>
        <v>1.9024420955792607</v>
      </c>
      <c r="BK46" s="73" cm="1">
        <f t="array" ref="BK46">SUM($L$41:$BR$41*(BK$4=$L$4:$BR$4)*($B46=$L$11:$BR$11))</f>
        <v>1.8985768270958374</v>
      </c>
      <c r="BL46" s="73" cm="1">
        <f t="array" ref="BL46">SUM($L$41:$BR$41*(BL$4=$L$4:$BR$4)*($B46=$L$11:$BR$11))</f>
        <v>1.8947640635823859</v>
      </c>
      <c r="BM46" s="73" cm="1">
        <f t="array" ref="BM46">SUM($L$41:$BR$41*(BM$4=$L$4:$BR$4)*($B46=$L$11:$BR$11))</f>
        <v>1.8910026438305465</v>
      </c>
      <c r="BN46" s="73" cm="1">
        <f t="array" ref="BN46">SUM($L$41:$BR$41*(BN$4=$L$4:$BR$4)*($B46=$L$11:$BR$11))</f>
        <v>1.887291442051577</v>
      </c>
      <c r="BO46" s="73" cm="1">
        <f t="array" ref="BO46">SUM($L$41:$BR$41*(BO$4=$L$4:$BR$4)*($B46=$L$11:$BR$11))</f>
        <v>1.8836293665034987</v>
      </c>
      <c r="BP46" s="73" cm="1">
        <f t="array" ref="BP46">SUM($L$41:$BR$41*(BP$4=$L$4:$BR$4)*($B46=$L$11:$BR$11))</f>
        <v>1.8800153581836412</v>
      </c>
      <c r="BQ46" s="73" cm="1">
        <f t="array" ref="BQ46">SUM($L$41:$BR$41*(BQ$4=$L$4:$BR$4)*($B46=$L$11:$BR$11))</f>
        <v>1.8764483895806734</v>
      </c>
      <c r="BR46" s="73" cm="1">
        <f t="array" ref="BR46">SUM($L$41:$BR$41*(BR$4=$L$4:$BR$4)*($B46=$L$11:$BR$11))</f>
        <v>1.872927463485496</v>
      </c>
    </row>
    <row r="47" spans="1:70">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c r="A48" t="s">
        <v>16</v>
      </c>
      <c r="B48" s="220" t="s">
        <v>223</v>
      </c>
      <c r="C48" s="1"/>
      <c r="E48" s="73"/>
      <c r="F48" s="73"/>
      <c r="G48" s="73"/>
      <c r="H48" s="73"/>
      <c r="I48" s="144" t="s">
        <v>470</v>
      </c>
      <c r="J48" s="73"/>
      <c r="K48" s="73"/>
      <c r="L48" s="73">
        <f>L30</f>
        <v>132.81549000000001</v>
      </c>
      <c r="M48" s="73">
        <f t="shared" ref="M48:AX48" si="109">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ref="AY48:BR48" si="110">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c r="A49" t="s">
        <v>16</v>
      </c>
      <c r="B49" s="220" t="str">
        <f>B43</f>
        <v>A</v>
      </c>
      <c r="C49" s="1"/>
      <c r="E49" s="73"/>
      <c r="F49" s="73"/>
      <c r="G49" s="73"/>
      <c r="H49" s="73"/>
      <c r="I49" s="144" t="str">
        <f>B43</f>
        <v>A</v>
      </c>
      <c r="J49" s="73"/>
      <c r="K49" s="73"/>
      <c r="L49" s="73">
        <f>L36</f>
        <v>0</v>
      </c>
      <c r="M49" s="73">
        <f t="shared" ref="M49:AX52" si="111">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ref="AY49:AY52" si="112">AX49+AY43</f>
        <v>0</v>
      </c>
      <c r="AZ49" s="73">
        <f t="shared" ref="AZ49:AZ52" si="113">AY49+AZ43</f>
        <v>0</v>
      </c>
      <c r="BA49" s="73">
        <f t="shared" ref="BA49:BA52" si="114">AZ49+BA43</f>
        <v>0</v>
      </c>
      <c r="BB49" s="73">
        <f t="shared" ref="BB49:BB52" si="115">BA49+BB43</f>
        <v>0</v>
      </c>
      <c r="BC49" s="73">
        <f t="shared" ref="BC49:BC52" si="116">BB49+BC43</f>
        <v>0</v>
      </c>
      <c r="BD49" s="73">
        <f t="shared" ref="BD49:BD52" si="117">BC49+BD43</f>
        <v>0</v>
      </c>
      <c r="BE49" s="73">
        <f t="shared" ref="BE49:BE52" si="118">BD49+BE43</f>
        <v>0</v>
      </c>
      <c r="BF49" s="73">
        <f t="shared" ref="BF49:BF52" si="119">BE49+BF43</f>
        <v>0</v>
      </c>
      <c r="BG49" s="73">
        <f t="shared" ref="BG49:BG52" si="120">BF49+BG43</f>
        <v>0</v>
      </c>
      <c r="BH49" s="73">
        <f t="shared" ref="BH49:BH52" si="121">BG49+BH43</f>
        <v>0</v>
      </c>
      <c r="BI49" s="73">
        <f t="shared" ref="BI49:BI52" si="122">BH49+BI43</f>
        <v>0</v>
      </c>
      <c r="BJ49" s="73">
        <f t="shared" ref="BJ49:BJ52" si="123">BI49+BJ43</f>
        <v>0</v>
      </c>
      <c r="BK49" s="73">
        <f t="shared" ref="BK49:BK52" si="124">BJ49+BK43</f>
        <v>0</v>
      </c>
      <c r="BL49" s="73">
        <f t="shared" ref="BL49:BL52" si="125">BK49+BL43</f>
        <v>0</v>
      </c>
      <c r="BM49" s="73">
        <f t="shared" ref="BM49:BM52" si="126">BL49+BM43</f>
        <v>0</v>
      </c>
      <c r="BN49" s="73">
        <f t="shared" ref="BN49:BN52" si="127">BM49+BN43</f>
        <v>0</v>
      </c>
      <c r="BO49" s="73">
        <f t="shared" ref="BO49:BO52" si="128">BN49+BO43</f>
        <v>0</v>
      </c>
      <c r="BP49" s="73">
        <f t="shared" ref="BP49:BP52" si="129">BO49+BP43</f>
        <v>0</v>
      </c>
      <c r="BQ49" s="73">
        <f t="shared" ref="BQ49:BQ52" si="130">BP49+BQ43</f>
        <v>0</v>
      </c>
      <c r="BR49" s="73">
        <f t="shared" ref="BR49:BR52" si="131">BQ49+BR43</f>
        <v>0</v>
      </c>
    </row>
    <row r="50" spans="1:70">
      <c r="A50" t="s">
        <v>16</v>
      </c>
      <c r="B50" s="220"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7.7136418094567247</v>
      </c>
      <c r="V50" s="73">
        <f t="shared" si="111"/>
        <v>10.829882775291484</v>
      </c>
      <c r="W50" s="73">
        <f t="shared" si="111"/>
        <v>12.709954020393408</v>
      </c>
      <c r="X50" s="73">
        <f t="shared" si="111"/>
        <v>14.85231173131001</v>
      </c>
      <c r="Y50" s="73">
        <f t="shared" si="111"/>
        <v>16.99671815530921</v>
      </c>
      <c r="Z50" s="73">
        <f t="shared" si="111"/>
        <v>19.295488869298801</v>
      </c>
      <c r="AA50" s="73">
        <f t="shared" si="111"/>
        <v>21.937334463914564</v>
      </c>
      <c r="AB50" s="73">
        <f t="shared" si="111"/>
        <v>24.745052872335716</v>
      </c>
      <c r="AC50" s="73">
        <f t="shared" si="111"/>
        <v>27.704213825297945</v>
      </c>
      <c r="AD50" s="73">
        <f t="shared" si="111"/>
        <v>30.929711106979937</v>
      </c>
      <c r="AE50" s="73">
        <f t="shared" si="111"/>
        <v>30.929711106979937</v>
      </c>
      <c r="AF50" s="73">
        <f t="shared" si="111"/>
        <v>30.929711106979937</v>
      </c>
      <c r="AG50" s="73">
        <f t="shared" si="111"/>
        <v>30.929711106979937</v>
      </c>
      <c r="AH50" s="73">
        <f t="shared" si="111"/>
        <v>30.929711106979937</v>
      </c>
      <c r="AI50" s="73">
        <f t="shared" si="111"/>
        <v>30.929711106979937</v>
      </c>
      <c r="AJ50" s="73">
        <f t="shared" si="111"/>
        <v>30.929711106979937</v>
      </c>
      <c r="AK50" s="73">
        <f t="shared" si="111"/>
        <v>30.929711106979937</v>
      </c>
      <c r="AL50" s="73">
        <f t="shared" si="111"/>
        <v>30.929711106979937</v>
      </c>
      <c r="AM50" s="73">
        <f t="shared" si="111"/>
        <v>30.929711106979937</v>
      </c>
      <c r="AN50" s="73">
        <f t="shared" si="111"/>
        <v>30.929711106979937</v>
      </c>
      <c r="AO50" s="73">
        <f t="shared" si="111"/>
        <v>30.929711106979937</v>
      </c>
      <c r="AP50" s="73">
        <f t="shared" si="111"/>
        <v>30.929711106979937</v>
      </c>
      <c r="AQ50" s="73">
        <f t="shared" si="111"/>
        <v>30.929711106979937</v>
      </c>
      <c r="AR50" s="73">
        <f t="shared" si="111"/>
        <v>30.929711106979937</v>
      </c>
      <c r="AS50" s="73">
        <f t="shared" si="111"/>
        <v>30.929711106979937</v>
      </c>
      <c r="AT50" s="73">
        <f t="shared" si="111"/>
        <v>30.929711106979937</v>
      </c>
      <c r="AU50" s="73">
        <f t="shared" si="111"/>
        <v>30.929711106979937</v>
      </c>
      <c r="AV50" s="73">
        <f t="shared" si="111"/>
        <v>30.929711106979937</v>
      </c>
      <c r="AW50" s="73">
        <f t="shared" si="111"/>
        <v>30.929711106979937</v>
      </c>
      <c r="AX50" s="73">
        <f t="shared" si="111"/>
        <v>30.929711106979937</v>
      </c>
      <c r="AY50" s="73">
        <f t="shared" si="112"/>
        <v>30.929711106979937</v>
      </c>
      <c r="AZ50" s="73">
        <f t="shared" si="113"/>
        <v>30.929711106979937</v>
      </c>
      <c r="BA50" s="73">
        <f t="shared" si="114"/>
        <v>30.929711106979937</v>
      </c>
      <c r="BB50" s="73">
        <f t="shared" si="115"/>
        <v>30.929711106979937</v>
      </c>
      <c r="BC50" s="73">
        <f t="shared" si="116"/>
        <v>30.929711106979937</v>
      </c>
      <c r="BD50" s="73">
        <f t="shared" si="117"/>
        <v>30.929711106979937</v>
      </c>
      <c r="BE50" s="73">
        <f t="shared" si="118"/>
        <v>30.929711106979937</v>
      </c>
      <c r="BF50" s="73">
        <f t="shared" si="119"/>
        <v>30.929711106979937</v>
      </c>
      <c r="BG50" s="73">
        <f t="shared" si="120"/>
        <v>30.929711106979937</v>
      </c>
      <c r="BH50" s="73">
        <f t="shared" si="121"/>
        <v>30.929711106979937</v>
      </c>
      <c r="BI50" s="73">
        <f t="shared" si="122"/>
        <v>30.929711106979937</v>
      </c>
      <c r="BJ50" s="73">
        <f t="shared" si="123"/>
        <v>30.929711106979937</v>
      </c>
      <c r="BK50" s="73">
        <f t="shared" si="124"/>
        <v>30.929711106979937</v>
      </c>
      <c r="BL50" s="73">
        <f t="shared" si="125"/>
        <v>30.929711106979937</v>
      </c>
      <c r="BM50" s="73">
        <f t="shared" si="126"/>
        <v>30.929711106979937</v>
      </c>
      <c r="BN50" s="73">
        <f t="shared" si="127"/>
        <v>30.929711106979937</v>
      </c>
      <c r="BO50" s="73">
        <f t="shared" si="128"/>
        <v>30.929711106979937</v>
      </c>
      <c r="BP50" s="73">
        <f t="shared" si="129"/>
        <v>30.929711106979937</v>
      </c>
      <c r="BQ50" s="73">
        <f t="shared" si="130"/>
        <v>30.929711106979937</v>
      </c>
      <c r="BR50" s="73">
        <f t="shared" si="131"/>
        <v>30.929711106979937</v>
      </c>
    </row>
    <row r="51" spans="1:70">
      <c r="A51" t="s">
        <v>16</v>
      </c>
      <c r="B51" s="220"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3.3003661074274362</v>
      </c>
      <c r="AF51" s="73">
        <f t="shared" si="111"/>
        <v>6.6902032515554666</v>
      </c>
      <c r="AG51" s="73">
        <f t="shared" si="111"/>
        <v>10.088872313400593</v>
      </c>
      <c r="AH51" s="73">
        <f t="shared" si="111"/>
        <v>13.560933521123864</v>
      </c>
      <c r="AI51" s="73">
        <f t="shared" si="111"/>
        <v>17.14978379493521</v>
      </c>
      <c r="AJ51" s="73">
        <f t="shared" si="111"/>
        <v>20.739475823595463</v>
      </c>
      <c r="AK51" s="73">
        <f t="shared" si="111"/>
        <v>24.38639947966881</v>
      </c>
      <c r="AL51" s="73">
        <f t="shared" si="111"/>
        <v>28.113699491123647</v>
      </c>
      <c r="AM51" s="73">
        <f t="shared" si="111"/>
        <v>31.891069232492775</v>
      </c>
      <c r="AN51" s="73">
        <f t="shared" si="111"/>
        <v>35.67847913590856</v>
      </c>
      <c r="AO51" s="73">
        <f t="shared" si="111"/>
        <v>35.67847913590856</v>
      </c>
      <c r="AP51" s="73">
        <f t="shared" si="111"/>
        <v>35.67847913590856</v>
      </c>
      <c r="AQ51" s="73">
        <f t="shared" si="111"/>
        <v>35.67847913590856</v>
      </c>
      <c r="AR51" s="73">
        <f t="shared" si="111"/>
        <v>35.67847913590856</v>
      </c>
      <c r="AS51" s="73">
        <f t="shared" si="111"/>
        <v>35.67847913590856</v>
      </c>
      <c r="AT51" s="73">
        <f t="shared" si="111"/>
        <v>35.67847913590856</v>
      </c>
      <c r="AU51" s="73">
        <f t="shared" si="111"/>
        <v>35.67847913590856</v>
      </c>
      <c r="AV51" s="73">
        <f t="shared" si="111"/>
        <v>35.67847913590856</v>
      </c>
      <c r="AW51" s="73">
        <f t="shared" si="111"/>
        <v>35.67847913590856</v>
      </c>
      <c r="AX51" s="73">
        <f t="shared" si="111"/>
        <v>35.67847913590856</v>
      </c>
      <c r="AY51" s="73">
        <f t="shared" si="112"/>
        <v>35.67847913590856</v>
      </c>
      <c r="AZ51" s="73">
        <f t="shared" si="113"/>
        <v>35.67847913590856</v>
      </c>
      <c r="BA51" s="73">
        <f t="shared" si="114"/>
        <v>35.67847913590856</v>
      </c>
      <c r="BB51" s="73">
        <f t="shared" si="115"/>
        <v>35.67847913590856</v>
      </c>
      <c r="BC51" s="73">
        <f t="shared" si="116"/>
        <v>35.67847913590856</v>
      </c>
      <c r="BD51" s="73">
        <f t="shared" si="117"/>
        <v>35.67847913590856</v>
      </c>
      <c r="BE51" s="73">
        <f t="shared" si="118"/>
        <v>35.67847913590856</v>
      </c>
      <c r="BF51" s="73">
        <f t="shared" si="119"/>
        <v>35.67847913590856</v>
      </c>
      <c r="BG51" s="73">
        <f t="shared" si="120"/>
        <v>35.67847913590856</v>
      </c>
      <c r="BH51" s="73">
        <f t="shared" si="121"/>
        <v>35.67847913590856</v>
      </c>
      <c r="BI51" s="73">
        <f t="shared" si="122"/>
        <v>35.67847913590856</v>
      </c>
      <c r="BJ51" s="73">
        <f t="shared" si="123"/>
        <v>35.67847913590856</v>
      </c>
      <c r="BK51" s="73">
        <f t="shared" si="124"/>
        <v>35.67847913590856</v>
      </c>
      <c r="BL51" s="73">
        <f t="shared" si="125"/>
        <v>35.67847913590856</v>
      </c>
      <c r="BM51" s="73">
        <f t="shared" si="126"/>
        <v>35.67847913590856</v>
      </c>
      <c r="BN51" s="73">
        <f t="shared" si="127"/>
        <v>35.67847913590856</v>
      </c>
      <c r="BO51" s="73">
        <f t="shared" si="128"/>
        <v>35.67847913590856</v>
      </c>
      <c r="BP51" s="73">
        <f t="shared" si="129"/>
        <v>35.67847913590856</v>
      </c>
      <c r="BQ51" s="73">
        <f t="shared" si="130"/>
        <v>35.67847913590856</v>
      </c>
      <c r="BR51" s="73">
        <f t="shared" si="131"/>
        <v>35.67847913590856</v>
      </c>
    </row>
    <row r="52" spans="1:70">
      <c r="A52" t="s">
        <v>16</v>
      </c>
      <c r="B52" s="220"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3.8592724504482732</v>
      </c>
      <c r="AP52" s="73">
        <f t="shared" si="111"/>
        <v>7.6588201160857921</v>
      </c>
      <c r="AQ52" s="73">
        <f t="shared" si="111"/>
        <v>11.402139009976068</v>
      </c>
      <c r="AR52" s="73">
        <f t="shared" si="111"/>
        <v>15.092401235669271</v>
      </c>
      <c r="AS52" s="73">
        <f t="shared" si="111"/>
        <v>18.732495275332738</v>
      </c>
      <c r="AT52" s="73">
        <f t="shared" si="111"/>
        <v>22.384874479110607</v>
      </c>
      <c r="AU52" s="73">
        <f t="shared" si="111"/>
        <v>25.989976761319113</v>
      </c>
      <c r="AV52" s="73">
        <f t="shared" si="111"/>
        <v>29.550184139412039</v>
      </c>
      <c r="AW52" s="73">
        <f t="shared" si="111"/>
        <v>33.067687702732655</v>
      </c>
      <c r="AX52" s="73">
        <f t="shared" si="111"/>
        <v>36.544508254472461</v>
      </c>
      <c r="AY52" s="73">
        <f t="shared" si="112"/>
        <v>39.990538522868093</v>
      </c>
      <c r="AZ52" s="73">
        <f t="shared" si="113"/>
        <v>43.399232854689714</v>
      </c>
      <c r="BA52" s="73">
        <f t="shared" si="114"/>
        <v>46.772215668240449</v>
      </c>
      <c r="BB52" s="73">
        <f t="shared" si="115"/>
        <v>50.110998464665414</v>
      </c>
      <c r="BC52" s="73">
        <f t="shared" si="116"/>
        <v>53.416990457976624</v>
      </c>
      <c r="BD52" s="73">
        <f t="shared" si="117"/>
        <v>56.691507956074162</v>
      </c>
      <c r="BE52" s="73">
        <f t="shared" si="118"/>
        <v>59.935782667227102</v>
      </c>
      <c r="BF52" s="73">
        <f t="shared" si="119"/>
        <v>63.150969078425931</v>
      </c>
      <c r="BG52" s="73">
        <f t="shared" si="120"/>
        <v>66.338151029042933</v>
      </c>
      <c r="BH52" s="73">
        <f t="shared" si="121"/>
        <v>69.498347584318992</v>
      </c>
      <c r="BI52" s="73">
        <f t="shared" si="122"/>
        <v>71.404708651419753</v>
      </c>
      <c r="BJ52" s="73">
        <f t="shared" si="123"/>
        <v>73.307150746999014</v>
      </c>
      <c r="BK52" s="73">
        <f t="shared" si="124"/>
        <v>75.205727574094851</v>
      </c>
      <c r="BL52" s="73">
        <f t="shared" si="125"/>
        <v>77.100491637677237</v>
      </c>
      <c r="BM52" s="73">
        <f t="shared" si="126"/>
        <v>78.991494281507784</v>
      </c>
      <c r="BN52" s="73">
        <f t="shared" si="127"/>
        <v>80.878785723559361</v>
      </c>
      <c r="BO52" s="73">
        <f t="shared" si="128"/>
        <v>82.762415090062859</v>
      </c>
      <c r="BP52" s="73">
        <f t="shared" si="129"/>
        <v>84.6424304482465</v>
      </c>
      <c r="BQ52" s="73">
        <f t="shared" si="130"/>
        <v>86.518878837827174</v>
      </c>
      <c r="BR52" s="73">
        <f t="shared" si="131"/>
        <v>88.39180630131267</v>
      </c>
    </row>
    <row r="53" spans="1:70">
      <c r="A53" t="s">
        <v>16</v>
      </c>
      <c r="B53" s="1" t="s">
        <v>224</v>
      </c>
      <c r="C53" s="1"/>
      <c r="E53" s="73"/>
      <c r="F53" s="73"/>
      <c r="G53" s="73"/>
      <c r="H53" s="73"/>
      <c r="I53" s="144"/>
      <c r="J53" s="73"/>
      <c r="K53" s="73"/>
      <c r="L53" s="73">
        <f t="shared" ref="L53:AX53" si="132">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7.7136418094567247</v>
      </c>
      <c r="V53" s="73">
        <f t="shared" si="132"/>
        <v>10.829882775291484</v>
      </c>
      <c r="W53" s="73">
        <f t="shared" si="132"/>
        <v>12.709954020393408</v>
      </c>
      <c r="X53" s="73">
        <f t="shared" si="132"/>
        <v>14.85231173131001</v>
      </c>
      <c r="Y53" s="73">
        <f t="shared" si="132"/>
        <v>16.99671815530921</v>
      </c>
      <c r="Z53" s="73">
        <f t="shared" si="132"/>
        <v>19.295488869298801</v>
      </c>
      <c r="AA53" s="73">
        <f t="shared" si="132"/>
        <v>21.937334463914564</v>
      </c>
      <c r="AB53" s="73">
        <f t="shared" si="132"/>
        <v>24.745052872335716</v>
      </c>
      <c r="AC53" s="73">
        <f t="shared" si="132"/>
        <v>27.704213825297945</v>
      </c>
      <c r="AD53" s="73">
        <f t="shared" si="132"/>
        <v>30.929711106979937</v>
      </c>
      <c r="AE53" s="73">
        <f t="shared" si="132"/>
        <v>34.230077214407373</v>
      </c>
      <c r="AF53" s="73">
        <f t="shared" si="132"/>
        <v>37.619914358535404</v>
      </c>
      <c r="AG53" s="73">
        <f t="shared" si="132"/>
        <v>41.01858342038053</v>
      </c>
      <c r="AH53" s="73">
        <f t="shared" si="132"/>
        <v>44.490644628103801</v>
      </c>
      <c r="AI53" s="73">
        <f t="shared" si="132"/>
        <v>48.079494901915147</v>
      </c>
      <c r="AJ53" s="73">
        <f t="shared" si="132"/>
        <v>51.6691869305754</v>
      </c>
      <c r="AK53" s="73">
        <f t="shared" si="132"/>
        <v>55.316110586648747</v>
      </c>
      <c r="AL53" s="73">
        <f t="shared" si="132"/>
        <v>59.043410598103584</v>
      </c>
      <c r="AM53" s="73">
        <f t="shared" si="132"/>
        <v>62.820780339472712</v>
      </c>
      <c r="AN53" s="73">
        <f t="shared" si="132"/>
        <v>66.608190242888497</v>
      </c>
      <c r="AO53" s="73">
        <f t="shared" si="132"/>
        <v>70.46746269333677</v>
      </c>
      <c r="AP53" s="73">
        <f t="shared" si="132"/>
        <v>74.267010358974289</v>
      </c>
      <c r="AQ53" s="73">
        <f t="shared" si="132"/>
        <v>78.010329252864565</v>
      </c>
      <c r="AR53" s="73">
        <f t="shared" si="132"/>
        <v>81.700591478557769</v>
      </c>
      <c r="AS53" s="73">
        <f t="shared" si="132"/>
        <v>85.340685518221235</v>
      </c>
      <c r="AT53" s="73">
        <f t="shared" si="132"/>
        <v>88.993064721999104</v>
      </c>
      <c r="AU53" s="73">
        <f t="shared" si="132"/>
        <v>92.59816700420761</v>
      </c>
      <c r="AV53" s="73">
        <f t="shared" si="132"/>
        <v>96.158374382300536</v>
      </c>
      <c r="AW53" s="73">
        <f t="shared" si="132"/>
        <v>99.675877945621153</v>
      </c>
      <c r="AX53" s="73">
        <f t="shared" si="132"/>
        <v>103.15269849736096</v>
      </c>
      <c r="AY53" s="73">
        <f t="shared" ref="AY53:BR53" si="133">SUM(AY49:AY52)</f>
        <v>106.59872876575659</v>
      </c>
      <c r="AZ53" s="73">
        <f t="shared" si="133"/>
        <v>110.00742309757821</v>
      </c>
      <c r="BA53" s="73">
        <f t="shared" si="133"/>
        <v>113.38040591112895</v>
      </c>
      <c r="BB53" s="73">
        <f t="shared" si="133"/>
        <v>116.71918870755391</v>
      </c>
      <c r="BC53" s="73">
        <f t="shared" si="133"/>
        <v>120.02518070086512</v>
      </c>
      <c r="BD53" s="73">
        <f t="shared" si="133"/>
        <v>123.29969819896266</v>
      </c>
      <c r="BE53" s="73">
        <f t="shared" si="133"/>
        <v>126.5439729101156</v>
      </c>
      <c r="BF53" s="73">
        <f t="shared" si="133"/>
        <v>129.75915932131443</v>
      </c>
      <c r="BG53" s="73">
        <f t="shared" si="133"/>
        <v>132.94634127193143</v>
      </c>
      <c r="BH53" s="73">
        <f t="shared" si="133"/>
        <v>136.10653782720749</v>
      </c>
      <c r="BI53" s="73">
        <f t="shared" si="133"/>
        <v>138.01289889430825</v>
      </c>
      <c r="BJ53" s="73">
        <f t="shared" si="133"/>
        <v>139.91534098988751</v>
      </c>
      <c r="BK53" s="73">
        <f t="shared" si="133"/>
        <v>141.81391781698335</v>
      </c>
      <c r="BL53" s="73">
        <f t="shared" si="133"/>
        <v>143.70868188056573</v>
      </c>
      <c r="BM53" s="73">
        <f t="shared" si="133"/>
        <v>145.59968452439628</v>
      </c>
      <c r="BN53" s="73">
        <f t="shared" si="133"/>
        <v>147.48697596644786</v>
      </c>
      <c r="BO53" s="73">
        <f t="shared" si="133"/>
        <v>149.37060533295136</v>
      </c>
      <c r="BP53" s="73">
        <f t="shared" si="133"/>
        <v>151.250620691135</v>
      </c>
      <c r="BQ53" s="73">
        <f t="shared" si="133"/>
        <v>153.12706908071567</v>
      </c>
      <c r="BR53" s="73">
        <f t="shared" si="133"/>
        <v>154.99999654420117</v>
      </c>
    </row>
    <row r="54" spans="1:70">
      <c r="A54" t="s">
        <v>16</v>
      </c>
      <c r="B54" s="1"/>
      <c r="I54" s="131"/>
      <c r="L54" s="73"/>
      <c r="M54" s="71"/>
      <c r="AX54" s="73"/>
    </row>
    <row r="55" spans="1:70" ht="15.75" thickBot="1">
      <c r="A55" t="s">
        <v>16</v>
      </c>
      <c r="B55" s="69" t="s">
        <v>14</v>
      </c>
      <c r="C55" s="69" t="s">
        <v>480</v>
      </c>
      <c r="D55" s="69" t="s">
        <v>479</v>
      </c>
      <c r="E55" s="69">
        <v>2017</v>
      </c>
      <c r="F55" s="69">
        <v>2012</v>
      </c>
      <c r="G55" s="69">
        <v>2017</v>
      </c>
      <c r="I55" s="131"/>
      <c r="M55" s="71"/>
      <c r="T55" s="91" t="s">
        <v>805</v>
      </c>
    </row>
    <row r="56" spans="1:70">
      <c r="A56" t="s">
        <v>16</v>
      </c>
      <c r="B56" s="73" t="s">
        <v>63</v>
      </c>
      <c r="C56" s="73" t="s">
        <v>225</v>
      </c>
      <c r="D56" s="86">
        <f t="shared" ref="D56:E64" si="134">F56*1000</f>
        <v>139664.39435388401</v>
      </c>
      <c r="E56" s="86">
        <f t="shared" si="134"/>
        <v>128412.71933541799</v>
      </c>
      <c r="F56" s="18">
        <f>'[13]TS BYDem'!$J10</f>
        <v>139.66439435388401</v>
      </c>
      <c r="G56" s="282">
        <f>INDEX('BY-DMD'!$I$5:$I$138,MATCH(C56,'BY-DMD'!$H$5:$H$138,0))</f>
        <v>128.41271933541799</v>
      </c>
      <c r="L56" s="70"/>
      <c r="M56" s="71" t="s">
        <v>495</v>
      </c>
      <c r="S56" s="73" t="s">
        <v>63</v>
      </c>
      <c r="T56" s="64">
        <v>0.45</v>
      </c>
    </row>
    <row r="57" spans="1:70">
      <c r="A57" t="s">
        <v>16</v>
      </c>
      <c r="B57" s="73" t="s">
        <v>248</v>
      </c>
      <c r="C57" s="73" t="s">
        <v>226</v>
      </c>
      <c r="D57" s="86">
        <f t="shared" si="134"/>
        <v>7851.7549075018997</v>
      </c>
      <c r="E57" s="86">
        <f t="shared" si="134"/>
        <v>11992.907577983</v>
      </c>
      <c r="F57" s="18">
        <f>'[13]TS BYDem'!$J11</f>
        <v>7.8517549075019</v>
      </c>
      <c r="G57" s="282">
        <f>INDEX('BY-DMD'!$I$5:$I$138,MATCH(C57,'BY-DMD'!$H$5:$H$138,0))</f>
        <v>11.992907577983001</v>
      </c>
      <c r="L57" s="70"/>
      <c r="M57" s="71" t="s">
        <v>804</v>
      </c>
      <c r="N57" s="71">
        <f>DriversGams!$B$164</f>
        <v>2</v>
      </c>
      <c r="S57" s="73" t="s">
        <v>248</v>
      </c>
      <c r="T57" s="64">
        <v>0.45</v>
      </c>
    </row>
    <row r="58" spans="1:70">
      <c r="A58" t="s">
        <v>16</v>
      </c>
      <c r="B58" s="73" t="s">
        <v>249</v>
      </c>
      <c r="C58" s="73" t="s">
        <v>227</v>
      </c>
      <c r="D58" s="86">
        <f t="shared" si="134"/>
        <v>9894.4997565297599</v>
      </c>
      <c r="E58" s="86">
        <f t="shared" si="134"/>
        <v>8962.9891158025894</v>
      </c>
      <c r="F58" s="18">
        <f>'[13]TS BYDem'!$J12</f>
        <v>9.8944997565297594</v>
      </c>
      <c r="G58" s="282">
        <f>INDEX('BY-DMD'!$I$5:$I$138,MATCH(C58,'BY-DMD'!$H$5:$H$138,0))</f>
        <v>8.9629891158025892</v>
      </c>
      <c r="L58" s="360"/>
      <c r="M58" s="360" t="s">
        <v>496</v>
      </c>
      <c r="N58" s="360"/>
      <c r="O58" s="360">
        <v>2030</v>
      </c>
      <c r="P58" s="360">
        <v>2040</v>
      </c>
      <c r="Q58" s="360">
        <v>2050</v>
      </c>
      <c r="S58" s="73" t="s">
        <v>249</v>
      </c>
      <c r="T58" s="64">
        <v>0</v>
      </c>
    </row>
    <row r="59" spans="1:70">
      <c r="A59" t="s">
        <v>16</v>
      </c>
      <c r="B59" s="73" t="s">
        <v>64</v>
      </c>
      <c r="C59" s="73" t="s">
        <v>228</v>
      </c>
      <c r="D59" s="86">
        <f t="shared" si="134"/>
        <v>121540.27190568899</v>
      </c>
      <c r="E59" s="86">
        <f t="shared" si="134"/>
        <v>111748.716602955</v>
      </c>
      <c r="F59" s="18">
        <f>'[13]TS BYDem'!$J13</f>
        <v>121.540271905689</v>
      </c>
      <c r="G59" s="282">
        <f>INDEX('BY-DMD'!$I$5:$I$138,MATCH(C59,'BY-DMD'!$H$5:$H$138,0))</f>
        <v>111.748716602955</v>
      </c>
      <c r="L59" s="361" t="s">
        <v>800</v>
      </c>
      <c r="M59" s="360">
        <v>-1</v>
      </c>
      <c r="N59" s="360"/>
      <c r="O59" s="359">
        <v>0</v>
      </c>
      <c r="P59" s="359">
        <v>0</v>
      </c>
      <c r="Q59" s="359">
        <v>0</v>
      </c>
      <c r="S59" s="73" t="s">
        <v>64</v>
      </c>
      <c r="T59" s="64">
        <v>0.1</v>
      </c>
      <c r="AE59" s="71" t="s">
        <v>607</v>
      </c>
    </row>
    <row r="60" spans="1:70">
      <c r="A60" t="s">
        <v>16</v>
      </c>
      <c r="B60" s="73" t="s">
        <v>250</v>
      </c>
      <c r="C60" s="73" t="s">
        <v>229</v>
      </c>
      <c r="D60" s="86">
        <f t="shared" si="134"/>
        <v>29566.390373747101</v>
      </c>
      <c r="E60" s="86">
        <f t="shared" si="134"/>
        <v>27184.456041138401</v>
      </c>
      <c r="F60" s="18">
        <f>'[13]TS BYDem'!$J14</f>
        <v>29.566390373747101</v>
      </c>
      <c r="G60" s="282">
        <f>INDEX('BY-DMD'!$I$5:$I$138,MATCH(C60,'BY-DMD'!$H$5:$H$138,0))</f>
        <v>27.1844560411384</v>
      </c>
      <c r="L60" s="361" t="s">
        <v>801</v>
      </c>
      <c r="M60" s="360">
        <v>1</v>
      </c>
      <c r="N60" s="360"/>
      <c r="O60" s="359">
        <v>0</v>
      </c>
      <c r="P60" s="359">
        <v>0</v>
      </c>
      <c r="Q60" s="359">
        <v>0</v>
      </c>
      <c r="S60" s="73" t="s">
        <v>250</v>
      </c>
      <c r="T60" s="64">
        <v>0</v>
      </c>
      <c r="AC60" s="73" t="s">
        <v>609</v>
      </c>
      <c r="AD60" s="73">
        <f>AD30/(AD30+AD31)</f>
        <v>0.75804170361614565</v>
      </c>
      <c r="AE60" s="73" t="s">
        <v>610</v>
      </c>
      <c r="AF60" s="73"/>
      <c r="AG60" s="73"/>
      <c r="AH60" s="73"/>
      <c r="AI60" s="73">
        <f>(AD30*0.8+AD31*0.46)/(AD30+AD31)</f>
        <v>0.71773417922948957</v>
      </c>
    </row>
    <row r="61" spans="1:70">
      <c r="A61" t="s">
        <v>16</v>
      </c>
      <c r="B61" s="73" t="s">
        <v>251</v>
      </c>
      <c r="C61" s="73" t="s">
        <v>230</v>
      </c>
      <c r="D61" s="86">
        <f t="shared" si="134"/>
        <v>9683.1090230750306</v>
      </c>
      <c r="E61" s="86">
        <f t="shared" si="134"/>
        <v>14392.1338097343</v>
      </c>
      <c r="F61" s="18">
        <f>'[13]TS BYDem'!$J15</f>
        <v>9.6831090230750299</v>
      </c>
      <c r="G61" s="282">
        <f>INDEX('BY-DMD'!$I$5:$I$138,MATCH(C61,'BY-DMD'!$H$5:$H$138,0))</f>
        <v>14.3921338097343</v>
      </c>
      <c r="L61" s="361" t="s">
        <v>802</v>
      </c>
      <c r="M61" s="360">
        <v>2</v>
      </c>
      <c r="N61" s="360"/>
      <c r="O61" s="359">
        <v>0.05</v>
      </c>
      <c r="P61" s="359">
        <v>7.0000000000000007E-2</v>
      </c>
      <c r="Q61" s="359">
        <v>0.1</v>
      </c>
      <c r="S61" s="73" t="s">
        <v>251</v>
      </c>
      <c r="T61" s="64">
        <v>0</v>
      </c>
    </row>
    <row r="62" spans="1:70">
      <c r="A62" t="s">
        <v>16</v>
      </c>
      <c r="B62" s="73" t="s">
        <v>254</v>
      </c>
      <c r="C62" s="73" t="s">
        <v>231</v>
      </c>
      <c r="D62" s="86">
        <f t="shared" si="134"/>
        <v>10300.552873773198</v>
      </c>
      <c r="E62" s="86">
        <f t="shared" si="134"/>
        <v>9470.7173671475102</v>
      </c>
      <c r="F62" s="18">
        <f>'[13]TS BYDem'!$J16</f>
        <v>10.300552873773199</v>
      </c>
      <c r="G62" s="282">
        <f>INDEX('BY-DMD'!$I$5:$I$138,MATCH(C62,'BY-DMD'!$H$5:$H$138,0))</f>
        <v>9.4707173671475093</v>
      </c>
      <c r="L62" s="361" t="s">
        <v>803</v>
      </c>
      <c r="M62" s="360">
        <v>3</v>
      </c>
      <c r="N62" s="360"/>
      <c r="O62" s="359">
        <v>0.1</v>
      </c>
      <c r="P62" s="359">
        <v>0.12</v>
      </c>
      <c r="Q62" s="359">
        <v>0.15</v>
      </c>
      <c r="S62" s="73" t="s">
        <v>254</v>
      </c>
      <c r="T62" s="64">
        <v>0</v>
      </c>
    </row>
    <row r="63" spans="1:70">
      <c r="A63" t="s">
        <v>16</v>
      </c>
      <c r="B63" s="73" t="s">
        <v>253</v>
      </c>
      <c r="C63" s="73" t="s">
        <v>232</v>
      </c>
      <c r="D63" s="86">
        <f t="shared" si="134"/>
        <v>3559.3512487513503</v>
      </c>
      <c r="E63" s="86">
        <f t="shared" si="134"/>
        <v>3272.60197587621</v>
      </c>
      <c r="F63" s="18">
        <f>'[13]TS BYDem'!$J17</f>
        <v>3.5593512487513501</v>
      </c>
      <c r="G63" s="282">
        <f>INDEX('BY-DMD'!$I$5:$I$138,MATCH(C63,'BY-DMD'!$H$5:$H$138,0))</f>
        <v>3.2726019758762099</v>
      </c>
      <c r="L63" s="70"/>
      <c r="M63" s="71"/>
      <c r="S63" s="73" t="s">
        <v>253</v>
      </c>
      <c r="T63" s="64">
        <v>0</v>
      </c>
    </row>
    <row r="64" spans="1:70">
      <c r="A64" t="s">
        <v>16</v>
      </c>
      <c r="B64" s="73" t="s">
        <v>0</v>
      </c>
      <c r="C64" s="73" t="s">
        <v>233</v>
      </c>
      <c r="D64" s="86">
        <f t="shared" si="134"/>
        <v>18760.184357078899</v>
      </c>
      <c r="E64" s="86">
        <f t="shared" si="134"/>
        <v>20198.960613823001</v>
      </c>
      <c r="F64" s="18">
        <f>'[13]TS BYDem'!$J18</f>
        <v>18.760184357078899</v>
      </c>
      <c r="G64" s="282">
        <f>INDEX('BY-DMD'!$I$5:$I$138,MATCH(C64,'BY-DMD'!$H$5:$H$138,0))</f>
        <v>20.198960613823001</v>
      </c>
      <c r="L64" s="70"/>
      <c r="M64" s="71"/>
      <c r="S64" s="73" t="s">
        <v>0</v>
      </c>
      <c r="T64" s="64">
        <v>0</v>
      </c>
    </row>
    <row r="65" spans="1:70">
      <c r="A65" t="s">
        <v>16</v>
      </c>
      <c r="B65" s="73"/>
      <c r="C65" s="73"/>
      <c r="D65" s="73"/>
      <c r="L65" s="70"/>
      <c r="M65" s="71"/>
      <c r="T65" s="64">
        <f>SUM(T56:T64)</f>
        <v>1</v>
      </c>
    </row>
    <row r="66" spans="1:70">
      <c r="A66" t="s">
        <v>16</v>
      </c>
      <c r="B66" s="73"/>
      <c r="F66" s="183"/>
      <c r="I66" s="131"/>
      <c r="M66" s="71"/>
    </row>
    <row r="67" spans="1:70" ht="15.75" thickBot="1">
      <c r="A67" t="s">
        <v>16</v>
      </c>
      <c r="B67" s="128" t="s">
        <v>12</v>
      </c>
      <c r="C67" s="129"/>
      <c r="D67" s="69"/>
      <c r="E67" s="81">
        <v>2012</v>
      </c>
      <c r="F67" s="184">
        <v>2017</v>
      </c>
      <c r="G67" s="81">
        <f>G22</f>
        <v>2020</v>
      </c>
      <c r="H67" s="81">
        <f>H22</f>
        <v>2030</v>
      </c>
      <c r="I67" s="151">
        <v>2040</v>
      </c>
      <c r="J67" s="81">
        <v>2050</v>
      </c>
      <c r="K67" s="81">
        <v>2070</v>
      </c>
      <c r="L67" s="81">
        <f t="shared" ref="L67:BR67" si="135">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70">
      <c r="A68" t="s">
        <v>16</v>
      </c>
      <c r="I68" s="131"/>
      <c r="M68" s="71"/>
    </row>
    <row r="69" spans="1:70" ht="15.75" thickBot="1">
      <c r="A69" t="s">
        <v>16</v>
      </c>
      <c r="B69" s="87" t="s">
        <v>65</v>
      </c>
      <c r="C69" s="69"/>
      <c r="D69" s="69"/>
      <c r="H69" s="166">
        <v>0</v>
      </c>
      <c r="I69" s="131" t="s">
        <v>799</v>
      </c>
      <c r="M69" s="71"/>
    </row>
    <row r="70" spans="1:70">
      <c r="A70" t="s">
        <v>16</v>
      </c>
      <c r="B70" s="1" t="s">
        <v>225</v>
      </c>
      <c r="C70" s="71" t="str">
        <f t="shared" ref="C70:C78" si="136">"Commercial"&amp;" - "&amp;B56</f>
        <v>Commercial - Cooling</v>
      </c>
      <c r="D70" s="71" t="s">
        <v>66</v>
      </c>
      <c r="E70" s="80">
        <f>$D56/L$23</f>
        <v>1051.567060091289</v>
      </c>
      <c r="F70" s="88">
        <f>E56/$Q$23</f>
        <v>922.3353159822409</v>
      </c>
      <c r="G70" s="88">
        <f t="shared" ref="G70:I78" si="137">F70</f>
        <v>922.3353159822409</v>
      </c>
      <c r="H70" s="88">
        <f>IF($N$57=-1,G70,((F70-E70)*2/5+E70)*(1+$H$69*$T56))</f>
        <v>999.8743624476698</v>
      </c>
      <c r="I70" s="130">
        <f t="shared" si="137"/>
        <v>999.8743624476698</v>
      </c>
      <c r="J70" s="130">
        <f t="shared" ref="J70:J78" si="138">I70</f>
        <v>999.8743624476698</v>
      </c>
      <c r="K70" s="130">
        <f t="shared" ref="K70:K78" si="139">J70</f>
        <v>999.8743624476698</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930.08922062878378</v>
      </c>
      <c r="V70" s="7" cm="1">
        <f t="array" ref="V70">IF(V$8=-1,W70,IF(V$8=99,U70,IF(V$8=0,INDEX($E70:$I70,0,V$6),(INDEX($E70:$I70,0,V$8+1)-INDEX($E70:$I70,0,V$8))/(INDEX($D$5:$H$5,0,V$8+1)-INDEX($D$5:$H$5,0,V$8))+U70)))</f>
        <v>937.84312527532666</v>
      </c>
      <c r="W70" s="7" cm="1">
        <f t="array" ref="W70">IF(W$8=-1,X70,IF(W$8=99,V70,IF(W$8=0,INDEX($E70:$I70,0,W$6),(INDEX($E70:$I70,0,W$8+1)-INDEX($E70:$I70,0,W$8))/(INDEX($D$5:$H$5,0,W$8+1)-INDEX($D$5:$H$5,0,W$8))+V70)))</f>
        <v>945.59702992186953</v>
      </c>
      <c r="X70" s="7" cm="1">
        <f t="array" ref="X70">IF(X$8=-1,Y70,IF(X$8=99,W70,IF(X$8=0,INDEX($E70:$I70,0,X$6),(INDEX($E70:$I70,0,X$8+1)-INDEX($E70:$I70,0,X$8))/(INDEX($D$5:$H$5,0,X$8+1)-INDEX($D$5:$H$5,0,X$8))+W70)))</f>
        <v>953.35093456841241</v>
      </c>
      <c r="Y70" s="7" cm="1">
        <f t="array" ref="Y70">IF(Y$8=-1,Z70,IF(Y$8=99,X70,IF(Y$8=0,INDEX($E70:$I70,0,Y$6),(INDEX($E70:$I70,0,Y$8+1)-INDEX($E70:$I70,0,Y$8))/(INDEX($D$5:$H$5,0,Y$8+1)-INDEX($D$5:$H$5,0,Y$8))+X70)))</f>
        <v>961.10483921495529</v>
      </c>
      <c r="Z70" s="7" cm="1">
        <f t="array" ref="Z70">IF(Z$8=-1,AA70,IF(Z$8=99,Y70,IF(Z$8=0,INDEX($E70:$I70,0,Z$6),(INDEX($E70:$I70,0,Z$8+1)-INDEX($E70:$I70,0,Z$8))/(INDEX($D$5:$H$5,0,Z$8+1)-INDEX($D$5:$H$5,0,Z$8))+Y70)))</f>
        <v>968.85874386149817</v>
      </c>
      <c r="AA70" s="7" cm="1">
        <f t="array" ref="AA70">IF(AA$8=-1,AB70,IF(AA$8=99,Z70,IF(AA$8=0,INDEX($E70:$I70,0,AA$6),(INDEX($E70:$I70,0,AA$8+1)-INDEX($E70:$I70,0,AA$8))/(INDEX($D$5:$H$5,0,AA$8+1)-INDEX($D$5:$H$5,0,AA$8))+Z70)))</f>
        <v>976.61264850804105</v>
      </c>
      <c r="AB70" s="7" cm="1">
        <f t="array" ref="AB70">IF(AB$8=-1,AC70,IF(AB$8=99,AA70,IF(AB$8=0,INDEX($E70:$I70,0,AB$6),(INDEX($E70:$I70,0,AB$8+1)-INDEX($E70:$I70,0,AB$8))/(INDEX($D$5:$H$5,0,AB$8+1)-INDEX($D$5:$H$5,0,AB$8))+AA70)))</f>
        <v>984.36655315458393</v>
      </c>
      <c r="AC70" s="7" cm="1">
        <f t="array" ref="AC70">IF(AC$8=-1,AD70,IF(AC$8=99,AB70,IF(AC$8=0,INDEX($E70:$I70,0,AC$6),(INDEX($E70:$I70,0,AC$8+1)-INDEX($E70:$I70,0,AC$8))/(INDEX($D$5:$H$5,0,AC$8+1)-INDEX($D$5:$H$5,0,AC$8))+AB70)))</f>
        <v>992.1204578011268</v>
      </c>
      <c r="AD70" s="7" cm="1">
        <f t="array" ref="AD70">IF(AD$8=-1,AE70,IF(AD$8=99,AC70,IF(AD$8=0,INDEX($E70:$I70,0,AD$6),(INDEX($E70:$I70,0,AD$8+1)-INDEX($E70:$I70,0,AD$8))/(INDEX($D$5:$H$5,0,AD$8+1)-INDEX($D$5:$H$5,0,AD$8))+AC70)))</f>
        <v>999.8743624476698</v>
      </c>
      <c r="AE70" s="7" cm="1">
        <f t="array" ref="AE70">IF(AE$8=-1,AF70,IF(AE$8=99,AD70,IF(AE$8=0,INDEX($E70:$I70,0,AE$6),(INDEX($E70:$I70,0,AE$8+1)-INDEX($E70:$I70,0,AE$8))/(INDEX($D$5:$H$5,0,AE$8+1)-INDEX($D$5:$H$5,0,AE$8))+AD70)))</f>
        <v>999.8743624476698</v>
      </c>
      <c r="AF70" s="7" cm="1">
        <f t="array" ref="AF70">IF(AF$8=-1,AG70,IF(AF$8=99,AE70,IF(AF$8=0,INDEX($E70:$I70,0,AF$6),(INDEX($E70:$I70,0,AF$8+1)-INDEX($E70:$I70,0,AF$8))/(INDEX($D$5:$H$5,0,AF$8+1)-INDEX($D$5:$H$5,0,AF$8))+AE70)))</f>
        <v>999.8743624476698</v>
      </c>
      <c r="AG70" s="7" cm="1">
        <f t="array" ref="AG70">IF(AG$8=-1,AH70,IF(AG$8=99,AF70,IF(AG$8=0,INDEX($E70:$I70,0,AG$6),(INDEX($E70:$I70,0,AG$8+1)-INDEX($E70:$I70,0,AG$8))/(INDEX($D$5:$H$5,0,AG$8+1)-INDEX($D$5:$H$5,0,AG$8))+AF70)))</f>
        <v>999.8743624476698</v>
      </c>
      <c r="AH70" s="7" cm="1">
        <f t="array" ref="AH70">IF(AH$8=-1,AI70,IF(AH$8=99,AG70,IF(AH$8=0,INDEX($E70:$I70,0,AH$6),(INDEX($E70:$I70,0,AH$8+1)-INDEX($E70:$I70,0,AH$8))/(INDEX($D$5:$H$5,0,AH$8+1)-INDEX($D$5:$H$5,0,AH$8))+AG70)))</f>
        <v>999.8743624476698</v>
      </c>
      <c r="AI70" s="7" cm="1">
        <f t="array" ref="AI70">IF(AI$8=-1,AJ70,IF(AI$8=99,AH70,IF(AI$8=0,INDEX($E70:$I70,0,AI$6),(INDEX($E70:$I70,0,AI$8+1)-INDEX($E70:$I70,0,AI$8))/(INDEX($D$5:$H$5,0,AI$8+1)-INDEX($D$5:$H$5,0,AI$8))+AH70)))</f>
        <v>999.8743624476698</v>
      </c>
      <c r="AJ70" s="7" cm="1">
        <f t="array" ref="AJ70">IF(AJ$8=-1,AK70,IF(AJ$8=99,AI70,IF(AJ$8=0,INDEX($E70:$I70,0,AJ$6),(INDEX($E70:$I70,0,AJ$8+1)-INDEX($E70:$I70,0,AJ$8))/(INDEX($D$5:$H$5,0,AJ$8+1)-INDEX($D$5:$H$5,0,AJ$8))+AI70)))</f>
        <v>999.8743624476698</v>
      </c>
      <c r="AK70" s="7" cm="1">
        <f t="array" ref="AK70">IF(AK$8=-1,AL70,IF(AK$8=99,AJ70,IF(AK$8=0,INDEX($E70:$I70,0,AK$6),(INDEX($E70:$I70,0,AK$8+1)-INDEX($E70:$I70,0,AK$8))/(INDEX($D$5:$H$5,0,AK$8+1)-INDEX($D$5:$H$5,0,AK$8))+AJ70)))</f>
        <v>999.8743624476698</v>
      </c>
      <c r="AL70" s="7" cm="1">
        <f t="array" ref="AL70">IF(AL$8=-1,AM70,IF(AL$8=99,AK70,IF(AL$8=0,INDEX($E70:$I70,0,AL$6),(INDEX($E70:$I70,0,AL$8+1)-INDEX($E70:$I70,0,AL$8))/(INDEX($D$5:$H$5,0,AL$8+1)-INDEX($D$5:$H$5,0,AL$8))+AK70)))</f>
        <v>999.8743624476698</v>
      </c>
      <c r="AM70" s="7" cm="1">
        <f t="array" ref="AM70">IF(AM$8=-1,AN70,IF(AM$8=99,AL70,IF(AM$8=0,INDEX($E70:$I70,0,AM$6),(INDEX($E70:$I70,0,AM$8+1)-INDEX($E70:$I70,0,AM$8))/(INDEX($D$5:$H$5,0,AM$8+1)-INDEX($D$5:$H$5,0,AM$8))+AL70)))</f>
        <v>999.8743624476698</v>
      </c>
      <c r="AN70" s="7" cm="1">
        <f t="array" ref="AN70">IF(AN$8=-1,AO70,IF(AN$8=99,AM70,IF(AN$8=0,INDEX($E70:$I70,0,AN$6),(INDEX($E70:$I70,0,AN$8+1)-INDEX($E70:$I70,0,AN$8))/(INDEX($D$5:$H$5,0,AN$8+1)-INDEX($D$5:$H$5,0,AN$8))+AM70)))</f>
        <v>999.8743624476698</v>
      </c>
      <c r="AO70" s="7" cm="1">
        <f t="array" ref="AO70">IF(AO$8=-1,AP70,IF(AO$8=99,AN70,IF(AO$8=0,INDEX($E70:$K70,0,AO$6),(INDEX($E70:$K70,0,AO$8+1)-INDEX($E70:$K70,0,AO$8))/(INDEX($D$5:$J$5,0,AO$8+1)-INDEX($D$5:$J$5,0,AO$8))+AN70)))</f>
        <v>999.8743624476698</v>
      </c>
      <c r="AP70" s="7" cm="1">
        <f t="array" ref="AP70">IF(AP$8=-1,AQ70,IF(AP$8=99,AO70,IF(AP$8=0,INDEX($E70:$K70,0,AP$6),(INDEX($E70:$K70,0,AP$8+1)-INDEX($E70:$K70,0,AP$8))/(INDEX($D$5:$J$5,0,AP$8+1)-INDEX($D$5:$J$5,0,AP$8))+AO70)))</f>
        <v>999.8743624476698</v>
      </c>
      <c r="AQ70" s="7" cm="1">
        <f t="array" ref="AQ70">IF(AQ$8=-1,AR70,IF(AQ$8=99,AP70,IF(AQ$8=0,INDEX($E70:$K70,0,AQ$6),(INDEX($E70:$K70,0,AQ$8+1)-INDEX($E70:$K70,0,AQ$8))/(INDEX($D$5:$J$5,0,AQ$8+1)-INDEX($D$5:$J$5,0,AQ$8))+AP70)))</f>
        <v>999.8743624476698</v>
      </c>
      <c r="AR70" s="7" cm="1">
        <f t="array" ref="AR70">IF(AR$8=-1,AS70,IF(AR$8=99,AQ70,IF(AR$8=0,INDEX($E70:$K70,0,AR$6),(INDEX($E70:$K70,0,AR$8+1)-INDEX($E70:$K70,0,AR$8))/(INDEX($D$5:$J$5,0,AR$8+1)-INDEX($D$5:$J$5,0,AR$8))+AQ70)))</f>
        <v>999.8743624476698</v>
      </c>
      <c r="AS70" s="7" cm="1">
        <f t="array" ref="AS70">IF(AS$8=-1,AT70,IF(AS$8=99,AR70,IF(AS$8=0,INDEX($E70:$K70,0,AS$6),(INDEX($E70:$K70,0,AS$8+1)-INDEX($E70:$K70,0,AS$8))/(INDEX($D$5:$J$5,0,AS$8+1)-INDEX($D$5:$J$5,0,AS$8))+AR70)))</f>
        <v>999.8743624476698</v>
      </c>
      <c r="AT70" s="7" cm="1">
        <f t="array" ref="AT70">IF(AT$8=-1,AU70,IF(AT$8=99,AS70,IF(AT$8=0,INDEX($E70:$K70,0,AT$6),(INDEX($E70:$K70,0,AT$8+1)-INDEX($E70:$K70,0,AT$8))/(INDEX($D$5:$J$5,0,AT$8+1)-INDEX($D$5:$J$5,0,AT$8))+AS70)))</f>
        <v>999.8743624476698</v>
      </c>
      <c r="AU70" s="7" cm="1">
        <f t="array" ref="AU70">IF(AU$8=-1,AV70,IF(AU$8=99,AT70,IF(AU$8=0,INDEX($E70:$K70,0,AU$6),(INDEX($E70:$K70,0,AU$8+1)-INDEX($E70:$K70,0,AU$8))/(INDEX($D$5:$J$5,0,AU$8+1)-INDEX($D$5:$J$5,0,AU$8))+AT70)))</f>
        <v>999.8743624476698</v>
      </c>
      <c r="AV70" s="7" cm="1">
        <f t="array" ref="AV70">IF(AV$8=-1,AW70,IF(AV$8=99,AU70,IF(AV$8=0,INDEX($E70:$K70,0,AV$6),(INDEX($E70:$K70,0,AV$8+1)-INDEX($E70:$K70,0,AV$8))/(INDEX($D$5:$J$5,0,AV$8+1)-INDEX($D$5:$J$5,0,AV$8))+AU70)))</f>
        <v>999.8743624476698</v>
      </c>
      <c r="AW70" s="7" cm="1">
        <f t="array" ref="AW70">IF(AW$8=-1,AX70,IF(AW$8=99,AV70,IF(AW$8=0,INDEX($E70:$K70,0,AW$6),(INDEX($E70:$K70,0,AW$8+1)-INDEX($E70:$K70,0,AW$8))/(INDEX($D$5:$J$5,0,AW$8+1)-INDEX($D$5:$J$5,0,AW$8))+AV70)))</f>
        <v>999.8743624476698</v>
      </c>
      <c r="AX70" s="7" cm="1">
        <f t="array" ref="AX70">IF(AX$8=-1,AY70,IF(AX$8=99,AW70,IF(AX$8=0,INDEX($E70:$K70,0,AX$6),(INDEX($E70:$K70,0,AX$8+1)-INDEX($E70:$K70,0,AX$8))/(INDEX($D$5:$J$5,0,AX$8+1)-INDEX($D$5:$J$5,0,AX$8))+AW70)))</f>
        <v>999.8743624476698</v>
      </c>
      <c r="AY70" s="7" cm="1">
        <f t="array" ref="AY70">IF(AY$8=-1,AZ70,IF(AY$8=99,AX70,IF(AY$8=0,INDEX($E70:$K70,0,AY$6),(INDEX($E70:$K70,0,AY$8+1)-INDEX($E70:$K70,0,AY$8))/(INDEX($D$5:$J$5,0,AY$8+1)-INDEX($D$5:$J$5,0,AY$8))+AX70)))</f>
        <v>999.8743624476698</v>
      </c>
      <c r="AZ70" s="7" cm="1">
        <f t="array" ref="AZ70">IF(AZ$8=-1,BA70,IF(AZ$8=99,AY70,IF(AZ$8=0,INDEX($E70:$K70,0,AZ$6),(INDEX($E70:$K70,0,AZ$8+1)-INDEX($E70:$K70,0,AZ$8))/(INDEX($D$5:$J$5,0,AZ$8+1)-INDEX($D$5:$J$5,0,AZ$8))+AY70)))</f>
        <v>999.8743624476698</v>
      </c>
      <c r="BA70" s="7" cm="1">
        <f t="array" ref="BA70">IF(BA$8=-1,BB70,IF(BA$8=99,AZ70,IF(BA$8=0,INDEX($E70:$K70,0,BA$6),(INDEX($E70:$K70,0,BA$8+1)-INDEX($E70:$K70,0,BA$8))/(INDEX($D$5:$J$5,0,BA$8+1)-INDEX($D$5:$J$5,0,BA$8))+AZ70)))</f>
        <v>999.8743624476698</v>
      </c>
      <c r="BB70" s="7" cm="1">
        <f t="array" ref="BB70">IF(BB$8=-1,BC70,IF(BB$8=99,BA70,IF(BB$8=0,INDEX($E70:$K70,0,BB$6),(INDEX($E70:$K70,0,BB$8+1)-INDEX($E70:$K70,0,BB$8))/(INDEX($D$5:$J$5,0,BB$8+1)-INDEX($D$5:$J$5,0,BB$8))+BA70)))</f>
        <v>999.8743624476698</v>
      </c>
      <c r="BC70" s="7" cm="1">
        <f t="array" ref="BC70">IF(BC$8=-1,BD70,IF(BC$8=99,BB70,IF(BC$8=0,INDEX($E70:$K70,0,BC$6),(INDEX($E70:$K70,0,BC$8+1)-INDEX($E70:$K70,0,BC$8))/(INDEX($D$5:$J$5,0,BC$8+1)-INDEX($D$5:$J$5,0,BC$8))+BB70)))</f>
        <v>999.8743624476698</v>
      </c>
      <c r="BD70" s="7" cm="1">
        <f t="array" ref="BD70">IF(BD$8=-1,BE70,IF(BD$8=99,BC70,IF(BD$8=0,INDEX($E70:$K70,0,BD$6),(INDEX($E70:$K70,0,BD$8+1)-INDEX($E70:$K70,0,BD$8))/(INDEX($D$5:$J$5,0,BD$8+1)-INDEX($D$5:$J$5,0,BD$8))+BC70)))</f>
        <v>999.8743624476698</v>
      </c>
      <c r="BE70" s="7" cm="1">
        <f t="array" ref="BE70">IF(BE$8=-1,BF70,IF(BE$8=99,BD70,IF(BE$8=0,INDEX($E70:$K70,0,BE$6),(INDEX($E70:$K70,0,BE$8+1)-INDEX($E70:$K70,0,BE$8))/(INDEX($D$5:$J$5,0,BE$8+1)-INDEX($D$5:$J$5,0,BE$8))+BD70)))</f>
        <v>999.8743624476698</v>
      </c>
      <c r="BF70" s="7" cm="1">
        <f t="array" ref="BF70">IF(BF$8=-1,BG70,IF(BF$8=99,BE70,IF(BF$8=0,INDEX($E70:$K70,0,BF$6),(INDEX($E70:$K70,0,BF$8+1)-INDEX($E70:$K70,0,BF$8))/(INDEX($D$5:$J$5,0,BF$8+1)-INDEX($D$5:$J$5,0,BF$8))+BE70)))</f>
        <v>999.8743624476698</v>
      </c>
      <c r="BG70" s="7" cm="1">
        <f t="array" ref="BG70">IF(BG$8=-1,BH70,IF(BG$8=99,BF70,IF(BG$8=0,INDEX($E70:$K70,0,BG$6),(INDEX($E70:$K70,0,BG$8+1)-INDEX($E70:$K70,0,BG$8))/(INDEX($D$5:$J$5,0,BG$8+1)-INDEX($D$5:$J$5,0,BG$8))+BF70)))</f>
        <v>999.8743624476698</v>
      </c>
      <c r="BH70" s="7" cm="1">
        <f t="array" ref="BH70">IF(BH$8=-1,BI70,IF(BH$8=99,BG70,IF(BH$8=0,INDEX($E70:$K70,0,BH$6),(INDEX($E70:$K70,0,BH$8+1)-INDEX($E70:$K70,0,BH$8))/(INDEX($D$5:$J$5,0,BH$8+1)-INDEX($D$5:$J$5,0,BH$8))+BG70)))</f>
        <v>999.8743624476698</v>
      </c>
      <c r="BI70" s="7" cm="1">
        <f t="array" ref="BI70">IF(BI$8=-1,BJ70,IF(BI$8=99,BH70,IF(BI$8=0,INDEX($E70:$K70,0,BI$6),(INDEX($E70:$K70,0,BI$8+1)-INDEX($E70:$K70,0,BI$8))/(INDEX($D$5:$J$5,0,BI$8+1)-INDEX($D$5:$J$5,0,BI$8))+BH70)))</f>
        <v>999.8743624476698</v>
      </c>
      <c r="BJ70" s="7" cm="1">
        <f t="array" ref="BJ70">IF(BJ$8=-1,BK70,IF(BJ$8=99,BI70,IF(BJ$8=0,INDEX($E70:$K70,0,BJ$6),(INDEX($E70:$K70,0,BJ$8+1)-INDEX($E70:$K70,0,BJ$8))/(INDEX($D$5:$J$5,0,BJ$8+1)-INDEX($D$5:$J$5,0,BJ$8))+BI70)))</f>
        <v>999.8743624476698</v>
      </c>
      <c r="BK70" s="7" cm="1">
        <f t="array" ref="BK70">IF(BK$8=-1,BL70,IF(BK$8=99,BJ70,IF(BK$8=0,INDEX($E70:$K70,0,BK$6),(INDEX($E70:$K70,0,BK$8+1)-INDEX($E70:$K70,0,BK$8))/(INDEX($D$5:$J$5,0,BK$8+1)-INDEX($D$5:$J$5,0,BK$8))+BJ70)))</f>
        <v>999.8743624476698</v>
      </c>
      <c r="BL70" s="7" cm="1">
        <f t="array" ref="BL70">IF(BL$8=-1,BM70,IF(BL$8=99,BK70,IF(BL$8=0,INDEX($E70:$K70,0,BL$6),(INDEX($E70:$K70,0,BL$8+1)-INDEX($E70:$K70,0,BL$8))/(INDEX($D$5:$J$5,0,BL$8+1)-INDEX($D$5:$J$5,0,BL$8))+BK70)))</f>
        <v>999.8743624476698</v>
      </c>
      <c r="BM70" s="7" cm="1">
        <f t="array" ref="BM70">IF(BM$8=-1,BN70,IF(BM$8=99,BL70,IF(BM$8=0,INDEX($E70:$K70,0,BM$6),(INDEX($E70:$K70,0,BM$8+1)-INDEX($E70:$K70,0,BM$8))/(INDEX($D$5:$J$5,0,BM$8+1)-INDEX($D$5:$J$5,0,BM$8))+BL70)))</f>
        <v>999.8743624476698</v>
      </c>
      <c r="BN70" s="7" cm="1">
        <f t="array" ref="BN70">IF(BN$8=-1,BO70,IF(BN$8=99,BM70,IF(BN$8=0,INDEX($E70:$K70,0,BN$6),(INDEX($E70:$K70,0,BN$8+1)-INDEX($E70:$K70,0,BN$8))/(INDEX($D$5:$J$5,0,BN$8+1)-INDEX($D$5:$J$5,0,BN$8))+BM70)))</f>
        <v>999.8743624476698</v>
      </c>
      <c r="BO70" s="7" cm="1">
        <f t="array" ref="BO70">IF(BO$8=-1,BP70,IF(BO$8=99,BN70,IF(BO$8=0,INDEX($E70:$K70,0,BO$6),(INDEX($E70:$K70,0,BO$8+1)-INDEX($E70:$K70,0,BO$8))/(INDEX($D$5:$J$5,0,BO$8+1)-INDEX($D$5:$J$5,0,BO$8))+BN70)))</f>
        <v>999.8743624476698</v>
      </c>
      <c r="BP70" s="7" cm="1">
        <f t="array" ref="BP70">IF(BP$8=-1,BQ70,IF(BP$8=99,BO70,IF(BP$8=0,INDEX($E70:$K70,0,BP$6),(INDEX($E70:$K70,0,BP$8+1)-INDEX($E70:$K70,0,BP$8))/(INDEX($D$5:$J$5,0,BP$8+1)-INDEX($D$5:$J$5,0,BP$8))+BO70)))</f>
        <v>999.8743624476698</v>
      </c>
      <c r="BQ70" s="7" cm="1">
        <f t="array" ref="BQ70">IF(BQ$8=-1,BR70,IF(BQ$8=99,BP70,IF(BQ$8=0,INDEX($E70:$K70,0,BQ$6),(INDEX($E70:$K70,0,BQ$8+1)-INDEX($E70:$K70,0,BQ$8))/(INDEX($D$5:$J$5,0,BQ$8+1)-INDEX($D$5:$J$5,0,BQ$8))+BP70)))</f>
        <v>999.8743624476698</v>
      </c>
      <c r="BR70" s="7" cm="1">
        <f t="array" ref="BR70">IF(BR$8=-1,BS70,IF(BR$8=99,BQ70,IF(BR$8=0,INDEX($E70:$K70,0,BR$6),(INDEX($E70:$K70,0,BR$8+1)-INDEX($E70:$K70,0,BR$8))/(INDEX($D$5:$J$5,0,BR$8+1)-INDEX($D$5:$J$5,0,BR$8))+BQ70)))</f>
        <v>999.8743624476698</v>
      </c>
    </row>
    <row r="71" spans="1:70">
      <c r="A71" t="s">
        <v>16</v>
      </c>
      <c r="B71" s="1" t="s">
        <v>226</v>
      </c>
      <c r="C71" s="71" t="str">
        <f t="shared" si="136"/>
        <v>Commercial - Space Heating</v>
      </c>
      <c r="D71" s="71" t="s">
        <v>66</v>
      </c>
      <c r="E71" s="80">
        <f t="shared" ref="E71:E75" si="140">$D57/L$23</f>
        <v>59.117764859369181</v>
      </c>
      <c r="F71" s="88">
        <f t="shared" ref="F71:F78" si="141">E57/$Q$23</f>
        <v>86.140082210951618</v>
      </c>
      <c r="G71" s="88">
        <f t="shared" si="137"/>
        <v>86.140082210951618</v>
      </c>
      <c r="H71" s="88">
        <f t="shared" ref="H71:H75" si="142">IF($N$57=-1,G71,((F71-E71)*2/5+E71)*(1+$H$69*$T57))</f>
        <v>69.92669180000216</v>
      </c>
      <c r="I71" s="130">
        <f t="shared" si="137"/>
        <v>69.92669180000216</v>
      </c>
      <c r="J71" s="130">
        <f t="shared" si="138"/>
        <v>69.92669180000216</v>
      </c>
      <c r="K71" s="130">
        <f t="shared" si="139"/>
        <v>69.92669180000216</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84.518743169856677</v>
      </c>
      <c r="V71" s="7" cm="1">
        <f t="array" ref="V71">IF(V$8=-1,W71,IF(V$8=99,U71,IF(V$8=0,INDEX($E71:$I71,0,V$6),(INDEX($E71:$I71,0,V$8+1)-INDEX($E71:$I71,0,V$8))/(INDEX($D$5:$H$5,0,V$8+1)-INDEX($D$5:$H$5,0,V$8))+U71)))</f>
        <v>82.897404128761735</v>
      </c>
      <c r="W71" s="7" cm="1">
        <f t="array" ref="W71">IF(W$8=-1,X71,IF(W$8=99,V71,IF(W$8=0,INDEX($E71:$I71,0,W$6),(INDEX($E71:$I71,0,W$8+1)-INDEX($E71:$I71,0,W$8))/(INDEX($D$5:$H$5,0,W$8+1)-INDEX($D$5:$H$5,0,W$8))+V71)))</f>
        <v>81.276065087666794</v>
      </c>
      <c r="X71" s="7" cm="1">
        <f t="array" ref="X71">IF(X$8=-1,Y71,IF(X$8=99,W71,IF(X$8=0,INDEX($E71:$I71,0,X$6),(INDEX($E71:$I71,0,X$8+1)-INDEX($E71:$I71,0,X$8))/(INDEX($D$5:$H$5,0,X$8+1)-INDEX($D$5:$H$5,0,X$8))+W71)))</f>
        <v>79.654726046571852</v>
      </c>
      <c r="Y71" s="7" cm="1">
        <f t="array" ref="Y71">IF(Y$8=-1,Z71,IF(Y$8=99,X71,IF(Y$8=0,INDEX($E71:$I71,0,Y$6),(INDEX($E71:$I71,0,Y$8+1)-INDEX($E71:$I71,0,Y$8))/(INDEX($D$5:$H$5,0,Y$8+1)-INDEX($D$5:$H$5,0,Y$8))+X71)))</f>
        <v>78.033387005476911</v>
      </c>
      <c r="Z71" s="7" cm="1">
        <f t="array" ref="Z71">IF(Z$8=-1,AA71,IF(Z$8=99,Y71,IF(Z$8=0,INDEX($E71:$I71,0,Z$6),(INDEX($E71:$I71,0,Z$8+1)-INDEX($E71:$I71,0,Z$8))/(INDEX($D$5:$H$5,0,Z$8+1)-INDEX($D$5:$H$5,0,Z$8))+Y71)))</f>
        <v>76.412047964381969</v>
      </c>
      <c r="AA71" s="7" cm="1">
        <f t="array" ref="AA71">IF(AA$8=-1,AB71,IF(AA$8=99,Z71,IF(AA$8=0,INDEX($E71:$I71,0,AA$6),(INDEX($E71:$I71,0,AA$8+1)-INDEX($E71:$I71,0,AA$8))/(INDEX($D$5:$H$5,0,AA$8+1)-INDEX($D$5:$H$5,0,AA$8))+Z71)))</f>
        <v>74.790708923287028</v>
      </c>
      <c r="AB71" s="7" cm="1">
        <f t="array" ref="AB71">IF(AB$8=-1,AC71,IF(AB$8=99,AA71,IF(AB$8=0,INDEX($E71:$I71,0,AB$6),(INDEX($E71:$I71,0,AB$8+1)-INDEX($E71:$I71,0,AB$8))/(INDEX($D$5:$H$5,0,AB$8+1)-INDEX($D$5:$H$5,0,AB$8))+AA71)))</f>
        <v>73.169369882192086</v>
      </c>
      <c r="AC71" s="7" cm="1">
        <f t="array" ref="AC71">IF(AC$8=-1,AD71,IF(AC$8=99,AB71,IF(AC$8=0,INDEX($E71:$I71,0,AC$6),(INDEX($E71:$I71,0,AC$8+1)-INDEX($E71:$I71,0,AC$8))/(INDEX($D$5:$H$5,0,AC$8+1)-INDEX($D$5:$H$5,0,AC$8))+AB71)))</f>
        <v>71.548030841097145</v>
      </c>
      <c r="AD71" s="7" cm="1">
        <f t="array" ref="AD71">IF(AD$8=-1,AE71,IF(AD$8=99,AC71,IF(AD$8=0,INDEX($E71:$I71,0,AD$6),(INDEX($E71:$I71,0,AD$8+1)-INDEX($E71:$I71,0,AD$8))/(INDEX($D$5:$H$5,0,AD$8+1)-INDEX($D$5:$H$5,0,AD$8))+AC71)))</f>
        <v>69.92669180000216</v>
      </c>
      <c r="AE71" s="7" cm="1">
        <f t="array" ref="AE71">IF(AE$8=-1,AF71,IF(AE$8=99,AD71,IF(AE$8=0,INDEX($E71:$I71,0,AE$6),(INDEX($E71:$I71,0,AE$8+1)-INDEX($E71:$I71,0,AE$8))/(INDEX($D$5:$H$5,0,AE$8+1)-INDEX($D$5:$H$5,0,AE$8))+AD71)))</f>
        <v>69.92669180000216</v>
      </c>
      <c r="AF71" s="7" cm="1">
        <f t="array" ref="AF71">IF(AF$8=-1,AG71,IF(AF$8=99,AE71,IF(AF$8=0,INDEX($E71:$I71,0,AF$6),(INDEX($E71:$I71,0,AF$8+1)-INDEX($E71:$I71,0,AF$8))/(INDEX($D$5:$H$5,0,AF$8+1)-INDEX($D$5:$H$5,0,AF$8))+AE71)))</f>
        <v>69.92669180000216</v>
      </c>
      <c r="AG71" s="7" cm="1">
        <f t="array" ref="AG71">IF(AG$8=-1,AH71,IF(AG$8=99,AF71,IF(AG$8=0,INDEX($E71:$I71,0,AG$6),(INDEX($E71:$I71,0,AG$8+1)-INDEX($E71:$I71,0,AG$8))/(INDEX($D$5:$H$5,0,AG$8+1)-INDEX($D$5:$H$5,0,AG$8))+AF71)))</f>
        <v>69.92669180000216</v>
      </c>
      <c r="AH71" s="7" cm="1">
        <f t="array" ref="AH71">IF(AH$8=-1,AI71,IF(AH$8=99,AG71,IF(AH$8=0,INDEX($E71:$I71,0,AH$6),(INDEX($E71:$I71,0,AH$8+1)-INDEX($E71:$I71,0,AH$8))/(INDEX($D$5:$H$5,0,AH$8+1)-INDEX($D$5:$H$5,0,AH$8))+AG71)))</f>
        <v>69.92669180000216</v>
      </c>
      <c r="AI71" s="7" cm="1">
        <f t="array" ref="AI71">IF(AI$8=-1,AJ71,IF(AI$8=99,AH71,IF(AI$8=0,INDEX($E71:$I71,0,AI$6),(INDEX($E71:$I71,0,AI$8+1)-INDEX($E71:$I71,0,AI$8))/(INDEX($D$5:$H$5,0,AI$8+1)-INDEX($D$5:$H$5,0,AI$8))+AH71)))</f>
        <v>69.92669180000216</v>
      </c>
      <c r="AJ71" s="7" cm="1">
        <f t="array" ref="AJ71">IF(AJ$8=-1,AK71,IF(AJ$8=99,AI71,IF(AJ$8=0,INDEX($E71:$I71,0,AJ$6),(INDEX($E71:$I71,0,AJ$8+1)-INDEX($E71:$I71,0,AJ$8))/(INDEX($D$5:$H$5,0,AJ$8+1)-INDEX($D$5:$H$5,0,AJ$8))+AI71)))</f>
        <v>69.92669180000216</v>
      </c>
      <c r="AK71" s="7" cm="1">
        <f t="array" ref="AK71">IF(AK$8=-1,AL71,IF(AK$8=99,AJ71,IF(AK$8=0,INDEX($E71:$I71,0,AK$6),(INDEX($E71:$I71,0,AK$8+1)-INDEX($E71:$I71,0,AK$8))/(INDEX($D$5:$H$5,0,AK$8+1)-INDEX($D$5:$H$5,0,AK$8))+AJ71)))</f>
        <v>69.92669180000216</v>
      </c>
      <c r="AL71" s="7" cm="1">
        <f t="array" ref="AL71">IF(AL$8=-1,AM71,IF(AL$8=99,AK71,IF(AL$8=0,INDEX($E71:$I71,0,AL$6),(INDEX($E71:$I71,0,AL$8+1)-INDEX($E71:$I71,0,AL$8))/(INDEX($D$5:$H$5,0,AL$8+1)-INDEX($D$5:$H$5,0,AL$8))+AK71)))</f>
        <v>69.92669180000216</v>
      </c>
      <c r="AM71" s="7" cm="1">
        <f t="array" ref="AM71">IF(AM$8=-1,AN71,IF(AM$8=99,AL71,IF(AM$8=0,INDEX($E71:$I71,0,AM$6),(INDEX($E71:$I71,0,AM$8+1)-INDEX($E71:$I71,0,AM$8))/(INDEX($D$5:$H$5,0,AM$8+1)-INDEX($D$5:$H$5,0,AM$8))+AL71)))</f>
        <v>69.92669180000216</v>
      </c>
      <c r="AN71" s="7" cm="1">
        <f t="array" ref="AN71">IF(AN$8=-1,AO71,IF(AN$8=99,AM71,IF(AN$8=0,INDEX($E71:$I71,0,AN$6),(INDEX($E71:$I71,0,AN$8+1)-INDEX($E71:$I71,0,AN$8))/(INDEX($D$5:$H$5,0,AN$8+1)-INDEX($D$5:$H$5,0,AN$8))+AM71)))</f>
        <v>69.92669180000216</v>
      </c>
      <c r="AO71" s="7" cm="1">
        <f t="array" ref="AO71">IF(AO$8=-1,AP71,IF(AO$8=99,AN71,IF(AO$8=0,INDEX($E71:$K71,0,AO$6),(INDEX($E71:$K71,0,AO$8+1)-INDEX($E71:$K71,0,AO$8))/(INDEX($D$5:$J$5,0,AO$8+1)-INDEX($D$5:$J$5,0,AO$8))+AN71)))</f>
        <v>69.92669180000216</v>
      </c>
      <c r="AP71" s="7" cm="1">
        <f t="array" ref="AP71">IF(AP$8=-1,AQ71,IF(AP$8=99,AO71,IF(AP$8=0,INDEX($E71:$K71,0,AP$6),(INDEX($E71:$K71,0,AP$8+1)-INDEX($E71:$K71,0,AP$8))/(INDEX($D$5:$J$5,0,AP$8+1)-INDEX($D$5:$J$5,0,AP$8))+AO71)))</f>
        <v>69.92669180000216</v>
      </c>
      <c r="AQ71" s="7" cm="1">
        <f t="array" ref="AQ71">IF(AQ$8=-1,AR71,IF(AQ$8=99,AP71,IF(AQ$8=0,INDEX($E71:$K71,0,AQ$6),(INDEX($E71:$K71,0,AQ$8+1)-INDEX($E71:$K71,0,AQ$8))/(INDEX($D$5:$J$5,0,AQ$8+1)-INDEX($D$5:$J$5,0,AQ$8))+AP71)))</f>
        <v>69.92669180000216</v>
      </c>
      <c r="AR71" s="7" cm="1">
        <f t="array" ref="AR71">IF(AR$8=-1,AS71,IF(AR$8=99,AQ71,IF(AR$8=0,INDEX($E71:$K71,0,AR$6),(INDEX($E71:$K71,0,AR$8+1)-INDEX($E71:$K71,0,AR$8))/(INDEX($D$5:$J$5,0,AR$8+1)-INDEX($D$5:$J$5,0,AR$8))+AQ71)))</f>
        <v>69.92669180000216</v>
      </c>
      <c r="AS71" s="7" cm="1">
        <f t="array" ref="AS71">IF(AS$8=-1,AT71,IF(AS$8=99,AR71,IF(AS$8=0,INDEX($E71:$K71,0,AS$6),(INDEX($E71:$K71,0,AS$8+1)-INDEX($E71:$K71,0,AS$8))/(INDEX($D$5:$J$5,0,AS$8+1)-INDEX($D$5:$J$5,0,AS$8))+AR71)))</f>
        <v>69.92669180000216</v>
      </c>
      <c r="AT71" s="7" cm="1">
        <f t="array" ref="AT71">IF(AT$8=-1,AU71,IF(AT$8=99,AS71,IF(AT$8=0,INDEX($E71:$K71,0,AT$6),(INDEX($E71:$K71,0,AT$8+1)-INDEX($E71:$K71,0,AT$8))/(INDEX($D$5:$J$5,0,AT$8+1)-INDEX($D$5:$J$5,0,AT$8))+AS71)))</f>
        <v>69.92669180000216</v>
      </c>
      <c r="AU71" s="7" cm="1">
        <f t="array" ref="AU71">IF(AU$8=-1,AV71,IF(AU$8=99,AT71,IF(AU$8=0,INDEX($E71:$K71,0,AU$6),(INDEX($E71:$K71,0,AU$8+1)-INDEX($E71:$K71,0,AU$8))/(INDEX($D$5:$J$5,0,AU$8+1)-INDEX($D$5:$J$5,0,AU$8))+AT71)))</f>
        <v>69.92669180000216</v>
      </c>
      <c r="AV71" s="7" cm="1">
        <f t="array" ref="AV71">IF(AV$8=-1,AW71,IF(AV$8=99,AU71,IF(AV$8=0,INDEX($E71:$K71,0,AV$6),(INDEX($E71:$K71,0,AV$8+1)-INDEX($E71:$K71,0,AV$8))/(INDEX($D$5:$J$5,0,AV$8+1)-INDEX($D$5:$J$5,0,AV$8))+AU71)))</f>
        <v>69.92669180000216</v>
      </c>
      <c r="AW71" s="7" cm="1">
        <f t="array" ref="AW71">IF(AW$8=-1,AX71,IF(AW$8=99,AV71,IF(AW$8=0,INDEX($E71:$K71,0,AW$6),(INDEX($E71:$K71,0,AW$8+1)-INDEX($E71:$K71,0,AW$8))/(INDEX($D$5:$J$5,0,AW$8+1)-INDEX($D$5:$J$5,0,AW$8))+AV71)))</f>
        <v>69.92669180000216</v>
      </c>
      <c r="AX71" s="7" cm="1">
        <f t="array" ref="AX71">IF(AX$8=-1,AY71,IF(AX$8=99,AW71,IF(AX$8=0,INDEX($E71:$K71,0,AX$6),(INDEX($E71:$K71,0,AX$8+1)-INDEX($E71:$K71,0,AX$8))/(INDEX($D$5:$J$5,0,AX$8+1)-INDEX($D$5:$J$5,0,AX$8))+AW71)))</f>
        <v>69.92669180000216</v>
      </c>
      <c r="AY71" s="7" cm="1">
        <f t="array" ref="AY71">IF(AY$8=-1,AZ71,IF(AY$8=99,AX71,IF(AY$8=0,INDEX($E71:$K71,0,AY$6),(INDEX($E71:$K71,0,AY$8+1)-INDEX($E71:$K71,0,AY$8))/(INDEX($D$5:$J$5,0,AY$8+1)-INDEX($D$5:$J$5,0,AY$8))+AX71)))</f>
        <v>69.92669180000216</v>
      </c>
      <c r="AZ71" s="7" cm="1">
        <f t="array" ref="AZ71">IF(AZ$8=-1,BA71,IF(AZ$8=99,AY71,IF(AZ$8=0,INDEX($E71:$K71,0,AZ$6),(INDEX($E71:$K71,0,AZ$8+1)-INDEX($E71:$K71,0,AZ$8))/(INDEX($D$5:$J$5,0,AZ$8+1)-INDEX($D$5:$J$5,0,AZ$8))+AY71)))</f>
        <v>69.92669180000216</v>
      </c>
      <c r="BA71" s="7" cm="1">
        <f t="array" ref="BA71">IF(BA$8=-1,BB71,IF(BA$8=99,AZ71,IF(BA$8=0,INDEX($E71:$K71,0,BA$6),(INDEX($E71:$K71,0,BA$8+1)-INDEX($E71:$K71,0,BA$8))/(INDEX($D$5:$J$5,0,BA$8+1)-INDEX($D$5:$J$5,0,BA$8))+AZ71)))</f>
        <v>69.92669180000216</v>
      </c>
      <c r="BB71" s="7" cm="1">
        <f t="array" ref="BB71">IF(BB$8=-1,BC71,IF(BB$8=99,BA71,IF(BB$8=0,INDEX($E71:$K71,0,BB$6),(INDEX($E71:$K71,0,BB$8+1)-INDEX($E71:$K71,0,BB$8))/(INDEX($D$5:$J$5,0,BB$8+1)-INDEX($D$5:$J$5,0,BB$8))+BA71)))</f>
        <v>69.92669180000216</v>
      </c>
      <c r="BC71" s="7" cm="1">
        <f t="array" ref="BC71">IF(BC$8=-1,BD71,IF(BC$8=99,BB71,IF(BC$8=0,INDEX($E71:$K71,0,BC$6),(INDEX($E71:$K71,0,BC$8+1)-INDEX($E71:$K71,0,BC$8))/(INDEX($D$5:$J$5,0,BC$8+1)-INDEX($D$5:$J$5,0,BC$8))+BB71)))</f>
        <v>69.92669180000216</v>
      </c>
      <c r="BD71" s="7" cm="1">
        <f t="array" ref="BD71">IF(BD$8=-1,BE71,IF(BD$8=99,BC71,IF(BD$8=0,INDEX($E71:$K71,0,BD$6),(INDEX($E71:$K71,0,BD$8+1)-INDEX($E71:$K71,0,BD$8))/(INDEX($D$5:$J$5,0,BD$8+1)-INDEX($D$5:$J$5,0,BD$8))+BC71)))</f>
        <v>69.92669180000216</v>
      </c>
      <c r="BE71" s="7" cm="1">
        <f t="array" ref="BE71">IF(BE$8=-1,BF71,IF(BE$8=99,BD71,IF(BE$8=0,INDEX($E71:$K71,0,BE$6),(INDEX($E71:$K71,0,BE$8+1)-INDEX($E71:$K71,0,BE$8))/(INDEX($D$5:$J$5,0,BE$8+1)-INDEX($D$5:$J$5,0,BE$8))+BD71)))</f>
        <v>69.92669180000216</v>
      </c>
      <c r="BF71" s="7" cm="1">
        <f t="array" ref="BF71">IF(BF$8=-1,BG71,IF(BF$8=99,BE71,IF(BF$8=0,INDEX($E71:$K71,0,BF$6),(INDEX($E71:$K71,0,BF$8+1)-INDEX($E71:$K71,0,BF$8))/(INDEX($D$5:$J$5,0,BF$8+1)-INDEX($D$5:$J$5,0,BF$8))+BE71)))</f>
        <v>69.92669180000216</v>
      </c>
      <c r="BG71" s="7" cm="1">
        <f t="array" ref="BG71">IF(BG$8=-1,BH71,IF(BG$8=99,BF71,IF(BG$8=0,INDEX($E71:$K71,0,BG$6),(INDEX($E71:$K71,0,BG$8+1)-INDEX($E71:$K71,0,BG$8))/(INDEX($D$5:$J$5,0,BG$8+1)-INDEX($D$5:$J$5,0,BG$8))+BF71)))</f>
        <v>69.92669180000216</v>
      </c>
      <c r="BH71" s="7" cm="1">
        <f t="array" ref="BH71">IF(BH$8=-1,BI71,IF(BH$8=99,BG71,IF(BH$8=0,INDEX($E71:$K71,0,BH$6),(INDEX($E71:$K71,0,BH$8+1)-INDEX($E71:$K71,0,BH$8))/(INDEX($D$5:$J$5,0,BH$8+1)-INDEX($D$5:$J$5,0,BH$8))+BG71)))</f>
        <v>69.92669180000216</v>
      </c>
      <c r="BI71" s="7" cm="1">
        <f t="array" ref="BI71">IF(BI$8=-1,BJ71,IF(BI$8=99,BH71,IF(BI$8=0,INDEX($E71:$K71,0,BI$6),(INDEX($E71:$K71,0,BI$8+1)-INDEX($E71:$K71,0,BI$8))/(INDEX($D$5:$J$5,0,BI$8+1)-INDEX($D$5:$J$5,0,BI$8))+BH71)))</f>
        <v>69.92669180000216</v>
      </c>
      <c r="BJ71" s="7" cm="1">
        <f t="array" ref="BJ71">IF(BJ$8=-1,BK71,IF(BJ$8=99,BI71,IF(BJ$8=0,INDEX($E71:$K71,0,BJ$6),(INDEX($E71:$K71,0,BJ$8+1)-INDEX($E71:$K71,0,BJ$8))/(INDEX($D$5:$J$5,0,BJ$8+1)-INDEX($D$5:$J$5,0,BJ$8))+BI71)))</f>
        <v>69.92669180000216</v>
      </c>
      <c r="BK71" s="7" cm="1">
        <f t="array" ref="BK71">IF(BK$8=-1,BL71,IF(BK$8=99,BJ71,IF(BK$8=0,INDEX($E71:$K71,0,BK$6),(INDEX($E71:$K71,0,BK$8+1)-INDEX($E71:$K71,0,BK$8))/(INDEX($D$5:$J$5,0,BK$8+1)-INDEX($D$5:$J$5,0,BK$8))+BJ71)))</f>
        <v>69.92669180000216</v>
      </c>
      <c r="BL71" s="7" cm="1">
        <f t="array" ref="BL71">IF(BL$8=-1,BM71,IF(BL$8=99,BK71,IF(BL$8=0,INDEX($E71:$K71,0,BL$6),(INDEX($E71:$K71,0,BL$8+1)-INDEX($E71:$K71,0,BL$8))/(INDEX($D$5:$J$5,0,BL$8+1)-INDEX($D$5:$J$5,0,BL$8))+BK71)))</f>
        <v>69.92669180000216</v>
      </c>
      <c r="BM71" s="7" cm="1">
        <f t="array" ref="BM71">IF(BM$8=-1,BN71,IF(BM$8=99,BL71,IF(BM$8=0,INDEX($E71:$K71,0,BM$6),(INDEX($E71:$K71,0,BM$8+1)-INDEX($E71:$K71,0,BM$8))/(INDEX($D$5:$J$5,0,BM$8+1)-INDEX($D$5:$J$5,0,BM$8))+BL71)))</f>
        <v>69.92669180000216</v>
      </c>
      <c r="BN71" s="7" cm="1">
        <f t="array" ref="BN71">IF(BN$8=-1,BO71,IF(BN$8=99,BM71,IF(BN$8=0,INDEX($E71:$K71,0,BN$6),(INDEX($E71:$K71,0,BN$8+1)-INDEX($E71:$K71,0,BN$8))/(INDEX($D$5:$J$5,0,BN$8+1)-INDEX($D$5:$J$5,0,BN$8))+BM71)))</f>
        <v>69.92669180000216</v>
      </c>
      <c r="BO71" s="7" cm="1">
        <f t="array" ref="BO71">IF(BO$8=-1,BP71,IF(BO$8=99,BN71,IF(BO$8=0,INDEX($E71:$K71,0,BO$6),(INDEX($E71:$K71,0,BO$8+1)-INDEX($E71:$K71,0,BO$8))/(INDEX($D$5:$J$5,0,BO$8+1)-INDEX($D$5:$J$5,0,BO$8))+BN71)))</f>
        <v>69.92669180000216</v>
      </c>
      <c r="BP71" s="7" cm="1">
        <f t="array" ref="BP71">IF(BP$8=-1,BQ71,IF(BP$8=99,BO71,IF(BP$8=0,INDEX($E71:$K71,0,BP$6),(INDEX($E71:$K71,0,BP$8+1)-INDEX($E71:$K71,0,BP$8))/(INDEX($D$5:$J$5,0,BP$8+1)-INDEX($D$5:$J$5,0,BP$8))+BO71)))</f>
        <v>69.92669180000216</v>
      </c>
      <c r="BQ71" s="7" cm="1">
        <f t="array" ref="BQ71">IF(BQ$8=-1,BR71,IF(BQ$8=99,BP71,IF(BQ$8=0,INDEX($E71:$K71,0,BQ$6),(INDEX($E71:$K71,0,BQ$8+1)-INDEX($E71:$K71,0,BQ$8))/(INDEX($D$5:$J$5,0,BQ$8+1)-INDEX($D$5:$J$5,0,BQ$8))+BP71)))</f>
        <v>69.92669180000216</v>
      </c>
      <c r="BR71" s="7" cm="1">
        <f t="array" ref="BR71">IF(BR$8=-1,BS71,IF(BR$8=99,BQ71,IF(BR$8=0,INDEX($E71:$K71,0,BR$6),(INDEX($E71:$K71,0,BR$8+1)-INDEX($E71:$K71,0,BR$8))/(INDEX($D$5:$J$5,0,BR$8+1)-INDEX($D$5:$J$5,0,BR$8))+BQ71)))</f>
        <v>69.92669180000216</v>
      </c>
    </row>
    <row r="72" spans="1:70">
      <c r="A72" t="s">
        <v>16</v>
      </c>
      <c r="B72" s="1" t="s">
        <v>227</v>
      </c>
      <c r="C72" s="71" t="str">
        <f t="shared" si="136"/>
        <v>Commercial - Cooking</v>
      </c>
      <c r="D72" s="71" t="s">
        <v>66</v>
      </c>
      <c r="E72" s="80">
        <f t="shared" si="140"/>
        <v>74.498085701673489</v>
      </c>
      <c r="F72" s="88">
        <f t="shared" si="141"/>
        <v>64.377434268608681</v>
      </c>
      <c r="G72" s="88">
        <f t="shared" si="137"/>
        <v>64.377434268608681</v>
      </c>
      <c r="H72" s="88">
        <f t="shared" si="142"/>
        <v>70.449825128447571</v>
      </c>
      <c r="I72" s="130">
        <f t="shared" si="137"/>
        <v>70.449825128447571</v>
      </c>
      <c r="J72" s="130">
        <f t="shared" si="138"/>
        <v>70.449825128447571</v>
      </c>
      <c r="K72" s="130">
        <f t="shared" si="139"/>
        <v>70.449825128447571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64.984673354592573</v>
      </c>
      <c r="V72" s="7" cm="1">
        <f t="array" ref="V72">IF(V$8=-1,W72,IF(V$8=99,U72,IF(V$8=0,INDEX($E72:$I72,0,V$6),(INDEX($E72:$I72,0,V$8+1)-INDEX($E72:$I72,0,V$8))/(INDEX($D$5:$H$5,0,V$8+1)-INDEX($D$5:$H$5,0,V$8))+U72)))</f>
        <v>65.591912440576465</v>
      </c>
      <c r="W72" s="7" cm="1">
        <f t="array" ref="W72">IF(W$8=-1,X72,IF(W$8=99,V72,IF(W$8=0,INDEX($E72:$I72,0,W$6),(INDEX($E72:$I72,0,W$8+1)-INDEX($E72:$I72,0,W$8))/(INDEX($D$5:$H$5,0,W$8+1)-INDEX($D$5:$H$5,0,W$8))+V72)))</f>
        <v>66.199151526560357</v>
      </c>
      <c r="X72" s="7" cm="1">
        <f t="array" ref="X72">IF(X$8=-1,Y72,IF(X$8=99,W72,IF(X$8=0,INDEX($E72:$I72,0,X$6),(INDEX($E72:$I72,0,X$8+1)-INDEX($E72:$I72,0,X$8))/(INDEX($D$5:$H$5,0,X$8+1)-INDEX($D$5:$H$5,0,X$8))+W72)))</f>
        <v>66.806390612544249</v>
      </c>
      <c r="Y72" s="7" cm="1">
        <f t="array" ref="Y72">IF(Y$8=-1,Z72,IF(Y$8=99,X72,IF(Y$8=0,INDEX($E72:$I72,0,Y$6),(INDEX($E72:$I72,0,Y$8+1)-INDEX($E72:$I72,0,Y$8))/(INDEX($D$5:$H$5,0,Y$8+1)-INDEX($D$5:$H$5,0,Y$8))+X72)))</f>
        <v>67.41362969852814</v>
      </c>
      <c r="Z72" s="7" cm="1">
        <f t="array" ref="Z72">IF(Z$8=-1,AA72,IF(Z$8=99,Y72,IF(Z$8=0,INDEX($E72:$I72,0,Z$6),(INDEX($E72:$I72,0,Z$8+1)-INDEX($E72:$I72,0,Z$8))/(INDEX($D$5:$H$5,0,Z$8+1)-INDEX($D$5:$H$5,0,Z$8))+Y72)))</f>
        <v>68.020868784512032</v>
      </c>
      <c r="AA72" s="7" cm="1">
        <f t="array" ref="AA72">IF(AA$8=-1,AB72,IF(AA$8=99,Z72,IF(AA$8=0,INDEX($E72:$I72,0,AA$6),(INDEX($E72:$I72,0,AA$8+1)-INDEX($E72:$I72,0,AA$8))/(INDEX($D$5:$H$5,0,AA$8+1)-INDEX($D$5:$H$5,0,AA$8))+Z72)))</f>
        <v>68.628107870495924</v>
      </c>
      <c r="AB72" s="7" cm="1">
        <f t="array" ref="AB72">IF(AB$8=-1,AC72,IF(AB$8=99,AA72,IF(AB$8=0,INDEX($E72:$I72,0,AB$6),(INDEX($E72:$I72,0,AB$8+1)-INDEX($E72:$I72,0,AB$8))/(INDEX($D$5:$H$5,0,AB$8+1)-INDEX($D$5:$H$5,0,AB$8))+AA72)))</f>
        <v>69.235346956479816</v>
      </c>
      <c r="AC72" s="7" cm="1">
        <f t="array" ref="AC72">IF(AC$8=-1,AD72,IF(AC$8=99,AB72,IF(AC$8=0,INDEX($E72:$I72,0,AC$6),(INDEX($E72:$I72,0,AC$8+1)-INDEX($E72:$I72,0,AC$8))/(INDEX($D$5:$H$5,0,AC$8+1)-INDEX($D$5:$H$5,0,AC$8))+AB72)))</f>
        <v>69.842586042463708</v>
      </c>
      <c r="AD72" s="7" cm="1">
        <f t="array" ref="AD72">IF(AD$8=-1,AE72,IF(AD$8=99,AC72,IF(AD$8=0,INDEX($E72:$I72,0,AD$6),(INDEX($E72:$I72,0,AD$8+1)-INDEX($E72:$I72,0,AD$8))/(INDEX($D$5:$H$5,0,AD$8+1)-INDEX($D$5:$H$5,0,AD$8))+AC72)))</f>
        <v>70.449825128447571</v>
      </c>
      <c r="AE72" s="7" cm="1">
        <f t="array" ref="AE72">IF(AE$8=-1,AF72,IF(AE$8=99,AD72,IF(AE$8=0,INDEX($E72:$I72,0,AE$6),(INDEX($E72:$I72,0,AE$8+1)-INDEX($E72:$I72,0,AE$8))/(INDEX($D$5:$H$5,0,AE$8+1)-INDEX($D$5:$H$5,0,AE$8))+AD72)))</f>
        <v>70.449825128447571</v>
      </c>
      <c r="AF72" s="7" cm="1">
        <f t="array" ref="AF72">IF(AF$8=-1,AG72,IF(AF$8=99,AE72,IF(AF$8=0,INDEX($E72:$I72,0,AF$6),(INDEX($E72:$I72,0,AF$8+1)-INDEX($E72:$I72,0,AF$8))/(INDEX($D$5:$H$5,0,AF$8+1)-INDEX($D$5:$H$5,0,AF$8))+AE72)))</f>
        <v>70.449825128447571</v>
      </c>
      <c r="AG72" s="7" cm="1">
        <f t="array" ref="AG72">IF(AG$8=-1,AH72,IF(AG$8=99,AF72,IF(AG$8=0,INDEX($E72:$I72,0,AG$6),(INDEX($E72:$I72,0,AG$8+1)-INDEX($E72:$I72,0,AG$8))/(INDEX($D$5:$H$5,0,AG$8+1)-INDEX($D$5:$H$5,0,AG$8))+AF72)))</f>
        <v>70.449825128447571</v>
      </c>
      <c r="AH72" s="7" cm="1">
        <f t="array" ref="AH72">IF(AH$8=-1,AI72,IF(AH$8=99,AG72,IF(AH$8=0,INDEX($E72:$I72,0,AH$6),(INDEX($E72:$I72,0,AH$8+1)-INDEX($E72:$I72,0,AH$8))/(INDEX($D$5:$H$5,0,AH$8+1)-INDEX($D$5:$H$5,0,AH$8))+AG72)))</f>
        <v>70.449825128447571</v>
      </c>
      <c r="AI72" s="7" cm="1">
        <f t="array" ref="AI72">IF(AI$8=-1,AJ72,IF(AI$8=99,AH72,IF(AI$8=0,INDEX($E72:$I72,0,AI$6),(INDEX($E72:$I72,0,AI$8+1)-INDEX($E72:$I72,0,AI$8))/(INDEX($D$5:$H$5,0,AI$8+1)-INDEX($D$5:$H$5,0,AI$8))+AH72)))</f>
        <v>70.449825128447571</v>
      </c>
      <c r="AJ72" s="7" cm="1">
        <f t="array" ref="AJ72">IF(AJ$8=-1,AK72,IF(AJ$8=99,AI72,IF(AJ$8=0,INDEX($E72:$I72,0,AJ$6),(INDEX($E72:$I72,0,AJ$8+1)-INDEX($E72:$I72,0,AJ$8))/(INDEX($D$5:$H$5,0,AJ$8+1)-INDEX($D$5:$H$5,0,AJ$8))+AI72)))</f>
        <v>70.449825128447571</v>
      </c>
      <c r="AK72" s="7" cm="1">
        <f t="array" ref="AK72">IF(AK$8=-1,AL72,IF(AK$8=99,AJ72,IF(AK$8=0,INDEX($E72:$I72,0,AK$6),(INDEX($E72:$I72,0,AK$8+1)-INDEX($E72:$I72,0,AK$8))/(INDEX($D$5:$H$5,0,AK$8+1)-INDEX($D$5:$H$5,0,AK$8))+AJ72)))</f>
        <v>70.449825128447571</v>
      </c>
      <c r="AL72" s="7" cm="1">
        <f t="array" ref="AL72">IF(AL$8=-1,AM72,IF(AL$8=99,AK72,IF(AL$8=0,INDEX($E72:$I72,0,AL$6),(INDEX($E72:$I72,0,AL$8+1)-INDEX($E72:$I72,0,AL$8))/(INDEX($D$5:$H$5,0,AL$8+1)-INDEX($D$5:$H$5,0,AL$8))+AK72)))</f>
        <v>70.449825128447571</v>
      </c>
      <c r="AM72" s="7" cm="1">
        <f t="array" ref="AM72">IF(AM$8=-1,AN72,IF(AM$8=99,AL72,IF(AM$8=0,INDEX($E72:$I72,0,AM$6),(INDEX($E72:$I72,0,AM$8+1)-INDEX($E72:$I72,0,AM$8))/(INDEX($D$5:$H$5,0,AM$8+1)-INDEX($D$5:$H$5,0,AM$8))+AL72)))</f>
        <v>70.449825128447571</v>
      </c>
      <c r="AN72" s="7" cm="1">
        <f t="array" ref="AN72">IF(AN$8=-1,AO72,IF(AN$8=99,AM72,IF(AN$8=0,INDEX($E72:$I72,0,AN$6),(INDEX($E72:$I72,0,AN$8+1)-INDEX($E72:$I72,0,AN$8))/(INDEX($D$5:$H$5,0,AN$8+1)-INDEX($D$5:$H$5,0,AN$8))+AM72)))</f>
        <v>70.449825128447571</v>
      </c>
      <c r="AO72" s="7" cm="1">
        <f t="array" ref="AO72">IF(AO$8=-1,AP72,IF(AO$8=99,AN72,IF(AO$8=0,INDEX($E72:$K72,0,AO$6),(INDEX($E72:$K72,0,AO$8+1)-INDEX($E72:$K72,0,AO$8))/(INDEX($D$5:$J$5,0,AO$8+1)-INDEX($D$5:$J$5,0,AO$8))+AN72)))</f>
        <v>70.449825128447571</v>
      </c>
      <c r="AP72" s="7" cm="1">
        <f t="array" ref="AP72">IF(AP$8=-1,AQ72,IF(AP$8=99,AO72,IF(AP$8=0,INDEX($E72:$K72,0,AP$6),(INDEX($E72:$K72,0,AP$8+1)-INDEX($E72:$K72,0,AP$8))/(INDEX($D$5:$J$5,0,AP$8+1)-INDEX($D$5:$J$5,0,AP$8))+AO72)))</f>
        <v>70.449825128447571</v>
      </c>
      <c r="AQ72" s="7" cm="1">
        <f t="array" ref="AQ72">IF(AQ$8=-1,AR72,IF(AQ$8=99,AP72,IF(AQ$8=0,INDEX($E72:$K72,0,AQ$6),(INDEX($E72:$K72,0,AQ$8+1)-INDEX($E72:$K72,0,AQ$8))/(INDEX($D$5:$J$5,0,AQ$8+1)-INDEX($D$5:$J$5,0,AQ$8))+AP72)))</f>
        <v>70.449825128447571</v>
      </c>
      <c r="AR72" s="7" cm="1">
        <f t="array" ref="AR72">IF(AR$8=-1,AS72,IF(AR$8=99,AQ72,IF(AR$8=0,INDEX($E72:$K72,0,AR$6),(INDEX($E72:$K72,0,AR$8+1)-INDEX($E72:$K72,0,AR$8))/(INDEX($D$5:$J$5,0,AR$8+1)-INDEX($D$5:$J$5,0,AR$8))+AQ72)))</f>
        <v>70.449825128447571</v>
      </c>
      <c r="AS72" s="7" cm="1">
        <f t="array" ref="AS72">IF(AS$8=-1,AT72,IF(AS$8=99,AR72,IF(AS$8=0,INDEX($E72:$K72,0,AS$6),(INDEX($E72:$K72,0,AS$8+1)-INDEX($E72:$K72,0,AS$8))/(INDEX($D$5:$J$5,0,AS$8+1)-INDEX($D$5:$J$5,0,AS$8))+AR72)))</f>
        <v>70.449825128447571</v>
      </c>
      <c r="AT72" s="7" cm="1">
        <f t="array" ref="AT72">IF(AT$8=-1,AU72,IF(AT$8=99,AS72,IF(AT$8=0,INDEX($E72:$K72,0,AT$6),(INDEX($E72:$K72,0,AT$8+1)-INDEX($E72:$K72,0,AT$8))/(INDEX($D$5:$J$5,0,AT$8+1)-INDEX($D$5:$J$5,0,AT$8))+AS72)))</f>
        <v>70.449825128447571</v>
      </c>
      <c r="AU72" s="7" cm="1">
        <f t="array" ref="AU72">IF(AU$8=-1,AV72,IF(AU$8=99,AT72,IF(AU$8=0,INDEX($E72:$K72,0,AU$6),(INDEX($E72:$K72,0,AU$8+1)-INDEX($E72:$K72,0,AU$8))/(INDEX($D$5:$J$5,0,AU$8+1)-INDEX($D$5:$J$5,0,AU$8))+AT72)))</f>
        <v>70.449825128447571</v>
      </c>
      <c r="AV72" s="7" cm="1">
        <f t="array" ref="AV72">IF(AV$8=-1,AW72,IF(AV$8=99,AU72,IF(AV$8=0,INDEX($E72:$K72,0,AV$6),(INDEX($E72:$K72,0,AV$8+1)-INDEX($E72:$K72,0,AV$8))/(INDEX($D$5:$J$5,0,AV$8+1)-INDEX($D$5:$J$5,0,AV$8))+AU72)))</f>
        <v>70.449825128447571</v>
      </c>
      <c r="AW72" s="7" cm="1">
        <f t="array" ref="AW72">IF(AW$8=-1,AX72,IF(AW$8=99,AV72,IF(AW$8=0,INDEX($E72:$K72,0,AW$6),(INDEX($E72:$K72,0,AW$8+1)-INDEX($E72:$K72,0,AW$8))/(INDEX($D$5:$J$5,0,AW$8+1)-INDEX($D$5:$J$5,0,AW$8))+AV72)))</f>
        <v>70.449825128447571</v>
      </c>
      <c r="AX72" s="7" cm="1">
        <f t="array" ref="AX72">IF(AX$8=-1,AY72,IF(AX$8=99,AW72,IF(AX$8=0,INDEX($E72:$K72,0,AX$6),(INDEX($E72:$K72,0,AX$8+1)-INDEX($E72:$K72,0,AX$8))/(INDEX($D$5:$J$5,0,AX$8+1)-INDEX($D$5:$J$5,0,AX$8))+AW72)))</f>
        <v>70.449825128447571</v>
      </c>
      <c r="AY72" s="7" cm="1">
        <f t="array" ref="AY72">IF(AY$8=-1,AZ72,IF(AY$8=99,AX72,IF(AY$8=0,INDEX($E72:$K72,0,AY$6),(INDEX($E72:$K72,0,AY$8+1)-INDEX($E72:$K72,0,AY$8))/(INDEX($D$5:$J$5,0,AY$8+1)-INDEX($D$5:$J$5,0,AY$8))+AX72)))</f>
        <v>70.449825128447571</v>
      </c>
      <c r="AZ72" s="7" cm="1">
        <f t="array" ref="AZ72">IF(AZ$8=-1,BA72,IF(AZ$8=99,AY72,IF(AZ$8=0,INDEX($E72:$K72,0,AZ$6),(INDEX($E72:$K72,0,AZ$8+1)-INDEX($E72:$K72,0,AZ$8))/(INDEX($D$5:$J$5,0,AZ$8+1)-INDEX($D$5:$J$5,0,AZ$8))+AY72)))</f>
        <v>70.449825128447571</v>
      </c>
      <c r="BA72" s="7" cm="1">
        <f t="array" ref="BA72">IF(BA$8=-1,BB72,IF(BA$8=99,AZ72,IF(BA$8=0,INDEX($E72:$K72,0,BA$6),(INDEX($E72:$K72,0,BA$8+1)-INDEX($E72:$K72,0,BA$8))/(INDEX($D$5:$J$5,0,BA$8+1)-INDEX($D$5:$J$5,0,BA$8))+AZ72)))</f>
        <v>70.449825128447571</v>
      </c>
      <c r="BB72" s="7" cm="1">
        <f t="array" ref="BB72">IF(BB$8=-1,BC72,IF(BB$8=99,BA72,IF(BB$8=0,INDEX($E72:$K72,0,BB$6),(INDEX($E72:$K72,0,BB$8+1)-INDEX($E72:$K72,0,BB$8))/(INDEX($D$5:$J$5,0,BB$8+1)-INDEX($D$5:$J$5,0,BB$8))+BA72)))</f>
        <v>70.449825128447571</v>
      </c>
      <c r="BC72" s="7" cm="1">
        <f t="array" ref="BC72">IF(BC$8=-1,BD72,IF(BC$8=99,BB72,IF(BC$8=0,INDEX($E72:$K72,0,BC$6),(INDEX($E72:$K72,0,BC$8+1)-INDEX($E72:$K72,0,BC$8))/(INDEX($D$5:$J$5,0,BC$8+1)-INDEX($D$5:$J$5,0,BC$8))+BB72)))</f>
        <v>70.449825128447571</v>
      </c>
      <c r="BD72" s="7" cm="1">
        <f t="array" ref="BD72">IF(BD$8=-1,BE72,IF(BD$8=99,BC72,IF(BD$8=0,INDEX($E72:$K72,0,BD$6),(INDEX($E72:$K72,0,BD$8+1)-INDEX($E72:$K72,0,BD$8))/(INDEX($D$5:$J$5,0,BD$8+1)-INDEX($D$5:$J$5,0,BD$8))+BC72)))</f>
        <v>70.449825128447571</v>
      </c>
      <c r="BE72" s="7" cm="1">
        <f t="array" ref="BE72">IF(BE$8=-1,BF72,IF(BE$8=99,BD72,IF(BE$8=0,INDEX($E72:$K72,0,BE$6),(INDEX($E72:$K72,0,BE$8+1)-INDEX($E72:$K72,0,BE$8))/(INDEX($D$5:$J$5,0,BE$8+1)-INDEX($D$5:$J$5,0,BE$8))+BD72)))</f>
        <v>70.449825128447571</v>
      </c>
      <c r="BF72" s="7" cm="1">
        <f t="array" ref="BF72">IF(BF$8=-1,BG72,IF(BF$8=99,BE72,IF(BF$8=0,INDEX($E72:$K72,0,BF$6),(INDEX($E72:$K72,0,BF$8+1)-INDEX($E72:$K72,0,BF$8))/(INDEX($D$5:$J$5,0,BF$8+1)-INDEX($D$5:$J$5,0,BF$8))+BE72)))</f>
        <v>70.449825128447571</v>
      </c>
      <c r="BG72" s="7" cm="1">
        <f t="array" ref="BG72">IF(BG$8=-1,BH72,IF(BG$8=99,BF72,IF(BG$8=0,INDEX($E72:$K72,0,BG$6),(INDEX($E72:$K72,0,BG$8+1)-INDEX($E72:$K72,0,BG$8))/(INDEX($D$5:$J$5,0,BG$8+1)-INDEX($D$5:$J$5,0,BG$8))+BF72)))</f>
        <v>70.449825128447571</v>
      </c>
      <c r="BH72" s="7" cm="1">
        <f t="array" ref="BH72">IF(BH$8=-1,BI72,IF(BH$8=99,BG72,IF(BH$8=0,INDEX($E72:$K72,0,BH$6),(INDEX($E72:$K72,0,BH$8+1)-INDEX($E72:$K72,0,BH$8))/(INDEX($D$5:$J$5,0,BH$8+1)-INDEX($D$5:$J$5,0,BH$8))+BG72)))</f>
        <v>70.449825128447571</v>
      </c>
      <c r="BI72" s="7" cm="1">
        <f t="array" ref="BI72">IF(BI$8=-1,BJ72,IF(BI$8=99,BH72,IF(BI$8=0,INDEX($E72:$K72,0,BI$6),(INDEX($E72:$K72,0,BI$8+1)-INDEX($E72:$K72,0,BI$8))/(INDEX($D$5:$J$5,0,BI$8+1)-INDEX($D$5:$J$5,0,BI$8))+BH72)))</f>
        <v>70.449825128447571</v>
      </c>
      <c r="BJ72" s="7" cm="1">
        <f t="array" ref="BJ72">IF(BJ$8=-1,BK72,IF(BJ$8=99,BI72,IF(BJ$8=0,INDEX($E72:$K72,0,BJ$6),(INDEX($E72:$K72,0,BJ$8+1)-INDEX($E72:$K72,0,BJ$8))/(INDEX($D$5:$J$5,0,BJ$8+1)-INDEX($D$5:$J$5,0,BJ$8))+BI72)))</f>
        <v>70.449825128447571</v>
      </c>
      <c r="BK72" s="7" cm="1">
        <f t="array" ref="BK72">IF(BK$8=-1,BL72,IF(BK$8=99,BJ72,IF(BK$8=0,INDEX($E72:$K72,0,BK$6),(INDEX($E72:$K72,0,BK$8+1)-INDEX($E72:$K72,0,BK$8))/(INDEX($D$5:$J$5,0,BK$8+1)-INDEX($D$5:$J$5,0,BK$8))+BJ72)))</f>
        <v>70.449825128447571</v>
      </c>
      <c r="BL72" s="7" cm="1">
        <f t="array" ref="BL72">IF(BL$8=-1,BM72,IF(BL$8=99,BK72,IF(BL$8=0,INDEX($E72:$K72,0,BL$6),(INDEX($E72:$K72,0,BL$8+1)-INDEX($E72:$K72,0,BL$8))/(INDEX($D$5:$J$5,0,BL$8+1)-INDEX($D$5:$J$5,0,BL$8))+BK72)))</f>
        <v>70.449825128447571</v>
      </c>
      <c r="BM72" s="7" cm="1">
        <f t="array" ref="BM72">IF(BM$8=-1,BN72,IF(BM$8=99,BL72,IF(BM$8=0,INDEX($E72:$K72,0,BM$6),(INDEX($E72:$K72,0,BM$8+1)-INDEX($E72:$K72,0,BM$8))/(INDEX($D$5:$J$5,0,BM$8+1)-INDEX($D$5:$J$5,0,BM$8))+BL72)))</f>
        <v>70.449825128447571</v>
      </c>
      <c r="BN72" s="7" cm="1">
        <f t="array" ref="BN72">IF(BN$8=-1,BO72,IF(BN$8=99,BM72,IF(BN$8=0,INDEX($E72:$K72,0,BN$6),(INDEX($E72:$K72,0,BN$8+1)-INDEX($E72:$K72,0,BN$8))/(INDEX($D$5:$J$5,0,BN$8+1)-INDEX($D$5:$J$5,0,BN$8))+BM72)))</f>
        <v>70.449825128447571</v>
      </c>
      <c r="BO72" s="7" cm="1">
        <f t="array" ref="BO72">IF(BO$8=-1,BP72,IF(BO$8=99,BN72,IF(BO$8=0,INDEX($E72:$K72,0,BO$6),(INDEX($E72:$K72,0,BO$8+1)-INDEX($E72:$K72,0,BO$8))/(INDEX($D$5:$J$5,0,BO$8+1)-INDEX($D$5:$J$5,0,BO$8))+BN72)))</f>
        <v>70.449825128447571</v>
      </c>
      <c r="BP72" s="7" cm="1">
        <f t="array" ref="BP72">IF(BP$8=-1,BQ72,IF(BP$8=99,BO72,IF(BP$8=0,INDEX($E72:$K72,0,BP$6),(INDEX($E72:$K72,0,BP$8+1)-INDEX($E72:$K72,0,BP$8))/(INDEX($D$5:$J$5,0,BP$8+1)-INDEX($D$5:$J$5,0,BP$8))+BO72)))</f>
        <v>70.449825128447571</v>
      </c>
      <c r="BQ72" s="7" cm="1">
        <f t="array" ref="BQ72">IF(BQ$8=-1,BR72,IF(BQ$8=99,BP72,IF(BQ$8=0,INDEX($E72:$K72,0,BQ$6),(INDEX($E72:$K72,0,BQ$8+1)-INDEX($E72:$K72,0,BQ$8))/(INDEX($D$5:$J$5,0,BQ$8+1)-INDEX($D$5:$J$5,0,BQ$8))+BP72)))</f>
        <v>70.449825128447571</v>
      </c>
      <c r="BR72" s="7" cm="1">
        <f t="array" ref="BR72">IF(BR$8=-1,BS72,IF(BR$8=99,BQ72,IF(BR$8=0,INDEX($E72:$K72,0,BR$6),(INDEX($E72:$K72,0,BR$8+1)-INDEX($E72:$K72,0,BR$8))/(INDEX($D$5:$J$5,0,BR$8+1)-INDEX($D$5:$J$5,0,BR$8))+BQ72)))</f>
        <v>70.449825128447571</v>
      </c>
    </row>
    <row r="73" spans="1:70">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870.12156853302804</v>
      </c>
      <c r="I73" s="130">
        <f t="shared" si="137"/>
        <v>870.12156853302804</v>
      </c>
      <c r="J73" s="130">
        <f t="shared" si="138"/>
        <v>870.12156853302804</v>
      </c>
      <c r="K73" s="130">
        <f t="shared" si="139"/>
        <v>870.12156853302804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809.39238160687592</v>
      </c>
      <c r="V73" s="7" cm="1">
        <f t="array" ref="V73">IF(V$8=-1,W73,IF(V$8=99,U73,IF(V$8=0,INDEX($E73:$I73,0,V$6),(INDEX($E73:$I73,0,V$8+1)-INDEX($E73:$I73,0,V$8))/(INDEX($D$5:$H$5,0,V$8+1)-INDEX($D$5:$H$5,0,V$8))+U73)))</f>
        <v>816.14006904311509</v>
      </c>
      <c r="W73" s="7" cm="1">
        <f t="array" ref="W73">IF(W$8=-1,X73,IF(W$8=99,V73,IF(W$8=0,INDEX($E73:$I73,0,W$6),(INDEX($E73:$I73,0,W$8+1)-INDEX($E73:$I73,0,W$8))/(INDEX($D$5:$H$5,0,W$8+1)-INDEX($D$5:$H$5,0,W$8))+V73)))</f>
        <v>822.88775647935427</v>
      </c>
      <c r="X73" s="7" cm="1">
        <f t="array" ref="X73">IF(X$8=-1,Y73,IF(X$8=99,W73,IF(X$8=0,INDEX($E73:$I73,0,X$6),(INDEX($E73:$I73,0,X$8+1)-INDEX($E73:$I73,0,X$8))/(INDEX($D$5:$H$5,0,X$8+1)-INDEX($D$5:$H$5,0,X$8))+W73)))</f>
        <v>829.63544391559344</v>
      </c>
      <c r="Y73" s="7" cm="1">
        <f t="array" ref="Y73">IF(Y$8=-1,Z73,IF(Y$8=99,X73,IF(Y$8=0,INDEX($E73:$I73,0,Y$6),(INDEX($E73:$I73,0,Y$8+1)-INDEX($E73:$I73,0,Y$8))/(INDEX($D$5:$H$5,0,Y$8+1)-INDEX($D$5:$H$5,0,Y$8))+X73)))</f>
        <v>836.38313135183262</v>
      </c>
      <c r="Z73" s="7" cm="1">
        <f t="array" ref="Z73">IF(Z$8=-1,AA73,IF(Z$8=99,Y73,IF(Z$8=0,INDEX($E73:$I73,0,Z$6),(INDEX($E73:$I73,0,Z$8+1)-INDEX($E73:$I73,0,Z$8))/(INDEX($D$5:$H$5,0,Z$8+1)-INDEX($D$5:$H$5,0,Z$8))+Y73)))</f>
        <v>843.13081878807179</v>
      </c>
      <c r="AA73" s="7" cm="1">
        <f t="array" ref="AA73">IF(AA$8=-1,AB73,IF(AA$8=99,Z73,IF(AA$8=0,INDEX($E73:$I73,0,AA$6),(INDEX($E73:$I73,0,AA$8+1)-INDEX($E73:$I73,0,AA$8))/(INDEX($D$5:$H$5,0,AA$8+1)-INDEX($D$5:$H$5,0,AA$8))+Z73)))</f>
        <v>849.87850622431097</v>
      </c>
      <c r="AB73" s="7" cm="1">
        <f t="array" ref="AB73">IF(AB$8=-1,AC73,IF(AB$8=99,AA73,IF(AB$8=0,INDEX($E73:$I73,0,AB$6),(INDEX($E73:$I73,0,AB$8+1)-INDEX($E73:$I73,0,AB$8))/(INDEX($D$5:$H$5,0,AB$8+1)-INDEX($D$5:$H$5,0,AB$8))+AA73)))</f>
        <v>856.62619366055014</v>
      </c>
      <c r="AC73" s="7" cm="1">
        <f t="array" ref="AC73">IF(AC$8=-1,AD73,IF(AC$8=99,AB73,IF(AC$8=0,INDEX($E73:$I73,0,AC$6),(INDEX($E73:$I73,0,AC$8+1)-INDEX($E73:$I73,0,AC$8))/(INDEX($D$5:$H$5,0,AC$8+1)-INDEX($D$5:$H$5,0,AC$8))+AB73)))</f>
        <v>863.37388109678932</v>
      </c>
      <c r="AD73" s="7" cm="1">
        <f t="array" ref="AD73">IF(AD$8=-1,AE73,IF(AD$8=99,AC73,IF(AD$8=0,INDEX($E73:$I73,0,AD$6),(INDEX($E73:$I73,0,AD$8+1)-INDEX($E73:$I73,0,AD$8))/(INDEX($D$5:$H$5,0,AD$8+1)-INDEX($D$5:$H$5,0,AD$8))+AC73)))</f>
        <v>870.12156853302804</v>
      </c>
      <c r="AE73" s="7" cm="1">
        <f t="array" ref="AE73">IF(AE$8=-1,AF73,IF(AE$8=99,AD73,IF(AE$8=0,INDEX($E73:$I73,0,AE$6),(INDEX($E73:$I73,0,AE$8+1)-INDEX($E73:$I73,0,AE$8))/(INDEX($D$5:$H$5,0,AE$8+1)-INDEX($D$5:$H$5,0,AE$8))+AD73)))</f>
        <v>870.12156853302804</v>
      </c>
      <c r="AF73" s="7" cm="1">
        <f t="array" ref="AF73">IF(AF$8=-1,AG73,IF(AF$8=99,AE73,IF(AF$8=0,INDEX($E73:$I73,0,AF$6),(INDEX($E73:$I73,0,AF$8+1)-INDEX($E73:$I73,0,AF$8))/(INDEX($D$5:$H$5,0,AF$8+1)-INDEX($D$5:$H$5,0,AF$8))+AE73)))</f>
        <v>870.12156853302804</v>
      </c>
      <c r="AG73" s="7" cm="1">
        <f t="array" ref="AG73">IF(AG$8=-1,AH73,IF(AG$8=99,AF73,IF(AG$8=0,INDEX($E73:$I73,0,AG$6),(INDEX($E73:$I73,0,AG$8+1)-INDEX($E73:$I73,0,AG$8))/(INDEX($D$5:$H$5,0,AG$8+1)-INDEX($D$5:$H$5,0,AG$8))+AF73)))</f>
        <v>870.12156853302804</v>
      </c>
      <c r="AH73" s="7" cm="1">
        <f t="array" ref="AH73">IF(AH$8=-1,AI73,IF(AH$8=99,AG73,IF(AH$8=0,INDEX($E73:$I73,0,AH$6),(INDEX($E73:$I73,0,AH$8+1)-INDEX($E73:$I73,0,AH$8))/(INDEX($D$5:$H$5,0,AH$8+1)-INDEX($D$5:$H$5,0,AH$8))+AG73)))</f>
        <v>870.12156853302804</v>
      </c>
      <c r="AI73" s="7" cm="1">
        <f t="array" ref="AI73">IF(AI$8=-1,AJ73,IF(AI$8=99,AH73,IF(AI$8=0,INDEX($E73:$I73,0,AI$6),(INDEX($E73:$I73,0,AI$8+1)-INDEX($E73:$I73,0,AI$8))/(INDEX($D$5:$H$5,0,AI$8+1)-INDEX($D$5:$H$5,0,AI$8))+AH73)))</f>
        <v>870.12156853302804</v>
      </c>
      <c r="AJ73" s="7" cm="1">
        <f t="array" ref="AJ73">IF(AJ$8=-1,AK73,IF(AJ$8=99,AI73,IF(AJ$8=0,INDEX($E73:$I73,0,AJ$6),(INDEX($E73:$I73,0,AJ$8+1)-INDEX($E73:$I73,0,AJ$8))/(INDEX($D$5:$H$5,0,AJ$8+1)-INDEX($D$5:$H$5,0,AJ$8))+AI73)))</f>
        <v>870.12156853302804</v>
      </c>
      <c r="AK73" s="7" cm="1">
        <f t="array" ref="AK73">IF(AK$8=-1,AL73,IF(AK$8=99,AJ73,IF(AK$8=0,INDEX($E73:$I73,0,AK$6),(INDEX($E73:$I73,0,AK$8+1)-INDEX($E73:$I73,0,AK$8))/(INDEX($D$5:$H$5,0,AK$8+1)-INDEX($D$5:$H$5,0,AK$8))+AJ73)))</f>
        <v>870.12156853302804</v>
      </c>
      <c r="AL73" s="7" cm="1">
        <f t="array" ref="AL73">IF(AL$8=-1,AM73,IF(AL$8=99,AK73,IF(AL$8=0,INDEX($E73:$I73,0,AL$6),(INDEX($E73:$I73,0,AL$8+1)-INDEX($E73:$I73,0,AL$8))/(INDEX($D$5:$H$5,0,AL$8+1)-INDEX($D$5:$H$5,0,AL$8))+AK73)))</f>
        <v>870.12156853302804</v>
      </c>
      <c r="AM73" s="7" cm="1">
        <f t="array" ref="AM73">IF(AM$8=-1,AN73,IF(AM$8=99,AL73,IF(AM$8=0,INDEX($E73:$I73,0,AM$6),(INDEX($E73:$I73,0,AM$8+1)-INDEX($E73:$I73,0,AM$8))/(INDEX($D$5:$H$5,0,AM$8+1)-INDEX($D$5:$H$5,0,AM$8))+AL73)))</f>
        <v>870.12156853302804</v>
      </c>
      <c r="AN73" s="7" cm="1">
        <f t="array" ref="AN73">IF(AN$8=-1,AO73,IF(AN$8=99,AM73,IF(AN$8=0,INDEX($E73:$I73,0,AN$6),(INDEX($E73:$I73,0,AN$8+1)-INDEX($E73:$I73,0,AN$8))/(INDEX($D$5:$H$5,0,AN$8+1)-INDEX($D$5:$H$5,0,AN$8))+AM73)))</f>
        <v>870.12156853302804</v>
      </c>
      <c r="AO73" s="7" cm="1">
        <f t="array" ref="AO73">IF(AO$8=-1,AP73,IF(AO$8=99,AN73,IF(AO$8=0,INDEX($E73:$K73,0,AO$6),(INDEX($E73:$K73,0,AO$8+1)-INDEX($E73:$K73,0,AO$8))/(INDEX($D$5:$J$5,0,AO$8+1)-INDEX($D$5:$J$5,0,AO$8))+AN73)))</f>
        <v>870.12156853302804</v>
      </c>
      <c r="AP73" s="7" cm="1">
        <f t="array" ref="AP73">IF(AP$8=-1,AQ73,IF(AP$8=99,AO73,IF(AP$8=0,INDEX($E73:$K73,0,AP$6),(INDEX($E73:$K73,0,AP$8+1)-INDEX($E73:$K73,0,AP$8))/(INDEX($D$5:$J$5,0,AP$8+1)-INDEX($D$5:$J$5,0,AP$8))+AO73)))</f>
        <v>870.12156853302804</v>
      </c>
      <c r="AQ73" s="7" cm="1">
        <f t="array" ref="AQ73">IF(AQ$8=-1,AR73,IF(AQ$8=99,AP73,IF(AQ$8=0,INDEX($E73:$K73,0,AQ$6),(INDEX($E73:$K73,0,AQ$8+1)-INDEX($E73:$K73,0,AQ$8))/(INDEX($D$5:$J$5,0,AQ$8+1)-INDEX($D$5:$J$5,0,AQ$8))+AP73)))</f>
        <v>870.12156853302804</v>
      </c>
      <c r="AR73" s="7" cm="1">
        <f t="array" ref="AR73">IF(AR$8=-1,AS73,IF(AR$8=99,AQ73,IF(AR$8=0,INDEX($E73:$K73,0,AR$6),(INDEX($E73:$K73,0,AR$8+1)-INDEX($E73:$K73,0,AR$8))/(INDEX($D$5:$J$5,0,AR$8+1)-INDEX($D$5:$J$5,0,AR$8))+AQ73)))</f>
        <v>870.12156853302804</v>
      </c>
      <c r="AS73" s="7" cm="1">
        <f t="array" ref="AS73">IF(AS$8=-1,AT73,IF(AS$8=99,AR73,IF(AS$8=0,INDEX($E73:$K73,0,AS$6),(INDEX($E73:$K73,0,AS$8+1)-INDEX($E73:$K73,0,AS$8))/(INDEX($D$5:$J$5,0,AS$8+1)-INDEX($D$5:$J$5,0,AS$8))+AR73)))</f>
        <v>870.12156853302804</v>
      </c>
      <c r="AT73" s="7" cm="1">
        <f t="array" ref="AT73">IF(AT$8=-1,AU73,IF(AT$8=99,AS73,IF(AT$8=0,INDEX($E73:$K73,0,AT$6),(INDEX($E73:$K73,0,AT$8+1)-INDEX($E73:$K73,0,AT$8))/(INDEX($D$5:$J$5,0,AT$8+1)-INDEX($D$5:$J$5,0,AT$8))+AS73)))</f>
        <v>870.12156853302804</v>
      </c>
      <c r="AU73" s="7" cm="1">
        <f t="array" ref="AU73">IF(AU$8=-1,AV73,IF(AU$8=99,AT73,IF(AU$8=0,INDEX($E73:$K73,0,AU$6),(INDEX($E73:$K73,0,AU$8+1)-INDEX($E73:$K73,0,AU$8))/(INDEX($D$5:$J$5,0,AU$8+1)-INDEX($D$5:$J$5,0,AU$8))+AT73)))</f>
        <v>870.12156853302804</v>
      </c>
      <c r="AV73" s="7" cm="1">
        <f t="array" ref="AV73">IF(AV$8=-1,AW73,IF(AV$8=99,AU73,IF(AV$8=0,INDEX($E73:$K73,0,AV$6),(INDEX($E73:$K73,0,AV$8+1)-INDEX($E73:$K73,0,AV$8))/(INDEX($D$5:$J$5,0,AV$8+1)-INDEX($D$5:$J$5,0,AV$8))+AU73)))</f>
        <v>870.12156853302804</v>
      </c>
      <c r="AW73" s="7" cm="1">
        <f t="array" ref="AW73">IF(AW$8=-1,AX73,IF(AW$8=99,AV73,IF(AW$8=0,INDEX($E73:$K73,0,AW$6),(INDEX($E73:$K73,0,AW$8+1)-INDEX($E73:$K73,0,AW$8))/(INDEX($D$5:$J$5,0,AW$8+1)-INDEX($D$5:$J$5,0,AW$8))+AV73)))</f>
        <v>870.12156853302804</v>
      </c>
      <c r="AX73" s="7" cm="1">
        <f t="array" ref="AX73">IF(AX$8=-1,AY73,IF(AX$8=99,AW73,IF(AX$8=0,INDEX($E73:$K73,0,AX$6),(INDEX($E73:$K73,0,AX$8+1)-INDEX($E73:$K73,0,AX$8))/(INDEX($D$5:$J$5,0,AX$8+1)-INDEX($D$5:$J$5,0,AX$8))+AW73)))</f>
        <v>870.12156853302804</v>
      </c>
      <c r="AY73" s="7" cm="1">
        <f t="array" ref="AY73">IF(AY$8=-1,AZ73,IF(AY$8=99,AX73,IF(AY$8=0,INDEX($E73:$K73,0,AY$6),(INDEX($E73:$K73,0,AY$8+1)-INDEX($E73:$K73,0,AY$8))/(INDEX($D$5:$J$5,0,AY$8+1)-INDEX($D$5:$J$5,0,AY$8))+AX73)))</f>
        <v>870.12156853302804</v>
      </c>
      <c r="AZ73" s="7" cm="1">
        <f t="array" ref="AZ73">IF(AZ$8=-1,BA73,IF(AZ$8=99,AY73,IF(AZ$8=0,INDEX($E73:$K73,0,AZ$6),(INDEX($E73:$K73,0,AZ$8+1)-INDEX($E73:$K73,0,AZ$8))/(INDEX($D$5:$J$5,0,AZ$8+1)-INDEX($D$5:$J$5,0,AZ$8))+AY73)))</f>
        <v>870.12156853302804</v>
      </c>
      <c r="BA73" s="7" cm="1">
        <f t="array" ref="BA73">IF(BA$8=-1,BB73,IF(BA$8=99,AZ73,IF(BA$8=0,INDEX($E73:$K73,0,BA$6),(INDEX($E73:$K73,0,BA$8+1)-INDEX($E73:$K73,0,BA$8))/(INDEX($D$5:$J$5,0,BA$8+1)-INDEX($D$5:$J$5,0,BA$8))+AZ73)))</f>
        <v>870.12156853302804</v>
      </c>
      <c r="BB73" s="7" cm="1">
        <f t="array" ref="BB73">IF(BB$8=-1,BC73,IF(BB$8=99,BA73,IF(BB$8=0,INDEX($E73:$K73,0,BB$6),(INDEX($E73:$K73,0,BB$8+1)-INDEX($E73:$K73,0,BB$8))/(INDEX($D$5:$J$5,0,BB$8+1)-INDEX($D$5:$J$5,0,BB$8))+BA73)))</f>
        <v>870.12156853302804</v>
      </c>
      <c r="BC73" s="7" cm="1">
        <f t="array" ref="BC73">IF(BC$8=-1,BD73,IF(BC$8=99,BB73,IF(BC$8=0,INDEX($E73:$K73,0,BC$6),(INDEX($E73:$K73,0,BC$8+1)-INDEX($E73:$K73,0,BC$8))/(INDEX($D$5:$J$5,0,BC$8+1)-INDEX($D$5:$J$5,0,BC$8))+BB73)))</f>
        <v>870.12156853302804</v>
      </c>
      <c r="BD73" s="7" cm="1">
        <f t="array" ref="BD73">IF(BD$8=-1,BE73,IF(BD$8=99,BC73,IF(BD$8=0,INDEX($E73:$K73,0,BD$6),(INDEX($E73:$K73,0,BD$8+1)-INDEX($E73:$K73,0,BD$8))/(INDEX($D$5:$J$5,0,BD$8+1)-INDEX($D$5:$J$5,0,BD$8))+BC73)))</f>
        <v>870.12156853302804</v>
      </c>
      <c r="BE73" s="7" cm="1">
        <f t="array" ref="BE73">IF(BE$8=-1,BF73,IF(BE$8=99,BD73,IF(BE$8=0,INDEX($E73:$K73,0,BE$6),(INDEX($E73:$K73,0,BE$8+1)-INDEX($E73:$K73,0,BE$8))/(INDEX($D$5:$J$5,0,BE$8+1)-INDEX($D$5:$J$5,0,BE$8))+BD73)))</f>
        <v>870.12156853302804</v>
      </c>
      <c r="BF73" s="7" cm="1">
        <f t="array" ref="BF73">IF(BF$8=-1,BG73,IF(BF$8=99,BE73,IF(BF$8=0,INDEX($E73:$K73,0,BF$6),(INDEX($E73:$K73,0,BF$8+1)-INDEX($E73:$K73,0,BF$8))/(INDEX($D$5:$J$5,0,BF$8+1)-INDEX($D$5:$J$5,0,BF$8))+BE73)))</f>
        <v>870.12156853302804</v>
      </c>
      <c r="BG73" s="7" cm="1">
        <f t="array" ref="BG73">IF(BG$8=-1,BH73,IF(BG$8=99,BF73,IF(BG$8=0,INDEX($E73:$K73,0,BG$6),(INDEX($E73:$K73,0,BG$8+1)-INDEX($E73:$K73,0,BG$8))/(INDEX($D$5:$J$5,0,BG$8+1)-INDEX($D$5:$J$5,0,BG$8))+BF73)))</f>
        <v>870.12156853302804</v>
      </c>
      <c r="BH73" s="7" cm="1">
        <f t="array" ref="BH73">IF(BH$8=-1,BI73,IF(BH$8=99,BG73,IF(BH$8=0,INDEX($E73:$K73,0,BH$6),(INDEX($E73:$K73,0,BH$8+1)-INDEX($E73:$K73,0,BH$8))/(INDEX($D$5:$J$5,0,BH$8+1)-INDEX($D$5:$J$5,0,BH$8))+BG73)))</f>
        <v>870.12156853302804</v>
      </c>
      <c r="BI73" s="7" cm="1">
        <f t="array" ref="BI73">IF(BI$8=-1,BJ73,IF(BI$8=99,BH73,IF(BI$8=0,INDEX($E73:$K73,0,BI$6),(INDEX($E73:$K73,0,BI$8+1)-INDEX($E73:$K73,0,BI$8))/(INDEX($D$5:$J$5,0,BI$8+1)-INDEX($D$5:$J$5,0,BI$8))+BH73)))</f>
        <v>870.12156853302804</v>
      </c>
      <c r="BJ73" s="7" cm="1">
        <f t="array" ref="BJ73">IF(BJ$8=-1,BK73,IF(BJ$8=99,BI73,IF(BJ$8=0,INDEX($E73:$K73,0,BJ$6),(INDEX($E73:$K73,0,BJ$8+1)-INDEX($E73:$K73,0,BJ$8))/(INDEX($D$5:$J$5,0,BJ$8+1)-INDEX($D$5:$J$5,0,BJ$8))+BI73)))</f>
        <v>870.12156853302804</v>
      </c>
      <c r="BK73" s="7" cm="1">
        <f t="array" ref="BK73">IF(BK$8=-1,BL73,IF(BK$8=99,BJ73,IF(BK$8=0,INDEX($E73:$K73,0,BK$6),(INDEX($E73:$K73,0,BK$8+1)-INDEX($E73:$K73,0,BK$8))/(INDEX($D$5:$J$5,0,BK$8+1)-INDEX($D$5:$J$5,0,BK$8))+BJ73)))</f>
        <v>870.12156853302804</v>
      </c>
      <c r="BL73" s="7" cm="1">
        <f t="array" ref="BL73">IF(BL$8=-1,BM73,IF(BL$8=99,BK73,IF(BL$8=0,INDEX($E73:$K73,0,BL$6),(INDEX($E73:$K73,0,BL$8+1)-INDEX($E73:$K73,0,BL$8))/(INDEX($D$5:$J$5,0,BL$8+1)-INDEX($D$5:$J$5,0,BL$8))+BK73)))</f>
        <v>870.12156853302804</v>
      </c>
      <c r="BM73" s="7" cm="1">
        <f t="array" ref="BM73">IF(BM$8=-1,BN73,IF(BM$8=99,BL73,IF(BM$8=0,INDEX($E73:$K73,0,BM$6),(INDEX($E73:$K73,0,BM$8+1)-INDEX($E73:$K73,0,BM$8))/(INDEX($D$5:$J$5,0,BM$8+1)-INDEX($D$5:$J$5,0,BM$8))+BL73)))</f>
        <v>870.12156853302804</v>
      </c>
      <c r="BN73" s="7" cm="1">
        <f t="array" ref="BN73">IF(BN$8=-1,BO73,IF(BN$8=99,BM73,IF(BN$8=0,INDEX($E73:$K73,0,BN$6),(INDEX($E73:$K73,0,BN$8+1)-INDEX($E73:$K73,0,BN$8))/(INDEX($D$5:$J$5,0,BN$8+1)-INDEX($D$5:$J$5,0,BN$8))+BM73)))</f>
        <v>870.12156853302804</v>
      </c>
      <c r="BO73" s="7" cm="1">
        <f t="array" ref="BO73">IF(BO$8=-1,BP73,IF(BO$8=99,BN73,IF(BO$8=0,INDEX($E73:$K73,0,BO$6),(INDEX($E73:$K73,0,BO$8+1)-INDEX($E73:$K73,0,BO$8))/(INDEX($D$5:$J$5,0,BO$8+1)-INDEX($D$5:$J$5,0,BO$8))+BN73)))</f>
        <v>870.12156853302804</v>
      </c>
      <c r="BP73" s="7" cm="1">
        <f t="array" ref="BP73">IF(BP$8=-1,BQ73,IF(BP$8=99,BO73,IF(BP$8=0,INDEX($E73:$K73,0,BP$6),(INDEX($E73:$K73,0,BP$8+1)-INDEX($E73:$K73,0,BP$8))/(INDEX($D$5:$J$5,0,BP$8+1)-INDEX($D$5:$J$5,0,BP$8))+BO73)))</f>
        <v>870.12156853302804</v>
      </c>
      <c r="BQ73" s="7" cm="1">
        <f t="array" ref="BQ73">IF(BQ$8=-1,BR73,IF(BQ$8=99,BP73,IF(BQ$8=0,INDEX($E73:$K73,0,BQ$6),(INDEX($E73:$K73,0,BQ$8+1)-INDEX($E73:$K73,0,BQ$8))/(INDEX($D$5:$J$5,0,BQ$8+1)-INDEX($D$5:$J$5,0,BQ$8))+BP73)))</f>
        <v>870.12156853302804</v>
      </c>
      <c r="BR73" s="7" cm="1">
        <f t="array" ref="BR73">IF(BR$8=-1,BS73,IF(BR$8=99,BQ73,IF(BR$8=0,INDEX($E73:$K73,0,BR$6),(INDEX($E73:$K73,0,BR$8+1)-INDEX($E73:$K73,0,BR$8))/(INDEX($D$5:$J$5,0,BR$8+1)-INDEX($D$5:$J$5,0,BR$8))+BQ73)))</f>
        <v>870.12156853302804</v>
      </c>
    </row>
    <row r="74" spans="1:70">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 t="shared" si="142"/>
        <v>211.66937974128794</v>
      </c>
      <c r="I74" s="130">
        <f t="shared" si="137"/>
        <v>211.66937974128794</v>
      </c>
      <c r="J74" s="130">
        <f t="shared" si="138"/>
        <v>211.66937974128794</v>
      </c>
      <c r="K74" s="130">
        <f t="shared" si="139"/>
        <v>211.66937974128794</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196.89614598439695</v>
      </c>
      <c r="V74" s="7" cm="1">
        <f t="array" ref="V74">IF(V$8=-1,W74,IF(V$8=99,U74,IF(V$8=0,INDEX($E74:$I74,0,V$6),(INDEX($E74:$I74,0,V$8+1)-INDEX($E74:$I74,0,V$8))/(INDEX($D$5:$H$5,0,V$8+1)-INDEX($D$5:$H$5,0,V$8))+U74)))</f>
        <v>198.5376164018293</v>
      </c>
      <c r="W74" s="7" cm="1">
        <f t="array" ref="W74">IF(W$8=-1,X74,IF(W$8=99,V74,IF(W$8=0,INDEX($E74:$I74,0,W$6),(INDEX($E74:$I74,0,W$8+1)-INDEX($E74:$I74,0,W$8))/(INDEX($D$5:$H$5,0,W$8+1)-INDEX($D$5:$H$5,0,W$8))+V74)))</f>
        <v>200.17908681926164</v>
      </c>
      <c r="X74" s="7" cm="1">
        <f t="array" ref="X74">IF(X$8=-1,Y74,IF(X$8=99,W74,IF(X$8=0,INDEX($E74:$I74,0,X$6),(INDEX($E74:$I74,0,X$8+1)-INDEX($E74:$I74,0,X$8))/(INDEX($D$5:$H$5,0,X$8+1)-INDEX($D$5:$H$5,0,X$8))+W74)))</f>
        <v>201.82055723669399</v>
      </c>
      <c r="Y74" s="7" cm="1">
        <f t="array" ref="Y74">IF(Y$8=-1,Z74,IF(Y$8=99,X74,IF(Y$8=0,INDEX($E74:$I74,0,Y$6),(INDEX($E74:$I74,0,Y$8+1)-INDEX($E74:$I74,0,Y$8))/(INDEX($D$5:$H$5,0,Y$8+1)-INDEX($D$5:$H$5,0,Y$8))+X74)))</f>
        <v>203.46202765412633</v>
      </c>
      <c r="Z74" s="7" cm="1">
        <f t="array" ref="Z74">IF(Z$8=-1,AA74,IF(Z$8=99,Y74,IF(Z$8=0,INDEX($E74:$I74,0,Z$6),(INDEX($E74:$I74,0,Z$8+1)-INDEX($E74:$I74,0,Z$8))/(INDEX($D$5:$H$5,0,Z$8+1)-INDEX($D$5:$H$5,0,Z$8))+Y74)))</f>
        <v>205.10349807155868</v>
      </c>
      <c r="AA74" s="7" cm="1">
        <f t="array" ref="AA74">IF(AA$8=-1,AB74,IF(AA$8=99,Z74,IF(AA$8=0,INDEX($E74:$I74,0,AA$6),(INDEX($E74:$I74,0,AA$8+1)-INDEX($E74:$I74,0,AA$8))/(INDEX($D$5:$H$5,0,AA$8+1)-INDEX($D$5:$H$5,0,AA$8))+Z74)))</f>
        <v>206.74496848899102</v>
      </c>
      <c r="AB74" s="7" cm="1">
        <f t="array" ref="AB74">IF(AB$8=-1,AC74,IF(AB$8=99,AA74,IF(AB$8=0,INDEX($E74:$I74,0,AB$6),(INDEX($E74:$I74,0,AB$8+1)-INDEX($E74:$I74,0,AB$8))/(INDEX($D$5:$H$5,0,AB$8+1)-INDEX($D$5:$H$5,0,AB$8))+AA74)))</f>
        <v>208.38643890642336</v>
      </c>
      <c r="AC74" s="7" cm="1">
        <f t="array" ref="AC74">IF(AC$8=-1,AD74,IF(AC$8=99,AB74,IF(AC$8=0,INDEX($E74:$I74,0,AC$6),(INDEX($E74:$I74,0,AC$8+1)-INDEX($E74:$I74,0,AC$8))/(INDEX($D$5:$H$5,0,AC$8+1)-INDEX($D$5:$H$5,0,AC$8))+AB74)))</f>
        <v>210.02790932385571</v>
      </c>
      <c r="AD74" s="7" cm="1">
        <f t="array" ref="AD74">IF(AD$8=-1,AE74,IF(AD$8=99,AC74,IF(AD$8=0,INDEX($E74:$I74,0,AD$6),(INDEX($E74:$I74,0,AD$8+1)-INDEX($E74:$I74,0,AD$8))/(INDEX($D$5:$H$5,0,AD$8+1)-INDEX($D$5:$H$5,0,AD$8))+AC74)))</f>
        <v>211.66937974128794</v>
      </c>
      <c r="AE74" s="7" cm="1">
        <f t="array" ref="AE74">IF(AE$8=-1,AF74,IF(AE$8=99,AD74,IF(AE$8=0,INDEX($E74:$I74,0,AE$6),(INDEX($E74:$I74,0,AE$8+1)-INDEX($E74:$I74,0,AE$8))/(INDEX($D$5:$H$5,0,AE$8+1)-INDEX($D$5:$H$5,0,AE$8))+AD74)))</f>
        <v>211.66937974128794</v>
      </c>
      <c r="AF74" s="7" cm="1">
        <f t="array" ref="AF74">IF(AF$8=-1,AG74,IF(AF$8=99,AE74,IF(AF$8=0,INDEX($E74:$I74,0,AF$6),(INDEX($E74:$I74,0,AF$8+1)-INDEX($E74:$I74,0,AF$8))/(INDEX($D$5:$H$5,0,AF$8+1)-INDEX($D$5:$H$5,0,AF$8))+AE74)))</f>
        <v>211.66937974128794</v>
      </c>
      <c r="AG74" s="7" cm="1">
        <f t="array" ref="AG74">IF(AG$8=-1,AH74,IF(AG$8=99,AF74,IF(AG$8=0,INDEX($E74:$I74,0,AG$6),(INDEX($E74:$I74,0,AG$8+1)-INDEX($E74:$I74,0,AG$8))/(INDEX($D$5:$H$5,0,AG$8+1)-INDEX($D$5:$H$5,0,AG$8))+AF74)))</f>
        <v>211.66937974128794</v>
      </c>
      <c r="AH74" s="7" cm="1">
        <f t="array" ref="AH74">IF(AH$8=-1,AI74,IF(AH$8=99,AG74,IF(AH$8=0,INDEX($E74:$I74,0,AH$6),(INDEX($E74:$I74,0,AH$8+1)-INDEX($E74:$I74,0,AH$8))/(INDEX($D$5:$H$5,0,AH$8+1)-INDEX($D$5:$H$5,0,AH$8))+AG74)))</f>
        <v>211.66937974128794</v>
      </c>
      <c r="AI74" s="7" cm="1">
        <f t="array" ref="AI74">IF(AI$8=-1,AJ74,IF(AI$8=99,AH74,IF(AI$8=0,INDEX($E74:$I74,0,AI$6),(INDEX($E74:$I74,0,AI$8+1)-INDEX($E74:$I74,0,AI$8))/(INDEX($D$5:$H$5,0,AI$8+1)-INDEX($D$5:$H$5,0,AI$8))+AH74)))</f>
        <v>211.66937974128794</v>
      </c>
      <c r="AJ74" s="7" cm="1">
        <f t="array" ref="AJ74">IF(AJ$8=-1,AK74,IF(AJ$8=99,AI74,IF(AJ$8=0,INDEX($E74:$I74,0,AJ$6),(INDEX($E74:$I74,0,AJ$8+1)-INDEX($E74:$I74,0,AJ$8))/(INDEX($D$5:$H$5,0,AJ$8+1)-INDEX($D$5:$H$5,0,AJ$8))+AI74)))</f>
        <v>211.66937974128794</v>
      </c>
      <c r="AK74" s="7" cm="1">
        <f t="array" ref="AK74">IF(AK$8=-1,AL74,IF(AK$8=99,AJ74,IF(AK$8=0,INDEX($E74:$I74,0,AK$6),(INDEX($E74:$I74,0,AK$8+1)-INDEX($E74:$I74,0,AK$8))/(INDEX($D$5:$H$5,0,AK$8+1)-INDEX($D$5:$H$5,0,AK$8))+AJ74)))</f>
        <v>211.66937974128794</v>
      </c>
      <c r="AL74" s="7" cm="1">
        <f t="array" ref="AL74">IF(AL$8=-1,AM74,IF(AL$8=99,AK74,IF(AL$8=0,INDEX($E74:$I74,0,AL$6),(INDEX($E74:$I74,0,AL$8+1)-INDEX($E74:$I74,0,AL$8))/(INDEX($D$5:$H$5,0,AL$8+1)-INDEX($D$5:$H$5,0,AL$8))+AK74)))</f>
        <v>211.66937974128794</v>
      </c>
      <c r="AM74" s="7" cm="1">
        <f t="array" ref="AM74">IF(AM$8=-1,AN74,IF(AM$8=99,AL74,IF(AM$8=0,INDEX($E74:$I74,0,AM$6),(INDEX($E74:$I74,0,AM$8+1)-INDEX($E74:$I74,0,AM$8))/(INDEX($D$5:$H$5,0,AM$8+1)-INDEX($D$5:$H$5,0,AM$8))+AL74)))</f>
        <v>211.66937974128794</v>
      </c>
      <c r="AN74" s="7" cm="1">
        <f t="array" ref="AN74">IF(AN$8=-1,AO74,IF(AN$8=99,AM74,IF(AN$8=0,INDEX($E74:$I74,0,AN$6),(INDEX($E74:$I74,0,AN$8+1)-INDEX($E74:$I74,0,AN$8))/(INDEX($D$5:$H$5,0,AN$8+1)-INDEX($D$5:$H$5,0,AN$8))+AM74)))</f>
        <v>211.66937974128794</v>
      </c>
      <c r="AO74" s="7" cm="1">
        <f t="array" ref="AO74">IF(AO$8=-1,AP74,IF(AO$8=99,AN74,IF(AO$8=0,INDEX($E74:$K74,0,AO$6),(INDEX($E74:$K74,0,AO$8+1)-INDEX($E74:$K74,0,AO$8))/(INDEX($D$5:$J$5,0,AO$8+1)-INDEX($D$5:$J$5,0,AO$8))+AN74)))</f>
        <v>211.66937974128794</v>
      </c>
      <c r="AP74" s="7" cm="1">
        <f t="array" ref="AP74">IF(AP$8=-1,AQ74,IF(AP$8=99,AO74,IF(AP$8=0,INDEX($E74:$K74,0,AP$6),(INDEX($E74:$K74,0,AP$8+1)-INDEX($E74:$K74,0,AP$8))/(INDEX($D$5:$J$5,0,AP$8+1)-INDEX($D$5:$J$5,0,AP$8))+AO74)))</f>
        <v>211.66937974128794</v>
      </c>
      <c r="AQ74" s="7" cm="1">
        <f t="array" ref="AQ74">IF(AQ$8=-1,AR74,IF(AQ$8=99,AP74,IF(AQ$8=0,INDEX($E74:$K74,0,AQ$6),(INDEX($E74:$K74,0,AQ$8+1)-INDEX($E74:$K74,0,AQ$8))/(INDEX($D$5:$J$5,0,AQ$8+1)-INDEX($D$5:$J$5,0,AQ$8))+AP74)))</f>
        <v>211.66937974128794</v>
      </c>
      <c r="AR74" s="7" cm="1">
        <f t="array" ref="AR74">IF(AR$8=-1,AS74,IF(AR$8=99,AQ74,IF(AR$8=0,INDEX($E74:$K74,0,AR$6),(INDEX($E74:$K74,0,AR$8+1)-INDEX($E74:$K74,0,AR$8))/(INDEX($D$5:$J$5,0,AR$8+1)-INDEX($D$5:$J$5,0,AR$8))+AQ74)))</f>
        <v>211.66937974128794</v>
      </c>
      <c r="AS74" s="7" cm="1">
        <f t="array" ref="AS74">IF(AS$8=-1,AT74,IF(AS$8=99,AR74,IF(AS$8=0,INDEX($E74:$K74,0,AS$6),(INDEX($E74:$K74,0,AS$8+1)-INDEX($E74:$K74,0,AS$8))/(INDEX($D$5:$J$5,0,AS$8+1)-INDEX($D$5:$J$5,0,AS$8))+AR74)))</f>
        <v>211.66937974128794</v>
      </c>
      <c r="AT74" s="7" cm="1">
        <f t="array" ref="AT74">IF(AT$8=-1,AU74,IF(AT$8=99,AS74,IF(AT$8=0,INDEX($E74:$K74,0,AT$6),(INDEX($E74:$K74,0,AT$8+1)-INDEX($E74:$K74,0,AT$8))/(INDEX($D$5:$J$5,0,AT$8+1)-INDEX($D$5:$J$5,0,AT$8))+AS74)))</f>
        <v>211.66937974128794</v>
      </c>
      <c r="AU74" s="7" cm="1">
        <f t="array" ref="AU74">IF(AU$8=-1,AV74,IF(AU$8=99,AT74,IF(AU$8=0,INDEX($E74:$K74,0,AU$6),(INDEX($E74:$K74,0,AU$8+1)-INDEX($E74:$K74,0,AU$8))/(INDEX($D$5:$J$5,0,AU$8+1)-INDEX($D$5:$J$5,0,AU$8))+AT74)))</f>
        <v>211.66937974128794</v>
      </c>
      <c r="AV74" s="7" cm="1">
        <f t="array" ref="AV74">IF(AV$8=-1,AW74,IF(AV$8=99,AU74,IF(AV$8=0,INDEX($E74:$K74,0,AV$6),(INDEX($E74:$K74,0,AV$8+1)-INDEX($E74:$K74,0,AV$8))/(INDEX($D$5:$J$5,0,AV$8+1)-INDEX($D$5:$J$5,0,AV$8))+AU74)))</f>
        <v>211.66937974128794</v>
      </c>
      <c r="AW74" s="7" cm="1">
        <f t="array" ref="AW74">IF(AW$8=-1,AX74,IF(AW$8=99,AV74,IF(AW$8=0,INDEX($E74:$K74,0,AW$6),(INDEX($E74:$K74,0,AW$8+1)-INDEX($E74:$K74,0,AW$8))/(INDEX($D$5:$J$5,0,AW$8+1)-INDEX($D$5:$J$5,0,AW$8))+AV74)))</f>
        <v>211.66937974128794</v>
      </c>
      <c r="AX74" s="7" cm="1">
        <f t="array" ref="AX74">IF(AX$8=-1,AY74,IF(AX$8=99,AW74,IF(AX$8=0,INDEX($E74:$K74,0,AX$6),(INDEX($E74:$K74,0,AX$8+1)-INDEX($E74:$K74,0,AX$8))/(INDEX($D$5:$J$5,0,AX$8+1)-INDEX($D$5:$J$5,0,AX$8))+AW74)))</f>
        <v>211.66937974128794</v>
      </c>
      <c r="AY74" s="7" cm="1">
        <f t="array" ref="AY74">IF(AY$8=-1,AZ74,IF(AY$8=99,AX74,IF(AY$8=0,INDEX($E74:$K74,0,AY$6),(INDEX($E74:$K74,0,AY$8+1)-INDEX($E74:$K74,0,AY$8))/(INDEX($D$5:$J$5,0,AY$8+1)-INDEX($D$5:$J$5,0,AY$8))+AX74)))</f>
        <v>211.66937974128794</v>
      </c>
      <c r="AZ74" s="7" cm="1">
        <f t="array" ref="AZ74">IF(AZ$8=-1,BA74,IF(AZ$8=99,AY74,IF(AZ$8=0,INDEX($E74:$K74,0,AZ$6),(INDEX($E74:$K74,0,AZ$8+1)-INDEX($E74:$K74,0,AZ$8))/(INDEX($D$5:$J$5,0,AZ$8+1)-INDEX($D$5:$J$5,0,AZ$8))+AY74)))</f>
        <v>211.66937974128794</v>
      </c>
      <c r="BA74" s="7" cm="1">
        <f t="array" ref="BA74">IF(BA$8=-1,BB74,IF(BA$8=99,AZ74,IF(BA$8=0,INDEX($E74:$K74,0,BA$6),(INDEX($E74:$K74,0,BA$8+1)-INDEX($E74:$K74,0,BA$8))/(INDEX($D$5:$J$5,0,BA$8+1)-INDEX($D$5:$J$5,0,BA$8))+AZ74)))</f>
        <v>211.66937974128794</v>
      </c>
      <c r="BB74" s="7" cm="1">
        <f t="array" ref="BB74">IF(BB$8=-1,BC74,IF(BB$8=99,BA74,IF(BB$8=0,INDEX($E74:$K74,0,BB$6),(INDEX($E74:$K74,0,BB$8+1)-INDEX($E74:$K74,0,BB$8))/(INDEX($D$5:$J$5,0,BB$8+1)-INDEX($D$5:$J$5,0,BB$8))+BA74)))</f>
        <v>211.66937974128794</v>
      </c>
      <c r="BC74" s="7" cm="1">
        <f t="array" ref="BC74">IF(BC$8=-1,BD74,IF(BC$8=99,BB74,IF(BC$8=0,INDEX($E74:$K74,0,BC$6),(INDEX($E74:$K74,0,BC$8+1)-INDEX($E74:$K74,0,BC$8))/(INDEX($D$5:$J$5,0,BC$8+1)-INDEX($D$5:$J$5,0,BC$8))+BB74)))</f>
        <v>211.66937974128794</v>
      </c>
      <c r="BD74" s="7" cm="1">
        <f t="array" ref="BD74">IF(BD$8=-1,BE74,IF(BD$8=99,BC74,IF(BD$8=0,INDEX($E74:$K74,0,BD$6),(INDEX($E74:$K74,0,BD$8+1)-INDEX($E74:$K74,0,BD$8))/(INDEX($D$5:$J$5,0,BD$8+1)-INDEX($D$5:$J$5,0,BD$8))+BC74)))</f>
        <v>211.66937974128794</v>
      </c>
      <c r="BE74" s="7" cm="1">
        <f t="array" ref="BE74">IF(BE$8=-1,BF74,IF(BE$8=99,BD74,IF(BE$8=0,INDEX($E74:$K74,0,BE$6),(INDEX($E74:$K74,0,BE$8+1)-INDEX($E74:$K74,0,BE$8))/(INDEX($D$5:$J$5,0,BE$8+1)-INDEX($D$5:$J$5,0,BE$8))+BD74)))</f>
        <v>211.66937974128794</v>
      </c>
      <c r="BF74" s="7" cm="1">
        <f t="array" ref="BF74">IF(BF$8=-1,BG74,IF(BF$8=99,BE74,IF(BF$8=0,INDEX($E74:$K74,0,BF$6),(INDEX($E74:$K74,0,BF$8+1)-INDEX($E74:$K74,0,BF$8))/(INDEX($D$5:$J$5,0,BF$8+1)-INDEX($D$5:$J$5,0,BF$8))+BE74)))</f>
        <v>211.66937974128794</v>
      </c>
      <c r="BG74" s="7" cm="1">
        <f t="array" ref="BG74">IF(BG$8=-1,BH74,IF(BG$8=99,BF74,IF(BG$8=0,INDEX($E74:$K74,0,BG$6),(INDEX($E74:$K74,0,BG$8+1)-INDEX($E74:$K74,0,BG$8))/(INDEX($D$5:$J$5,0,BG$8+1)-INDEX($D$5:$J$5,0,BG$8))+BF74)))</f>
        <v>211.66937974128794</v>
      </c>
      <c r="BH74" s="7" cm="1">
        <f t="array" ref="BH74">IF(BH$8=-1,BI74,IF(BH$8=99,BG74,IF(BH$8=0,INDEX($E74:$K74,0,BH$6),(INDEX($E74:$K74,0,BH$8+1)-INDEX($E74:$K74,0,BH$8))/(INDEX($D$5:$J$5,0,BH$8+1)-INDEX($D$5:$J$5,0,BH$8))+BG74)))</f>
        <v>211.66937974128794</v>
      </c>
      <c r="BI74" s="7" cm="1">
        <f t="array" ref="BI74">IF(BI$8=-1,BJ74,IF(BI$8=99,BH74,IF(BI$8=0,INDEX($E74:$K74,0,BI$6),(INDEX($E74:$K74,0,BI$8+1)-INDEX($E74:$K74,0,BI$8))/(INDEX($D$5:$J$5,0,BI$8+1)-INDEX($D$5:$J$5,0,BI$8))+BH74)))</f>
        <v>211.66937974128794</v>
      </c>
      <c r="BJ74" s="7" cm="1">
        <f t="array" ref="BJ74">IF(BJ$8=-1,BK74,IF(BJ$8=99,BI74,IF(BJ$8=0,INDEX($E74:$K74,0,BJ$6),(INDEX($E74:$K74,0,BJ$8+1)-INDEX($E74:$K74,0,BJ$8))/(INDEX($D$5:$J$5,0,BJ$8+1)-INDEX($D$5:$J$5,0,BJ$8))+BI74)))</f>
        <v>211.66937974128794</v>
      </c>
      <c r="BK74" s="7" cm="1">
        <f t="array" ref="BK74">IF(BK$8=-1,BL74,IF(BK$8=99,BJ74,IF(BK$8=0,INDEX($E74:$K74,0,BK$6),(INDEX($E74:$K74,0,BK$8+1)-INDEX($E74:$K74,0,BK$8))/(INDEX($D$5:$J$5,0,BK$8+1)-INDEX($D$5:$J$5,0,BK$8))+BJ74)))</f>
        <v>211.66937974128794</v>
      </c>
      <c r="BL74" s="7" cm="1">
        <f t="array" ref="BL74">IF(BL$8=-1,BM74,IF(BL$8=99,BK74,IF(BL$8=0,INDEX($E74:$K74,0,BL$6),(INDEX($E74:$K74,0,BL$8+1)-INDEX($E74:$K74,0,BL$8))/(INDEX($D$5:$J$5,0,BL$8+1)-INDEX($D$5:$J$5,0,BL$8))+BK74)))</f>
        <v>211.66937974128794</v>
      </c>
      <c r="BM74" s="7" cm="1">
        <f t="array" ref="BM74">IF(BM$8=-1,BN74,IF(BM$8=99,BL74,IF(BM$8=0,INDEX($E74:$K74,0,BM$6),(INDEX($E74:$K74,0,BM$8+1)-INDEX($E74:$K74,0,BM$8))/(INDEX($D$5:$J$5,0,BM$8+1)-INDEX($D$5:$J$5,0,BM$8))+BL74)))</f>
        <v>211.66937974128794</v>
      </c>
      <c r="BN74" s="7" cm="1">
        <f t="array" ref="BN74">IF(BN$8=-1,BO74,IF(BN$8=99,BM74,IF(BN$8=0,INDEX($E74:$K74,0,BN$6),(INDEX($E74:$K74,0,BN$8+1)-INDEX($E74:$K74,0,BN$8))/(INDEX($D$5:$J$5,0,BN$8+1)-INDEX($D$5:$J$5,0,BN$8))+BM74)))</f>
        <v>211.66937974128794</v>
      </c>
      <c r="BO74" s="7" cm="1">
        <f t="array" ref="BO74">IF(BO$8=-1,BP74,IF(BO$8=99,BN74,IF(BO$8=0,INDEX($E74:$K74,0,BO$6),(INDEX($E74:$K74,0,BO$8+1)-INDEX($E74:$K74,0,BO$8))/(INDEX($D$5:$J$5,0,BO$8+1)-INDEX($D$5:$J$5,0,BO$8))+BN74)))</f>
        <v>211.66937974128794</v>
      </c>
      <c r="BP74" s="7" cm="1">
        <f t="array" ref="BP74">IF(BP$8=-1,BQ74,IF(BP$8=99,BO74,IF(BP$8=0,INDEX($E74:$K74,0,BP$6),(INDEX($E74:$K74,0,BP$8+1)-INDEX($E74:$K74,0,BP$8))/(INDEX($D$5:$J$5,0,BP$8+1)-INDEX($D$5:$J$5,0,BP$8))+BO74)))</f>
        <v>211.66937974128794</v>
      </c>
      <c r="BQ74" s="7" cm="1">
        <f t="array" ref="BQ74">IF(BQ$8=-1,BR74,IF(BQ$8=99,BP74,IF(BQ$8=0,INDEX($E74:$K74,0,BQ$6),(INDEX($E74:$K74,0,BQ$8+1)-INDEX($E74:$K74,0,BQ$8))/(INDEX($D$5:$J$5,0,BQ$8+1)-INDEX($D$5:$J$5,0,BQ$8))+BP74)))</f>
        <v>211.66937974128794</v>
      </c>
      <c r="BR74" s="7" cm="1">
        <f t="array" ref="BR74">IF(BR$8=-1,BS74,IF(BR$8=99,BQ74,IF(BR$8=0,INDEX($E74:$K74,0,BR$6),(INDEX($E74:$K74,0,BR$8+1)-INDEX($E74:$K74,0,BR$8))/(INDEX($D$5:$J$5,0,BR$8+1)-INDEX($D$5:$J$5,0,BR$8))+BQ74)))</f>
        <v>211.66937974128794</v>
      </c>
    </row>
    <row r="75" spans="1:70">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85.092975947649265</v>
      </c>
      <c r="I75" s="130">
        <f t="shared" si="137"/>
        <v>85.092975947649265</v>
      </c>
      <c r="J75" s="130">
        <f t="shared" si="138"/>
        <v>85.092975947649265</v>
      </c>
      <c r="K75" s="130">
        <f t="shared" si="139"/>
        <v>85.092975947649265</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101.54475403851653</v>
      </c>
      <c r="V75" s="7" cm="1">
        <f t="array" ref="V75">IF(V$8=-1,W75,IF(V$8=99,U75,IF(V$8=0,INDEX($E75:$I75,0,V$6),(INDEX($E75:$I75,0,V$8+1)-INDEX($E75:$I75,0,V$8))/(INDEX($D$5:$H$5,0,V$8+1)-INDEX($D$5:$H$5,0,V$8))+U75)))</f>
        <v>99.71677869508683</v>
      </c>
      <c r="W75" s="7" cm="1">
        <f t="array" ref="W75">IF(W$8=-1,X75,IF(W$8=99,V75,IF(W$8=0,INDEX($E75:$I75,0,W$6),(INDEX($E75:$I75,0,W$8+1)-INDEX($E75:$I75,0,W$8))/(INDEX($D$5:$H$5,0,W$8+1)-INDEX($D$5:$H$5,0,W$8))+V75)))</f>
        <v>97.888803351657131</v>
      </c>
      <c r="X75" s="7" cm="1">
        <f t="array" ref="X75">IF(X$8=-1,Y75,IF(X$8=99,W75,IF(X$8=0,INDEX($E75:$I75,0,X$6),(INDEX($E75:$I75,0,X$8+1)-INDEX($E75:$I75,0,X$8))/(INDEX($D$5:$H$5,0,X$8+1)-INDEX($D$5:$H$5,0,X$8))+W75)))</f>
        <v>96.060828008227432</v>
      </c>
      <c r="Y75" s="7" cm="1">
        <f t="array" ref="Y75">IF(Y$8=-1,Z75,IF(Y$8=99,X75,IF(Y$8=0,INDEX($E75:$I75,0,Y$6),(INDEX($E75:$I75,0,Y$8+1)-INDEX($E75:$I75,0,Y$8))/(INDEX($D$5:$H$5,0,Y$8+1)-INDEX($D$5:$H$5,0,Y$8))+X75)))</f>
        <v>94.232852664797733</v>
      </c>
      <c r="Z75" s="7" cm="1">
        <f t="array" ref="Z75">IF(Z$8=-1,AA75,IF(Z$8=99,Y75,IF(Z$8=0,INDEX($E75:$I75,0,Z$6),(INDEX($E75:$I75,0,Z$8+1)-INDEX($E75:$I75,0,Z$8))/(INDEX($D$5:$H$5,0,Z$8+1)-INDEX($D$5:$H$5,0,Z$8))+Y75)))</f>
        <v>92.404877321368033</v>
      </c>
      <c r="AA75" s="7" cm="1">
        <f t="array" ref="AA75">IF(AA$8=-1,AB75,IF(AA$8=99,Z75,IF(AA$8=0,INDEX($E75:$I75,0,AA$6),(INDEX($E75:$I75,0,AA$8+1)-INDEX($E75:$I75,0,AA$8))/(INDEX($D$5:$H$5,0,AA$8+1)-INDEX($D$5:$H$5,0,AA$8))+Z75)))</f>
        <v>90.576901977938334</v>
      </c>
      <c r="AB75" s="7" cm="1">
        <f t="array" ref="AB75">IF(AB$8=-1,AC75,IF(AB$8=99,AA75,IF(AB$8=0,INDEX($E75:$I75,0,AB$6),(INDEX($E75:$I75,0,AB$8+1)-INDEX($E75:$I75,0,AB$8))/(INDEX($D$5:$H$5,0,AB$8+1)-INDEX($D$5:$H$5,0,AB$8))+AA75)))</f>
        <v>88.748926634508635</v>
      </c>
      <c r="AC75" s="7" cm="1">
        <f t="array" ref="AC75">IF(AC$8=-1,AD75,IF(AC$8=99,AB75,IF(AC$8=0,INDEX($E75:$I75,0,AC$6),(INDEX($E75:$I75,0,AC$8+1)-INDEX($E75:$I75,0,AC$8))/(INDEX($D$5:$H$5,0,AC$8+1)-INDEX($D$5:$H$5,0,AC$8))+AB75)))</f>
        <v>86.920951291078936</v>
      </c>
      <c r="AD75" s="7" cm="1">
        <f t="array" ref="AD75">IF(AD$8=-1,AE75,IF(AD$8=99,AC75,IF(AD$8=0,INDEX($E75:$I75,0,AD$6),(INDEX($E75:$I75,0,AD$8+1)-INDEX($E75:$I75,0,AD$8))/(INDEX($D$5:$H$5,0,AD$8+1)-INDEX($D$5:$H$5,0,AD$8))+AC75)))</f>
        <v>85.092975947649265</v>
      </c>
      <c r="AE75" s="7" cm="1">
        <f t="array" ref="AE75">IF(AE$8=-1,AF75,IF(AE$8=99,AD75,IF(AE$8=0,INDEX($E75:$I75,0,AE$6),(INDEX($E75:$I75,0,AE$8+1)-INDEX($E75:$I75,0,AE$8))/(INDEX($D$5:$H$5,0,AE$8+1)-INDEX($D$5:$H$5,0,AE$8))+AD75)))</f>
        <v>85.092975947649265</v>
      </c>
      <c r="AF75" s="7" cm="1">
        <f t="array" ref="AF75">IF(AF$8=-1,AG75,IF(AF$8=99,AE75,IF(AF$8=0,INDEX($E75:$I75,0,AF$6),(INDEX($E75:$I75,0,AF$8+1)-INDEX($E75:$I75,0,AF$8))/(INDEX($D$5:$H$5,0,AF$8+1)-INDEX($D$5:$H$5,0,AF$8))+AE75)))</f>
        <v>85.092975947649265</v>
      </c>
      <c r="AG75" s="7" cm="1">
        <f t="array" ref="AG75">IF(AG$8=-1,AH75,IF(AG$8=99,AF75,IF(AG$8=0,INDEX($E75:$I75,0,AG$6),(INDEX($E75:$I75,0,AG$8+1)-INDEX($E75:$I75,0,AG$8))/(INDEX($D$5:$H$5,0,AG$8+1)-INDEX($D$5:$H$5,0,AG$8))+AF75)))</f>
        <v>85.092975947649265</v>
      </c>
      <c r="AH75" s="7" cm="1">
        <f t="array" ref="AH75">IF(AH$8=-1,AI75,IF(AH$8=99,AG75,IF(AH$8=0,INDEX($E75:$I75,0,AH$6),(INDEX($E75:$I75,0,AH$8+1)-INDEX($E75:$I75,0,AH$8))/(INDEX($D$5:$H$5,0,AH$8+1)-INDEX($D$5:$H$5,0,AH$8))+AG75)))</f>
        <v>85.092975947649265</v>
      </c>
      <c r="AI75" s="7" cm="1">
        <f t="array" ref="AI75">IF(AI$8=-1,AJ75,IF(AI$8=99,AH75,IF(AI$8=0,INDEX($E75:$I75,0,AI$6),(INDEX($E75:$I75,0,AI$8+1)-INDEX($E75:$I75,0,AI$8))/(INDEX($D$5:$H$5,0,AI$8+1)-INDEX($D$5:$H$5,0,AI$8))+AH75)))</f>
        <v>85.092975947649265</v>
      </c>
      <c r="AJ75" s="7" cm="1">
        <f t="array" ref="AJ75">IF(AJ$8=-1,AK75,IF(AJ$8=99,AI75,IF(AJ$8=0,INDEX($E75:$I75,0,AJ$6),(INDEX($E75:$I75,0,AJ$8+1)-INDEX($E75:$I75,0,AJ$8))/(INDEX($D$5:$H$5,0,AJ$8+1)-INDEX($D$5:$H$5,0,AJ$8))+AI75)))</f>
        <v>85.092975947649265</v>
      </c>
      <c r="AK75" s="7" cm="1">
        <f t="array" ref="AK75">IF(AK$8=-1,AL75,IF(AK$8=99,AJ75,IF(AK$8=0,INDEX($E75:$I75,0,AK$6),(INDEX($E75:$I75,0,AK$8+1)-INDEX($E75:$I75,0,AK$8))/(INDEX($D$5:$H$5,0,AK$8+1)-INDEX($D$5:$H$5,0,AK$8))+AJ75)))</f>
        <v>85.092975947649265</v>
      </c>
      <c r="AL75" s="7" cm="1">
        <f t="array" ref="AL75">IF(AL$8=-1,AM75,IF(AL$8=99,AK75,IF(AL$8=0,INDEX($E75:$I75,0,AL$6),(INDEX($E75:$I75,0,AL$8+1)-INDEX($E75:$I75,0,AL$8))/(INDEX($D$5:$H$5,0,AL$8+1)-INDEX($D$5:$H$5,0,AL$8))+AK75)))</f>
        <v>85.092975947649265</v>
      </c>
      <c r="AM75" s="7" cm="1">
        <f t="array" ref="AM75">IF(AM$8=-1,AN75,IF(AM$8=99,AL75,IF(AM$8=0,INDEX($E75:$I75,0,AM$6),(INDEX($E75:$I75,0,AM$8+1)-INDEX($E75:$I75,0,AM$8))/(INDEX($D$5:$H$5,0,AM$8+1)-INDEX($D$5:$H$5,0,AM$8))+AL75)))</f>
        <v>85.092975947649265</v>
      </c>
      <c r="AN75" s="7" cm="1">
        <f t="array" ref="AN75">IF(AN$8=-1,AO75,IF(AN$8=99,AM75,IF(AN$8=0,INDEX($E75:$I75,0,AN$6),(INDEX($E75:$I75,0,AN$8+1)-INDEX($E75:$I75,0,AN$8))/(INDEX($D$5:$H$5,0,AN$8+1)-INDEX($D$5:$H$5,0,AN$8))+AM75)))</f>
        <v>85.092975947649265</v>
      </c>
      <c r="AO75" s="7" cm="1">
        <f t="array" ref="AO75">IF(AO$8=-1,AP75,IF(AO$8=99,AN75,IF(AO$8=0,INDEX($E75:$K75,0,AO$6),(INDEX($E75:$K75,0,AO$8+1)-INDEX($E75:$K75,0,AO$8))/(INDEX($D$5:$J$5,0,AO$8+1)-INDEX($D$5:$J$5,0,AO$8))+AN75)))</f>
        <v>85.092975947649265</v>
      </c>
      <c r="AP75" s="7" cm="1">
        <f t="array" ref="AP75">IF(AP$8=-1,AQ75,IF(AP$8=99,AO75,IF(AP$8=0,INDEX($E75:$K75,0,AP$6),(INDEX($E75:$K75,0,AP$8+1)-INDEX($E75:$K75,0,AP$8))/(INDEX($D$5:$J$5,0,AP$8+1)-INDEX($D$5:$J$5,0,AP$8))+AO75)))</f>
        <v>85.092975947649265</v>
      </c>
      <c r="AQ75" s="7" cm="1">
        <f t="array" ref="AQ75">IF(AQ$8=-1,AR75,IF(AQ$8=99,AP75,IF(AQ$8=0,INDEX($E75:$K75,0,AQ$6),(INDEX($E75:$K75,0,AQ$8+1)-INDEX($E75:$K75,0,AQ$8))/(INDEX($D$5:$J$5,0,AQ$8+1)-INDEX($D$5:$J$5,0,AQ$8))+AP75)))</f>
        <v>85.092975947649265</v>
      </c>
      <c r="AR75" s="7" cm="1">
        <f t="array" ref="AR75">IF(AR$8=-1,AS75,IF(AR$8=99,AQ75,IF(AR$8=0,INDEX($E75:$K75,0,AR$6),(INDEX($E75:$K75,0,AR$8+1)-INDEX($E75:$K75,0,AR$8))/(INDEX($D$5:$J$5,0,AR$8+1)-INDEX($D$5:$J$5,0,AR$8))+AQ75)))</f>
        <v>85.092975947649265</v>
      </c>
      <c r="AS75" s="7" cm="1">
        <f t="array" ref="AS75">IF(AS$8=-1,AT75,IF(AS$8=99,AR75,IF(AS$8=0,INDEX($E75:$K75,0,AS$6),(INDEX($E75:$K75,0,AS$8+1)-INDEX($E75:$K75,0,AS$8))/(INDEX($D$5:$J$5,0,AS$8+1)-INDEX($D$5:$J$5,0,AS$8))+AR75)))</f>
        <v>85.092975947649265</v>
      </c>
      <c r="AT75" s="7" cm="1">
        <f t="array" ref="AT75">IF(AT$8=-1,AU75,IF(AT$8=99,AS75,IF(AT$8=0,INDEX($E75:$K75,0,AT$6),(INDEX($E75:$K75,0,AT$8+1)-INDEX($E75:$K75,0,AT$8))/(INDEX($D$5:$J$5,0,AT$8+1)-INDEX($D$5:$J$5,0,AT$8))+AS75)))</f>
        <v>85.092975947649265</v>
      </c>
      <c r="AU75" s="7" cm="1">
        <f t="array" ref="AU75">IF(AU$8=-1,AV75,IF(AU$8=99,AT75,IF(AU$8=0,INDEX($E75:$K75,0,AU$6),(INDEX($E75:$K75,0,AU$8+1)-INDEX($E75:$K75,0,AU$8))/(INDEX($D$5:$J$5,0,AU$8+1)-INDEX($D$5:$J$5,0,AU$8))+AT75)))</f>
        <v>85.092975947649265</v>
      </c>
      <c r="AV75" s="7" cm="1">
        <f t="array" ref="AV75">IF(AV$8=-1,AW75,IF(AV$8=99,AU75,IF(AV$8=0,INDEX($E75:$K75,0,AV$6),(INDEX($E75:$K75,0,AV$8+1)-INDEX($E75:$K75,0,AV$8))/(INDEX($D$5:$J$5,0,AV$8+1)-INDEX($D$5:$J$5,0,AV$8))+AU75)))</f>
        <v>85.092975947649265</v>
      </c>
      <c r="AW75" s="7" cm="1">
        <f t="array" ref="AW75">IF(AW$8=-1,AX75,IF(AW$8=99,AV75,IF(AW$8=0,INDEX($E75:$K75,0,AW$6),(INDEX($E75:$K75,0,AW$8+1)-INDEX($E75:$K75,0,AW$8))/(INDEX($D$5:$J$5,0,AW$8+1)-INDEX($D$5:$J$5,0,AW$8))+AV75)))</f>
        <v>85.092975947649265</v>
      </c>
      <c r="AX75" s="7" cm="1">
        <f t="array" ref="AX75">IF(AX$8=-1,AY75,IF(AX$8=99,AW75,IF(AX$8=0,INDEX($E75:$K75,0,AX$6),(INDEX($E75:$K75,0,AX$8+1)-INDEX($E75:$K75,0,AX$8))/(INDEX($D$5:$J$5,0,AX$8+1)-INDEX($D$5:$J$5,0,AX$8))+AW75)))</f>
        <v>85.092975947649265</v>
      </c>
      <c r="AY75" s="7" cm="1">
        <f t="array" ref="AY75">IF(AY$8=-1,AZ75,IF(AY$8=99,AX75,IF(AY$8=0,INDEX($E75:$K75,0,AY$6),(INDEX($E75:$K75,0,AY$8+1)-INDEX($E75:$K75,0,AY$8))/(INDEX($D$5:$J$5,0,AY$8+1)-INDEX($D$5:$J$5,0,AY$8))+AX75)))</f>
        <v>85.092975947649265</v>
      </c>
      <c r="AZ75" s="7" cm="1">
        <f t="array" ref="AZ75">IF(AZ$8=-1,BA75,IF(AZ$8=99,AY75,IF(AZ$8=0,INDEX($E75:$K75,0,AZ$6),(INDEX($E75:$K75,0,AZ$8+1)-INDEX($E75:$K75,0,AZ$8))/(INDEX($D$5:$J$5,0,AZ$8+1)-INDEX($D$5:$J$5,0,AZ$8))+AY75)))</f>
        <v>85.092975947649265</v>
      </c>
      <c r="BA75" s="7" cm="1">
        <f t="array" ref="BA75">IF(BA$8=-1,BB75,IF(BA$8=99,AZ75,IF(BA$8=0,INDEX($E75:$K75,0,BA$6),(INDEX($E75:$K75,0,BA$8+1)-INDEX($E75:$K75,0,BA$8))/(INDEX($D$5:$J$5,0,BA$8+1)-INDEX($D$5:$J$5,0,BA$8))+AZ75)))</f>
        <v>85.092975947649265</v>
      </c>
      <c r="BB75" s="7" cm="1">
        <f t="array" ref="BB75">IF(BB$8=-1,BC75,IF(BB$8=99,BA75,IF(BB$8=0,INDEX($E75:$K75,0,BB$6),(INDEX($E75:$K75,0,BB$8+1)-INDEX($E75:$K75,0,BB$8))/(INDEX($D$5:$J$5,0,BB$8+1)-INDEX($D$5:$J$5,0,BB$8))+BA75)))</f>
        <v>85.092975947649265</v>
      </c>
      <c r="BC75" s="7" cm="1">
        <f t="array" ref="BC75">IF(BC$8=-1,BD75,IF(BC$8=99,BB75,IF(BC$8=0,INDEX($E75:$K75,0,BC$6),(INDEX($E75:$K75,0,BC$8+1)-INDEX($E75:$K75,0,BC$8))/(INDEX($D$5:$J$5,0,BC$8+1)-INDEX($D$5:$J$5,0,BC$8))+BB75)))</f>
        <v>85.092975947649265</v>
      </c>
      <c r="BD75" s="7" cm="1">
        <f t="array" ref="BD75">IF(BD$8=-1,BE75,IF(BD$8=99,BC75,IF(BD$8=0,INDEX($E75:$K75,0,BD$6),(INDEX($E75:$K75,0,BD$8+1)-INDEX($E75:$K75,0,BD$8))/(INDEX($D$5:$J$5,0,BD$8+1)-INDEX($D$5:$J$5,0,BD$8))+BC75)))</f>
        <v>85.092975947649265</v>
      </c>
      <c r="BE75" s="7" cm="1">
        <f t="array" ref="BE75">IF(BE$8=-1,BF75,IF(BE$8=99,BD75,IF(BE$8=0,INDEX($E75:$K75,0,BE$6),(INDEX($E75:$K75,0,BE$8+1)-INDEX($E75:$K75,0,BE$8))/(INDEX($D$5:$J$5,0,BE$8+1)-INDEX($D$5:$J$5,0,BE$8))+BD75)))</f>
        <v>85.092975947649265</v>
      </c>
      <c r="BF75" s="7" cm="1">
        <f t="array" ref="BF75">IF(BF$8=-1,BG75,IF(BF$8=99,BE75,IF(BF$8=0,INDEX($E75:$K75,0,BF$6),(INDEX($E75:$K75,0,BF$8+1)-INDEX($E75:$K75,0,BF$8))/(INDEX($D$5:$J$5,0,BF$8+1)-INDEX($D$5:$J$5,0,BF$8))+BE75)))</f>
        <v>85.092975947649265</v>
      </c>
      <c r="BG75" s="7" cm="1">
        <f t="array" ref="BG75">IF(BG$8=-1,BH75,IF(BG$8=99,BF75,IF(BG$8=0,INDEX($E75:$K75,0,BG$6),(INDEX($E75:$K75,0,BG$8+1)-INDEX($E75:$K75,0,BG$8))/(INDEX($D$5:$J$5,0,BG$8+1)-INDEX($D$5:$J$5,0,BG$8))+BF75)))</f>
        <v>85.092975947649265</v>
      </c>
      <c r="BH75" s="7" cm="1">
        <f t="array" ref="BH75">IF(BH$8=-1,BI75,IF(BH$8=99,BG75,IF(BH$8=0,INDEX($E75:$K75,0,BH$6),(INDEX($E75:$K75,0,BH$8+1)-INDEX($E75:$K75,0,BH$8))/(INDEX($D$5:$J$5,0,BH$8+1)-INDEX($D$5:$J$5,0,BH$8))+BG75)))</f>
        <v>85.092975947649265</v>
      </c>
      <c r="BI75" s="7" cm="1">
        <f t="array" ref="BI75">IF(BI$8=-1,BJ75,IF(BI$8=99,BH75,IF(BI$8=0,INDEX($E75:$K75,0,BI$6),(INDEX($E75:$K75,0,BI$8+1)-INDEX($E75:$K75,0,BI$8))/(INDEX($D$5:$J$5,0,BI$8+1)-INDEX($D$5:$J$5,0,BI$8))+BH75)))</f>
        <v>85.092975947649265</v>
      </c>
      <c r="BJ75" s="7" cm="1">
        <f t="array" ref="BJ75">IF(BJ$8=-1,BK75,IF(BJ$8=99,BI75,IF(BJ$8=0,INDEX($E75:$K75,0,BJ$6),(INDEX($E75:$K75,0,BJ$8+1)-INDEX($E75:$K75,0,BJ$8))/(INDEX($D$5:$J$5,0,BJ$8+1)-INDEX($D$5:$J$5,0,BJ$8))+BI75)))</f>
        <v>85.092975947649265</v>
      </c>
      <c r="BK75" s="7" cm="1">
        <f t="array" ref="BK75">IF(BK$8=-1,BL75,IF(BK$8=99,BJ75,IF(BK$8=0,INDEX($E75:$K75,0,BK$6),(INDEX($E75:$K75,0,BK$8+1)-INDEX($E75:$K75,0,BK$8))/(INDEX($D$5:$J$5,0,BK$8+1)-INDEX($D$5:$J$5,0,BK$8))+BJ75)))</f>
        <v>85.092975947649265</v>
      </c>
      <c r="BL75" s="7" cm="1">
        <f t="array" ref="BL75">IF(BL$8=-1,BM75,IF(BL$8=99,BK75,IF(BL$8=0,INDEX($E75:$K75,0,BL$6),(INDEX($E75:$K75,0,BL$8+1)-INDEX($E75:$K75,0,BL$8))/(INDEX($D$5:$J$5,0,BL$8+1)-INDEX($D$5:$J$5,0,BL$8))+BK75)))</f>
        <v>85.092975947649265</v>
      </c>
      <c r="BM75" s="7" cm="1">
        <f t="array" ref="BM75">IF(BM$8=-1,BN75,IF(BM$8=99,BL75,IF(BM$8=0,INDEX($E75:$K75,0,BM$6),(INDEX($E75:$K75,0,BM$8+1)-INDEX($E75:$K75,0,BM$8))/(INDEX($D$5:$J$5,0,BM$8+1)-INDEX($D$5:$J$5,0,BM$8))+BL75)))</f>
        <v>85.092975947649265</v>
      </c>
      <c r="BN75" s="7" cm="1">
        <f t="array" ref="BN75">IF(BN$8=-1,BO75,IF(BN$8=99,BM75,IF(BN$8=0,INDEX($E75:$K75,0,BN$6),(INDEX($E75:$K75,0,BN$8+1)-INDEX($E75:$K75,0,BN$8))/(INDEX($D$5:$J$5,0,BN$8+1)-INDEX($D$5:$J$5,0,BN$8))+BM75)))</f>
        <v>85.092975947649265</v>
      </c>
      <c r="BO75" s="7" cm="1">
        <f t="array" ref="BO75">IF(BO$8=-1,BP75,IF(BO$8=99,BN75,IF(BO$8=0,INDEX($E75:$K75,0,BO$6),(INDEX($E75:$K75,0,BO$8+1)-INDEX($E75:$K75,0,BO$8))/(INDEX($D$5:$J$5,0,BO$8+1)-INDEX($D$5:$J$5,0,BO$8))+BN75)))</f>
        <v>85.092975947649265</v>
      </c>
      <c r="BP75" s="7" cm="1">
        <f t="array" ref="BP75">IF(BP$8=-1,BQ75,IF(BP$8=99,BO75,IF(BP$8=0,INDEX($E75:$K75,0,BP$6),(INDEX($E75:$K75,0,BP$8+1)-INDEX($E75:$K75,0,BP$8))/(INDEX($D$5:$J$5,0,BP$8+1)-INDEX($D$5:$J$5,0,BP$8))+BO75)))</f>
        <v>85.092975947649265</v>
      </c>
      <c r="BQ75" s="7" cm="1">
        <f t="array" ref="BQ75">IF(BQ$8=-1,BR75,IF(BQ$8=99,BP75,IF(BQ$8=0,INDEX($E75:$K75,0,BQ$6),(INDEX($E75:$K75,0,BQ$8+1)-INDEX($E75:$K75,0,BQ$8))/(INDEX($D$5:$J$5,0,BQ$8+1)-INDEX($D$5:$J$5,0,BQ$8))+BP75)))</f>
        <v>85.092975947649265</v>
      </c>
      <c r="BR75" s="7" cm="1">
        <f t="array" ref="BR75">IF(BR$8=-1,BS75,IF(BR$8=99,BQ75,IF(BR$8=0,INDEX($E75:$K75,0,BR$6),(INDEX($E75:$K75,0,BR$8+1)-INDEX($E75:$K75,0,BR$8))/(INDEX($D$5:$J$5,0,BR$8+1)-INDEX($D$5:$J$5,0,BR$8))+BQ75)))</f>
        <v>85.092975947649265</v>
      </c>
    </row>
    <row r="76" spans="1:70">
      <c r="A76" t="s">
        <v>16</v>
      </c>
      <c r="B76" s="1" t="s">
        <v>231</v>
      </c>
      <c r="C76" s="91" t="str">
        <f t="shared" si="136"/>
        <v>Commercial - Public lights</v>
      </c>
      <c r="D76" s="91" t="s">
        <v>66</v>
      </c>
      <c r="E76" s="146">
        <v>0</v>
      </c>
      <c r="F76" s="88">
        <v>0</v>
      </c>
      <c r="G76" s="147">
        <f t="shared" si="137"/>
        <v>0</v>
      </c>
      <c r="H76" s="88">
        <f t="shared" ref="H76:H77" si="143">IF($N$57=-1,G76,((F76-E76)*2/5+E76)*(1+$H$69))</f>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c r="A77" t="s">
        <v>16</v>
      </c>
      <c r="B77" s="1" t="s">
        <v>232</v>
      </c>
      <c r="C77" s="91" t="str">
        <f t="shared" si="136"/>
        <v>Commercial - Public Water</v>
      </c>
      <c r="D77" s="91" t="s">
        <v>66</v>
      </c>
      <c r="E77" s="146">
        <v>0</v>
      </c>
      <c r="F77" s="88">
        <v>0</v>
      </c>
      <c r="G77" s="147">
        <f t="shared" si="137"/>
        <v>0</v>
      </c>
      <c r="H77" s="88">
        <f t="shared" si="143"/>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c r="A78" t="s">
        <v>16</v>
      </c>
      <c r="B78" s="1" t="s">
        <v>233</v>
      </c>
      <c r="C78" s="71" t="str">
        <f t="shared" si="136"/>
        <v>Commercial - Other</v>
      </c>
      <c r="D78" s="71" t="s">
        <v>66</v>
      </c>
      <c r="E78" s="80">
        <f>$D64/L$23</f>
        <v>141.24997285391106</v>
      </c>
      <c r="F78" s="88">
        <f t="shared" si="141"/>
        <v>145.08075848468391</v>
      </c>
      <c r="G78" s="88">
        <f t="shared" si="137"/>
        <v>145.08075848468391</v>
      </c>
      <c r="H78" s="88">
        <f t="shared" ref="H78" si="144">IF($N$57=-1,G78,((F78-E78)*2/5+E78)*(1+$H$69*$T64))</f>
        <v>142.7822871062202</v>
      </c>
      <c r="I78" s="130">
        <f t="shared" si="137"/>
        <v>142.7822871062202</v>
      </c>
      <c r="J78" s="130">
        <f t="shared" si="138"/>
        <v>142.7822871062202</v>
      </c>
      <c r="K78" s="130">
        <f t="shared" si="139"/>
        <v>142.7822871062202</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144.85091134683753</v>
      </c>
      <c r="V78" s="7" cm="1">
        <f t="array" ref="V78">IF(V$8=-1,W78,IF(V$8=99,U78,IF(V$8=0,INDEX($E78:$I78,0,V$6),(INDEX($E78:$I78,0,V$8+1)-INDEX($E78:$I78,0,V$8))/(INDEX($D$5:$H$5,0,V$8+1)-INDEX($D$5:$H$5,0,V$8))+U78)))</f>
        <v>144.62106420899116</v>
      </c>
      <c r="W78" s="7" cm="1">
        <f t="array" ref="W78">IF(W$8=-1,X78,IF(W$8=99,V78,IF(W$8=0,INDEX($E78:$I78,0,W$6),(INDEX($E78:$I78,0,W$8+1)-INDEX($E78:$I78,0,W$8))/(INDEX($D$5:$H$5,0,W$8+1)-INDEX($D$5:$H$5,0,W$8))+V78)))</f>
        <v>144.39121707114478</v>
      </c>
      <c r="X78" s="7" cm="1">
        <f t="array" ref="X78">IF(X$8=-1,Y78,IF(X$8=99,W78,IF(X$8=0,INDEX($E78:$I78,0,X$6),(INDEX($E78:$I78,0,X$8+1)-INDEX($E78:$I78,0,X$8))/(INDEX($D$5:$H$5,0,X$8+1)-INDEX($D$5:$H$5,0,X$8))+W78)))</f>
        <v>144.1613699332984</v>
      </c>
      <c r="Y78" s="7" cm="1">
        <f t="array" ref="Y78">IF(Y$8=-1,Z78,IF(Y$8=99,X78,IF(Y$8=0,INDEX($E78:$I78,0,Y$6),(INDEX($E78:$I78,0,Y$8+1)-INDEX($E78:$I78,0,Y$8))/(INDEX($D$5:$H$5,0,Y$8+1)-INDEX($D$5:$H$5,0,Y$8))+X78)))</f>
        <v>143.93152279545203</v>
      </c>
      <c r="Z78" s="7" cm="1">
        <f t="array" ref="Z78">IF(Z$8=-1,AA78,IF(Z$8=99,Y78,IF(Z$8=0,INDEX($E78:$I78,0,Z$6),(INDEX($E78:$I78,0,Z$8+1)-INDEX($E78:$I78,0,Z$8))/(INDEX($D$5:$H$5,0,Z$8+1)-INDEX($D$5:$H$5,0,Z$8))+Y78)))</f>
        <v>143.70167565760565</v>
      </c>
      <c r="AA78" s="7" cm="1">
        <f t="array" ref="AA78">IF(AA$8=-1,AB78,IF(AA$8=99,Z78,IF(AA$8=0,INDEX($E78:$I78,0,AA$6),(INDEX($E78:$I78,0,AA$8+1)-INDEX($E78:$I78,0,AA$8))/(INDEX($D$5:$H$5,0,AA$8+1)-INDEX($D$5:$H$5,0,AA$8))+Z78)))</f>
        <v>143.47182851975927</v>
      </c>
      <c r="AB78" s="7" cm="1">
        <f t="array" ref="AB78">IF(AB$8=-1,AC78,IF(AB$8=99,AA78,IF(AB$8=0,INDEX($E78:$I78,0,AB$6),(INDEX($E78:$I78,0,AB$8+1)-INDEX($E78:$I78,0,AB$8))/(INDEX($D$5:$H$5,0,AB$8+1)-INDEX($D$5:$H$5,0,AB$8))+AA78)))</f>
        <v>143.24198138191289</v>
      </c>
      <c r="AC78" s="7" cm="1">
        <f t="array" ref="AC78">IF(AC$8=-1,AD78,IF(AC$8=99,AB78,IF(AC$8=0,INDEX($E78:$I78,0,AC$6),(INDEX($E78:$I78,0,AC$8+1)-INDEX($E78:$I78,0,AC$8))/(INDEX($D$5:$H$5,0,AC$8+1)-INDEX($D$5:$H$5,0,AC$8))+AB78)))</f>
        <v>143.01213424406652</v>
      </c>
      <c r="AD78" s="7" cm="1">
        <f t="array" ref="AD78">IF(AD$8=-1,AE78,IF(AD$8=99,AC78,IF(AD$8=0,INDEX($E78:$I78,0,AD$6),(INDEX($E78:$I78,0,AD$8+1)-INDEX($E78:$I78,0,AD$8))/(INDEX($D$5:$H$5,0,AD$8+1)-INDEX($D$5:$H$5,0,AD$8))+AC78)))</f>
        <v>142.7822871062202</v>
      </c>
      <c r="AE78" s="7" cm="1">
        <f t="array" ref="AE78">IF(AE$8=-1,AF78,IF(AE$8=99,AD78,IF(AE$8=0,INDEX($E78:$I78,0,AE$6),(INDEX($E78:$I78,0,AE$8+1)-INDEX($E78:$I78,0,AE$8))/(INDEX($D$5:$H$5,0,AE$8+1)-INDEX($D$5:$H$5,0,AE$8))+AD78)))</f>
        <v>142.7822871062202</v>
      </c>
      <c r="AF78" s="7" cm="1">
        <f t="array" ref="AF78">IF(AF$8=-1,AG78,IF(AF$8=99,AE78,IF(AF$8=0,INDEX($E78:$I78,0,AF$6),(INDEX($E78:$I78,0,AF$8+1)-INDEX($E78:$I78,0,AF$8))/(INDEX($D$5:$H$5,0,AF$8+1)-INDEX($D$5:$H$5,0,AF$8))+AE78)))</f>
        <v>142.7822871062202</v>
      </c>
      <c r="AG78" s="7" cm="1">
        <f t="array" ref="AG78">IF(AG$8=-1,AH78,IF(AG$8=99,AF78,IF(AG$8=0,INDEX($E78:$I78,0,AG$6),(INDEX($E78:$I78,0,AG$8+1)-INDEX($E78:$I78,0,AG$8))/(INDEX($D$5:$H$5,0,AG$8+1)-INDEX($D$5:$H$5,0,AG$8))+AF78)))</f>
        <v>142.7822871062202</v>
      </c>
      <c r="AH78" s="7" cm="1">
        <f t="array" ref="AH78">IF(AH$8=-1,AI78,IF(AH$8=99,AG78,IF(AH$8=0,INDEX($E78:$I78,0,AH$6),(INDEX($E78:$I78,0,AH$8+1)-INDEX($E78:$I78,0,AH$8))/(INDEX($D$5:$H$5,0,AH$8+1)-INDEX($D$5:$H$5,0,AH$8))+AG78)))</f>
        <v>142.7822871062202</v>
      </c>
      <c r="AI78" s="7" cm="1">
        <f t="array" ref="AI78">IF(AI$8=-1,AJ78,IF(AI$8=99,AH78,IF(AI$8=0,INDEX($E78:$I78,0,AI$6),(INDEX($E78:$I78,0,AI$8+1)-INDEX($E78:$I78,0,AI$8))/(INDEX($D$5:$H$5,0,AI$8+1)-INDEX($D$5:$H$5,0,AI$8))+AH78)))</f>
        <v>142.7822871062202</v>
      </c>
      <c r="AJ78" s="7" cm="1">
        <f t="array" ref="AJ78">IF(AJ$8=-1,AK78,IF(AJ$8=99,AI78,IF(AJ$8=0,INDEX($E78:$I78,0,AJ$6),(INDEX($E78:$I78,0,AJ$8+1)-INDEX($E78:$I78,0,AJ$8))/(INDEX($D$5:$H$5,0,AJ$8+1)-INDEX($D$5:$H$5,0,AJ$8))+AI78)))</f>
        <v>142.7822871062202</v>
      </c>
      <c r="AK78" s="7" cm="1">
        <f t="array" ref="AK78">IF(AK$8=-1,AL78,IF(AK$8=99,AJ78,IF(AK$8=0,INDEX($E78:$I78,0,AK$6),(INDEX($E78:$I78,0,AK$8+1)-INDEX($E78:$I78,0,AK$8))/(INDEX($D$5:$H$5,0,AK$8+1)-INDEX($D$5:$H$5,0,AK$8))+AJ78)))</f>
        <v>142.7822871062202</v>
      </c>
      <c r="AL78" s="7" cm="1">
        <f t="array" ref="AL78">IF(AL$8=-1,AM78,IF(AL$8=99,AK78,IF(AL$8=0,INDEX($E78:$I78,0,AL$6),(INDEX($E78:$I78,0,AL$8+1)-INDEX($E78:$I78,0,AL$8))/(INDEX($D$5:$H$5,0,AL$8+1)-INDEX($D$5:$H$5,0,AL$8))+AK78)))</f>
        <v>142.7822871062202</v>
      </c>
      <c r="AM78" s="7" cm="1">
        <f t="array" ref="AM78">IF(AM$8=-1,AN78,IF(AM$8=99,AL78,IF(AM$8=0,INDEX($E78:$I78,0,AM$6),(INDEX($E78:$I78,0,AM$8+1)-INDEX($E78:$I78,0,AM$8))/(INDEX($D$5:$H$5,0,AM$8+1)-INDEX($D$5:$H$5,0,AM$8))+AL78)))</f>
        <v>142.7822871062202</v>
      </c>
      <c r="AN78" s="7" cm="1">
        <f t="array" ref="AN78">IF(AN$8=-1,AO78,IF(AN$8=99,AM78,IF(AN$8=0,INDEX($E78:$I78,0,AN$6),(INDEX($E78:$I78,0,AN$8+1)-INDEX($E78:$I78,0,AN$8))/(INDEX($D$5:$H$5,0,AN$8+1)-INDEX($D$5:$H$5,0,AN$8))+AM78)))</f>
        <v>142.7822871062202</v>
      </c>
      <c r="AO78" s="7" cm="1">
        <f t="array" ref="AO78">IF(AO$8=-1,AP78,IF(AO$8=99,AN78,IF(AO$8=0,INDEX($E78:$K78,0,AO$6),(INDEX($E78:$K78,0,AO$8+1)-INDEX($E78:$K78,0,AO$8))/(INDEX($D$5:$J$5,0,AO$8+1)-INDEX($D$5:$J$5,0,AO$8))+AN78)))</f>
        <v>142.7822871062202</v>
      </c>
      <c r="AP78" s="7" cm="1">
        <f t="array" ref="AP78">IF(AP$8=-1,AQ78,IF(AP$8=99,AO78,IF(AP$8=0,INDEX($E78:$K78,0,AP$6),(INDEX($E78:$K78,0,AP$8+1)-INDEX($E78:$K78,0,AP$8))/(INDEX($D$5:$J$5,0,AP$8+1)-INDEX($D$5:$J$5,0,AP$8))+AO78)))</f>
        <v>142.7822871062202</v>
      </c>
      <c r="AQ78" s="7" cm="1">
        <f t="array" ref="AQ78">IF(AQ$8=-1,AR78,IF(AQ$8=99,AP78,IF(AQ$8=0,INDEX($E78:$K78,0,AQ$6),(INDEX($E78:$K78,0,AQ$8+1)-INDEX($E78:$K78,0,AQ$8))/(INDEX($D$5:$J$5,0,AQ$8+1)-INDEX($D$5:$J$5,0,AQ$8))+AP78)))</f>
        <v>142.7822871062202</v>
      </c>
      <c r="AR78" s="7" cm="1">
        <f t="array" ref="AR78">IF(AR$8=-1,AS78,IF(AR$8=99,AQ78,IF(AR$8=0,INDEX($E78:$K78,0,AR$6),(INDEX($E78:$K78,0,AR$8+1)-INDEX($E78:$K78,0,AR$8))/(INDEX($D$5:$J$5,0,AR$8+1)-INDEX($D$5:$J$5,0,AR$8))+AQ78)))</f>
        <v>142.7822871062202</v>
      </c>
      <c r="AS78" s="7" cm="1">
        <f t="array" ref="AS78">IF(AS$8=-1,AT78,IF(AS$8=99,AR78,IF(AS$8=0,INDEX($E78:$K78,0,AS$6),(INDEX($E78:$K78,0,AS$8+1)-INDEX($E78:$K78,0,AS$8))/(INDEX($D$5:$J$5,0,AS$8+1)-INDEX($D$5:$J$5,0,AS$8))+AR78)))</f>
        <v>142.7822871062202</v>
      </c>
      <c r="AT78" s="7" cm="1">
        <f t="array" ref="AT78">IF(AT$8=-1,AU78,IF(AT$8=99,AS78,IF(AT$8=0,INDEX($E78:$K78,0,AT$6),(INDEX($E78:$K78,0,AT$8+1)-INDEX($E78:$K78,0,AT$8))/(INDEX($D$5:$J$5,0,AT$8+1)-INDEX($D$5:$J$5,0,AT$8))+AS78)))</f>
        <v>142.7822871062202</v>
      </c>
      <c r="AU78" s="7" cm="1">
        <f t="array" ref="AU78">IF(AU$8=-1,AV78,IF(AU$8=99,AT78,IF(AU$8=0,INDEX($E78:$K78,0,AU$6),(INDEX($E78:$K78,0,AU$8+1)-INDEX($E78:$K78,0,AU$8))/(INDEX($D$5:$J$5,0,AU$8+1)-INDEX($D$5:$J$5,0,AU$8))+AT78)))</f>
        <v>142.7822871062202</v>
      </c>
      <c r="AV78" s="7" cm="1">
        <f t="array" ref="AV78">IF(AV$8=-1,AW78,IF(AV$8=99,AU78,IF(AV$8=0,INDEX($E78:$K78,0,AV$6),(INDEX($E78:$K78,0,AV$8+1)-INDEX($E78:$K78,0,AV$8))/(INDEX($D$5:$J$5,0,AV$8+1)-INDEX($D$5:$J$5,0,AV$8))+AU78)))</f>
        <v>142.7822871062202</v>
      </c>
      <c r="AW78" s="7" cm="1">
        <f t="array" ref="AW78">IF(AW$8=-1,AX78,IF(AW$8=99,AV78,IF(AW$8=0,INDEX($E78:$K78,0,AW$6),(INDEX($E78:$K78,0,AW$8+1)-INDEX($E78:$K78,0,AW$8))/(INDEX($D$5:$J$5,0,AW$8+1)-INDEX($D$5:$J$5,0,AW$8))+AV78)))</f>
        <v>142.7822871062202</v>
      </c>
      <c r="AX78" s="7" cm="1">
        <f t="array" ref="AX78">IF(AX$8=-1,AY78,IF(AX$8=99,AW78,IF(AX$8=0,INDEX($E78:$K78,0,AX$6),(INDEX($E78:$K78,0,AX$8+1)-INDEX($E78:$K78,0,AX$8))/(INDEX($D$5:$J$5,0,AX$8+1)-INDEX($D$5:$J$5,0,AX$8))+AW78)))</f>
        <v>142.7822871062202</v>
      </c>
      <c r="AY78" s="7" cm="1">
        <f t="array" ref="AY78">IF(AY$8=-1,AZ78,IF(AY$8=99,AX78,IF(AY$8=0,INDEX($E78:$K78,0,AY$6),(INDEX($E78:$K78,0,AY$8+1)-INDEX($E78:$K78,0,AY$8))/(INDEX($D$5:$J$5,0,AY$8+1)-INDEX($D$5:$J$5,0,AY$8))+AX78)))</f>
        <v>142.7822871062202</v>
      </c>
      <c r="AZ78" s="7" cm="1">
        <f t="array" ref="AZ78">IF(AZ$8=-1,BA78,IF(AZ$8=99,AY78,IF(AZ$8=0,INDEX($E78:$K78,0,AZ$6),(INDEX($E78:$K78,0,AZ$8+1)-INDEX($E78:$K78,0,AZ$8))/(INDEX($D$5:$J$5,0,AZ$8+1)-INDEX($D$5:$J$5,0,AZ$8))+AY78)))</f>
        <v>142.7822871062202</v>
      </c>
      <c r="BA78" s="7" cm="1">
        <f t="array" ref="BA78">IF(BA$8=-1,BB78,IF(BA$8=99,AZ78,IF(BA$8=0,INDEX($E78:$K78,0,BA$6),(INDEX($E78:$K78,0,BA$8+1)-INDEX($E78:$K78,0,BA$8))/(INDEX($D$5:$J$5,0,BA$8+1)-INDEX($D$5:$J$5,0,BA$8))+AZ78)))</f>
        <v>142.7822871062202</v>
      </c>
      <c r="BB78" s="7" cm="1">
        <f t="array" ref="BB78">IF(BB$8=-1,BC78,IF(BB$8=99,BA78,IF(BB$8=0,INDEX($E78:$K78,0,BB$6),(INDEX($E78:$K78,0,BB$8+1)-INDEX($E78:$K78,0,BB$8))/(INDEX($D$5:$J$5,0,BB$8+1)-INDEX($D$5:$J$5,0,BB$8))+BA78)))</f>
        <v>142.7822871062202</v>
      </c>
      <c r="BC78" s="7" cm="1">
        <f t="array" ref="BC78">IF(BC$8=-1,BD78,IF(BC$8=99,BB78,IF(BC$8=0,INDEX($E78:$K78,0,BC$6),(INDEX($E78:$K78,0,BC$8+1)-INDEX($E78:$K78,0,BC$8))/(INDEX($D$5:$J$5,0,BC$8+1)-INDEX($D$5:$J$5,0,BC$8))+BB78)))</f>
        <v>142.7822871062202</v>
      </c>
      <c r="BD78" s="7" cm="1">
        <f t="array" ref="BD78">IF(BD$8=-1,BE78,IF(BD$8=99,BC78,IF(BD$8=0,INDEX($E78:$K78,0,BD$6),(INDEX($E78:$K78,0,BD$8+1)-INDEX($E78:$K78,0,BD$8))/(INDEX($D$5:$J$5,0,BD$8+1)-INDEX($D$5:$J$5,0,BD$8))+BC78)))</f>
        <v>142.7822871062202</v>
      </c>
      <c r="BE78" s="7" cm="1">
        <f t="array" ref="BE78">IF(BE$8=-1,BF78,IF(BE$8=99,BD78,IF(BE$8=0,INDEX($E78:$K78,0,BE$6),(INDEX($E78:$K78,0,BE$8+1)-INDEX($E78:$K78,0,BE$8))/(INDEX($D$5:$J$5,0,BE$8+1)-INDEX($D$5:$J$5,0,BE$8))+BD78)))</f>
        <v>142.7822871062202</v>
      </c>
      <c r="BF78" s="7" cm="1">
        <f t="array" ref="BF78">IF(BF$8=-1,BG78,IF(BF$8=99,BE78,IF(BF$8=0,INDEX($E78:$K78,0,BF$6),(INDEX($E78:$K78,0,BF$8+1)-INDEX($E78:$K78,0,BF$8))/(INDEX($D$5:$J$5,0,BF$8+1)-INDEX($D$5:$J$5,0,BF$8))+BE78)))</f>
        <v>142.7822871062202</v>
      </c>
      <c r="BG78" s="7" cm="1">
        <f t="array" ref="BG78">IF(BG$8=-1,BH78,IF(BG$8=99,BF78,IF(BG$8=0,INDEX($E78:$K78,0,BG$6),(INDEX($E78:$K78,0,BG$8+1)-INDEX($E78:$K78,0,BG$8))/(INDEX($D$5:$J$5,0,BG$8+1)-INDEX($D$5:$J$5,0,BG$8))+BF78)))</f>
        <v>142.7822871062202</v>
      </c>
      <c r="BH78" s="7" cm="1">
        <f t="array" ref="BH78">IF(BH$8=-1,BI78,IF(BH$8=99,BG78,IF(BH$8=0,INDEX($E78:$K78,0,BH$6),(INDEX($E78:$K78,0,BH$8+1)-INDEX($E78:$K78,0,BH$8))/(INDEX($D$5:$J$5,0,BH$8+1)-INDEX($D$5:$J$5,0,BH$8))+BG78)))</f>
        <v>142.7822871062202</v>
      </c>
      <c r="BI78" s="7" cm="1">
        <f t="array" ref="BI78">IF(BI$8=-1,BJ78,IF(BI$8=99,BH78,IF(BI$8=0,INDEX($E78:$K78,0,BI$6),(INDEX($E78:$K78,0,BI$8+1)-INDEX($E78:$K78,0,BI$8))/(INDEX($D$5:$J$5,0,BI$8+1)-INDEX($D$5:$J$5,0,BI$8))+BH78)))</f>
        <v>142.7822871062202</v>
      </c>
      <c r="BJ78" s="7" cm="1">
        <f t="array" ref="BJ78">IF(BJ$8=-1,BK78,IF(BJ$8=99,BI78,IF(BJ$8=0,INDEX($E78:$K78,0,BJ$6),(INDEX($E78:$K78,0,BJ$8+1)-INDEX($E78:$K78,0,BJ$8))/(INDEX($D$5:$J$5,0,BJ$8+1)-INDEX($D$5:$J$5,0,BJ$8))+BI78)))</f>
        <v>142.7822871062202</v>
      </c>
      <c r="BK78" s="7" cm="1">
        <f t="array" ref="BK78">IF(BK$8=-1,BL78,IF(BK$8=99,BJ78,IF(BK$8=0,INDEX($E78:$K78,0,BK$6),(INDEX($E78:$K78,0,BK$8+1)-INDEX($E78:$K78,0,BK$8))/(INDEX($D$5:$J$5,0,BK$8+1)-INDEX($D$5:$J$5,0,BK$8))+BJ78)))</f>
        <v>142.7822871062202</v>
      </c>
      <c r="BL78" s="7" cm="1">
        <f t="array" ref="BL78">IF(BL$8=-1,BM78,IF(BL$8=99,BK78,IF(BL$8=0,INDEX($E78:$K78,0,BL$6),(INDEX($E78:$K78,0,BL$8+1)-INDEX($E78:$K78,0,BL$8))/(INDEX($D$5:$J$5,0,BL$8+1)-INDEX($D$5:$J$5,0,BL$8))+BK78)))</f>
        <v>142.7822871062202</v>
      </c>
      <c r="BM78" s="7" cm="1">
        <f t="array" ref="BM78">IF(BM$8=-1,BN78,IF(BM$8=99,BL78,IF(BM$8=0,INDEX($E78:$K78,0,BM$6),(INDEX($E78:$K78,0,BM$8+1)-INDEX($E78:$K78,0,BM$8))/(INDEX($D$5:$J$5,0,BM$8+1)-INDEX($D$5:$J$5,0,BM$8))+BL78)))</f>
        <v>142.7822871062202</v>
      </c>
      <c r="BN78" s="7" cm="1">
        <f t="array" ref="BN78">IF(BN$8=-1,BO78,IF(BN$8=99,BM78,IF(BN$8=0,INDEX($E78:$K78,0,BN$6),(INDEX($E78:$K78,0,BN$8+1)-INDEX($E78:$K78,0,BN$8))/(INDEX($D$5:$J$5,0,BN$8+1)-INDEX($D$5:$J$5,0,BN$8))+BM78)))</f>
        <v>142.7822871062202</v>
      </c>
      <c r="BO78" s="7" cm="1">
        <f t="array" ref="BO78">IF(BO$8=-1,BP78,IF(BO$8=99,BN78,IF(BO$8=0,INDEX($E78:$K78,0,BO$6),(INDEX($E78:$K78,0,BO$8+1)-INDEX($E78:$K78,0,BO$8))/(INDEX($D$5:$J$5,0,BO$8+1)-INDEX($D$5:$J$5,0,BO$8))+BN78)))</f>
        <v>142.7822871062202</v>
      </c>
      <c r="BP78" s="7" cm="1">
        <f t="array" ref="BP78">IF(BP$8=-1,BQ78,IF(BP$8=99,BO78,IF(BP$8=0,INDEX($E78:$K78,0,BP$6),(INDEX($E78:$K78,0,BP$8+1)-INDEX($E78:$K78,0,BP$8))/(INDEX($D$5:$J$5,0,BP$8+1)-INDEX($D$5:$J$5,0,BP$8))+BO78)))</f>
        <v>142.7822871062202</v>
      </c>
      <c r="BQ78" s="7" cm="1">
        <f t="array" ref="BQ78">IF(BQ$8=-1,BR78,IF(BQ$8=99,BP78,IF(BQ$8=0,INDEX($E78:$K78,0,BQ$6),(INDEX($E78:$K78,0,BQ$8+1)-INDEX($E78:$K78,0,BQ$8))/(INDEX($D$5:$J$5,0,BQ$8+1)-INDEX($D$5:$J$5,0,BQ$8))+BP78)))</f>
        <v>142.7822871062202</v>
      </c>
      <c r="BR78" s="7" cm="1">
        <f t="array" ref="BR78">IF(BR$8=-1,BS78,IF(BR$8=99,BQ78,IF(BR$8=0,INDEX($E78:$K78,0,BR$6),(INDEX($E78:$K78,0,BR$8+1)-INDEX($E78:$K78,0,BR$8))/(INDEX($D$5:$J$5,0,BR$8+1)-INDEX($D$5:$J$5,0,BR$8))+BQ78)))</f>
        <v>142.7822871062202</v>
      </c>
    </row>
    <row r="79" spans="1:70">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75" thickBot="1">
      <c r="A80" t="s">
        <v>16</v>
      </c>
      <c r="B80" s="87" t="s">
        <v>68</v>
      </c>
      <c r="C80" s="68"/>
      <c r="D80" s="69"/>
      <c r="H80" s="123">
        <f>VLOOKUP($N$57,$M$59:$Q$62,3)</f>
        <v>0.05</v>
      </c>
      <c r="I80" s="123">
        <f>VLOOKUP($N$57,$M$59:$Q$62,4)</f>
        <v>7.0000000000000007E-2</v>
      </c>
      <c r="J80" s="123">
        <f>VLOOKUP($N$57,$M$59:$Q$62,5)</f>
        <v>0.1</v>
      </c>
      <c r="K80" s="123">
        <f>VLOOKUP($N$57,$M$59:$Q$62,5)</f>
        <v>0.1</v>
      </c>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c r="A81" t="s">
        <v>16</v>
      </c>
      <c r="B81" s="1" t="s">
        <v>234</v>
      </c>
      <c r="C81" s="71" t="str">
        <f t="shared" ref="C81:C89" si="145">C70</f>
        <v>Commercial - Cooling</v>
      </c>
      <c r="D81" s="71" t="s">
        <v>66</v>
      </c>
      <c r="E81" s="80">
        <f>E70</f>
        <v>1051.567060091289</v>
      </c>
      <c r="F81" s="88">
        <f>F70</f>
        <v>922.3353159822409</v>
      </c>
      <c r="G81" s="88">
        <f t="shared" ref="G81:G89" si="146">F81</f>
        <v>922.3353159822409</v>
      </c>
      <c r="H81" s="88">
        <f>IF($N$57=-1,G81,((F81-E81)*2/5+E81)*(1+$H$80*$T56))</f>
        <v>1022.3715356027424</v>
      </c>
      <c r="I81" s="88">
        <f t="shared" ref="I81:K81" si="147">IF($N$57=-1,H81,((G81-F81)*2/5+F81)*(1+$H$80*$T56))</f>
        <v>943.08786059184126</v>
      </c>
      <c r="J81" s="88">
        <f t="shared" si="147"/>
        <v>984.00267441662641</v>
      </c>
      <c r="K81" s="88">
        <f t="shared" si="147"/>
        <v>1012.9478720743455</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932.33893794429105</v>
      </c>
      <c r="V81" s="7" cm="1">
        <f t="array" ref="V81">IF(V$8=-1,W81,IF(V$8=99,U81,IF(V$8=0,INDEX($E81:$I81,0,V$6),(INDEX($E81:$I81,0,V$8+1)-INDEX($E81:$I81,0,V$8))/(INDEX($D$5:$H$5,0,V$8+1)-INDEX($D$5:$H$5,0,V$8))+U81)))</f>
        <v>942.34255990634119</v>
      </c>
      <c r="W81" s="7" cm="1">
        <f t="array" ref="W81">IF(W$8=-1,X81,IF(W$8=99,V81,IF(W$8=0,INDEX($E81:$I81,0,W$6),(INDEX($E81:$I81,0,W$8+1)-INDEX($E81:$I81,0,W$8))/(INDEX($D$5:$H$5,0,W$8+1)-INDEX($D$5:$H$5,0,W$8))+V81)))</f>
        <v>952.34618186839134</v>
      </c>
      <c r="X81" s="7" cm="1">
        <f t="array" ref="X81">IF(X$8=-1,Y81,IF(X$8=99,W81,IF(X$8=0,INDEX($E81:$I81,0,X$6),(INDEX($E81:$I81,0,X$8+1)-INDEX($E81:$I81,0,X$8))/(INDEX($D$5:$H$5,0,X$8+1)-INDEX($D$5:$H$5,0,X$8))+W81)))</f>
        <v>962.34980383044149</v>
      </c>
      <c r="Y81" s="7" cm="1">
        <f t="array" ref="Y81">IF(Y$8=-1,Z81,IF(Y$8=99,X81,IF(Y$8=0,INDEX($E81:$I81,0,Y$6),(INDEX($E81:$I81,0,Y$8+1)-INDEX($E81:$I81,0,Y$8))/(INDEX($D$5:$H$5,0,Y$8+1)-INDEX($D$5:$H$5,0,Y$8))+X81)))</f>
        <v>972.35342579249163</v>
      </c>
      <c r="Z81" s="7" cm="1">
        <f t="array" ref="Z81">IF(Z$8=-1,AA81,IF(Z$8=99,Y81,IF(Z$8=0,INDEX($E81:$I81,0,Z$6),(INDEX($E81:$I81,0,Z$8+1)-INDEX($E81:$I81,0,Z$8))/(INDEX($D$5:$H$5,0,Z$8+1)-INDEX($D$5:$H$5,0,Z$8))+Y81)))</f>
        <v>982.35704775454178</v>
      </c>
      <c r="AA81" s="7" cm="1">
        <f t="array" ref="AA81">IF(AA$8=-1,AB81,IF(AA$8=99,Z81,IF(AA$8=0,INDEX($E81:$I81,0,AA$6),(INDEX($E81:$I81,0,AA$8+1)-INDEX($E81:$I81,0,AA$8))/(INDEX($D$5:$H$5,0,AA$8+1)-INDEX($D$5:$H$5,0,AA$8))+Z81)))</f>
        <v>992.36066971659193</v>
      </c>
      <c r="AB81" s="7" cm="1">
        <f t="array" ref="AB81">IF(AB$8=-1,AC81,IF(AB$8=99,AA81,IF(AB$8=0,INDEX($E81:$I81,0,AB$6),(INDEX($E81:$I81,0,AB$8+1)-INDEX($E81:$I81,0,AB$8))/(INDEX($D$5:$H$5,0,AB$8+1)-INDEX($D$5:$H$5,0,AB$8))+AA81)))</f>
        <v>1002.3642916786421</v>
      </c>
      <c r="AC81" s="7" cm="1">
        <f t="array" ref="AC81">IF(AC$8=-1,AD81,IF(AC$8=99,AB81,IF(AC$8=0,INDEX($E81:$I81,0,AC$6),(INDEX($E81:$I81,0,AC$8+1)-INDEX($E81:$I81,0,AC$8))/(INDEX($D$5:$H$5,0,AC$8+1)-INDEX($D$5:$H$5,0,AC$8))+AB81)))</f>
        <v>1012.3679136406922</v>
      </c>
      <c r="AD81" s="7" cm="1">
        <f t="array" ref="AD81">IF(AD$8=-1,AE81,IF(AD$8=99,AC81,IF(AD$8=0,INDEX($E81:$I81,0,AD$6),(INDEX($E81:$I81,0,AD$8+1)-INDEX($E81:$I81,0,AD$8))/(INDEX($D$5:$H$5,0,AD$8+1)-INDEX($D$5:$H$5,0,AD$8))+AC81)))</f>
        <v>1022.3715356027424</v>
      </c>
      <c r="AE81" s="7" cm="1">
        <f t="array" ref="AE81">IF(AE$8=-1,AF81,IF(AE$8=99,AD81,IF(AE$8=0,INDEX($E81:$I81,0,AE$6),(INDEX($E81:$I81,0,AE$8+1)-INDEX($E81:$I81,0,AE$8))/(INDEX($D$5:$H$5,0,AE$8+1)-INDEX($D$5:$H$5,0,AE$8))+AD81)))</f>
        <v>1014.4431681016523</v>
      </c>
      <c r="AF81" s="7" cm="1">
        <f t="array" ref="AF81">IF(AF$8=-1,AG81,IF(AF$8=99,AE81,IF(AF$8=0,INDEX($E81:$I81,0,AF$6),(INDEX($E81:$I81,0,AF$8+1)-INDEX($E81:$I81,0,AF$8))/(INDEX($D$5:$H$5,0,AF$8+1)-INDEX($D$5:$H$5,0,AF$8))+AE81)))</f>
        <v>1006.5148006005622</v>
      </c>
      <c r="AG81" s="7" cm="1">
        <f t="array" ref="AG81">IF(AG$8=-1,AH81,IF(AG$8=99,AF81,IF(AG$8=0,INDEX($E81:$I81,0,AG$6),(INDEX($E81:$I81,0,AG$8+1)-INDEX($E81:$I81,0,AG$8))/(INDEX($D$5:$H$5,0,AG$8+1)-INDEX($D$5:$H$5,0,AG$8))+AF81)))</f>
        <v>998.58643309947217</v>
      </c>
      <c r="AH81" s="7" cm="1">
        <f t="array" ref="AH81">IF(AH$8=-1,AI81,IF(AH$8=99,AG81,IF(AH$8=0,INDEX($E81:$I81,0,AH$6),(INDEX($E81:$I81,0,AH$8+1)-INDEX($E81:$I81,0,AH$8))/(INDEX($D$5:$H$5,0,AH$8+1)-INDEX($D$5:$H$5,0,AH$8))+AG81)))</f>
        <v>990.65806559838211</v>
      </c>
      <c r="AI81" s="7" cm="1">
        <f t="array" ref="AI81">IF(AI$8=-1,AJ81,IF(AI$8=99,AH81,IF(AI$8=0,INDEX($E81:$I81,0,AI$6),(INDEX($E81:$I81,0,AI$8+1)-INDEX($E81:$I81,0,AI$8))/(INDEX($D$5:$H$5,0,AI$8+1)-INDEX($D$5:$H$5,0,AI$8))+AH81)))</f>
        <v>982.72969809729204</v>
      </c>
      <c r="AJ81" s="7" cm="1">
        <f t="array" ref="AJ81">IF(AJ$8=-1,AK81,IF(AJ$8=99,AI81,IF(AJ$8=0,INDEX($E81:$I81,0,AJ$6),(INDEX($E81:$I81,0,AJ$8+1)-INDEX($E81:$I81,0,AJ$8))/(INDEX($D$5:$H$5,0,AJ$8+1)-INDEX($D$5:$H$5,0,AJ$8))+AI81)))</f>
        <v>974.80133059620198</v>
      </c>
      <c r="AK81" s="7" cm="1">
        <f t="array" ref="AK81">IF(AK$8=-1,AL81,IF(AK$8=99,AJ81,IF(AK$8=0,INDEX($E81:$I81,0,AK$6),(INDEX($E81:$I81,0,AK$8+1)-INDEX($E81:$I81,0,AK$8))/(INDEX($D$5:$H$5,0,AK$8+1)-INDEX($D$5:$H$5,0,AK$8))+AJ81)))</f>
        <v>966.87296309511191</v>
      </c>
      <c r="AL81" s="7" cm="1">
        <f t="array" ref="AL81">IF(AL$8=-1,AM81,IF(AL$8=99,AK81,IF(AL$8=0,INDEX($E81:$I81,0,AL$6),(INDEX($E81:$I81,0,AL$8+1)-INDEX($E81:$I81,0,AL$8))/(INDEX($D$5:$H$5,0,AL$8+1)-INDEX($D$5:$H$5,0,AL$8))+AK81)))</f>
        <v>958.94459559402185</v>
      </c>
      <c r="AM81" s="7" cm="1">
        <f t="array" ref="AM81">IF(AM$8=-1,AN81,IF(AM$8=99,AL81,IF(AM$8=0,INDEX($E81:$I81,0,AM$6),(INDEX($E81:$I81,0,AM$8+1)-INDEX($E81:$I81,0,AM$8))/(INDEX($D$5:$H$5,0,AM$8+1)-INDEX($D$5:$H$5,0,AM$8))+AL81)))</f>
        <v>951.01622809293178</v>
      </c>
      <c r="AN81" s="7" cm="1">
        <f t="array" ref="AN81">IF(AN$8=-1,AO81,IF(AN$8=99,AM81,IF(AN$8=0,INDEX($E81:$I81,0,AN$6),(INDEX($E81:$I81,0,AN$8+1)-INDEX($E81:$I81,0,AN$8))/(INDEX($D$5:$H$5,0,AN$8+1)-INDEX($D$5:$H$5,0,AN$8))+AM81)))</f>
        <v>943.08786059184126</v>
      </c>
      <c r="AO81" s="7" cm="1">
        <f t="array" ref="AO81">IF(AO$8=-1,AP81,IF(AO$8=99,AN81,IF(AO$8=0,INDEX($E81:$K81,0,AO$6),(INDEX($E81:$K81,0,AO$8+1)-INDEX($E81:$K81,0,AO$8))/(INDEX($D$5:$J$5,0,AO$8+1)-INDEX($D$5:$J$5,0,AO$8))+AN81)))</f>
        <v>947.17934197431975</v>
      </c>
      <c r="AP81" s="7" cm="1">
        <f t="array" ref="AP81">IF(AP$8=-1,AQ81,IF(AP$8=99,AO81,IF(AP$8=0,INDEX($E81:$K81,0,AP$6),(INDEX($E81:$K81,0,AP$8+1)-INDEX($E81:$K81,0,AP$8))/(INDEX($D$5:$J$5,0,AP$8+1)-INDEX($D$5:$J$5,0,AP$8))+AO81)))</f>
        <v>951.27082335679825</v>
      </c>
      <c r="AQ81" s="7" cm="1">
        <f t="array" ref="AQ81">IF(AQ$8=-1,AR81,IF(AQ$8=99,AP81,IF(AQ$8=0,INDEX($E81:$K81,0,AQ$6),(INDEX($E81:$K81,0,AQ$8+1)-INDEX($E81:$K81,0,AQ$8))/(INDEX($D$5:$J$5,0,AQ$8+1)-INDEX($D$5:$J$5,0,AQ$8))+AP81)))</f>
        <v>955.36230473927674</v>
      </c>
      <c r="AR81" s="7" cm="1">
        <f t="array" ref="AR81">IF(AR$8=-1,AS81,IF(AR$8=99,AQ81,IF(AR$8=0,INDEX($E81:$K81,0,AR$6),(INDEX($E81:$K81,0,AR$8+1)-INDEX($E81:$K81,0,AR$8))/(INDEX($D$5:$J$5,0,AR$8+1)-INDEX($D$5:$J$5,0,AR$8))+AQ81)))</f>
        <v>959.45378612175523</v>
      </c>
      <c r="AS81" s="7" cm="1">
        <f t="array" ref="AS81">IF(AS$8=-1,AT81,IF(AS$8=99,AR81,IF(AS$8=0,INDEX($E81:$K81,0,AS$6),(INDEX($E81:$K81,0,AS$8+1)-INDEX($E81:$K81,0,AS$8))/(INDEX($D$5:$J$5,0,AS$8+1)-INDEX($D$5:$J$5,0,AS$8))+AR81)))</f>
        <v>963.54526750423372</v>
      </c>
      <c r="AT81" s="7" cm="1">
        <f t="array" ref="AT81">IF(AT$8=-1,AU81,IF(AT$8=99,AS81,IF(AT$8=0,INDEX($E81:$K81,0,AT$6),(INDEX($E81:$K81,0,AT$8+1)-INDEX($E81:$K81,0,AT$8))/(INDEX($D$5:$J$5,0,AT$8+1)-INDEX($D$5:$J$5,0,AT$8))+AS81)))</f>
        <v>967.63674888671221</v>
      </c>
      <c r="AU81" s="7" cm="1">
        <f t="array" ref="AU81">IF(AU$8=-1,AV81,IF(AU$8=99,AT81,IF(AU$8=0,INDEX($E81:$K81,0,AU$6),(INDEX($E81:$K81,0,AU$8+1)-INDEX($E81:$K81,0,AU$8))/(INDEX($D$5:$J$5,0,AU$8+1)-INDEX($D$5:$J$5,0,AU$8))+AT81)))</f>
        <v>971.7282302691907</v>
      </c>
      <c r="AV81" s="7" cm="1">
        <f t="array" ref="AV81">IF(AV$8=-1,AW81,IF(AV$8=99,AU81,IF(AV$8=0,INDEX($E81:$K81,0,AV$6),(INDEX($E81:$K81,0,AV$8+1)-INDEX($E81:$K81,0,AV$8))/(INDEX($D$5:$J$5,0,AV$8+1)-INDEX($D$5:$J$5,0,AV$8))+AU81)))</f>
        <v>975.81971165166919</v>
      </c>
      <c r="AW81" s="7" cm="1">
        <f t="array" ref="AW81">IF(AW$8=-1,AX81,IF(AW$8=99,AV81,IF(AW$8=0,INDEX($E81:$K81,0,AW$6),(INDEX($E81:$K81,0,AW$8+1)-INDEX($E81:$K81,0,AW$8))/(INDEX($D$5:$J$5,0,AW$8+1)-INDEX($D$5:$J$5,0,AW$8))+AV81)))</f>
        <v>979.91119303414769</v>
      </c>
      <c r="AX81" s="7" cm="1">
        <f t="array" ref="AX81">IF(AX$8=-1,AY81,IF(AX$8=99,AW81,IF(AX$8=0,INDEX($E81:$K81,0,AX$6),(INDEX($E81:$K81,0,AX$8+1)-INDEX($E81:$K81,0,AX$8))/(INDEX($D$5:$J$5,0,AX$8+1)-INDEX($D$5:$J$5,0,AX$8))+AW81)))</f>
        <v>984.00267441662618</v>
      </c>
      <c r="AY81" s="7" cm="1">
        <f t="array" ref="AY81">IF(AY$8=-1,AZ81,IF(AY$8=99,AX81,IF(AY$8=0,INDEX($E81:$K81,0,AY$6),(INDEX($E81:$K81,0,AY$8+1)-INDEX($E81:$K81,0,AY$8))/(INDEX($D$5:$J$5,0,AY$8+1)-INDEX($D$5:$J$5,0,AY$8))+AX81)))</f>
        <v>988.09415579910467</v>
      </c>
      <c r="AZ81" s="7" cm="1">
        <f t="array" ref="AZ81">IF(AZ$8=-1,BA81,IF(AZ$8=99,AY81,IF(AZ$8=0,INDEX($E81:$K81,0,AZ$6),(INDEX($E81:$K81,0,AZ$8+1)-INDEX($E81:$K81,0,AZ$8))/(INDEX($D$5:$J$5,0,AZ$8+1)-INDEX($D$5:$J$5,0,AZ$8))+AY81)))</f>
        <v>992.18563718158316</v>
      </c>
      <c r="BA81" s="7" cm="1">
        <f t="array" ref="BA81">IF(BA$8=-1,BB81,IF(BA$8=99,AZ81,IF(BA$8=0,INDEX($E81:$K81,0,BA$6),(INDEX($E81:$K81,0,BA$8+1)-INDEX($E81:$K81,0,BA$8))/(INDEX($D$5:$J$5,0,BA$8+1)-INDEX($D$5:$J$5,0,BA$8))+AZ81)))</f>
        <v>996.27711856406165</v>
      </c>
      <c r="BB81" s="7" cm="1">
        <f t="array" ref="BB81">IF(BB$8=-1,BC81,IF(BB$8=99,BA81,IF(BB$8=0,INDEX($E81:$K81,0,BB$6),(INDEX($E81:$K81,0,BB$8+1)-INDEX($E81:$K81,0,BB$8))/(INDEX($D$5:$J$5,0,BB$8+1)-INDEX($D$5:$J$5,0,BB$8))+BA81)))</f>
        <v>1000.3685999465401</v>
      </c>
      <c r="BC81" s="7" cm="1">
        <f t="array" ref="BC81">IF(BC$8=-1,BD81,IF(BC$8=99,BB81,IF(BC$8=0,INDEX($E81:$K81,0,BC$6),(INDEX($E81:$K81,0,BC$8+1)-INDEX($E81:$K81,0,BC$8))/(INDEX($D$5:$J$5,0,BC$8+1)-INDEX($D$5:$J$5,0,BC$8))+BB81)))</f>
        <v>1004.4600813290186</v>
      </c>
      <c r="BD81" s="7" cm="1">
        <f t="array" ref="BD81">IF(BD$8=-1,BE81,IF(BD$8=99,BC81,IF(BD$8=0,INDEX($E81:$K81,0,BD$6),(INDEX($E81:$K81,0,BD$8+1)-INDEX($E81:$K81,0,BD$8))/(INDEX($D$5:$J$5,0,BD$8+1)-INDEX($D$5:$J$5,0,BD$8))+BC81)))</f>
        <v>1008.5515627114971</v>
      </c>
      <c r="BE81" s="7" cm="1">
        <f t="array" ref="BE81">IF(BE$8=-1,BF81,IF(BE$8=99,BD81,IF(BE$8=0,INDEX($E81:$K81,0,BE$6),(INDEX($E81:$K81,0,BE$8+1)-INDEX($E81:$K81,0,BE$8))/(INDEX($D$5:$J$5,0,BE$8+1)-INDEX($D$5:$J$5,0,BE$8))+BD81)))</f>
        <v>1012.6430440939756</v>
      </c>
      <c r="BF81" s="7" cm="1">
        <f t="array" ref="BF81">IF(BF$8=-1,BG81,IF(BF$8=99,BE81,IF(BF$8=0,INDEX($E81:$K81,0,BF$6),(INDEX($E81:$K81,0,BF$8+1)-INDEX($E81:$K81,0,BF$8))/(INDEX($D$5:$J$5,0,BF$8+1)-INDEX($D$5:$J$5,0,BF$8))+BE81)))</f>
        <v>1016.7345254764541</v>
      </c>
      <c r="BG81" s="7" cm="1">
        <f t="array" ref="BG81">IF(BG$8=-1,BH81,IF(BG$8=99,BF81,IF(BG$8=0,INDEX($E81:$K81,0,BG$6),(INDEX($E81:$K81,0,BG$8+1)-INDEX($E81:$K81,0,BG$8))/(INDEX($D$5:$J$5,0,BG$8+1)-INDEX($D$5:$J$5,0,BG$8))+BF81)))</f>
        <v>1020.8260068589326</v>
      </c>
      <c r="BH81" s="7" cm="1">
        <f t="array" ref="BH81">IF(BH$8=-1,BI81,IF(BH$8=99,BG81,IF(BH$8=0,INDEX($E81:$K81,0,BH$6),(INDEX($E81:$K81,0,BH$8+1)-INDEX($E81:$K81,0,BH$8))/(INDEX($D$5:$J$5,0,BH$8+1)-INDEX($D$5:$J$5,0,BH$8))+BG81)))</f>
        <v>1024.9174882414111</v>
      </c>
      <c r="BI81" s="7" cm="1">
        <f t="array" ref="BI81">IF(BI$8=-1,BJ81,IF(BI$8=99,BH81,IF(BI$8=0,INDEX($E81:$K81,0,BI$6),(INDEX($E81:$K81,0,BI$8+1)-INDEX($E81:$K81,0,BI$8))/(INDEX($D$5:$J$5,0,BI$8+1)-INDEX($D$5:$J$5,0,BI$8))+BH81)))</f>
        <v>1029.0089696238897</v>
      </c>
      <c r="BJ81" s="7" cm="1">
        <f t="array" ref="BJ81">IF(BJ$8=-1,BK81,IF(BJ$8=99,BI81,IF(BJ$8=0,INDEX($E81:$K81,0,BJ$6),(INDEX($E81:$K81,0,BJ$8+1)-INDEX($E81:$K81,0,BJ$8))/(INDEX($D$5:$J$5,0,BJ$8+1)-INDEX($D$5:$J$5,0,BJ$8))+BI81)))</f>
        <v>1033.1004510063683</v>
      </c>
      <c r="BK81" s="7" cm="1">
        <f t="array" ref="BK81">IF(BK$8=-1,BL81,IF(BK$8=99,BJ81,IF(BK$8=0,INDEX($E81:$K81,0,BK$6),(INDEX($E81:$K81,0,BK$8+1)-INDEX($E81:$K81,0,BK$8))/(INDEX($D$5:$J$5,0,BK$8+1)-INDEX($D$5:$J$5,0,BK$8))+BJ81)))</f>
        <v>1037.1919323888469</v>
      </c>
      <c r="BL81" s="7" cm="1">
        <f t="array" ref="BL81">IF(BL$8=-1,BM81,IF(BL$8=99,BK81,IF(BL$8=0,INDEX($E81:$K81,0,BL$6),(INDEX($E81:$K81,0,BL$8+1)-INDEX($E81:$K81,0,BL$8))/(INDEX($D$5:$J$5,0,BL$8+1)-INDEX($D$5:$J$5,0,BL$8))+BK81)))</f>
        <v>1041.2834137713255</v>
      </c>
      <c r="BM81" s="7" cm="1">
        <f t="array" ref="BM81">IF(BM$8=-1,BN81,IF(BM$8=99,BL81,IF(BM$8=0,INDEX($E81:$K81,0,BM$6),(INDEX($E81:$K81,0,BM$8+1)-INDEX($E81:$K81,0,BM$8))/(INDEX($D$5:$J$5,0,BM$8+1)-INDEX($D$5:$J$5,0,BM$8))+BL81)))</f>
        <v>1045.3748951538041</v>
      </c>
      <c r="BN81" s="7" cm="1">
        <f t="array" ref="BN81">IF(BN$8=-1,BO81,IF(BN$8=99,BM81,IF(BN$8=0,INDEX($E81:$K81,0,BN$6),(INDEX($E81:$K81,0,BN$8+1)-INDEX($E81:$K81,0,BN$8))/(INDEX($D$5:$J$5,0,BN$8+1)-INDEX($D$5:$J$5,0,BN$8))+BM81)))</f>
        <v>1049.4663765362827</v>
      </c>
      <c r="BO81" s="7" cm="1">
        <f t="array" ref="BO81">IF(BO$8=-1,BP81,IF(BO$8=99,BN81,IF(BO$8=0,INDEX($E81:$K81,0,BO$6),(INDEX($E81:$K81,0,BO$8+1)-INDEX($E81:$K81,0,BO$8))/(INDEX($D$5:$J$5,0,BO$8+1)-INDEX($D$5:$J$5,0,BO$8))+BN81)))</f>
        <v>1053.5578579187613</v>
      </c>
      <c r="BP81" s="7" cm="1">
        <f t="array" ref="BP81">IF(BP$8=-1,BQ81,IF(BP$8=99,BO81,IF(BP$8=0,INDEX($E81:$K81,0,BP$6),(INDEX($E81:$K81,0,BP$8+1)-INDEX($E81:$K81,0,BP$8))/(INDEX($D$5:$J$5,0,BP$8+1)-INDEX($D$5:$J$5,0,BP$8))+BO81)))</f>
        <v>1057.6493393012399</v>
      </c>
      <c r="BQ81" s="7" cm="1">
        <f t="array" ref="BQ81">IF(BQ$8=-1,BR81,IF(BQ$8=99,BP81,IF(BQ$8=0,INDEX($E81:$K81,0,BQ$6),(INDEX($E81:$K81,0,BQ$8+1)-INDEX($E81:$K81,0,BQ$8))/(INDEX($D$5:$J$5,0,BQ$8+1)-INDEX($D$5:$J$5,0,BQ$8))+BP81)))</f>
        <v>1061.7408206837185</v>
      </c>
      <c r="BR81" s="7" cm="1">
        <f t="array" ref="BR81">IF(BR$8=-1,BS81,IF(BR$8=99,BQ81,IF(BR$8=0,INDEX($E81:$K81,0,BR$6),(INDEX($E81:$K81,0,BR$8+1)-INDEX($E81:$K81,0,BR$8))/(INDEX($D$5:$J$5,0,BR$8+1)-INDEX($D$5:$J$5,0,BR$8))+BQ81)))</f>
        <v>1065.8323020661971</v>
      </c>
    </row>
    <row r="82" spans="1:70">
      <c r="A82" t="s">
        <v>16</v>
      </c>
      <c r="B82" s="1" t="s">
        <v>235</v>
      </c>
      <c r="C82" s="71" t="str">
        <f t="shared" si="145"/>
        <v>Commercial - Space Heating</v>
      </c>
      <c r="D82" s="71" t="s">
        <v>66</v>
      </c>
      <c r="E82" s="80">
        <f t="shared" ref="E82:F89" si="148">E71</f>
        <v>59.117764859369181</v>
      </c>
      <c r="F82" s="88">
        <f t="shared" si="148"/>
        <v>86.140082210951618</v>
      </c>
      <c r="G82" s="88">
        <f>F82</f>
        <v>86.140082210951618</v>
      </c>
      <c r="H82" s="88">
        <f t="shared" ref="H82:H86" si="149">IF($N$57=-1,G82,((F82-E82)*2/5+E82)*(1+$H$80*$T57))</f>
        <v>71.50004236550221</v>
      </c>
      <c r="I82" s="88">
        <f t="shared" ref="I82:I86" si="150">IF($N$57=-1,H82,((G82-F82)*2/5+F82)*(1+$H$80*$T57))</f>
        <v>88.078234060698023</v>
      </c>
      <c r="J82" s="88">
        <f t="shared" ref="J82:J86" si="151">IF($N$57=-1,I82,((H82-G82)*2/5+G82)*(1+$H$80*$T57))</f>
        <v>82.090457763909214</v>
      </c>
      <c r="K82" s="88">
        <f t="shared" ref="K82:K86" si="152">IF($N$57=-1,J82,((I82-H82)*2/5+H82)*(1+$H$80*$T57))</f>
        <v>79.889273722061091</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84.676078226406673</v>
      </c>
      <c r="V82" s="7" cm="1">
        <f t="array" ref="V82">IF(V$8=-1,W82,IF(V$8=99,U82,IF(V$8=0,INDEX($E82:$I82,0,V$6),(INDEX($E82:$I82,0,V$8+1)-INDEX($E82:$I82,0,V$8))/(INDEX($D$5:$H$5,0,V$8+1)-INDEX($D$5:$H$5,0,V$8))+U82)))</f>
        <v>83.212074241861728</v>
      </c>
      <c r="W82" s="7" cm="1">
        <f t="array" ref="W82">IF(W$8=-1,X82,IF(W$8=99,V82,IF(W$8=0,INDEX($E82:$I82,0,W$6),(INDEX($E82:$I82,0,W$8+1)-INDEX($E82:$I82,0,W$8))/(INDEX($D$5:$H$5,0,W$8+1)-INDEX($D$5:$H$5,0,W$8))+V82)))</f>
        <v>81.748070257316783</v>
      </c>
      <c r="X82" s="7" cm="1">
        <f t="array" ref="X82">IF(X$8=-1,Y82,IF(X$8=99,W82,IF(X$8=0,INDEX($E82:$I82,0,X$6),(INDEX($E82:$I82,0,X$8+1)-INDEX($E82:$I82,0,X$8))/(INDEX($D$5:$H$5,0,X$8+1)-INDEX($D$5:$H$5,0,X$8))+W82)))</f>
        <v>80.284066272771838</v>
      </c>
      <c r="Y82" s="7" cm="1">
        <f t="array" ref="Y82">IF(Y$8=-1,Z82,IF(Y$8=99,X82,IF(Y$8=0,INDEX($E82:$I82,0,Y$6),(INDEX($E82:$I82,0,Y$8+1)-INDEX($E82:$I82,0,Y$8))/(INDEX($D$5:$H$5,0,Y$8+1)-INDEX($D$5:$H$5,0,Y$8))+X82)))</f>
        <v>78.820062288226893</v>
      </c>
      <c r="Z82" s="7" cm="1">
        <f t="array" ref="Z82">IF(Z$8=-1,AA82,IF(Z$8=99,Y82,IF(Z$8=0,INDEX($E82:$I82,0,Z$6),(INDEX($E82:$I82,0,Z$8+1)-INDEX($E82:$I82,0,Z$8))/(INDEX($D$5:$H$5,0,Z$8+1)-INDEX($D$5:$H$5,0,Z$8))+Y82)))</f>
        <v>77.356058303681948</v>
      </c>
      <c r="AA82" s="7" cm="1">
        <f t="array" ref="AA82">IF(AA$8=-1,AB82,IF(AA$8=99,Z82,IF(AA$8=0,INDEX($E82:$I82,0,AA$6),(INDEX($E82:$I82,0,AA$8+1)-INDEX($E82:$I82,0,AA$8))/(INDEX($D$5:$H$5,0,AA$8+1)-INDEX($D$5:$H$5,0,AA$8))+Z82)))</f>
        <v>75.892054319137003</v>
      </c>
      <c r="AB82" s="7" cm="1">
        <f t="array" ref="AB82">IF(AB$8=-1,AC82,IF(AB$8=99,AA82,IF(AB$8=0,INDEX($E82:$I82,0,AB$6),(INDEX($E82:$I82,0,AB$8+1)-INDEX($E82:$I82,0,AB$8))/(INDEX($D$5:$H$5,0,AB$8+1)-INDEX($D$5:$H$5,0,AB$8))+AA82)))</f>
        <v>74.428050334592058</v>
      </c>
      <c r="AC82" s="7" cm="1">
        <f t="array" ref="AC82">IF(AC$8=-1,AD82,IF(AC$8=99,AB82,IF(AC$8=0,INDEX($E82:$I82,0,AC$6),(INDEX($E82:$I82,0,AC$8+1)-INDEX($E82:$I82,0,AC$8))/(INDEX($D$5:$H$5,0,AC$8+1)-INDEX($D$5:$H$5,0,AC$8))+AB82)))</f>
        <v>72.964046350047113</v>
      </c>
      <c r="AD82" s="7" cm="1">
        <f t="array" ref="AD82">IF(AD$8=-1,AE82,IF(AD$8=99,AC82,IF(AD$8=0,INDEX($E82:$I82,0,AD$6),(INDEX($E82:$I82,0,AD$8+1)-INDEX($E82:$I82,0,AD$8))/(INDEX($D$5:$H$5,0,AD$8+1)-INDEX($D$5:$H$5,0,AD$8))+AC82)))</f>
        <v>71.50004236550221</v>
      </c>
      <c r="AE82" s="7" cm="1">
        <f t="array" ref="AE82">IF(AE$8=-1,AF82,IF(AE$8=99,AD82,IF(AE$8=0,INDEX($E82:$I82,0,AE$6),(INDEX($E82:$I82,0,AE$8+1)-INDEX($E82:$I82,0,AE$8))/(INDEX($D$5:$H$5,0,AE$8+1)-INDEX($D$5:$H$5,0,AE$8))+AD82)))</f>
        <v>73.157861535021794</v>
      </c>
      <c r="AF82" s="7" cm="1">
        <f t="array" ref="AF82">IF(AF$8=-1,AG82,IF(AF$8=99,AE82,IF(AF$8=0,INDEX($E82:$I82,0,AF$6),(INDEX($E82:$I82,0,AF$8+1)-INDEX($E82:$I82,0,AF$8))/(INDEX($D$5:$H$5,0,AF$8+1)-INDEX($D$5:$H$5,0,AF$8))+AE82)))</f>
        <v>74.815680704541379</v>
      </c>
      <c r="AG82" s="7" cm="1">
        <f t="array" ref="AG82">IF(AG$8=-1,AH82,IF(AG$8=99,AF82,IF(AG$8=0,INDEX($E82:$I82,0,AG$6),(INDEX($E82:$I82,0,AG$8+1)-INDEX($E82:$I82,0,AG$8))/(INDEX($D$5:$H$5,0,AG$8+1)-INDEX($D$5:$H$5,0,AG$8))+AF82)))</f>
        <v>76.473499874060963</v>
      </c>
      <c r="AH82" s="7" cm="1">
        <f t="array" ref="AH82">IF(AH$8=-1,AI82,IF(AH$8=99,AG82,IF(AH$8=0,INDEX($E82:$I82,0,AH$6),(INDEX($E82:$I82,0,AH$8+1)-INDEX($E82:$I82,0,AH$8))/(INDEX($D$5:$H$5,0,AH$8+1)-INDEX($D$5:$H$5,0,AH$8))+AG82)))</f>
        <v>78.131319043580547</v>
      </c>
      <c r="AI82" s="7" cm="1">
        <f t="array" ref="AI82">IF(AI$8=-1,AJ82,IF(AI$8=99,AH82,IF(AI$8=0,INDEX($E82:$I82,0,AI$6),(INDEX($E82:$I82,0,AI$8+1)-INDEX($E82:$I82,0,AI$8))/(INDEX($D$5:$H$5,0,AI$8+1)-INDEX($D$5:$H$5,0,AI$8))+AH82)))</f>
        <v>79.789138213100131</v>
      </c>
      <c r="AJ82" s="7" cm="1">
        <f t="array" ref="AJ82">IF(AJ$8=-1,AK82,IF(AJ$8=99,AI82,IF(AJ$8=0,INDEX($E82:$I82,0,AJ$6),(INDEX($E82:$I82,0,AJ$8+1)-INDEX($E82:$I82,0,AJ$8))/(INDEX($D$5:$H$5,0,AJ$8+1)-INDEX($D$5:$H$5,0,AJ$8))+AI82)))</f>
        <v>81.446957382619715</v>
      </c>
      <c r="AK82" s="7" cm="1">
        <f t="array" ref="AK82">IF(AK$8=-1,AL82,IF(AK$8=99,AJ82,IF(AK$8=0,INDEX($E82:$I82,0,AK$6),(INDEX($E82:$I82,0,AK$8+1)-INDEX($E82:$I82,0,AK$8))/(INDEX($D$5:$H$5,0,AK$8+1)-INDEX($D$5:$H$5,0,AK$8))+AJ82)))</f>
        <v>83.104776552139299</v>
      </c>
      <c r="AL82" s="7" cm="1">
        <f t="array" ref="AL82">IF(AL$8=-1,AM82,IF(AL$8=99,AK82,IF(AL$8=0,INDEX($E82:$I82,0,AL$6),(INDEX($E82:$I82,0,AL$8+1)-INDEX($E82:$I82,0,AL$8))/(INDEX($D$5:$H$5,0,AL$8+1)-INDEX($D$5:$H$5,0,AL$8))+AK82)))</f>
        <v>84.762595721658883</v>
      </c>
      <c r="AM82" s="7" cm="1">
        <f t="array" ref="AM82">IF(AM$8=-1,AN82,IF(AM$8=99,AL82,IF(AM$8=0,INDEX($E82:$I82,0,AM$6),(INDEX($E82:$I82,0,AM$8+1)-INDEX($E82:$I82,0,AM$8))/(INDEX($D$5:$H$5,0,AM$8+1)-INDEX($D$5:$H$5,0,AM$8))+AL82)))</f>
        <v>86.420414891178467</v>
      </c>
      <c r="AN82" s="7" cm="1">
        <f t="array" ref="AN82">IF(AN$8=-1,AO82,IF(AN$8=99,AM82,IF(AN$8=0,INDEX($E82:$I82,0,AN$6),(INDEX($E82:$I82,0,AN$8+1)-INDEX($E82:$I82,0,AN$8))/(INDEX($D$5:$H$5,0,AN$8+1)-INDEX($D$5:$H$5,0,AN$8))+AM82)))</f>
        <v>88.078234060698023</v>
      </c>
      <c r="AO82" s="7" cm="1">
        <f t="array" ref="AO82">IF(AO$8=-1,AP82,IF(AO$8=99,AN82,IF(AO$8=0,INDEX($E82:$K82,0,AO$6),(INDEX($E82:$K82,0,AO$8+1)-INDEX($E82:$K82,0,AO$8))/(INDEX($D$5:$J$5,0,AO$8+1)-INDEX($D$5:$J$5,0,AO$8))+AN82)))</f>
        <v>87.479456431019145</v>
      </c>
      <c r="AP82" s="7" cm="1">
        <f t="array" ref="AP82">IF(AP$8=-1,AQ82,IF(AP$8=99,AO82,IF(AP$8=0,INDEX($E82:$K82,0,AP$6),(INDEX($E82:$K82,0,AP$8+1)-INDEX($E82:$K82,0,AP$8))/(INDEX($D$5:$J$5,0,AP$8+1)-INDEX($D$5:$J$5,0,AP$8))+AO82)))</f>
        <v>86.880678801340267</v>
      </c>
      <c r="AQ82" s="7" cm="1">
        <f t="array" ref="AQ82">IF(AQ$8=-1,AR82,IF(AQ$8=99,AP82,IF(AQ$8=0,INDEX($E82:$K82,0,AQ$6),(INDEX($E82:$K82,0,AQ$8+1)-INDEX($E82:$K82,0,AQ$8))/(INDEX($D$5:$J$5,0,AQ$8+1)-INDEX($D$5:$J$5,0,AQ$8))+AP82)))</f>
        <v>86.281901171661389</v>
      </c>
      <c r="AR82" s="7" cm="1">
        <f t="array" ref="AR82">IF(AR$8=-1,AS82,IF(AR$8=99,AQ82,IF(AR$8=0,INDEX($E82:$K82,0,AR$6),(INDEX($E82:$K82,0,AR$8+1)-INDEX($E82:$K82,0,AR$8))/(INDEX($D$5:$J$5,0,AR$8+1)-INDEX($D$5:$J$5,0,AR$8))+AQ82)))</f>
        <v>85.683123541982511</v>
      </c>
      <c r="AS82" s="7" cm="1">
        <f t="array" ref="AS82">IF(AS$8=-1,AT82,IF(AS$8=99,AR82,IF(AS$8=0,INDEX($E82:$K82,0,AS$6),(INDEX($E82:$K82,0,AS$8+1)-INDEX($E82:$K82,0,AS$8))/(INDEX($D$5:$J$5,0,AS$8+1)-INDEX($D$5:$J$5,0,AS$8))+AR82)))</f>
        <v>85.084345912303633</v>
      </c>
      <c r="AT82" s="7" cm="1">
        <f t="array" ref="AT82">IF(AT$8=-1,AU82,IF(AT$8=99,AS82,IF(AT$8=0,INDEX($E82:$K82,0,AT$6),(INDEX($E82:$K82,0,AT$8+1)-INDEX($E82:$K82,0,AT$8))/(INDEX($D$5:$J$5,0,AT$8+1)-INDEX($D$5:$J$5,0,AT$8))+AS82)))</f>
        <v>84.485568282624754</v>
      </c>
      <c r="AU82" s="7" cm="1">
        <f t="array" ref="AU82">IF(AU$8=-1,AV82,IF(AU$8=99,AT82,IF(AU$8=0,INDEX($E82:$K82,0,AU$6),(INDEX($E82:$K82,0,AU$8+1)-INDEX($E82:$K82,0,AU$8))/(INDEX($D$5:$J$5,0,AU$8+1)-INDEX($D$5:$J$5,0,AU$8))+AT82)))</f>
        <v>83.886790652945876</v>
      </c>
      <c r="AV82" s="7" cm="1">
        <f t="array" ref="AV82">IF(AV$8=-1,AW82,IF(AV$8=99,AU82,IF(AV$8=0,INDEX($E82:$K82,0,AV$6),(INDEX($E82:$K82,0,AV$8+1)-INDEX($E82:$K82,0,AV$8))/(INDEX($D$5:$J$5,0,AV$8+1)-INDEX($D$5:$J$5,0,AV$8))+AU82)))</f>
        <v>83.288013023266998</v>
      </c>
      <c r="AW82" s="7" cm="1">
        <f t="array" ref="AW82">IF(AW$8=-1,AX82,IF(AW$8=99,AV82,IF(AW$8=0,INDEX($E82:$K82,0,AW$6),(INDEX($E82:$K82,0,AW$8+1)-INDEX($E82:$K82,0,AW$8))/(INDEX($D$5:$J$5,0,AW$8+1)-INDEX($D$5:$J$5,0,AW$8))+AV82)))</f>
        <v>82.68923539358812</v>
      </c>
      <c r="AX82" s="7" cm="1">
        <f t="array" ref="AX82">IF(AX$8=-1,AY82,IF(AX$8=99,AW82,IF(AX$8=0,INDEX($E82:$K82,0,AX$6),(INDEX($E82:$K82,0,AX$8+1)-INDEX($E82:$K82,0,AX$8))/(INDEX($D$5:$J$5,0,AX$8+1)-INDEX($D$5:$J$5,0,AX$8))+AW82)))</f>
        <v>82.090457763909242</v>
      </c>
      <c r="AY82" s="7" cm="1">
        <f t="array" ref="AY82">IF(AY$8=-1,AZ82,IF(AY$8=99,AX82,IF(AY$8=0,INDEX($E82:$K82,0,AY$6),(INDEX($E82:$K82,0,AY$8+1)-INDEX($E82:$K82,0,AY$8))/(INDEX($D$5:$J$5,0,AY$8+1)-INDEX($D$5:$J$5,0,AY$8))+AX82)))</f>
        <v>81.491680134230364</v>
      </c>
      <c r="AZ82" s="7" cm="1">
        <f t="array" ref="AZ82">IF(AZ$8=-1,BA82,IF(AZ$8=99,AY82,IF(AZ$8=0,INDEX($E82:$K82,0,AZ$6),(INDEX($E82:$K82,0,AZ$8+1)-INDEX($E82:$K82,0,AZ$8))/(INDEX($D$5:$J$5,0,AZ$8+1)-INDEX($D$5:$J$5,0,AZ$8))+AY82)))</f>
        <v>80.892902504551486</v>
      </c>
      <c r="BA82" s="7" cm="1">
        <f t="array" ref="BA82">IF(BA$8=-1,BB82,IF(BA$8=99,AZ82,IF(BA$8=0,INDEX($E82:$K82,0,BA$6),(INDEX($E82:$K82,0,BA$8+1)-INDEX($E82:$K82,0,BA$8))/(INDEX($D$5:$J$5,0,BA$8+1)-INDEX($D$5:$J$5,0,BA$8))+AZ82)))</f>
        <v>80.294124874872608</v>
      </c>
      <c r="BB82" s="7" cm="1">
        <f t="array" ref="BB82">IF(BB$8=-1,BC82,IF(BB$8=99,BA82,IF(BB$8=0,INDEX($E82:$K82,0,BB$6),(INDEX($E82:$K82,0,BB$8+1)-INDEX($E82:$K82,0,BB$8))/(INDEX($D$5:$J$5,0,BB$8+1)-INDEX($D$5:$J$5,0,BB$8))+BA82)))</f>
        <v>79.69534724519373</v>
      </c>
      <c r="BC82" s="7" cm="1">
        <f t="array" ref="BC82">IF(BC$8=-1,BD82,IF(BC$8=99,BB82,IF(BC$8=0,INDEX($E82:$K82,0,BC$6),(INDEX($E82:$K82,0,BC$8+1)-INDEX($E82:$K82,0,BC$8))/(INDEX($D$5:$J$5,0,BC$8+1)-INDEX($D$5:$J$5,0,BC$8))+BB82)))</f>
        <v>79.096569615514852</v>
      </c>
      <c r="BD82" s="7" cm="1">
        <f t="array" ref="BD82">IF(BD$8=-1,BE82,IF(BD$8=99,BC82,IF(BD$8=0,INDEX($E82:$K82,0,BD$6),(INDEX($E82:$K82,0,BD$8+1)-INDEX($E82:$K82,0,BD$8))/(INDEX($D$5:$J$5,0,BD$8+1)-INDEX($D$5:$J$5,0,BD$8))+BC82)))</f>
        <v>78.497791985835974</v>
      </c>
      <c r="BE82" s="7" cm="1">
        <f t="array" ref="BE82">IF(BE$8=-1,BF82,IF(BE$8=99,BD82,IF(BE$8=0,INDEX($E82:$K82,0,BE$6),(INDEX($E82:$K82,0,BE$8+1)-INDEX($E82:$K82,0,BE$8))/(INDEX($D$5:$J$5,0,BE$8+1)-INDEX($D$5:$J$5,0,BE$8))+BD82)))</f>
        <v>77.899014356157096</v>
      </c>
      <c r="BF82" s="7" cm="1">
        <f t="array" ref="BF82">IF(BF$8=-1,BG82,IF(BF$8=99,BE82,IF(BF$8=0,INDEX($E82:$K82,0,BF$6),(INDEX($E82:$K82,0,BF$8+1)-INDEX($E82:$K82,0,BF$8))/(INDEX($D$5:$J$5,0,BF$8+1)-INDEX($D$5:$J$5,0,BF$8))+BE82)))</f>
        <v>77.300236726478218</v>
      </c>
      <c r="BG82" s="7" cm="1">
        <f t="array" ref="BG82">IF(BG$8=-1,BH82,IF(BG$8=99,BF82,IF(BG$8=0,INDEX($E82:$K82,0,BG$6),(INDEX($E82:$K82,0,BG$8+1)-INDEX($E82:$K82,0,BG$8))/(INDEX($D$5:$J$5,0,BG$8+1)-INDEX($D$5:$J$5,0,BG$8))+BF82)))</f>
        <v>76.70145909679934</v>
      </c>
      <c r="BH82" s="7" cm="1">
        <f t="array" ref="BH82">IF(BH$8=-1,BI82,IF(BH$8=99,BG82,IF(BH$8=0,INDEX($E82:$K82,0,BH$6),(INDEX($E82:$K82,0,BH$8+1)-INDEX($E82:$K82,0,BH$8))/(INDEX($D$5:$J$5,0,BH$8+1)-INDEX($D$5:$J$5,0,BH$8))+BG82)))</f>
        <v>76.102681467120462</v>
      </c>
      <c r="BI82" s="7" cm="1">
        <f t="array" ref="BI82">IF(BI$8=-1,BJ82,IF(BI$8=99,BH82,IF(BI$8=0,INDEX($E82:$K82,0,BI$6),(INDEX($E82:$K82,0,BI$8+1)-INDEX($E82:$K82,0,BI$8))/(INDEX($D$5:$J$5,0,BI$8+1)-INDEX($D$5:$J$5,0,BI$8))+BH82)))</f>
        <v>75.503903837441584</v>
      </c>
      <c r="BJ82" s="7" cm="1">
        <f t="array" ref="BJ82">IF(BJ$8=-1,BK82,IF(BJ$8=99,BI82,IF(BJ$8=0,INDEX($E82:$K82,0,BJ$6),(INDEX($E82:$K82,0,BJ$8+1)-INDEX($E82:$K82,0,BJ$8))/(INDEX($D$5:$J$5,0,BJ$8+1)-INDEX($D$5:$J$5,0,BJ$8))+BI82)))</f>
        <v>74.905126207762706</v>
      </c>
      <c r="BK82" s="7" cm="1">
        <f t="array" ref="BK82">IF(BK$8=-1,BL82,IF(BK$8=99,BJ82,IF(BK$8=0,INDEX($E82:$K82,0,BK$6),(INDEX($E82:$K82,0,BK$8+1)-INDEX($E82:$K82,0,BK$8))/(INDEX($D$5:$J$5,0,BK$8+1)-INDEX($D$5:$J$5,0,BK$8))+BJ82)))</f>
        <v>74.306348578083828</v>
      </c>
      <c r="BL82" s="7" cm="1">
        <f t="array" ref="BL82">IF(BL$8=-1,BM82,IF(BL$8=99,BK82,IF(BL$8=0,INDEX($E82:$K82,0,BL$6),(INDEX($E82:$K82,0,BL$8+1)-INDEX($E82:$K82,0,BL$8))/(INDEX($D$5:$J$5,0,BL$8+1)-INDEX($D$5:$J$5,0,BL$8))+BK82)))</f>
        <v>73.70757094840495</v>
      </c>
      <c r="BM82" s="7" cm="1">
        <f t="array" ref="BM82">IF(BM$8=-1,BN82,IF(BM$8=99,BL82,IF(BM$8=0,INDEX($E82:$K82,0,BM$6),(INDEX($E82:$K82,0,BM$8+1)-INDEX($E82:$K82,0,BM$8))/(INDEX($D$5:$J$5,0,BM$8+1)-INDEX($D$5:$J$5,0,BM$8))+BL82)))</f>
        <v>73.108793318726072</v>
      </c>
      <c r="BN82" s="7" cm="1">
        <f t="array" ref="BN82">IF(BN$8=-1,BO82,IF(BN$8=99,BM82,IF(BN$8=0,INDEX($E82:$K82,0,BN$6),(INDEX($E82:$K82,0,BN$8+1)-INDEX($E82:$K82,0,BN$8))/(INDEX($D$5:$J$5,0,BN$8+1)-INDEX($D$5:$J$5,0,BN$8))+BM82)))</f>
        <v>72.510015689047194</v>
      </c>
      <c r="BO82" s="7" cm="1">
        <f t="array" ref="BO82">IF(BO$8=-1,BP82,IF(BO$8=99,BN82,IF(BO$8=0,INDEX($E82:$K82,0,BO$6),(INDEX($E82:$K82,0,BO$8+1)-INDEX($E82:$K82,0,BO$8))/(INDEX($D$5:$J$5,0,BO$8+1)-INDEX($D$5:$J$5,0,BO$8))+BN82)))</f>
        <v>71.911238059368316</v>
      </c>
      <c r="BP82" s="7" cm="1">
        <f t="array" ref="BP82">IF(BP$8=-1,BQ82,IF(BP$8=99,BO82,IF(BP$8=0,INDEX($E82:$K82,0,BP$6),(INDEX($E82:$K82,0,BP$8+1)-INDEX($E82:$K82,0,BP$8))/(INDEX($D$5:$J$5,0,BP$8+1)-INDEX($D$5:$J$5,0,BP$8))+BO82)))</f>
        <v>71.312460429689438</v>
      </c>
      <c r="BQ82" s="7" cm="1">
        <f t="array" ref="BQ82">IF(BQ$8=-1,BR82,IF(BQ$8=99,BP82,IF(BQ$8=0,INDEX($E82:$K82,0,BQ$6),(INDEX($E82:$K82,0,BQ$8+1)-INDEX($E82:$K82,0,BQ$8))/(INDEX($D$5:$J$5,0,BQ$8+1)-INDEX($D$5:$J$5,0,BQ$8))+BP82)))</f>
        <v>70.71368280001056</v>
      </c>
      <c r="BR82" s="7" cm="1">
        <f t="array" ref="BR82">IF(BR$8=-1,BS82,IF(BR$8=99,BQ82,IF(BR$8=0,INDEX($E82:$K82,0,BR$6),(INDEX($E82:$K82,0,BR$8+1)-INDEX($E82:$K82,0,BR$8))/(INDEX($D$5:$J$5,0,BR$8+1)-INDEX($D$5:$J$5,0,BR$8))+BQ82)))</f>
        <v>70.114905170331681</v>
      </c>
    </row>
    <row r="83" spans="1:70">
      <c r="A83" t="s">
        <v>16</v>
      </c>
      <c r="B83" s="1" t="s">
        <v>236</v>
      </c>
      <c r="C83" s="71" t="str">
        <f t="shared" si="145"/>
        <v>Commercial - Cooking</v>
      </c>
      <c r="D83" s="71" t="s">
        <v>66</v>
      </c>
      <c r="E83" s="80">
        <f t="shared" si="148"/>
        <v>74.498085701673489</v>
      </c>
      <c r="F83" s="88">
        <f t="shared" si="148"/>
        <v>64.377434268608681</v>
      </c>
      <c r="G83" s="88">
        <f t="shared" si="146"/>
        <v>64.377434268608681</v>
      </c>
      <c r="H83" s="88">
        <f t="shared" si="149"/>
        <v>70.449825128447571</v>
      </c>
      <c r="I83" s="88">
        <f t="shared" si="150"/>
        <v>64.377434268608681</v>
      </c>
      <c r="J83" s="88">
        <f t="shared" si="151"/>
        <v>66.806390612544234</v>
      </c>
      <c r="K83" s="88">
        <f t="shared" si="152"/>
        <v>68.020868784512018</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64.984673354592573</v>
      </c>
      <c r="V83" s="7" cm="1">
        <f t="array" ref="V83">IF(V$8=-1,W83,IF(V$8=99,U83,IF(V$8=0,INDEX($E83:$I83,0,V$6),(INDEX($E83:$I83,0,V$8+1)-INDEX($E83:$I83,0,V$8))/(INDEX($D$5:$H$5,0,V$8+1)-INDEX($D$5:$H$5,0,V$8))+U83)))</f>
        <v>65.591912440576465</v>
      </c>
      <c r="W83" s="7" cm="1">
        <f t="array" ref="W83">IF(W$8=-1,X83,IF(W$8=99,V83,IF(W$8=0,INDEX($E83:$I83,0,W$6),(INDEX($E83:$I83,0,W$8+1)-INDEX($E83:$I83,0,W$8))/(INDEX($D$5:$H$5,0,W$8+1)-INDEX($D$5:$H$5,0,W$8))+V83)))</f>
        <v>66.199151526560357</v>
      </c>
      <c r="X83" s="7" cm="1">
        <f t="array" ref="X83">IF(X$8=-1,Y83,IF(X$8=99,W83,IF(X$8=0,INDEX($E83:$I83,0,X$6),(INDEX($E83:$I83,0,X$8+1)-INDEX($E83:$I83,0,X$8))/(INDEX($D$5:$H$5,0,X$8+1)-INDEX($D$5:$H$5,0,X$8))+W83)))</f>
        <v>66.806390612544249</v>
      </c>
      <c r="Y83" s="7" cm="1">
        <f t="array" ref="Y83">IF(Y$8=-1,Z83,IF(Y$8=99,X83,IF(Y$8=0,INDEX($E83:$I83,0,Y$6),(INDEX($E83:$I83,0,Y$8+1)-INDEX($E83:$I83,0,Y$8))/(INDEX($D$5:$H$5,0,Y$8+1)-INDEX($D$5:$H$5,0,Y$8))+X83)))</f>
        <v>67.41362969852814</v>
      </c>
      <c r="Z83" s="7" cm="1">
        <f t="array" ref="Z83">IF(Z$8=-1,AA83,IF(Z$8=99,Y83,IF(Z$8=0,INDEX($E83:$I83,0,Z$6),(INDEX($E83:$I83,0,Z$8+1)-INDEX($E83:$I83,0,Z$8))/(INDEX($D$5:$H$5,0,Z$8+1)-INDEX($D$5:$H$5,0,Z$8))+Y83)))</f>
        <v>68.020868784512032</v>
      </c>
      <c r="AA83" s="7" cm="1">
        <f t="array" ref="AA83">IF(AA$8=-1,AB83,IF(AA$8=99,Z83,IF(AA$8=0,INDEX($E83:$I83,0,AA$6),(INDEX($E83:$I83,0,AA$8+1)-INDEX($E83:$I83,0,AA$8))/(INDEX($D$5:$H$5,0,AA$8+1)-INDEX($D$5:$H$5,0,AA$8))+Z83)))</f>
        <v>68.628107870495924</v>
      </c>
      <c r="AB83" s="7" cm="1">
        <f t="array" ref="AB83">IF(AB$8=-1,AC83,IF(AB$8=99,AA83,IF(AB$8=0,INDEX($E83:$I83,0,AB$6),(INDEX($E83:$I83,0,AB$8+1)-INDEX($E83:$I83,0,AB$8))/(INDEX($D$5:$H$5,0,AB$8+1)-INDEX($D$5:$H$5,0,AB$8))+AA83)))</f>
        <v>69.235346956479816</v>
      </c>
      <c r="AC83" s="7" cm="1">
        <f t="array" ref="AC83">IF(AC$8=-1,AD83,IF(AC$8=99,AB83,IF(AC$8=0,INDEX($E83:$I83,0,AC$6),(INDEX($E83:$I83,0,AC$8+1)-INDEX($E83:$I83,0,AC$8))/(INDEX($D$5:$H$5,0,AC$8+1)-INDEX($D$5:$H$5,0,AC$8))+AB83)))</f>
        <v>69.842586042463708</v>
      </c>
      <c r="AD83" s="7" cm="1">
        <f t="array" ref="AD83">IF(AD$8=-1,AE83,IF(AD$8=99,AC83,IF(AD$8=0,INDEX($E83:$I83,0,AD$6),(INDEX($E83:$I83,0,AD$8+1)-INDEX($E83:$I83,0,AD$8))/(INDEX($D$5:$H$5,0,AD$8+1)-INDEX($D$5:$H$5,0,AD$8))+AC83)))</f>
        <v>70.449825128447571</v>
      </c>
      <c r="AE83" s="7" cm="1">
        <f t="array" ref="AE83">IF(AE$8=-1,AF83,IF(AE$8=99,AD83,IF(AE$8=0,INDEX($E83:$I83,0,AE$6),(INDEX($E83:$I83,0,AE$8+1)-INDEX($E83:$I83,0,AE$8))/(INDEX($D$5:$H$5,0,AE$8+1)-INDEX($D$5:$H$5,0,AE$8))+AD83)))</f>
        <v>69.84258604246368</v>
      </c>
      <c r="AF83" s="7" cm="1">
        <f t="array" ref="AF83">IF(AF$8=-1,AG83,IF(AF$8=99,AE83,IF(AF$8=0,INDEX($E83:$I83,0,AF$6),(INDEX($E83:$I83,0,AF$8+1)-INDEX($E83:$I83,0,AF$8))/(INDEX($D$5:$H$5,0,AF$8+1)-INDEX($D$5:$H$5,0,AF$8))+AE83)))</f>
        <v>69.235346956479788</v>
      </c>
      <c r="AG83" s="7" cm="1">
        <f t="array" ref="AG83">IF(AG$8=-1,AH83,IF(AG$8=99,AF83,IF(AG$8=0,INDEX($E83:$I83,0,AG$6),(INDEX($E83:$I83,0,AG$8+1)-INDEX($E83:$I83,0,AG$8))/(INDEX($D$5:$H$5,0,AG$8+1)-INDEX($D$5:$H$5,0,AG$8))+AF83)))</f>
        <v>68.628107870495896</v>
      </c>
      <c r="AH83" s="7" cm="1">
        <f t="array" ref="AH83">IF(AH$8=-1,AI83,IF(AH$8=99,AG83,IF(AH$8=0,INDEX($E83:$I83,0,AH$6),(INDEX($E83:$I83,0,AH$8+1)-INDEX($E83:$I83,0,AH$8))/(INDEX($D$5:$H$5,0,AH$8+1)-INDEX($D$5:$H$5,0,AH$8))+AG83)))</f>
        <v>68.020868784512004</v>
      </c>
      <c r="AI83" s="7" cm="1">
        <f t="array" ref="AI83">IF(AI$8=-1,AJ83,IF(AI$8=99,AH83,IF(AI$8=0,INDEX($E83:$I83,0,AI$6),(INDEX($E83:$I83,0,AI$8+1)-INDEX($E83:$I83,0,AI$8))/(INDEX($D$5:$H$5,0,AI$8+1)-INDEX($D$5:$H$5,0,AI$8))+AH83)))</f>
        <v>67.413629698528112</v>
      </c>
      <c r="AJ83" s="7" cm="1">
        <f t="array" ref="AJ83">IF(AJ$8=-1,AK83,IF(AJ$8=99,AI83,IF(AJ$8=0,INDEX($E83:$I83,0,AJ$6),(INDEX($E83:$I83,0,AJ$8+1)-INDEX($E83:$I83,0,AJ$8))/(INDEX($D$5:$H$5,0,AJ$8+1)-INDEX($D$5:$H$5,0,AJ$8))+AI83)))</f>
        <v>66.80639061254422</v>
      </c>
      <c r="AK83" s="7" cm="1">
        <f t="array" ref="AK83">IF(AK$8=-1,AL83,IF(AK$8=99,AJ83,IF(AK$8=0,INDEX($E83:$I83,0,AK$6),(INDEX($E83:$I83,0,AK$8+1)-INDEX($E83:$I83,0,AK$8))/(INDEX($D$5:$H$5,0,AK$8+1)-INDEX($D$5:$H$5,0,AK$8))+AJ83)))</f>
        <v>66.199151526560328</v>
      </c>
      <c r="AL83" s="7" cm="1">
        <f t="array" ref="AL83">IF(AL$8=-1,AM83,IF(AL$8=99,AK83,IF(AL$8=0,INDEX($E83:$I83,0,AL$6),(INDEX($E83:$I83,0,AL$8+1)-INDEX($E83:$I83,0,AL$8))/(INDEX($D$5:$H$5,0,AL$8+1)-INDEX($D$5:$H$5,0,AL$8))+AK83)))</f>
        <v>65.591912440576436</v>
      </c>
      <c r="AM83" s="7" cm="1">
        <f t="array" ref="AM83">IF(AM$8=-1,AN83,IF(AM$8=99,AL83,IF(AM$8=0,INDEX($E83:$I83,0,AM$6),(INDEX($E83:$I83,0,AM$8+1)-INDEX($E83:$I83,0,AM$8))/(INDEX($D$5:$H$5,0,AM$8+1)-INDEX($D$5:$H$5,0,AM$8))+AL83)))</f>
        <v>64.984673354592545</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64.620329903002244</v>
      </c>
      <c r="AP83" s="7" cm="1">
        <f t="array" ref="AP83">IF(AP$8=-1,AQ83,IF(AP$8=99,AO83,IF(AP$8=0,INDEX($E83:$K83,0,AP$6),(INDEX($E83:$K83,0,AP$8+1)-INDEX($E83:$K83,0,AP$8))/(INDEX($D$5:$J$5,0,AP$8+1)-INDEX($D$5:$J$5,0,AP$8))+AO83)))</f>
        <v>64.863225537395806</v>
      </c>
      <c r="AQ83" s="7" cm="1">
        <f t="array" ref="AQ83">IF(AQ$8=-1,AR83,IF(AQ$8=99,AP83,IF(AQ$8=0,INDEX($E83:$K83,0,AQ$6),(INDEX($E83:$K83,0,AQ$8+1)-INDEX($E83:$K83,0,AQ$8))/(INDEX($D$5:$J$5,0,AQ$8+1)-INDEX($D$5:$J$5,0,AQ$8))+AP83)))</f>
        <v>65.106121171789368</v>
      </c>
      <c r="AR83" s="7" cm="1">
        <f t="array" ref="AR83">IF(AR$8=-1,AS83,IF(AR$8=99,AQ83,IF(AR$8=0,INDEX($E83:$K83,0,AR$6),(INDEX($E83:$K83,0,AR$8+1)-INDEX($E83:$K83,0,AR$8))/(INDEX($D$5:$J$5,0,AR$8+1)-INDEX($D$5:$J$5,0,AR$8))+AQ83)))</f>
        <v>65.349016806182931</v>
      </c>
      <c r="AS83" s="7" cm="1">
        <f t="array" ref="AS83">IF(AS$8=-1,AT83,IF(AS$8=99,AR83,IF(AS$8=0,INDEX($E83:$K83,0,AS$6),(INDEX($E83:$K83,0,AS$8+1)-INDEX($E83:$K83,0,AS$8))/(INDEX($D$5:$J$5,0,AS$8+1)-INDEX($D$5:$J$5,0,AS$8))+AR83)))</f>
        <v>65.591912440576493</v>
      </c>
      <c r="AT83" s="7" cm="1">
        <f t="array" ref="AT83">IF(AT$8=-1,AU83,IF(AT$8=99,AS83,IF(AT$8=0,INDEX($E83:$K83,0,AT$6),(INDEX($E83:$K83,0,AT$8+1)-INDEX($E83:$K83,0,AT$8))/(INDEX($D$5:$J$5,0,AT$8+1)-INDEX($D$5:$J$5,0,AT$8))+AS83)))</f>
        <v>65.834808074970056</v>
      </c>
      <c r="AU83" s="7" cm="1">
        <f t="array" ref="AU83">IF(AU$8=-1,AV83,IF(AU$8=99,AT83,IF(AU$8=0,INDEX($E83:$K83,0,AU$6),(INDEX($E83:$K83,0,AU$8+1)-INDEX($E83:$K83,0,AU$8))/(INDEX($D$5:$J$5,0,AU$8+1)-INDEX($D$5:$J$5,0,AU$8))+AT83)))</f>
        <v>66.077703709363618</v>
      </c>
      <c r="AV83" s="7" cm="1">
        <f t="array" ref="AV83">IF(AV$8=-1,AW83,IF(AV$8=99,AU83,IF(AV$8=0,INDEX($E83:$K83,0,AV$6),(INDEX($E83:$K83,0,AV$8+1)-INDEX($E83:$K83,0,AV$8))/(INDEX($D$5:$J$5,0,AV$8+1)-INDEX($D$5:$J$5,0,AV$8))+AU83)))</f>
        <v>66.320599343757181</v>
      </c>
      <c r="AW83" s="7" cm="1">
        <f t="array" ref="AW83">IF(AW$8=-1,AX83,IF(AW$8=99,AV83,IF(AW$8=0,INDEX($E83:$K83,0,AW$6),(INDEX($E83:$K83,0,AW$8+1)-INDEX($E83:$K83,0,AW$8))/(INDEX($D$5:$J$5,0,AW$8+1)-INDEX($D$5:$J$5,0,AW$8))+AV83)))</f>
        <v>66.563494978150743</v>
      </c>
      <c r="AX83" s="7" cm="1">
        <f t="array" ref="AX83">IF(AX$8=-1,AY83,IF(AX$8=99,AW83,IF(AX$8=0,INDEX($E83:$K83,0,AX$6),(INDEX($E83:$K83,0,AX$8+1)-INDEX($E83:$K83,0,AX$8))/(INDEX($D$5:$J$5,0,AX$8+1)-INDEX($D$5:$J$5,0,AX$8))+AW83)))</f>
        <v>66.806390612544305</v>
      </c>
      <c r="AY83" s="7" cm="1">
        <f t="array" ref="AY83">IF(AY$8=-1,AZ83,IF(AY$8=99,AX83,IF(AY$8=0,INDEX($E83:$K83,0,AY$6),(INDEX($E83:$K83,0,AY$8+1)-INDEX($E83:$K83,0,AY$8))/(INDEX($D$5:$J$5,0,AY$8+1)-INDEX($D$5:$J$5,0,AY$8))+AX83)))</f>
        <v>67.049286246937868</v>
      </c>
      <c r="AZ83" s="7" cm="1">
        <f t="array" ref="AZ83">IF(AZ$8=-1,BA83,IF(AZ$8=99,AY83,IF(AZ$8=0,INDEX($E83:$K83,0,AZ$6),(INDEX($E83:$K83,0,AZ$8+1)-INDEX($E83:$K83,0,AZ$8))/(INDEX($D$5:$J$5,0,AZ$8+1)-INDEX($D$5:$J$5,0,AZ$8))+AY83)))</f>
        <v>67.29218188133143</v>
      </c>
      <c r="BA83" s="7" cm="1">
        <f t="array" ref="BA83">IF(BA$8=-1,BB83,IF(BA$8=99,AZ83,IF(BA$8=0,INDEX($E83:$K83,0,BA$6),(INDEX($E83:$K83,0,BA$8+1)-INDEX($E83:$K83,0,BA$8))/(INDEX($D$5:$J$5,0,BA$8+1)-INDEX($D$5:$J$5,0,BA$8))+AZ83)))</f>
        <v>67.535077515724993</v>
      </c>
      <c r="BB83" s="7" cm="1">
        <f t="array" ref="BB83">IF(BB$8=-1,BC83,IF(BB$8=99,BA83,IF(BB$8=0,INDEX($E83:$K83,0,BB$6),(INDEX($E83:$K83,0,BB$8+1)-INDEX($E83:$K83,0,BB$8))/(INDEX($D$5:$J$5,0,BB$8+1)-INDEX($D$5:$J$5,0,BB$8))+BA83)))</f>
        <v>67.777973150118555</v>
      </c>
      <c r="BC83" s="7" cm="1">
        <f t="array" ref="BC83">IF(BC$8=-1,BD83,IF(BC$8=99,BB83,IF(BC$8=0,INDEX($E83:$K83,0,BC$6),(INDEX($E83:$K83,0,BC$8+1)-INDEX($E83:$K83,0,BC$8))/(INDEX($D$5:$J$5,0,BC$8+1)-INDEX($D$5:$J$5,0,BC$8))+BB83)))</f>
        <v>68.020868784512118</v>
      </c>
      <c r="BD83" s="7" cm="1">
        <f t="array" ref="BD83">IF(BD$8=-1,BE83,IF(BD$8=99,BC83,IF(BD$8=0,INDEX($E83:$K83,0,BD$6),(INDEX($E83:$K83,0,BD$8+1)-INDEX($E83:$K83,0,BD$8))/(INDEX($D$5:$J$5,0,BD$8+1)-INDEX($D$5:$J$5,0,BD$8))+BC83)))</f>
        <v>68.26376441890568</v>
      </c>
      <c r="BE83" s="7" cm="1">
        <f t="array" ref="BE83">IF(BE$8=-1,BF83,IF(BE$8=99,BD83,IF(BE$8=0,INDEX($E83:$K83,0,BE$6),(INDEX($E83:$K83,0,BE$8+1)-INDEX($E83:$K83,0,BE$8))/(INDEX($D$5:$J$5,0,BE$8+1)-INDEX($D$5:$J$5,0,BE$8))+BD83)))</f>
        <v>68.506660053299242</v>
      </c>
      <c r="BF83" s="7" cm="1">
        <f t="array" ref="BF83">IF(BF$8=-1,BG83,IF(BF$8=99,BE83,IF(BF$8=0,INDEX($E83:$K83,0,BF$6),(INDEX($E83:$K83,0,BF$8+1)-INDEX($E83:$K83,0,BF$8))/(INDEX($D$5:$J$5,0,BF$8+1)-INDEX($D$5:$J$5,0,BF$8))+BE83)))</f>
        <v>68.749555687692805</v>
      </c>
      <c r="BG83" s="7" cm="1">
        <f t="array" ref="BG83">IF(BG$8=-1,BH83,IF(BG$8=99,BF83,IF(BG$8=0,INDEX($E83:$K83,0,BG$6),(INDEX($E83:$K83,0,BG$8+1)-INDEX($E83:$K83,0,BG$8))/(INDEX($D$5:$J$5,0,BG$8+1)-INDEX($D$5:$J$5,0,BG$8))+BF83)))</f>
        <v>68.992451322086367</v>
      </c>
      <c r="BH83" s="7" cm="1">
        <f t="array" ref="BH83">IF(BH$8=-1,BI83,IF(BH$8=99,BG83,IF(BH$8=0,INDEX($E83:$K83,0,BH$6),(INDEX($E83:$K83,0,BH$8+1)-INDEX($E83:$K83,0,BH$8))/(INDEX($D$5:$J$5,0,BH$8+1)-INDEX($D$5:$J$5,0,BH$8))+BG83)))</f>
        <v>69.23534695647993</v>
      </c>
      <c r="BI83" s="7" cm="1">
        <f t="array" ref="BI83">IF(BI$8=-1,BJ83,IF(BI$8=99,BH83,IF(BI$8=0,INDEX($E83:$K83,0,BI$6),(INDEX($E83:$K83,0,BI$8+1)-INDEX($E83:$K83,0,BI$8))/(INDEX($D$5:$J$5,0,BI$8+1)-INDEX($D$5:$J$5,0,BI$8))+BH83)))</f>
        <v>69.478242590873492</v>
      </c>
      <c r="BJ83" s="7" cm="1">
        <f t="array" ref="BJ83">IF(BJ$8=-1,BK83,IF(BJ$8=99,BI83,IF(BJ$8=0,INDEX($E83:$K83,0,BJ$6),(INDEX($E83:$K83,0,BJ$8+1)-INDEX($E83:$K83,0,BJ$8))/(INDEX($D$5:$J$5,0,BJ$8+1)-INDEX($D$5:$J$5,0,BJ$8))+BI83)))</f>
        <v>69.721138225267055</v>
      </c>
      <c r="BK83" s="7" cm="1">
        <f t="array" ref="BK83">IF(BK$8=-1,BL83,IF(BK$8=99,BJ83,IF(BK$8=0,INDEX($E83:$K83,0,BK$6),(INDEX($E83:$K83,0,BK$8+1)-INDEX($E83:$K83,0,BK$8))/(INDEX($D$5:$J$5,0,BK$8+1)-INDEX($D$5:$J$5,0,BK$8))+BJ83)))</f>
        <v>69.964033859660617</v>
      </c>
      <c r="BL83" s="7" cm="1">
        <f t="array" ref="BL83">IF(BL$8=-1,BM83,IF(BL$8=99,BK83,IF(BL$8=0,INDEX($E83:$K83,0,BL$6),(INDEX($E83:$K83,0,BL$8+1)-INDEX($E83:$K83,0,BL$8))/(INDEX($D$5:$J$5,0,BL$8+1)-INDEX($D$5:$J$5,0,BL$8))+BK83)))</f>
        <v>70.206929494054179</v>
      </c>
      <c r="BM83" s="7" cm="1">
        <f t="array" ref="BM83">IF(BM$8=-1,BN83,IF(BM$8=99,BL83,IF(BM$8=0,INDEX($E83:$K83,0,BM$6),(INDEX($E83:$K83,0,BM$8+1)-INDEX($E83:$K83,0,BM$8))/(INDEX($D$5:$J$5,0,BM$8+1)-INDEX($D$5:$J$5,0,BM$8))+BL83)))</f>
        <v>70.449825128447742</v>
      </c>
      <c r="BN83" s="7" cm="1">
        <f t="array" ref="BN83">IF(BN$8=-1,BO83,IF(BN$8=99,BM83,IF(BN$8=0,INDEX($E83:$K83,0,BN$6),(INDEX($E83:$K83,0,BN$8+1)-INDEX($E83:$K83,0,BN$8))/(INDEX($D$5:$J$5,0,BN$8+1)-INDEX($D$5:$J$5,0,BN$8))+BM83)))</f>
        <v>70.692720762841304</v>
      </c>
      <c r="BO83" s="7" cm="1">
        <f t="array" ref="BO83">IF(BO$8=-1,BP83,IF(BO$8=99,BN83,IF(BO$8=0,INDEX($E83:$K83,0,BO$6),(INDEX($E83:$K83,0,BO$8+1)-INDEX($E83:$K83,0,BO$8))/(INDEX($D$5:$J$5,0,BO$8+1)-INDEX($D$5:$J$5,0,BO$8))+BN83)))</f>
        <v>70.935616397234867</v>
      </c>
      <c r="BP83" s="7" cm="1">
        <f t="array" ref="BP83">IF(BP$8=-1,BQ83,IF(BP$8=99,BO83,IF(BP$8=0,INDEX($E83:$K83,0,BP$6),(INDEX($E83:$K83,0,BP$8+1)-INDEX($E83:$K83,0,BP$8))/(INDEX($D$5:$J$5,0,BP$8+1)-INDEX($D$5:$J$5,0,BP$8))+BO83)))</f>
        <v>71.178512031628429</v>
      </c>
      <c r="BQ83" s="7" cm="1">
        <f t="array" ref="BQ83">IF(BQ$8=-1,BR83,IF(BQ$8=99,BP83,IF(BQ$8=0,INDEX($E83:$K83,0,BQ$6),(INDEX($E83:$K83,0,BQ$8+1)-INDEX($E83:$K83,0,BQ$8))/(INDEX($D$5:$J$5,0,BQ$8+1)-INDEX($D$5:$J$5,0,BQ$8))+BP83)))</f>
        <v>71.421407666021992</v>
      </c>
      <c r="BR83" s="7" cm="1">
        <f t="array" ref="BR83">IF(BR$8=-1,BS83,IF(BR$8=99,BQ83,IF(BR$8=0,INDEX($E83:$K83,0,BR$6),(INDEX($E83:$K83,0,BR$8+1)-INDEX($E83:$K83,0,BR$8))/(INDEX($D$5:$J$5,0,BR$8+1)-INDEX($D$5:$J$5,0,BR$8))+BQ83)))</f>
        <v>71.664303300415554</v>
      </c>
    </row>
    <row r="84" spans="1:70">
      <c r="A84" t="s">
        <v>16</v>
      </c>
      <c r="B84" s="1" t="s">
        <v>237</v>
      </c>
      <c r="C84" s="71" t="str">
        <f t="shared" si="145"/>
        <v>Commercial - Lighting</v>
      </c>
      <c r="D84" s="71" t="s">
        <v>66</v>
      </c>
      <c r="E84" s="80">
        <f t="shared" si="148"/>
        <v>915.10615144128883</v>
      </c>
      <c r="F84" s="88">
        <f t="shared" si="148"/>
        <v>802.64469417063674</v>
      </c>
      <c r="G84" s="88">
        <f t="shared" si="146"/>
        <v>802.64469417063674</v>
      </c>
      <c r="H84" s="88">
        <f t="shared" si="149"/>
        <v>874.47217637569304</v>
      </c>
      <c r="I84" s="88">
        <f t="shared" si="150"/>
        <v>806.6579176414898</v>
      </c>
      <c r="J84" s="88">
        <f t="shared" si="151"/>
        <v>835.53256548792251</v>
      </c>
      <c r="K84" s="88">
        <f t="shared" si="152"/>
        <v>851.5832052464217</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809.82744239114231</v>
      </c>
      <c r="V84" s="7" cm="1">
        <f t="array" ref="V84">IF(V$8=-1,W84,IF(V$8=99,U84,IF(V$8=0,INDEX($E84:$I84,0,V$6),(INDEX($E84:$I84,0,V$8+1)-INDEX($E84:$I84,0,V$8))/(INDEX($D$5:$H$5,0,V$8+1)-INDEX($D$5:$H$5,0,V$8))+U84)))</f>
        <v>817.01019061164789</v>
      </c>
      <c r="W84" s="7" cm="1">
        <f t="array" ref="W84">IF(W$8=-1,X84,IF(W$8=99,V84,IF(W$8=0,INDEX($E84:$I84,0,W$6),(INDEX($E84:$I84,0,W$8+1)-INDEX($E84:$I84,0,W$8))/(INDEX($D$5:$H$5,0,W$8+1)-INDEX($D$5:$H$5,0,W$8))+V84)))</f>
        <v>824.19293883215346</v>
      </c>
      <c r="X84" s="7" cm="1">
        <f t="array" ref="X84">IF(X$8=-1,Y84,IF(X$8=99,W84,IF(X$8=0,INDEX($E84:$I84,0,X$6),(INDEX($E84:$I84,0,X$8+1)-INDEX($E84:$I84,0,X$8))/(INDEX($D$5:$H$5,0,X$8+1)-INDEX($D$5:$H$5,0,X$8))+W84)))</f>
        <v>831.37568705265903</v>
      </c>
      <c r="Y84" s="7" cm="1">
        <f t="array" ref="Y84">IF(Y$8=-1,Z84,IF(Y$8=99,X84,IF(Y$8=0,INDEX($E84:$I84,0,Y$6),(INDEX($E84:$I84,0,Y$8+1)-INDEX($E84:$I84,0,Y$8))/(INDEX($D$5:$H$5,0,Y$8+1)-INDEX($D$5:$H$5,0,Y$8))+X84)))</f>
        <v>838.5584352731646</v>
      </c>
      <c r="Z84" s="7" cm="1">
        <f t="array" ref="Z84">IF(Z$8=-1,AA84,IF(Z$8=99,Y84,IF(Z$8=0,INDEX($E84:$I84,0,Z$6),(INDEX($E84:$I84,0,Z$8+1)-INDEX($E84:$I84,0,Z$8))/(INDEX($D$5:$H$5,0,Z$8+1)-INDEX($D$5:$H$5,0,Z$8))+Y84)))</f>
        <v>845.74118349367018</v>
      </c>
      <c r="AA84" s="7" cm="1">
        <f t="array" ref="AA84">IF(AA$8=-1,AB84,IF(AA$8=99,Z84,IF(AA$8=0,INDEX($E84:$I84,0,AA$6),(INDEX($E84:$I84,0,AA$8+1)-INDEX($E84:$I84,0,AA$8))/(INDEX($D$5:$H$5,0,AA$8+1)-INDEX($D$5:$H$5,0,AA$8))+Z84)))</f>
        <v>852.92393171417575</v>
      </c>
      <c r="AB84" s="7" cm="1">
        <f t="array" ref="AB84">IF(AB$8=-1,AC84,IF(AB$8=99,AA84,IF(AB$8=0,INDEX($E84:$I84,0,AB$6),(INDEX($E84:$I84,0,AB$8+1)-INDEX($E84:$I84,0,AB$8))/(INDEX($D$5:$H$5,0,AB$8+1)-INDEX($D$5:$H$5,0,AB$8))+AA84)))</f>
        <v>860.10667993468132</v>
      </c>
      <c r="AC84" s="7" cm="1">
        <f t="array" ref="AC84">IF(AC$8=-1,AD84,IF(AC$8=99,AB84,IF(AC$8=0,INDEX($E84:$I84,0,AC$6),(INDEX($E84:$I84,0,AC$8+1)-INDEX($E84:$I84,0,AC$8))/(INDEX($D$5:$H$5,0,AC$8+1)-INDEX($D$5:$H$5,0,AC$8))+AB84)))</f>
        <v>867.2894281551869</v>
      </c>
      <c r="AD84" s="7" cm="1">
        <f t="array" ref="AD84">IF(AD$8=-1,AE84,IF(AD$8=99,AC84,IF(AD$8=0,INDEX($E84:$I84,0,AD$6),(INDEX($E84:$I84,0,AD$8+1)-INDEX($E84:$I84,0,AD$8))/(INDEX($D$5:$H$5,0,AD$8+1)-INDEX($D$5:$H$5,0,AD$8))+AC84)))</f>
        <v>874.47217637569304</v>
      </c>
      <c r="AE84" s="7" cm="1">
        <f t="array" ref="AE84">IF(AE$8=-1,AF84,IF(AE$8=99,AD84,IF(AE$8=0,INDEX($E84:$I84,0,AE$6),(INDEX($E84:$I84,0,AE$8+1)-INDEX($E84:$I84,0,AE$8))/(INDEX($D$5:$H$5,0,AE$8+1)-INDEX($D$5:$H$5,0,AE$8))+AD84)))</f>
        <v>867.69075050227275</v>
      </c>
      <c r="AF84" s="7" cm="1">
        <f t="array" ref="AF84">IF(AF$8=-1,AG84,IF(AF$8=99,AE84,IF(AF$8=0,INDEX($E84:$I84,0,AF$6),(INDEX($E84:$I84,0,AF$8+1)-INDEX($E84:$I84,0,AF$8))/(INDEX($D$5:$H$5,0,AF$8+1)-INDEX($D$5:$H$5,0,AF$8))+AE84)))</f>
        <v>860.90932462885246</v>
      </c>
      <c r="AG84" s="7" cm="1">
        <f t="array" ref="AG84">IF(AG$8=-1,AH84,IF(AG$8=99,AF84,IF(AG$8=0,INDEX($E84:$I84,0,AG$6),(INDEX($E84:$I84,0,AG$8+1)-INDEX($E84:$I84,0,AG$8))/(INDEX($D$5:$H$5,0,AG$8+1)-INDEX($D$5:$H$5,0,AG$8))+AF84)))</f>
        <v>854.12789875543217</v>
      </c>
      <c r="AH84" s="7" cm="1">
        <f t="array" ref="AH84">IF(AH$8=-1,AI84,IF(AH$8=99,AG84,IF(AH$8=0,INDEX($E84:$I84,0,AH$6),(INDEX($E84:$I84,0,AH$8+1)-INDEX($E84:$I84,0,AH$8))/(INDEX($D$5:$H$5,0,AH$8+1)-INDEX($D$5:$H$5,0,AH$8))+AG84)))</f>
        <v>847.34647288201188</v>
      </c>
      <c r="AI84" s="7" cm="1">
        <f t="array" ref="AI84">IF(AI$8=-1,AJ84,IF(AI$8=99,AH84,IF(AI$8=0,INDEX($E84:$I84,0,AI$6),(INDEX($E84:$I84,0,AI$8+1)-INDEX($E84:$I84,0,AI$8))/(INDEX($D$5:$H$5,0,AI$8+1)-INDEX($D$5:$H$5,0,AI$8))+AH84)))</f>
        <v>840.56504700859159</v>
      </c>
      <c r="AJ84" s="7" cm="1">
        <f t="array" ref="AJ84">IF(AJ$8=-1,AK84,IF(AJ$8=99,AI84,IF(AJ$8=0,INDEX($E84:$I84,0,AJ$6),(INDEX($E84:$I84,0,AJ$8+1)-INDEX($E84:$I84,0,AJ$8))/(INDEX($D$5:$H$5,0,AJ$8+1)-INDEX($D$5:$H$5,0,AJ$8))+AI84)))</f>
        <v>833.7836211351713</v>
      </c>
      <c r="AK84" s="7" cm="1">
        <f t="array" ref="AK84">IF(AK$8=-1,AL84,IF(AK$8=99,AJ84,IF(AK$8=0,INDEX($E84:$I84,0,AK$6),(INDEX($E84:$I84,0,AK$8+1)-INDEX($E84:$I84,0,AK$8))/(INDEX($D$5:$H$5,0,AK$8+1)-INDEX($D$5:$H$5,0,AK$8))+AJ84)))</f>
        <v>827.00219526175101</v>
      </c>
      <c r="AL84" s="7" cm="1">
        <f t="array" ref="AL84">IF(AL$8=-1,AM84,IF(AL$8=99,AK84,IF(AL$8=0,INDEX($E84:$I84,0,AL$6),(INDEX($E84:$I84,0,AL$8+1)-INDEX($E84:$I84,0,AL$8))/(INDEX($D$5:$H$5,0,AL$8+1)-INDEX($D$5:$H$5,0,AL$8))+AK84)))</f>
        <v>820.22076938833072</v>
      </c>
      <c r="AM84" s="7" cm="1">
        <f t="array" ref="AM84">IF(AM$8=-1,AN84,IF(AM$8=99,AL84,IF(AM$8=0,INDEX($E84:$I84,0,AM$6),(INDEX($E84:$I84,0,AM$8+1)-INDEX($E84:$I84,0,AM$8))/(INDEX($D$5:$H$5,0,AM$8+1)-INDEX($D$5:$H$5,0,AM$8))+AL84)))</f>
        <v>813.43934351491043</v>
      </c>
      <c r="AN84" s="7" cm="1">
        <f t="array" ref="AN84">IF(AN$8=-1,AO84,IF(AN$8=99,AM84,IF(AN$8=0,INDEX($E84:$I84,0,AN$6),(INDEX($E84:$I84,0,AN$8+1)-INDEX($E84:$I84,0,AN$8))/(INDEX($D$5:$H$5,0,AN$8+1)-INDEX($D$5:$H$5,0,AN$8))+AM84)))</f>
        <v>806.6579176414898</v>
      </c>
      <c r="AO84" s="7" cm="1">
        <f t="array" ref="AO84">IF(AO$8=-1,AP84,IF(AO$8=99,AN84,IF(AO$8=0,INDEX($E84:$K84,0,AO$6),(INDEX($E84:$K84,0,AO$8+1)-INDEX($E84:$K84,0,AO$8))/(INDEX($D$5:$J$5,0,AO$8+1)-INDEX($D$5:$J$5,0,AO$8))+AN84)))</f>
        <v>809.54538242613307</v>
      </c>
      <c r="AP84" s="7" cm="1">
        <f t="array" ref="AP84">IF(AP$8=-1,AQ84,IF(AP$8=99,AO84,IF(AP$8=0,INDEX($E84:$K84,0,AP$6),(INDEX($E84:$K84,0,AP$8+1)-INDEX($E84:$K84,0,AP$8))/(INDEX($D$5:$J$5,0,AP$8+1)-INDEX($D$5:$J$5,0,AP$8))+AO84)))</f>
        <v>812.43284721077634</v>
      </c>
      <c r="AQ84" s="7" cm="1">
        <f t="array" ref="AQ84">IF(AQ$8=-1,AR84,IF(AQ$8=99,AP84,IF(AQ$8=0,INDEX($E84:$K84,0,AQ$6),(INDEX($E84:$K84,0,AQ$8+1)-INDEX($E84:$K84,0,AQ$8))/(INDEX($D$5:$J$5,0,AQ$8+1)-INDEX($D$5:$J$5,0,AQ$8))+AP84)))</f>
        <v>815.32031199541962</v>
      </c>
      <c r="AR84" s="7" cm="1">
        <f t="array" ref="AR84">IF(AR$8=-1,AS84,IF(AR$8=99,AQ84,IF(AR$8=0,INDEX($E84:$K84,0,AR$6),(INDEX($E84:$K84,0,AR$8+1)-INDEX($E84:$K84,0,AR$8))/(INDEX($D$5:$J$5,0,AR$8+1)-INDEX($D$5:$J$5,0,AR$8))+AQ84)))</f>
        <v>818.20777678006289</v>
      </c>
      <c r="AS84" s="7" cm="1">
        <f t="array" ref="AS84">IF(AS$8=-1,AT84,IF(AS$8=99,AR84,IF(AS$8=0,INDEX($E84:$K84,0,AS$6),(INDEX($E84:$K84,0,AS$8+1)-INDEX($E84:$K84,0,AS$8))/(INDEX($D$5:$J$5,0,AS$8+1)-INDEX($D$5:$J$5,0,AS$8))+AR84)))</f>
        <v>821.09524156470616</v>
      </c>
      <c r="AT84" s="7" cm="1">
        <f t="array" ref="AT84">IF(AT$8=-1,AU84,IF(AT$8=99,AS84,IF(AT$8=0,INDEX($E84:$K84,0,AT$6),(INDEX($E84:$K84,0,AT$8+1)-INDEX($E84:$K84,0,AT$8))/(INDEX($D$5:$J$5,0,AT$8+1)-INDEX($D$5:$J$5,0,AT$8))+AS84)))</f>
        <v>823.98270634934943</v>
      </c>
      <c r="AU84" s="7" cm="1">
        <f t="array" ref="AU84">IF(AU$8=-1,AV84,IF(AU$8=99,AT84,IF(AU$8=0,INDEX($E84:$K84,0,AU$6),(INDEX($E84:$K84,0,AU$8+1)-INDEX($E84:$K84,0,AU$8))/(INDEX($D$5:$J$5,0,AU$8+1)-INDEX($D$5:$J$5,0,AU$8))+AT84)))</f>
        <v>826.8701711339927</v>
      </c>
      <c r="AV84" s="7" cm="1">
        <f t="array" ref="AV84">IF(AV$8=-1,AW84,IF(AV$8=99,AU84,IF(AV$8=0,INDEX($E84:$K84,0,AV$6),(INDEX($E84:$K84,0,AV$8+1)-INDEX($E84:$K84,0,AV$8))/(INDEX($D$5:$J$5,0,AV$8+1)-INDEX($D$5:$J$5,0,AV$8))+AU84)))</f>
        <v>829.75763591863597</v>
      </c>
      <c r="AW84" s="7" cm="1">
        <f t="array" ref="AW84">IF(AW$8=-1,AX84,IF(AW$8=99,AV84,IF(AW$8=0,INDEX($E84:$K84,0,AW$6),(INDEX($E84:$K84,0,AW$8+1)-INDEX($E84:$K84,0,AW$8))/(INDEX($D$5:$J$5,0,AW$8+1)-INDEX($D$5:$J$5,0,AW$8))+AV84)))</f>
        <v>832.64510070327924</v>
      </c>
      <c r="AX84" s="7" cm="1">
        <f t="array" ref="AX84">IF(AX$8=-1,AY84,IF(AX$8=99,AW84,IF(AX$8=0,INDEX($E84:$K84,0,AX$6),(INDEX($E84:$K84,0,AX$8+1)-INDEX($E84:$K84,0,AX$8))/(INDEX($D$5:$J$5,0,AX$8+1)-INDEX($D$5:$J$5,0,AX$8))+AW84)))</f>
        <v>835.53256548792251</v>
      </c>
      <c r="AY84" s="7" cm="1">
        <f t="array" ref="AY84">IF(AY$8=-1,AZ84,IF(AY$8=99,AX84,IF(AY$8=0,INDEX($E84:$K84,0,AY$6),(INDEX($E84:$K84,0,AY$8+1)-INDEX($E84:$K84,0,AY$8))/(INDEX($D$5:$J$5,0,AY$8+1)-INDEX($D$5:$J$5,0,AY$8))+AX84)))</f>
        <v>838.42003027256578</v>
      </c>
      <c r="AZ84" s="7" cm="1">
        <f t="array" ref="AZ84">IF(AZ$8=-1,BA84,IF(AZ$8=99,AY84,IF(AZ$8=0,INDEX($E84:$K84,0,AZ$6),(INDEX($E84:$K84,0,AZ$8+1)-INDEX($E84:$K84,0,AZ$8))/(INDEX($D$5:$J$5,0,AZ$8+1)-INDEX($D$5:$J$5,0,AZ$8))+AY84)))</f>
        <v>841.30749505720905</v>
      </c>
      <c r="BA84" s="7" cm="1">
        <f t="array" ref="BA84">IF(BA$8=-1,BB84,IF(BA$8=99,AZ84,IF(BA$8=0,INDEX($E84:$K84,0,BA$6),(INDEX($E84:$K84,0,BA$8+1)-INDEX($E84:$K84,0,BA$8))/(INDEX($D$5:$J$5,0,BA$8+1)-INDEX($D$5:$J$5,0,BA$8))+AZ84)))</f>
        <v>844.19495984185232</v>
      </c>
      <c r="BB84" s="7" cm="1">
        <f t="array" ref="BB84">IF(BB$8=-1,BC84,IF(BB$8=99,BA84,IF(BB$8=0,INDEX($E84:$K84,0,BB$6),(INDEX($E84:$K84,0,BB$8+1)-INDEX($E84:$K84,0,BB$8))/(INDEX($D$5:$J$5,0,BB$8+1)-INDEX($D$5:$J$5,0,BB$8))+BA84)))</f>
        <v>847.08242462649559</v>
      </c>
      <c r="BC84" s="7" cm="1">
        <f t="array" ref="BC84">IF(BC$8=-1,BD84,IF(BC$8=99,BB84,IF(BC$8=0,INDEX($E84:$K84,0,BC$6),(INDEX($E84:$K84,0,BC$8+1)-INDEX($E84:$K84,0,BC$8))/(INDEX($D$5:$J$5,0,BC$8+1)-INDEX($D$5:$J$5,0,BC$8))+BB84)))</f>
        <v>849.96988941113887</v>
      </c>
      <c r="BD84" s="7" cm="1">
        <f t="array" ref="BD84">IF(BD$8=-1,BE84,IF(BD$8=99,BC84,IF(BD$8=0,INDEX($E84:$K84,0,BD$6),(INDEX($E84:$K84,0,BD$8+1)-INDEX($E84:$K84,0,BD$8))/(INDEX($D$5:$J$5,0,BD$8+1)-INDEX($D$5:$J$5,0,BD$8))+BC84)))</f>
        <v>852.85735419578214</v>
      </c>
      <c r="BE84" s="7" cm="1">
        <f t="array" ref="BE84">IF(BE$8=-1,BF84,IF(BE$8=99,BD84,IF(BE$8=0,INDEX($E84:$K84,0,BE$6),(INDEX($E84:$K84,0,BE$8+1)-INDEX($E84:$K84,0,BE$8))/(INDEX($D$5:$J$5,0,BE$8+1)-INDEX($D$5:$J$5,0,BE$8))+BD84)))</f>
        <v>855.74481898042541</v>
      </c>
      <c r="BF84" s="7" cm="1">
        <f t="array" ref="BF84">IF(BF$8=-1,BG84,IF(BF$8=99,BE84,IF(BF$8=0,INDEX($E84:$K84,0,BF$6),(INDEX($E84:$K84,0,BF$8+1)-INDEX($E84:$K84,0,BF$8))/(INDEX($D$5:$J$5,0,BF$8+1)-INDEX($D$5:$J$5,0,BF$8))+BE84)))</f>
        <v>858.63228376506868</v>
      </c>
      <c r="BG84" s="7" cm="1">
        <f t="array" ref="BG84">IF(BG$8=-1,BH84,IF(BG$8=99,BF84,IF(BG$8=0,INDEX($E84:$K84,0,BG$6),(INDEX($E84:$K84,0,BG$8+1)-INDEX($E84:$K84,0,BG$8))/(INDEX($D$5:$J$5,0,BG$8+1)-INDEX($D$5:$J$5,0,BG$8))+BF84)))</f>
        <v>861.51974854971195</v>
      </c>
      <c r="BH84" s="7" cm="1">
        <f t="array" ref="BH84">IF(BH$8=-1,BI84,IF(BH$8=99,BG84,IF(BH$8=0,INDEX($E84:$K84,0,BH$6),(INDEX($E84:$K84,0,BH$8+1)-INDEX($E84:$K84,0,BH$8))/(INDEX($D$5:$J$5,0,BH$8+1)-INDEX($D$5:$J$5,0,BH$8))+BG84)))</f>
        <v>864.40721333435522</v>
      </c>
      <c r="BI84" s="7" cm="1">
        <f t="array" ref="BI84">IF(BI$8=-1,BJ84,IF(BI$8=99,BH84,IF(BI$8=0,INDEX($E84:$K84,0,BI$6),(INDEX($E84:$K84,0,BI$8+1)-INDEX($E84:$K84,0,BI$8))/(INDEX($D$5:$J$5,0,BI$8+1)-INDEX($D$5:$J$5,0,BI$8))+BH84)))</f>
        <v>867.29467811899849</v>
      </c>
      <c r="BJ84" s="7" cm="1">
        <f t="array" ref="BJ84">IF(BJ$8=-1,BK84,IF(BJ$8=99,BI84,IF(BJ$8=0,INDEX($E84:$K84,0,BJ$6),(INDEX($E84:$K84,0,BJ$8+1)-INDEX($E84:$K84,0,BJ$8))/(INDEX($D$5:$J$5,0,BJ$8+1)-INDEX($D$5:$J$5,0,BJ$8))+BI84)))</f>
        <v>870.18214290364176</v>
      </c>
      <c r="BK84" s="7" cm="1">
        <f t="array" ref="BK84">IF(BK$8=-1,BL84,IF(BK$8=99,BJ84,IF(BK$8=0,INDEX($E84:$K84,0,BK$6),(INDEX($E84:$K84,0,BK$8+1)-INDEX($E84:$K84,0,BK$8))/(INDEX($D$5:$J$5,0,BK$8+1)-INDEX($D$5:$J$5,0,BK$8))+BJ84)))</f>
        <v>873.06960768828503</v>
      </c>
      <c r="BL84" s="7" cm="1">
        <f t="array" ref="BL84">IF(BL$8=-1,BM84,IF(BL$8=99,BK84,IF(BL$8=0,INDEX($E84:$K84,0,BL$6),(INDEX($E84:$K84,0,BL$8+1)-INDEX($E84:$K84,0,BL$8))/(INDEX($D$5:$J$5,0,BL$8+1)-INDEX($D$5:$J$5,0,BL$8))+BK84)))</f>
        <v>875.9570724729283</v>
      </c>
      <c r="BM84" s="7" cm="1">
        <f t="array" ref="BM84">IF(BM$8=-1,BN84,IF(BM$8=99,BL84,IF(BM$8=0,INDEX($E84:$K84,0,BM$6),(INDEX($E84:$K84,0,BM$8+1)-INDEX($E84:$K84,0,BM$8))/(INDEX($D$5:$J$5,0,BM$8+1)-INDEX($D$5:$J$5,0,BM$8))+BL84)))</f>
        <v>878.84453725757157</v>
      </c>
      <c r="BN84" s="7" cm="1">
        <f t="array" ref="BN84">IF(BN$8=-1,BO84,IF(BN$8=99,BM84,IF(BN$8=0,INDEX($E84:$K84,0,BN$6),(INDEX($E84:$K84,0,BN$8+1)-INDEX($E84:$K84,0,BN$8))/(INDEX($D$5:$J$5,0,BN$8+1)-INDEX($D$5:$J$5,0,BN$8))+BM84)))</f>
        <v>881.73200204221484</v>
      </c>
      <c r="BO84" s="7" cm="1">
        <f t="array" ref="BO84">IF(BO$8=-1,BP84,IF(BO$8=99,BN84,IF(BO$8=0,INDEX($E84:$K84,0,BO$6),(INDEX($E84:$K84,0,BO$8+1)-INDEX($E84:$K84,0,BO$8))/(INDEX($D$5:$J$5,0,BO$8+1)-INDEX($D$5:$J$5,0,BO$8))+BN84)))</f>
        <v>884.61946682685812</v>
      </c>
      <c r="BP84" s="7" cm="1">
        <f t="array" ref="BP84">IF(BP$8=-1,BQ84,IF(BP$8=99,BO84,IF(BP$8=0,INDEX($E84:$K84,0,BP$6),(INDEX($E84:$K84,0,BP$8+1)-INDEX($E84:$K84,0,BP$8))/(INDEX($D$5:$J$5,0,BP$8+1)-INDEX($D$5:$J$5,0,BP$8))+BO84)))</f>
        <v>887.50693161150139</v>
      </c>
      <c r="BQ84" s="7" cm="1">
        <f t="array" ref="BQ84">IF(BQ$8=-1,BR84,IF(BQ$8=99,BP84,IF(BQ$8=0,INDEX($E84:$K84,0,BQ$6),(INDEX($E84:$K84,0,BQ$8+1)-INDEX($E84:$K84,0,BQ$8))/(INDEX($D$5:$J$5,0,BQ$8+1)-INDEX($D$5:$J$5,0,BQ$8))+BP84)))</f>
        <v>890.39439639614466</v>
      </c>
      <c r="BR84" s="7" cm="1">
        <f t="array" ref="BR84">IF(BR$8=-1,BS84,IF(BR$8=99,BQ84,IF(BR$8=0,INDEX($E84:$K84,0,BR$6),(INDEX($E84:$K84,0,BR$8+1)-INDEX($E84:$K84,0,BR$8))/(INDEX($D$5:$J$5,0,BR$8+1)-INDEX($D$5:$J$5,0,BR$8))+BQ84)))</f>
        <v>893.28186118078793</v>
      </c>
    </row>
    <row r="85" spans="1:70">
      <c r="A85" t="s">
        <v>16</v>
      </c>
      <c r="B85" s="1" t="s">
        <v>238</v>
      </c>
      <c r="C85" s="71" t="str">
        <f t="shared" si="145"/>
        <v>Commercial - Refrigeration</v>
      </c>
      <c r="D85" s="71" t="s">
        <v>66</v>
      </c>
      <c r="E85" s="80">
        <f t="shared" si="148"/>
        <v>222.6125158575035</v>
      </c>
      <c r="F85" s="88">
        <f t="shared" si="148"/>
        <v>195.25467556696461</v>
      </c>
      <c r="G85" s="88">
        <f t="shared" si="146"/>
        <v>195.25467556696461</v>
      </c>
      <c r="H85" s="88">
        <f t="shared" si="149"/>
        <v>211.66937974128794</v>
      </c>
      <c r="I85" s="88">
        <f t="shared" si="150"/>
        <v>195.25467556696461</v>
      </c>
      <c r="J85" s="88">
        <f t="shared" si="151"/>
        <v>201.82055723669393</v>
      </c>
      <c r="K85" s="88">
        <f t="shared" si="152"/>
        <v>205.10349807155862</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196.89614598439695</v>
      </c>
      <c r="V85" s="7" cm="1">
        <f t="array" ref="V85">IF(V$8=-1,W85,IF(V$8=99,U85,IF(V$8=0,INDEX($E85:$I85,0,V$6),(INDEX($E85:$I85,0,V$8+1)-INDEX($E85:$I85,0,V$8))/(INDEX($D$5:$H$5,0,V$8+1)-INDEX($D$5:$H$5,0,V$8))+U85)))</f>
        <v>198.5376164018293</v>
      </c>
      <c r="W85" s="7" cm="1">
        <f t="array" ref="W85">IF(W$8=-1,X85,IF(W$8=99,V85,IF(W$8=0,INDEX($E85:$I85,0,W$6),(INDEX($E85:$I85,0,W$8+1)-INDEX($E85:$I85,0,W$8))/(INDEX($D$5:$H$5,0,W$8+1)-INDEX($D$5:$H$5,0,W$8))+V85)))</f>
        <v>200.17908681926164</v>
      </c>
      <c r="X85" s="7" cm="1">
        <f t="array" ref="X85">IF(X$8=-1,Y85,IF(X$8=99,W85,IF(X$8=0,INDEX($E85:$I85,0,X$6),(INDEX($E85:$I85,0,X$8+1)-INDEX($E85:$I85,0,X$8))/(INDEX($D$5:$H$5,0,X$8+1)-INDEX($D$5:$H$5,0,X$8))+W85)))</f>
        <v>201.82055723669399</v>
      </c>
      <c r="Y85" s="7" cm="1">
        <f t="array" ref="Y85">IF(Y$8=-1,Z85,IF(Y$8=99,X85,IF(Y$8=0,INDEX($E85:$I85,0,Y$6),(INDEX($E85:$I85,0,Y$8+1)-INDEX($E85:$I85,0,Y$8))/(INDEX($D$5:$H$5,0,Y$8+1)-INDEX($D$5:$H$5,0,Y$8))+X85)))</f>
        <v>203.46202765412633</v>
      </c>
      <c r="Z85" s="7" cm="1">
        <f t="array" ref="Z85">IF(Z$8=-1,AA85,IF(Z$8=99,Y85,IF(Z$8=0,INDEX($E85:$I85,0,Z$6),(INDEX($E85:$I85,0,Z$8+1)-INDEX($E85:$I85,0,Z$8))/(INDEX($D$5:$H$5,0,Z$8+1)-INDEX($D$5:$H$5,0,Z$8))+Y85)))</f>
        <v>205.10349807155868</v>
      </c>
      <c r="AA85" s="7" cm="1">
        <f t="array" ref="AA85">IF(AA$8=-1,AB85,IF(AA$8=99,Z85,IF(AA$8=0,INDEX($E85:$I85,0,AA$6),(INDEX($E85:$I85,0,AA$8+1)-INDEX($E85:$I85,0,AA$8))/(INDEX($D$5:$H$5,0,AA$8+1)-INDEX($D$5:$H$5,0,AA$8))+Z85)))</f>
        <v>206.74496848899102</v>
      </c>
      <c r="AB85" s="7" cm="1">
        <f t="array" ref="AB85">IF(AB$8=-1,AC85,IF(AB$8=99,AA85,IF(AB$8=0,INDEX($E85:$I85,0,AB$6),(INDEX($E85:$I85,0,AB$8+1)-INDEX($E85:$I85,0,AB$8))/(INDEX($D$5:$H$5,0,AB$8+1)-INDEX($D$5:$H$5,0,AB$8))+AA85)))</f>
        <v>208.38643890642336</v>
      </c>
      <c r="AC85" s="7" cm="1">
        <f t="array" ref="AC85">IF(AC$8=-1,AD85,IF(AC$8=99,AB85,IF(AC$8=0,INDEX($E85:$I85,0,AC$6),(INDEX($E85:$I85,0,AC$8+1)-INDEX($E85:$I85,0,AC$8))/(INDEX($D$5:$H$5,0,AC$8+1)-INDEX($D$5:$H$5,0,AC$8))+AB85)))</f>
        <v>210.02790932385571</v>
      </c>
      <c r="AD85" s="7" cm="1">
        <f t="array" ref="AD85">IF(AD$8=-1,AE85,IF(AD$8=99,AC85,IF(AD$8=0,INDEX($E85:$I85,0,AD$6),(INDEX($E85:$I85,0,AD$8+1)-INDEX($E85:$I85,0,AD$8))/(INDEX($D$5:$H$5,0,AD$8+1)-INDEX($D$5:$H$5,0,AD$8))+AC85)))</f>
        <v>211.66937974128794</v>
      </c>
      <c r="AE85" s="7" cm="1">
        <f t="array" ref="AE85">IF(AE$8=-1,AF85,IF(AE$8=99,AD85,IF(AE$8=0,INDEX($E85:$I85,0,AE$6),(INDEX($E85:$I85,0,AE$8+1)-INDEX($E85:$I85,0,AE$8))/(INDEX($D$5:$H$5,0,AE$8+1)-INDEX($D$5:$H$5,0,AE$8))+AD85)))</f>
        <v>210.0279093238556</v>
      </c>
      <c r="AF85" s="7" cm="1">
        <f t="array" ref="AF85">IF(AF$8=-1,AG85,IF(AF$8=99,AE85,IF(AF$8=0,INDEX($E85:$I85,0,AF$6),(INDEX($E85:$I85,0,AF$8+1)-INDEX($E85:$I85,0,AF$8))/(INDEX($D$5:$H$5,0,AF$8+1)-INDEX($D$5:$H$5,0,AF$8))+AE85)))</f>
        <v>208.38643890642325</v>
      </c>
      <c r="AG85" s="7" cm="1">
        <f t="array" ref="AG85">IF(AG$8=-1,AH85,IF(AG$8=99,AF85,IF(AG$8=0,INDEX($E85:$I85,0,AG$6),(INDEX($E85:$I85,0,AG$8+1)-INDEX($E85:$I85,0,AG$8))/(INDEX($D$5:$H$5,0,AG$8+1)-INDEX($D$5:$H$5,0,AG$8))+AF85)))</f>
        <v>206.74496848899091</v>
      </c>
      <c r="AH85" s="7" cm="1">
        <f t="array" ref="AH85">IF(AH$8=-1,AI85,IF(AH$8=99,AG85,IF(AH$8=0,INDEX($E85:$I85,0,AH$6),(INDEX($E85:$I85,0,AH$8+1)-INDEX($E85:$I85,0,AH$8))/(INDEX($D$5:$H$5,0,AH$8+1)-INDEX($D$5:$H$5,0,AH$8))+AG85)))</f>
        <v>205.10349807155856</v>
      </c>
      <c r="AI85" s="7" cm="1">
        <f t="array" ref="AI85">IF(AI$8=-1,AJ85,IF(AI$8=99,AH85,IF(AI$8=0,INDEX($E85:$I85,0,AI$6),(INDEX($E85:$I85,0,AI$8+1)-INDEX($E85:$I85,0,AI$8))/(INDEX($D$5:$H$5,0,AI$8+1)-INDEX($D$5:$H$5,0,AI$8))+AH85)))</f>
        <v>203.46202765412622</v>
      </c>
      <c r="AJ85" s="7" cm="1">
        <f t="array" ref="AJ85">IF(AJ$8=-1,AK85,IF(AJ$8=99,AI85,IF(AJ$8=0,INDEX($E85:$I85,0,AJ$6),(INDEX($E85:$I85,0,AJ$8+1)-INDEX($E85:$I85,0,AJ$8))/(INDEX($D$5:$H$5,0,AJ$8+1)-INDEX($D$5:$H$5,0,AJ$8))+AI85)))</f>
        <v>201.82055723669387</v>
      </c>
      <c r="AK85" s="7" cm="1">
        <f t="array" ref="AK85">IF(AK$8=-1,AL85,IF(AK$8=99,AJ85,IF(AK$8=0,INDEX($E85:$I85,0,AK$6),(INDEX($E85:$I85,0,AK$8+1)-INDEX($E85:$I85,0,AK$8))/(INDEX($D$5:$H$5,0,AK$8+1)-INDEX($D$5:$H$5,0,AK$8))+AJ85)))</f>
        <v>200.17908681926153</v>
      </c>
      <c r="AL85" s="7" cm="1">
        <f t="array" ref="AL85">IF(AL$8=-1,AM85,IF(AL$8=99,AK85,IF(AL$8=0,INDEX($E85:$I85,0,AL$6),(INDEX($E85:$I85,0,AL$8+1)-INDEX($E85:$I85,0,AL$8))/(INDEX($D$5:$H$5,0,AL$8+1)-INDEX($D$5:$H$5,0,AL$8))+AK85)))</f>
        <v>198.53761640182918</v>
      </c>
      <c r="AM85" s="7" cm="1">
        <f t="array" ref="AM85">IF(AM$8=-1,AN85,IF(AM$8=99,AL85,IF(AM$8=0,INDEX($E85:$I85,0,AM$6),(INDEX($E85:$I85,0,AM$8+1)-INDEX($E85:$I85,0,AM$8))/(INDEX($D$5:$H$5,0,AM$8+1)-INDEX($D$5:$H$5,0,AM$8))+AL85)))</f>
        <v>196.89614598439684</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195.91126373393755</v>
      </c>
      <c r="AP85" s="7" cm="1">
        <f t="array" ref="AP85">IF(AP$8=-1,AQ85,IF(AP$8=99,AO85,IF(AP$8=0,INDEX($E85:$K85,0,AP$6),(INDEX($E85:$K85,0,AP$8+1)-INDEX($E85:$K85,0,AP$8))/(INDEX($D$5:$J$5,0,AP$8+1)-INDEX($D$5:$J$5,0,AP$8))+AO85)))</f>
        <v>196.56785190091048</v>
      </c>
      <c r="AQ85" s="7" cm="1">
        <f t="array" ref="AQ85">IF(AQ$8=-1,AR85,IF(AQ$8=99,AP85,IF(AQ$8=0,INDEX($E85:$K85,0,AQ$6),(INDEX($E85:$K85,0,AQ$8+1)-INDEX($E85:$K85,0,AQ$8))/(INDEX($D$5:$J$5,0,AQ$8+1)-INDEX($D$5:$J$5,0,AQ$8))+AP85)))</f>
        <v>197.22444006788342</v>
      </c>
      <c r="AR85" s="7" cm="1">
        <f t="array" ref="AR85">IF(AR$8=-1,AS85,IF(AR$8=99,AQ85,IF(AR$8=0,INDEX($E85:$K85,0,AR$6),(INDEX($E85:$K85,0,AR$8+1)-INDEX($E85:$K85,0,AR$8))/(INDEX($D$5:$J$5,0,AR$8+1)-INDEX($D$5:$J$5,0,AR$8))+AQ85)))</f>
        <v>197.88102823485636</v>
      </c>
      <c r="AS85" s="7" cm="1">
        <f t="array" ref="AS85">IF(AS$8=-1,AT85,IF(AS$8=99,AR85,IF(AS$8=0,INDEX($E85:$K85,0,AS$6),(INDEX($E85:$K85,0,AS$8+1)-INDEX($E85:$K85,0,AS$8))/(INDEX($D$5:$J$5,0,AS$8+1)-INDEX($D$5:$J$5,0,AS$8))+AR85)))</f>
        <v>198.5376164018293</v>
      </c>
      <c r="AT85" s="7" cm="1">
        <f t="array" ref="AT85">IF(AT$8=-1,AU85,IF(AT$8=99,AS85,IF(AT$8=0,INDEX($E85:$K85,0,AT$6),(INDEX($E85:$K85,0,AT$8+1)-INDEX($E85:$K85,0,AT$8))/(INDEX($D$5:$J$5,0,AT$8+1)-INDEX($D$5:$J$5,0,AT$8))+AS85)))</f>
        <v>199.19420456880223</v>
      </c>
      <c r="AU85" s="7" cm="1">
        <f t="array" ref="AU85">IF(AU$8=-1,AV85,IF(AU$8=99,AT85,IF(AU$8=0,INDEX($E85:$K85,0,AU$6),(INDEX($E85:$K85,0,AU$8+1)-INDEX($E85:$K85,0,AU$8))/(INDEX($D$5:$J$5,0,AU$8+1)-INDEX($D$5:$J$5,0,AU$8))+AT85)))</f>
        <v>199.85079273577517</v>
      </c>
      <c r="AV85" s="7" cm="1">
        <f t="array" ref="AV85">IF(AV$8=-1,AW85,IF(AV$8=99,AU85,IF(AV$8=0,INDEX($E85:$K85,0,AV$6),(INDEX($E85:$K85,0,AV$8+1)-INDEX($E85:$K85,0,AV$8))/(INDEX($D$5:$J$5,0,AV$8+1)-INDEX($D$5:$J$5,0,AV$8))+AU85)))</f>
        <v>200.50738090274811</v>
      </c>
      <c r="AW85" s="7" cm="1">
        <f t="array" ref="AW85">IF(AW$8=-1,AX85,IF(AW$8=99,AV85,IF(AW$8=0,INDEX($E85:$K85,0,AW$6),(INDEX($E85:$K85,0,AW$8+1)-INDEX($E85:$K85,0,AW$8))/(INDEX($D$5:$J$5,0,AW$8+1)-INDEX($D$5:$J$5,0,AW$8))+AV85)))</f>
        <v>201.16396906972105</v>
      </c>
      <c r="AX85" s="7" cm="1">
        <f t="array" ref="AX85">IF(AX$8=-1,AY85,IF(AX$8=99,AW85,IF(AX$8=0,INDEX($E85:$K85,0,AX$6),(INDEX($E85:$K85,0,AX$8+1)-INDEX($E85:$K85,0,AX$8))/(INDEX($D$5:$J$5,0,AX$8+1)-INDEX($D$5:$J$5,0,AX$8))+AW85)))</f>
        <v>201.82055723669399</v>
      </c>
      <c r="AY85" s="7" cm="1">
        <f t="array" ref="AY85">IF(AY$8=-1,AZ85,IF(AY$8=99,AX85,IF(AY$8=0,INDEX($E85:$K85,0,AY$6),(INDEX($E85:$K85,0,AY$8+1)-INDEX($E85:$K85,0,AY$8))/(INDEX($D$5:$J$5,0,AY$8+1)-INDEX($D$5:$J$5,0,AY$8))+AX85)))</f>
        <v>202.47714540366692</v>
      </c>
      <c r="AZ85" s="7" cm="1">
        <f t="array" ref="AZ85">IF(AZ$8=-1,BA85,IF(AZ$8=99,AY85,IF(AZ$8=0,INDEX($E85:$K85,0,AZ$6),(INDEX($E85:$K85,0,AZ$8+1)-INDEX($E85:$K85,0,AZ$8))/(INDEX($D$5:$J$5,0,AZ$8+1)-INDEX($D$5:$J$5,0,AZ$8))+AY85)))</f>
        <v>203.13373357063986</v>
      </c>
      <c r="BA85" s="7" cm="1">
        <f t="array" ref="BA85">IF(BA$8=-1,BB85,IF(BA$8=99,AZ85,IF(BA$8=0,INDEX($E85:$K85,0,BA$6),(INDEX($E85:$K85,0,BA$8+1)-INDEX($E85:$K85,0,BA$8))/(INDEX($D$5:$J$5,0,BA$8+1)-INDEX($D$5:$J$5,0,BA$8))+AZ85)))</f>
        <v>203.7903217376128</v>
      </c>
      <c r="BB85" s="7" cm="1">
        <f t="array" ref="BB85">IF(BB$8=-1,BC85,IF(BB$8=99,BA85,IF(BB$8=0,INDEX($E85:$K85,0,BB$6),(INDEX($E85:$K85,0,BB$8+1)-INDEX($E85:$K85,0,BB$8))/(INDEX($D$5:$J$5,0,BB$8+1)-INDEX($D$5:$J$5,0,BB$8))+BA85)))</f>
        <v>204.44690990458574</v>
      </c>
      <c r="BC85" s="7" cm="1">
        <f t="array" ref="BC85">IF(BC$8=-1,BD85,IF(BC$8=99,BB85,IF(BC$8=0,INDEX($E85:$K85,0,BC$6),(INDEX($E85:$K85,0,BC$8+1)-INDEX($E85:$K85,0,BC$8))/(INDEX($D$5:$J$5,0,BC$8+1)-INDEX($D$5:$J$5,0,BC$8))+BB85)))</f>
        <v>205.10349807155868</v>
      </c>
      <c r="BD85" s="7" cm="1">
        <f t="array" ref="BD85">IF(BD$8=-1,BE85,IF(BD$8=99,BC85,IF(BD$8=0,INDEX($E85:$K85,0,BD$6),(INDEX($E85:$K85,0,BD$8+1)-INDEX($E85:$K85,0,BD$8))/(INDEX($D$5:$J$5,0,BD$8+1)-INDEX($D$5:$J$5,0,BD$8))+BC85)))</f>
        <v>205.76008623853161</v>
      </c>
      <c r="BE85" s="7" cm="1">
        <f t="array" ref="BE85">IF(BE$8=-1,BF85,IF(BE$8=99,BD85,IF(BE$8=0,INDEX($E85:$K85,0,BE$6),(INDEX($E85:$K85,0,BE$8+1)-INDEX($E85:$K85,0,BE$8))/(INDEX($D$5:$J$5,0,BE$8+1)-INDEX($D$5:$J$5,0,BE$8))+BD85)))</f>
        <v>206.41667440550455</v>
      </c>
      <c r="BF85" s="7" cm="1">
        <f t="array" ref="BF85">IF(BF$8=-1,BG85,IF(BF$8=99,BE85,IF(BF$8=0,INDEX($E85:$K85,0,BF$6),(INDEX($E85:$K85,0,BF$8+1)-INDEX($E85:$K85,0,BF$8))/(INDEX($D$5:$J$5,0,BF$8+1)-INDEX($D$5:$J$5,0,BF$8))+BE85)))</f>
        <v>207.07326257247749</v>
      </c>
      <c r="BG85" s="7" cm="1">
        <f t="array" ref="BG85">IF(BG$8=-1,BH85,IF(BG$8=99,BF85,IF(BG$8=0,INDEX($E85:$K85,0,BG$6),(INDEX($E85:$K85,0,BG$8+1)-INDEX($E85:$K85,0,BG$8))/(INDEX($D$5:$J$5,0,BG$8+1)-INDEX($D$5:$J$5,0,BG$8))+BF85)))</f>
        <v>207.72985073945043</v>
      </c>
      <c r="BH85" s="7" cm="1">
        <f t="array" ref="BH85">IF(BH$8=-1,BI85,IF(BH$8=99,BG85,IF(BH$8=0,INDEX($E85:$K85,0,BH$6),(INDEX($E85:$K85,0,BH$8+1)-INDEX($E85:$K85,0,BH$8))/(INDEX($D$5:$J$5,0,BH$8+1)-INDEX($D$5:$J$5,0,BH$8))+BG85)))</f>
        <v>208.38643890642336</v>
      </c>
      <c r="BI85" s="7" cm="1">
        <f t="array" ref="BI85">IF(BI$8=-1,BJ85,IF(BI$8=99,BH85,IF(BI$8=0,INDEX($E85:$K85,0,BI$6),(INDEX($E85:$K85,0,BI$8+1)-INDEX($E85:$K85,0,BI$8))/(INDEX($D$5:$J$5,0,BI$8+1)-INDEX($D$5:$J$5,0,BI$8))+BH85)))</f>
        <v>209.0430270733963</v>
      </c>
      <c r="BJ85" s="7" cm="1">
        <f t="array" ref="BJ85">IF(BJ$8=-1,BK85,IF(BJ$8=99,BI85,IF(BJ$8=0,INDEX($E85:$K85,0,BJ$6),(INDEX($E85:$K85,0,BJ$8+1)-INDEX($E85:$K85,0,BJ$8))/(INDEX($D$5:$J$5,0,BJ$8+1)-INDEX($D$5:$J$5,0,BJ$8))+BI85)))</f>
        <v>209.69961524036924</v>
      </c>
      <c r="BK85" s="7" cm="1">
        <f t="array" ref="BK85">IF(BK$8=-1,BL85,IF(BK$8=99,BJ85,IF(BK$8=0,INDEX($E85:$K85,0,BK$6),(INDEX($E85:$K85,0,BK$8+1)-INDEX($E85:$K85,0,BK$8))/(INDEX($D$5:$J$5,0,BK$8+1)-INDEX($D$5:$J$5,0,BK$8))+BJ85)))</f>
        <v>210.35620340734218</v>
      </c>
      <c r="BL85" s="7" cm="1">
        <f t="array" ref="BL85">IF(BL$8=-1,BM85,IF(BL$8=99,BK85,IF(BL$8=0,INDEX($E85:$K85,0,BL$6),(INDEX($E85:$K85,0,BL$8+1)-INDEX($E85:$K85,0,BL$8))/(INDEX($D$5:$J$5,0,BL$8+1)-INDEX($D$5:$J$5,0,BL$8))+BK85)))</f>
        <v>211.01279157431512</v>
      </c>
      <c r="BM85" s="7" cm="1">
        <f t="array" ref="BM85">IF(BM$8=-1,BN85,IF(BM$8=99,BL85,IF(BM$8=0,INDEX($E85:$K85,0,BM$6),(INDEX($E85:$K85,0,BM$8+1)-INDEX($E85:$K85,0,BM$8))/(INDEX($D$5:$J$5,0,BM$8+1)-INDEX($D$5:$J$5,0,BM$8))+BL85)))</f>
        <v>211.66937974128805</v>
      </c>
      <c r="BN85" s="7" cm="1">
        <f t="array" ref="BN85">IF(BN$8=-1,BO85,IF(BN$8=99,BM85,IF(BN$8=0,INDEX($E85:$K85,0,BN$6),(INDEX($E85:$K85,0,BN$8+1)-INDEX($E85:$K85,0,BN$8))/(INDEX($D$5:$J$5,0,BN$8+1)-INDEX($D$5:$J$5,0,BN$8))+BM85)))</f>
        <v>212.32596790826099</v>
      </c>
      <c r="BO85" s="7" cm="1">
        <f t="array" ref="BO85">IF(BO$8=-1,BP85,IF(BO$8=99,BN85,IF(BO$8=0,INDEX($E85:$K85,0,BO$6),(INDEX($E85:$K85,0,BO$8+1)-INDEX($E85:$K85,0,BO$8))/(INDEX($D$5:$J$5,0,BO$8+1)-INDEX($D$5:$J$5,0,BO$8))+BN85)))</f>
        <v>212.98255607523393</v>
      </c>
      <c r="BP85" s="7" cm="1">
        <f t="array" ref="BP85">IF(BP$8=-1,BQ85,IF(BP$8=99,BO85,IF(BP$8=0,INDEX($E85:$K85,0,BP$6),(INDEX($E85:$K85,0,BP$8+1)-INDEX($E85:$K85,0,BP$8))/(INDEX($D$5:$J$5,0,BP$8+1)-INDEX($D$5:$J$5,0,BP$8))+BO85)))</f>
        <v>213.63914424220687</v>
      </c>
      <c r="BQ85" s="7" cm="1">
        <f t="array" ref="BQ85">IF(BQ$8=-1,BR85,IF(BQ$8=99,BP85,IF(BQ$8=0,INDEX($E85:$K85,0,BQ$6),(INDEX($E85:$K85,0,BQ$8+1)-INDEX($E85:$K85,0,BQ$8))/(INDEX($D$5:$J$5,0,BQ$8+1)-INDEX($D$5:$J$5,0,BQ$8))+BP85)))</f>
        <v>214.29573240917981</v>
      </c>
      <c r="BR85" s="7" cm="1">
        <f t="array" ref="BR85">IF(BR$8=-1,BS85,IF(BR$8=99,BQ85,IF(BR$8=0,INDEX($E85:$K85,0,BR$6),(INDEX($E85:$K85,0,BR$8+1)-INDEX($E85:$K85,0,BR$8))/(INDEX($D$5:$J$5,0,BR$8+1)-INDEX($D$5:$J$5,0,BR$8))+BQ85)))</f>
        <v>214.95232057615274</v>
      </c>
    </row>
    <row r="86" spans="1:70">
      <c r="A86" t="s">
        <v>16</v>
      </c>
      <c r="B86" s="1" t="s">
        <v>239</v>
      </c>
      <c r="C86" s="71" t="str">
        <f t="shared" si="145"/>
        <v>Commercial - Water Heating</v>
      </c>
      <c r="D86" s="71" t="s">
        <v>66</v>
      </c>
      <c r="E86" s="80">
        <f t="shared" si="148"/>
        <v>72.90647365811796</v>
      </c>
      <c r="F86" s="88">
        <f t="shared" si="148"/>
        <v>103.37272938194623</v>
      </c>
      <c r="G86" s="88">
        <f t="shared" si="146"/>
        <v>103.37272938194623</v>
      </c>
      <c r="H86" s="88">
        <f t="shared" si="149"/>
        <v>85.092975947649265</v>
      </c>
      <c r="I86" s="88">
        <f t="shared" si="150"/>
        <v>103.37272938194623</v>
      </c>
      <c r="J86" s="88">
        <f t="shared" si="151"/>
        <v>96.060828008227446</v>
      </c>
      <c r="K86" s="88">
        <f t="shared" si="152"/>
        <v>92.404877321368048</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101.54475403851653</v>
      </c>
      <c r="V86" s="7" cm="1">
        <f t="array" ref="V86">IF(V$8=-1,W86,IF(V$8=99,U86,IF(V$8=0,INDEX($E86:$I86,0,V$6),(INDEX($E86:$I86,0,V$8+1)-INDEX($E86:$I86,0,V$8))/(INDEX($D$5:$H$5,0,V$8+1)-INDEX($D$5:$H$5,0,V$8))+U86)))</f>
        <v>99.71677869508683</v>
      </c>
      <c r="W86" s="7" cm="1">
        <f t="array" ref="W86">IF(W$8=-1,X86,IF(W$8=99,V86,IF(W$8=0,INDEX($E86:$I86,0,W$6),(INDEX($E86:$I86,0,W$8+1)-INDEX($E86:$I86,0,W$8))/(INDEX($D$5:$H$5,0,W$8+1)-INDEX($D$5:$H$5,0,W$8))+V86)))</f>
        <v>97.888803351657131</v>
      </c>
      <c r="X86" s="7" cm="1">
        <f t="array" ref="X86">IF(X$8=-1,Y86,IF(X$8=99,W86,IF(X$8=0,INDEX($E86:$I86,0,X$6),(INDEX($E86:$I86,0,X$8+1)-INDEX($E86:$I86,0,X$8))/(INDEX($D$5:$H$5,0,X$8+1)-INDEX($D$5:$H$5,0,X$8))+W86)))</f>
        <v>96.060828008227432</v>
      </c>
      <c r="Y86" s="7" cm="1">
        <f t="array" ref="Y86">IF(Y$8=-1,Z86,IF(Y$8=99,X86,IF(Y$8=0,INDEX($E86:$I86,0,Y$6),(INDEX($E86:$I86,0,Y$8+1)-INDEX($E86:$I86,0,Y$8))/(INDEX($D$5:$H$5,0,Y$8+1)-INDEX($D$5:$H$5,0,Y$8))+X86)))</f>
        <v>94.232852664797733</v>
      </c>
      <c r="Z86" s="7" cm="1">
        <f t="array" ref="Z86">IF(Z$8=-1,AA86,IF(Z$8=99,Y86,IF(Z$8=0,INDEX($E86:$I86,0,Z$6),(INDEX($E86:$I86,0,Z$8+1)-INDEX($E86:$I86,0,Z$8))/(INDEX($D$5:$H$5,0,Z$8+1)-INDEX($D$5:$H$5,0,Z$8))+Y86)))</f>
        <v>92.404877321368033</v>
      </c>
      <c r="AA86" s="7" cm="1">
        <f t="array" ref="AA86">IF(AA$8=-1,AB86,IF(AA$8=99,Z86,IF(AA$8=0,INDEX($E86:$I86,0,AA$6),(INDEX($E86:$I86,0,AA$8+1)-INDEX($E86:$I86,0,AA$8))/(INDEX($D$5:$H$5,0,AA$8+1)-INDEX($D$5:$H$5,0,AA$8))+Z86)))</f>
        <v>90.576901977938334</v>
      </c>
      <c r="AB86" s="7" cm="1">
        <f t="array" ref="AB86">IF(AB$8=-1,AC86,IF(AB$8=99,AA86,IF(AB$8=0,INDEX($E86:$I86,0,AB$6),(INDEX($E86:$I86,0,AB$8+1)-INDEX($E86:$I86,0,AB$8))/(INDEX($D$5:$H$5,0,AB$8+1)-INDEX($D$5:$H$5,0,AB$8))+AA86)))</f>
        <v>88.748926634508635</v>
      </c>
      <c r="AC86" s="7" cm="1">
        <f t="array" ref="AC86">IF(AC$8=-1,AD86,IF(AC$8=99,AB86,IF(AC$8=0,INDEX($E86:$I86,0,AC$6),(INDEX($E86:$I86,0,AC$8+1)-INDEX($E86:$I86,0,AC$8))/(INDEX($D$5:$H$5,0,AC$8+1)-INDEX($D$5:$H$5,0,AC$8))+AB86)))</f>
        <v>86.920951291078936</v>
      </c>
      <c r="AD86" s="7" cm="1">
        <f t="array" ref="AD86">IF(AD$8=-1,AE86,IF(AD$8=99,AC86,IF(AD$8=0,INDEX($E86:$I86,0,AD$6),(INDEX($E86:$I86,0,AD$8+1)-INDEX($E86:$I86,0,AD$8))/(INDEX($D$5:$H$5,0,AD$8+1)-INDEX($D$5:$H$5,0,AD$8))+AC86)))</f>
        <v>85.092975947649265</v>
      </c>
      <c r="AE86" s="7" cm="1">
        <f t="array" ref="AE86">IF(AE$8=-1,AF86,IF(AE$8=99,AD86,IF(AE$8=0,INDEX($E86:$I86,0,AE$6),(INDEX($E86:$I86,0,AE$8+1)-INDEX($E86:$I86,0,AE$8))/(INDEX($D$5:$H$5,0,AE$8+1)-INDEX($D$5:$H$5,0,AE$8))+AD86)))</f>
        <v>86.920951291078964</v>
      </c>
      <c r="AF86" s="7" cm="1">
        <f t="array" ref="AF86">IF(AF$8=-1,AG86,IF(AF$8=99,AE86,IF(AF$8=0,INDEX($E86:$I86,0,AF$6),(INDEX($E86:$I86,0,AF$8+1)-INDEX($E86:$I86,0,AF$8))/(INDEX($D$5:$H$5,0,AF$8+1)-INDEX($D$5:$H$5,0,AF$8))+AE86)))</f>
        <v>88.748926634508663</v>
      </c>
      <c r="AG86" s="7" cm="1">
        <f t="array" ref="AG86">IF(AG$8=-1,AH86,IF(AG$8=99,AF86,IF(AG$8=0,INDEX($E86:$I86,0,AG$6),(INDEX($E86:$I86,0,AG$8+1)-INDEX($E86:$I86,0,AG$8))/(INDEX($D$5:$H$5,0,AG$8+1)-INDEX($D$5:$H$5,0,AG$8))+AF86)))</f>
        <v>90.576901977938363</v>
      </c>
      <c r="AH86" s="7" cm="1">
        <f t="array" ref="AH86">IF(AH$8=-1,AI86,IF(AH$8=99,AG86,IF(AH$8=0,INDEX($E86:$I86,0,AH$6),(INDEX($E86:$I86,0,AH$8+1)-INDEX($E86:$I86,0,AH$8))/(INDEX($D$5:$H$5,0,AH$8+1)-INDEX($D$5:$H$5,0,AH$8))+AG86)))</f>
        <v>92.404877321368062</v>
      </c>
      <c r="AI86" s="7" cm="1">
        <f t="array" ref="AI86">IF(AI$8=-1,AJ86,IF(AI$8=99,AH86,IF(AI$8=0,INDEX($E86:$I86,0,AI$6),(INDEX($E86:$I86,0,AI$8+1)-INDEX($E86:$I86,0,AI$8))/(INDEX($D$5:$H$5,0,AI$8+1)-INDEX($D$5:$H$5,0,AI$8))+AH86)))</f>
        <v>94.232852664797761</v>
      </c>
      <c r="AJ86" s="7" cm="1">
        <f t="array" ref="AJ86">IF(AJ$8=-1,AK86,IF(AJ$8=99,AI86,IF(AJ$8=0,INDEX($E86:$I86,0,AJ$6),(INDEX($E86:$I86,0,AJ$8+1)-INDEX($E86:$I86,0,AJ$8))/(INDEX($D$5:$H$5,0,AJ$8+1)-INDEX($D$5:$H$5,0,AJ$8))+AI86)))</f>
        <v>96.06082800822746</v>
      </c>
      <c r="AK86" s="7" cm="1">
        <f t="array" ref="AK86">IF(AK$8=-1,AL86,IF(AK$8=99,AJ86,IF(AK$8=0,INDEX($E86:$I86,0,AK$6),(INDEX($E86:$I86,0,AK$8+1)-INDEX($E86:$I86,0,AK$8))/(INDEX($D$5:$H$5,0,AK$8+1)-INDEX($D$5:$H$5,0,AK$8))+AJ86)))</f>
        <v>97.88880335165716</v>
      </c>
      <c r="AL86" s="7" cm="1">
        <f t="array" ref="AL86">IF(AL$8=-1,AM86,IF(AL$8=99,AK86,IF(AL$8=0,INDEX($E86:$I86,0,AL$6),(INDEX($E86:$I86,0,AL$8+1)-INDEX($E86:$I86,0,AL$8))/(INDEX($D$5:$H$5,0,AL$8+1)-INDEX($D$5:$H$5,0,AL$8))+AK86)))</f>
        <v>99.716778695086859</v>
      </c>
      <c r="AM86" s="7" cm="1">
        <f t="array" ref="AM86">IF(AM$8=-1,AN86,IF(AM$8=99,AL86,IF(AM$8=0,INDEX($E86:$I86,0,AM$6),(INDEX($E86:$I86,0,AM$8+1)-INDEX($E86:$I86,0,AM$8))/(INDEX($D$5:$H$5,0,AM$8+1)-INDEX($D$5:$H$5,0,AM$8))+AL86)))</f>
        <v>101.54475403851656</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102.64153924457435</v>
      </c>
      <c r="AP86" s="7" cm="1">
        <f t="array" ref="AP86">IF(AP$8=-1,AQ86,IF(AP$8=99,AO86,IF(AP$8=0,INDEX($E86:$K86,0,AP$6),(INDEX($E86:$K86,0,AP$8+1)-INDEX($E86:$K86,0,AP$8))/(INDEX($D$5:$J$5,0,AP$8+1)-INDEX($D$5:$J$5,0,AP$8))+AO86)))</f>
        <v>101.91034910720246</v>
      </c>
      <c r="AQ86" s="7" cm="1">
        <f t="array" ref="AQ86">IF(AQ$8=-1,AR86,IF(AQ$8=99,AP86,IF(AQ$8=0,INDEX($E86:$K86,0,AQ$6),(INDEX($E86:$K86,0,AQ$8+1)-INDEX($E86:$K86,0,AQ$8))/(INDEX($D$5:$J$5,0,AQ$8+1)-INDEX($D$5:$J$5,0,AQ$8))+AP86)))</f>
        <v>101.17915896983058</v>
      </c>
      <c r="AR86" s="7" cm="1">
        <f t="array" ref="AR86">IF(AR$8=-1,AS86,IF(AR$8=99,AQ86,IF(AR$8=0,INDEX($E86:$K86,0,AR$6),(INDEX($E86:$K86,0,AR$8+1)-INDEX($E86:$K86,0,AR$8))/(INDEX($D$5:$J$5,0,AR$8+1)-INDEX($D$5:$J$5,0,AR$8))+AQ86)))</f>
        <v>100.4479688324587</v>
      </c>
      <c r="AS86" s="7" cm="1">
        <f t="array" ref="AS86">IF(AS$8=-1,AT86,IF(AS$8=99,AR86,IF(AS$8=0,INDEX($E86:$K86,0,AS$6),(INDEX($E86:$K86,0,AS$8+1)-INDEX($E86:$K86,0,AS$8))/(INDEX($D$5:$J$5,0,AS$8+1)-INDEX($D$5:$J$5,0,AS$8))+AR86)))</f>
        <v>99.716778695086816</v>
      </c>
      <c r="AT86" s="7" cm="1">
        <f t="array" ref="AT86">IF(AT$8=-1,AU86,IF(AT$8=99,AS86,IF(AT$8=0,INDEX($E86:$K86,0,AT$6),(INDEX($E86:$K86,0,AT$8+1)-INDEX($E86:$K86,0,AT$8))/(INDEX($D$5:$J$5,0,AT$8+1)-INDEX($D$5:$J$5,0,AT$8))+AS86)))</f>
        <v>98.985588557714934</v>
      </c>
      <c r="AU86" s="7" cm="1">
        <f t="array" ref="AU86">IF(AU$8=-1,AV86,IF(AU$8=99,AT86,IF(AU$8=0,INDEX($E86:$K86,0,AU$6),(INDEX($E86:$K86,0,AU$8+1)-INDEX($E86:$K86,0,AU$8))/(INDEX($D$5:$J$5,0,AU$8+1)-INDEX($D$5:$J$5,0,AU$8))+AT86)))</f>
        <v>98.254398420343051</v>
      </c>
      <c r="AV86" s="7" cm="1">
        <f t="array" ref="AV86">IF(AV$8=-1,AW86,IF(AV$8=99,AU86,IF(AV$8=0,INDEX($E86:$K86,0,AV$6),(INDEX($E86:$K86,0,AV$8+1)-INDEX($E86:$K86,0,AV$8))/(INDEX($D$5:$J$5,0,AV$8+1)-INDEX($D$5:$J$5,0,AV$8))+AU86)))</f>
        <v>97.523208282971169</v>
      </c>
      <c r="AW86" s="7" cm="1">
        <f t="array" ref="AW86">IF(AW$8=-1,AX86,IF(AW$8=99,AV86,IF(AW$8=0,INDEX($E86:$K86,0,AW$6),(INDEX($E86:$K86,0,AW$8+1)-INDEX($E86:$K86,0,AW$8))/(INDEX($D$5:$J$5,0,AW$8+1)-INDEX($D$5:$J$5,0,AW$8))+AV86)))</f>
        <v>96.792018145599286</v>
      </c>
      <c r="AX86" s="7" cm="1">
        <f t="array" ref="AX86">IF(AX$8=-1,AY86,IF(AX$8=99,AW86,IF(AX$8=0,INDEX($E86:$K86,0,AX$6),(INDEX($E86:$K86,0,AX$8+1)-INDEX($E86:$K86,0,AX$8))/(INDEX($D$5:$J$5,0,AX$8+1)-INDEX($D$5:$J$5,0,AX$8))+AW86)))</f>
        <v>96.060828008227404</v>
      </c>
      <c r="AY86" s="7" cm="1">
        <f t="array" ref="AY86">IF(AY$8=-1,AZ86,IF(AY$8=99,AX86,IF(AY$8=0,INDEX($E86:$K86,0,AY$6),(INDEX($E86:$K86,0,AY$8+1)-INDEX($E86:$K86,0,AY$8))/(INDEX($D$5:$J$5,0,AY$8+1)-INDEX($D$5:$J$5,0,AY$8))+AX86)))</f>
        <v>95.329637870855521</v>
      </c>
      <c r="AZ86" s="7" cm="1">
        <f t="array" ref="AZ86">IF(AZ$8=-1,BA86,IF(AZ$8=99,AY86,IF(AZ$8=0,INDEX($E86:$K86,0,AZ$6),(INDEX($E86:$K86,0,AZ$8+1)-INDEX($E86:$K86,0,AZ$8))/(INDEX($D$5:$J$5,0,AZ$8+1)-INDEX($D$5:$J$5,0,AZ$8))+AY86)))</f>
        <v>94.598447733483638</v>
      </c>
      <c r="BA86" s="7" cm="1">
        <f t="array" ref="BA86">IF(BA$8=-1,BB86,IF(BA$8=99,AZ86,IF(BA$8=0,INDEX($E86:$K86,0,BA$6),(INDEX($E86:$K86,0,BA$8+1)-INDEX($E86:$K86,0,BA$8))/(INDEX($D$5:$J$5,0,BA$8+1)-INDEX($D$5:$J$5,0,BA$8))+AZ86)))</f>
        <v>93.867257596111756</v>
      </c>
      <c r="BB86" s="7" cm="1">
        <f t="array" ref="BB86">IF(BB$8=-1,BC86,IF(BB$8=99,BA86,IF(BB$8=0,INDEX($E86:$K86,0,BB$6),(INDEX($E86:$K86,0,BB$8+1)-INDEX($E86:$K86,0,BB$8))/(INDEX($D$5:$J$5,0,BB$8+1)-INDEX($D$5:$J$5,0,BB$8))+BA86)))</f>
        <v>93.136067458739873</v>
      </c>
      <c r="BC86" s="7" cm="1">
        <f t="array" ref="BC86">IF(BC$8=-1,BD86,IF(BC$8=99,BB86,IF(BC$8=0,INDEX($E86:$K86,0,BC$6),(INDEX($E86:$K86,0,BC$8+1)-INDEX($E86:$K86,0,BC$8))/(INDEX($D$5:$J$5,0,BC$8+1)-INDEX($D$5:$J$5,0,BC$8))+BB86)))</f>
        <v>92.404877321367991</v>
      </c>
      <c r="BD86" s="7" cm="1">
        <f t="array" ref="BD86">IF(BD$8=-1,BE86,IF(BD$8=99,BC86,IF(BD$8=0,INDEX($E86:$K86,0,BD$6),(INDEX($E86:$K86,0,BD$8+1)-INDEX($E86:$K86,0,BD$8))/(INDEX($D$5:$J$5,0,BD$8+1)-INDEX($D$5:$J$5,0,BD$8))+BC86)))</f>
        <v>91.673687183996108</v>
      </c>
      <c r="BE86" s="7" cm="1">
        <f t="array" ref="BE86">IF(BE$8=-1,BF86,IF(BE$8=99,BD86,IF(BE$8=0,INDEX($E86:$K86,0,BE$6),(INDEX($E86:$K86,0,BE$8+1)-INDEX($E86:$K86,0,BE$8))/(INDEX($D$5:$J$5,0,BE$8+1)-INDEX($D$5:$J$5,0,BE$8))+BD86)))</f>
        <v>90.942497046624226</v>
      </c>
      <c r="BF86" s="7" cm="1">
        <f t="array" ref="BF86">IF(BF$8=-1,BG86,IF(BF$8=99,BE86,IF(BF$8=0,INDEX($E86:$K86,0,BF$6),(INDEX($E86:$K86,0,BF$8+1)-INDEX($E86:$K86,0,BF$8))/(INDEX($D$5:$J$5,0,BF$8+1)-INDEX($D$5:$J$5,0,BF$8))+BE86)))</f>
        <v>90.211306909252343</v>
      </c>
      <c r="BG86" s="7" cm="1">
        <f t="array" ref="BG86">IF(BG$8=-1,BH86,IF(BG$8=99,BF86,IF(BG$8=0,INDEX($E86:$K86,0,BG$6),(INDEX($E86:$K86,0,BG$8+1)-INDEX($E86:$K86,0,BG$8))/(INDEX($D$5:$J$5,0,BG$8+1)-INDEX($D$5:$J$5,0,BG$8))+BF86)))</f>
        <v>89.480116771880461</v>
      </c>
      <c r="BH86" s="7" cm="1">
        <f t="array" ref="BH86">IF(BH$8=-1,BI86,IF(BH$8=99,BG86,IF(BH$8=0,INDEX($E86:$K86,0,BH$6),(INDEX($E86:$K86,0,BH$8+1)-INDEX($E86:$K86,0,BH$8))/(INDEX($D$5:$J$5,0,BH$8+1)-INDEX($D$5:$J$5,0,BH$8))+BG86)))</f>
        <v>88.748926634508578</v>
      </c>
      <c r="BI86" s="7" cm="1">
        <f t="array" ref="BI86">IF(BI$8=-1,BJ86,IF(BI$8=99,BH86,IF(BI$8=0,INDEX($E86:$K86,0,BI$6),(INDEX($E86:$K86,0,BI$8+1)-INDEX($E86:$K86,0,BI$8))/(INDEX($D$5:$J$5,0,BI$8+1)-INDEX($D$5:$J$5,0,BI$8))+BH86)))</f>
        <v>88.017736497136696</v>
      </c>
      <c r="BJ86" s="7" cm="1">
        <f t="array" ref="BJ86">IF(BJ$8=-1,BK86,IF(BJ$8=99,BI86,IF(BJ$8=0,INDEX($E86:$K86,0,BJ$6),(INDEX($E86:$K86,0,BJ$8+1)-INDEX($E86:$K86,0,BJ$8))/(INDEX($D$5:$J$5,0,BJ$8+1)-INDEX($D$5:$J$5,0,BJ$8))+BI86)))</f>
        <v>87.286546359764813</v>
      </c>
      <c r="BK86" s="7" cm="1">
        <f t="array" ref="BK86">IF(BK$8=-1,BL86,IF(BK$8=99,BJ86,IF(BK$8=0,INDEX($E86:$K86,0,BK$6),(INDEX($E86:$K86,0,BK$8+1)-INDEX($E86:$K86,0,BK$8))/(INDEX($D$5:$J$5,0,BK$8+1)-INDEX($D$5:$J$5,0,BK$8))+BJ86)))</f>
        <v>86.55535622239293</v>
      </c>
      <c r="BL86" s="7" cm="1">
        <f t="array" ref="BL86">IF(BL$8=-1,BM86,IF(BL$8=99,BK86,IF(BL$8=0,INDEX($E86:$K86,0,BL$6),(INDEX($E86:$K86,0,BL$8+1)-INDEX($E86:$K86,0,BL$8))/(INDEX($D$5:$J$5,0,BL$8+1)-INDEX($D$5:$J$5,0,BL$8))+BK86)))</f>
        <v>85.824166085021048</v>
      </c>
      <c r="BM86" s="7" cm="1">
        <f t="array" ref="BM86">IF(BM$8=-1,BN86,IF(BM$8=99,BL86,IF(BM$8=0,INDEX($E86:$K86,0,BM$6),(INDEX($E86:$K86,0,BM$8+1)-INDEX($E86:$K86,0,BM$8))/(INDEX($D$5:$J$5,0,BM$8+1)-INDEX($D$5:$J$5,0,BM$8))+BL86)))</f>
        <v>85.092975947649165</v>
      </c>
      <c r="BN86" s="7" cm="1">
        <f t="array" ref="BN86">IF(BN$8=-1,BO86,IF(BN$8=99,BM86,IF(BN$8=0,INDEX($E86:$K86,0,BN$6),(INDEX($E86:$K86,0,BN$8+1)-INDEX($E86:$K86,0,BN$8))/(INDEX($D$5:$J$5,0,BN$8+1)-INDEX($D$5:$J$5,0,BN$8))+BM86)))</f>
        <v>84.361785810277283</v>
      </c>
      <c r="BO86" s="7" cm="1">
        <f t="array" ref="BO86">IF(BO$8=-1,BP86,IF(BO$8=99,BN86,IF(BO$8=0,INDEX($E86:$K86,0,BO$6),(INDEX($E86:$K86,0,BO$8+1)-INDEX($E86:$K86,0,BO$8))/(INDEX($D$5:$J$5,0,BO$8+1)-INDEX($D$5:$J$5,0,BO$8))+BN86)))</f>
        <v>83.6305956729054</v>
      </c>
      <c r="BP86" s="7" cm="1">
        <f t="array" ref="BP86">IF(BP$8=-1,BQ86,IF(BP$8=99,BO86,IF(BP$8=0,INDEX($E86:$K86,0,BP$6),(INDEX($E86:$K86,0,BP$8+1)-INDEX($E86:$K86,0,BP$8))/(INDEX($D$5:$J$5,0,BP$8+1)-INDEX($D$5:$J$5,0,BP$8))+BO86)))</f>
        <v>82.899405535533518</v>
      </c>
      <c r="BQ86" s="7" cm="1">
        <f t="array" ref="BQ86">IF(BQ$8=-1,BR86,IF(BQ$8=99,BP86,IF(BQ$8=0,INDEX($E86:$K86,0,BQ$6),(INDEX($E86:$K86,0,BQ$8+1)-INDEX($E86:$K86,0,BQ$8))/(INDEX($D$5:$J$5,0,BQ$8+1)-INDEX($D$5:$J$5,0,BQ$8))+BP86)))</f>
        <v>82.168215398161635</v>
      </c>
      <c r="BR86" s="7" cm="1">
        <f t="array" ref="BR86">IF(BR$8=-1,BS86,IF(BR$8=99,BQ86,IF(BR$8=0,INDEX($E86:$K86,0,BR$6),(INDEX($E86:$K86,0,BR$8+1)-INDEX($E86:$K86,0,BR$8))/(INDEX($D$5:$J$5,0,BR$8+1)-INDEX($D$5:$J$5,0,BR$8))+BQ86)))</f>
        <v>81.437025260789753</v>
      </c>
    </row>
    <row r="87" spans="1:70">
      <c r="A87" t="s">
        <v>16</v>
      </c>
      <c r="B87" s="1" t="s">
        <v>240</v>
      </c>
      <c r="C87" s="91" t="str">
        <f t="shared" si="145"/>
        <v>Commercial - Public lights</v>
      </c>
      <c r="D87" s="91" t="s">
        <v>66</v>
      </c>
      <c r="E87" s="146">
        <f t="shared" si="148"/>
        <v>0</v>
      </c>
      <c r="F87" s="88">
        <f t="shared" si="148"/>
        <v>0</v>
      </c>
      <c r="G87" s="147">
        <f t="shared" si="146"/>
        <v>0</v>
      </c>
      <c r="H87" s="88">
        <f t="shared" ref="H87:H88" si="153">$G87*(1-H$80)</f>
        <v>0</v>
      </c>
      <c r="I87" s="88">
        <f t="shared" ref="I87:K88" si="154">$G87*(1-I$80)</f>
        <v>0</v>
      </c>
      <c r="J87" s="88">
        <f t="shared" si="154"/>
        <v>0</v>
      </c>
      <c r="K87" s="88">
        <f t="shared" si="154"/>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c r="A88" t="s">
        <v>16</v>
      </c>
      <c r="B88" s="1" t="s">
        <v>241</v>
      </c>
      <c r="C88" s="91" t="str">
        <f t="shared" si="145"/>
        <v>Commercial - Public Water</v>
      </c>
      <c r="D88" s="91" t="s">
        <v>66</v>
      </c>
      <c r="E88" s="146">
        <f t="shared" si="148"/>
        <v>0</v>
      </c>
      <c r="F88" s="88">
        <f t="shared" si="148"/>
        <v>0</v>
      </c>
      <c r="G88" s="147">
        <f t="shared" si="146"/>
        <v>0</v>
      </c>
      <c r="H88" s="88">
        <f t="shared" si="153"/>
        <v>0</v>
      </c>
      <c r="I88" s="88">
        <f t="shared" si="154"/>
        <v>0</v>
      </c>
      <c r="J88" s="88">
        <f t="shared" si="154"/>
        <v>0</v>
      </c>
      <c r="K88" s="88">
        <f t="shared" si="154"/>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c r="A89" t="s">
        <v>16</v>
      </c>
      <c r="B89" s="1" t="s">
        <v>242</v>
      </c>
      <c r="C89" s="71" t="str">
        <f t="shared" si="145"/>
        <v>Commercial - Other</v>
      </c>
      <c r="D89" s="71" t="s">
        <v>66</v>
      </c>
      <c r="E89" s="80">
        <f t="shared" si="148"/>
        <v>141.24997285391106</v>
      </c>
      <c r="F89" s="88">
        <f t="shared" si="148"/>
        <v>145.08075848468391</v>
      </c>
      <c r="G89" s="88">
        <f t="shared" si="146"/>
        <v>145.08075848468391</v>
      </c>
      <c r="H89" s="88">
        <f t="shared" ref="H89" si="155">IF($N$57=-1,G89,((F89-E89)*2/5+E89)*(1+$H$80*$T64))</f>
        <v>142.7822871062202</v>
      </c>
      <c r="I89" s="88">
        <f t="shared" ref="I89" si="156">IF($N$57=-1,H89,((G89-F89)*2/5+F89)*(1+$H$80*$T64))</f>
        <v>145.08075848468391</v>
      </c>
      <c r="J89" s="88">
        <f t="shared" ref="J89" si="157">IF($N$57=-1,I89,((H89-G89)*2/5+G89)*(1+$H$80*$T64))</f>
        <v>144.16136993329843</v>
      </c>
      <c r="K89" s="88">
        <f t="shared" ref="K89" si="158">IF($N$57=-1,J89,((I89-H89)*2/5+H89)*(1+$H$80*$T64))</f>
        <v>143.70167565760568</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144.85091134683753</v>
      </c>
      <c r="V89" s="7" cm="1">
        <f t="array" ref="V89">IF(V$8=-1,W89,IF(V$8=99,U89,IF(V$8=0,INDEX($E89:$I89,0,V$6),(INDEX($E89:$I89,0,V$8+1)-INDEX($E89:$I89,0,V$8))/(INDEX($D$5:$H$5,0,V$8+1)-INDEX($D$5:$H$5,0,V$8))+U89)))</f>
        <v>144.62106420899116</v>
      </c>
      <c r="W89" s="7" cm="1">
        <f t="array" ref="W89">IF(W$8=-1,X89,IF(W$8=99,V89,IF(W$8=0,INDEX($E89:$I89,0,W$6),(INDEX($E89:$I89,0,W$8+1)-INDEX($E89:$I89,0,W$8))/(INDEX($D$5:$H$5,0,W$8+1)-INDEX($D$5:$H$5,0,W$8))+V89)))</f>
        <v>144.39121707114478</v>
      </c>
      <c r="X89" s="7" cm="1">
        <f t="array" ref="X89">IF(X$8=-1,Y89,IF(X$8=99,W89,IF(X$8=0,INDEX($E89:$I89,0,X$6),(INDEX($E89:$I89,0,X$8+1)-INDEX($E89:$I89,0,X$8))/(INDEX($D$5:$H$5,0,X$8+1)-INDEX($D$5:$H$5,0,X$8))+W89)))</f>
        <v>144.1613699332984</v>
      </c>
      <c r="Y89" s="7" cm="1">
        <f t="array" ref="Y89">IF(Y$8=-1,Z89,IF(Y$8=99,X89,IF(Y$8=0,INDEX($E89:$I89,0,Y$6),(INDEX($E89:$I89,0,Y$8+1)-INDEX($E89:$I89,0,Y$8))/(INDEX($D$5:$H$5,0,Y$8+1)-INDEX($D$5:$H$5,0,Y$8))+X89)))</f>
        <v>143.93152279545203</v>
      </c>
      <c r="Z89" s="7" cm="1">
        <f t="array" ref="Z89">IF(Z$8=-1,AA89,IF(Z$8=99,Y89,IF(Z$8=0,INDEX($E89:$I89,0,Z$6),(INDEX($E89:$I89,0,Z$8+1)-INDEX($E89:$I89,0,Z$8))/(INDEX($D$5:$H$5,0,Z$8+1)-INDEX($D$5:$H$5,0,Z$8))+Y89)))</f>
        <v>143.70167565760565</v>
      </c>
      <c r="AA89" s="7" cm="1">
        <f t="array" ref="AA89">IF(AA$8=-1,AB89,IF(AA$8=99,Z89,IF(AA$8=0,INDEX($E89:$I89,0,AA$6),(INDEX($E89:$I89,0,AA$8+1)-INDEX($E89:$I89,0,AA$8))/(INDEX($D$5:$H$5,0,AA$8+1)-INDEX($D$5:$H$5,0,AA$8))+Z89)))</f>
        <v>143.47182851975927</v>
      </c>
      <c r="AB89" s="7" cm="1">
        <f t="array" ref="AB89">IF(AB$8=-1,AC89,IF(AB$8=99,AA89,IF(AB$8=0,INDEX($E89:$I89,0,AB$6),(INDEX($E89:$I89,0,AB$8+1)-INDEX($E89:$I89,0,AB$8))/(INDEX($D$5:$H$5,0,AB$8+1)-INDEX($D$5:$H$5,0,AB$8))+AA89)))</f>
        <v>143.24198138191289</v>
      </c>
      <c r="AC89" s="7" cm="1">
        <f t="array" ref="AC89">IF(AC$8=-1,AD89,IF(AC$8=99,AB89,IF(AC$8=0,INDEX($E89:$I89,0,AC$6),(INDEX($E89:$I89,0,AC$8+1)-INDEX($E89:$I89,0,AC$8))/(INDEX($D$5:$H$5,0,AC$8+1)-INDEX($D$5:$H$5,0,AC$8))+AB89)))</f>
        <v>143.01213424406652</v>
      </c>
      <c r="AD89" s="7" cm="1">
        <f t="array" ref="AD89">IF(AD$8=-1,AE89,IF(AD$8=99,AC89,IF(AD$8=0,INDEX($E89:$I89,0,AD$6),(INDEX($E89:$I89,0,AD$8+1)-INDEX($E89:$I89,0,AD$8))/(INDEX($D$5:$H$5,0,AD$8+1)-INDEX($D$5:$H$5,0,AD$8))+AC89)))</f>
        <v>142.7822871062202</v>
      </c>
      <c r="AE89" s="7" cm="1">
        <f t="array" ref="AE89">IF(AE$8=-1,AF89,IF(AE$8=99,AD89,IF(AE$8=0,INDEX($E89:$I89,0,AE$6),(INDEX($E89:$I89,0,AE$8+1)-INDEX($E89:$I89,0,AE$8))/(INDEX($D$5:$H$5,0,AE$8+1)-INDEX($D$5:$H$5,0,AE$8))+AD89)))</f>
        <v>143.01213424406657</v>
      </c>
      <c r="AF89" s="7" cm="1">
        <f t="array" ref="AF89">IF(AF$8=-1,AG89,IF(AF$8=99,AE89,IF(AF$8=0,INDEX($E89:$I89,0,AF$6),(INDEX($E89:$I89,0,AF$8+1)-INDEX($E89:$I89,0,AF$8))/(INDEX($D$5:$H$5,0,AF$8+1)-INDEX($D$5:$H$5,0,AF$8))+AE89)))</f>
        <v>143.24198138191295</v>
      </c>
      <c r="AG89" s="7" cm="1">
        <f t="array" ref="AG89">IF(AG$8=-1,AH89,IF(AG$8=99,AF89,IF(AG$8=0,INDEX($E89:$I89,0,AG$6),(INDEX($E89:$I89,0,AG$8+1)-INDEX($E89:$I89,0,AG$8))/(INDEX($D$5:$H$5,0,AG$8+1)-INDEX($D$5:$H$5,0,AG$8))+AF89)))</f>
        <v>143.47182851975933</v>
      </c>
      <c r="AH89" s="7" cm="1">
        <f t="array" ref="AH89">IF(AH$8=-1,AI89,IF(AH$8=99,AG89,IF(AH$8=0,INDEX($E89:$I89,0,AH$6),(INDEX($E89:$I89,0,AH$8+1)-INDEX($E89:$I89,0,AH$8))/(INDEX($D$5:$H$5,0,AH$8+1)-INDEX($D$5:$H$5,0,AH$8))+AG89)))</f>
        <v>143.7016756576057</v>
      </c>
      <c r="AI89" s="7" cm="1">
        <f t="array" ref="AI89">IF(AI$8=-1,AJ89,IF(AI$8=99,AH89,IF(AI$8=0,INDEX($E89:$I89,0,AI$6),(INDEX($E89:$I89,0,AI$8+1)-INDEX($E89:$I89,0,AI$8))/(INDEX($D$5:$H$5,0,AI$8+1)-INDEX($D$5:$H$5,0,AI$8))+AH89)))</f>
        <v>143.93152279545208</v>
      </c>
      <c r="AJ89" s="7" cm="1">
        <f t="array" ref="AJ89">IF(AJ$8=-1,AK89,IF(AJ$8=99,AI89,IF(AJ$8=0,INDEX($E89:$I89,0,AJ$6),(INDEX($E89:$I89,0,AJ$8+1)-INDEX($E89:$I89,0,AJ$8))/(INDEX($D$5:$H$5,0,AJ$8+1)-INDEX($D$5:$H$5,0,AJ$8))+AI89)))</f>
        <v>144.16136993329846</v>
      </c>
      <c r="AK89" s="7" cm="1">
        <f t="array" ref="AK89">IF(AK$8=-1,AL89,IF(AK$8=99,AJ89,IF(AK$8=0,INDEX($E89:$I89,0,AK$6),(INDEX($E89:$I89,0,AK$8+1)-INDEX($E89:$I89,0,AK$8))/(INDEX($D$5:$H$5,0,AK$8+1)-INDEX($D$5:$H$5,0,AK$8))+AJ89)))</f>
        <v>144.39121707114484</v>
      </c>
      <c r="AL89" s="7" cm="1">
        <f t="array" ref="AL89">IF(AL$8=-1,AM89,IF(AL$8=99,AK89,IF(AL$8=0,INDEX($E89:$I89,0,AL$6),(INDEX($E89:$I89,0,AL$8+1)-INDEX($E89:$I89,0,AL$8))/(INDEX($D$5:$H$5,0,AL$8+1)-INDEX($D$5:$H$5,0,AL$8))+AK89)))</f>
        <v>144.62106420899121</v>
      </c>
      <c r="AM89" s="7" cm="1">
        <f t="array" ref="AM89">IF(AM$8=-1,AN89,IF(AM$8=99,AL89,IF(AM$8=0,INDEX($E89:$I89,0,AM$6),(INDEX($E89:$I89,0,AM$8+1)-INDEX($E89:$I89,0,AM$8))/(INDEX($D$5:$H$5,0,AM$8+1)-INDEX($D$5:$H$5,0,AM$8))+AL89)))</f>
        <v>144.85091134683759</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144.98881962954536</v>
      </c>
      <c r="AP89" s="7" cm="1">
        <f t="array" ref="AP89">IF(AP$8=-1,AQ89,IF(AP$8=99,AO89,IF(AP$8=0,INDEX($E89:$K89,0,AP$6),(INDEX($E89:$K89,0,AP$8+1)-INDEX($E89:$K89,0,AP$8))/(INDEX($D$5:$J$5,0,AP$8+1)-INDEX($D$5:$J$5,0,AP$8))+AO89)))</f>
        <v>144.89688077440681</v>
      </c>
      <c r="AQ89" s="7" cm="1">
        <f t="array" ref="AQ89">IF(AQ$8=-1,AR89,IF(AQ$8=99,AP89,IF(AQ$8=0,INDEX($E89:$K89,0,AQ$6),(INDEX($E89:$K89,0,AQ$8+1)-INDEX($E89:$K89,0,AQ$8))/(INDEX($D$5:$J$5,0,AQ$8+1)-INDEX($D$5:$J$5,0,AQ$8))+AP89)))</f>
        <v>144.80494191926826</v>
      </c>
      <c r="AR89" s="7" cm="1">
        <f t="array" ref="AR89">IF(AR$8=-1,AS89,IF(AR$8=99,AQ89,IF(AR$8=0,INDEX($E89:$K89,0,AR$6),(INDEX($E89:$K89,0,AR$8+1)-INDEX($E89:$K89,0,AR$8))/(INDEX($D$5:$J$5,0,AR$8+1)-INDEX($D$5:$J$5,0,AR$8))+AQ89)))</f>
        <v>144.71300306412971</v>
      </c>
      <c r="AS89" s="7" cm="1">
        <f t="array" ref="AS89">IF(AS$8=-1,AT89,IF(AS$8=99,AR89,IF(AS$8=0,INDEX($E89:$K89,0,AS$6),(INDEX($E89:$K89,0,AS$8+1)-INDEX($E89:$K89,0,AS$8))/(INDEX($D$5:$J$5,0,AS$8+1)-INDEX($D$5:$J$5,0,AS$8))+AR89)))</f>
        <v>144.62106420899116</v>
      </c>
      <c r="AT89" s="7" cm="1">
        <f t="array" ref="AT89">IF(AT$8=-1,AU89,IF(AT$8=99,AS89,IF(AT$8=0,INDEX($E89:$K89,0,AT$6),(INDEX($E89:$K89,0,AT$8+1)-INDEX($E89:$K89,0,AT$8))/(INDEX($D$5:$J$5,0,AT$8+1)-INDEX($D$5:$J$5,0,AT$8))+AS89)))</f>
        <v>144.52912535385261</v>
      </c>
      <c r="AU89" s="7" cm="1">
        <f t="array" ref="AU89">IF(AU$8=-1,AV89,IF(AU$8=99,AT89,IF(AU$8=0,INDEX($E89:$K89,0,AU$6),(INDEX($E89:$K89,0,AU$8+1)-INDEX($E89:$K89,0,AU$8))/(INDEX($D$5:$J$5,0,AU$8+1)-INDEX($D$5:$J$5,0,AU$8))+AT89)))</f>
        <v>144.43718649871406</v>
      </c>
      <c r="AV89" s="7" cm="1">
        <f t="array" ref="AV89">IF(AV$8=-1,AW89,IF(AV$8=99,AU89,IF(AV$8=0,INDEX($E89:$K89,0,AV$6),(INDEX($E89:$K89,0,AV$8+1)-INDEX($E89:$K89,0,AV$8))/(INDEX($D$5:$J$5,0,AV$8+1)-INDEX($D$5:$J$5,0,AV$8))+AU89)))</f>
        <v>144.3452476435755</v>
      </c>
      <c r="AW89" s="7" cm="1">
        <f t="array" ref="AW89">IF(AW$8=-1,AX89,IF(AW$8=99,AV89,IF(AW$8=0,INDEX($E89:$K89,0,AW$6),(INDEX($E89:$K89,0,AW$8+1)-INDEX($E89:$K89,0,AW$8))/(INDEX($D$5:$J$5,0,AW$8+1)-INDEX($D$5:$J$5,0,AW$8))+AV89)))</f>
        <v>144.25330878843695</v>
      </c>
      <c r="AX89" s="7" cm="1">
        <f t="array" ref="AX89">IF(AX$8=-1,AY89,IF(AX$8=99,AW89,IF(AX$8=0,INDEX($E89:$K89,0,AX$6),(INDEX($E89:$K89,0,AX$8+1)-INDEX($E89:$K89,0,AX$8))/(INDEX($D$5:$J$5,0,AX$8+1)-INDEX($D$5:$J$5,0,AX$8))+AW89)))</f>
        <v>144.1613699332984</v>
      </c>
      <c r="AY89" s="7" cm="1">
        <f t="array" ref="AY89">IF(AY$8=-1,AZ89,IF(AY$8=99,AX89,IF(AY$8=0,INDEX($E89:$K89,0,AY$6),(INDEX($E89:$K89,0,AY$8+1)-INDEX($E89:$K89,0,AY$8))/(INDEX($D$5:$J$5,0,AY$8+1)-INDEX($D$5:$J$5,0,AY$8))+AX89)))</f>
        <v>144.06943107815985</v>
      </c>
      <c r="AZ89" s="7" cm="1">
        <f t="array" ref="AZ89">IF(AZ$8=-1,BA89,IF(AZ$8=99,AY89,IF(AZ$8=0,INDEX($E89:$K89,0,AZ$6),(INDEX($E89:$K89,0,AZ$8+1)-INDEX($E89:$K89,0,AZ$8))/(INDEX($D$5:$J$5,0,AZ$8+1)-INDEX($D$5:$J$5,0,AZ$8))+AY89)))</f>
        <v>143.9774922230213</v>
      </c>
      <c r="BA89" s="7" cm="1">
        <f t="array" ref="BA89">IF(BA$8=-1,BB89,IF(BA$8=99,AZ89,IF(BA$8=0,INDEX($E89:$K89,0,BA$6),(INDEX($E89:$K89,0,BA$8+1)-INDEX($E89:$K89,0,BA$8))/(INDEX($D$5:$J$5,0,BA$8+1)-INDEX($D$5:$J$5,0,BA$8))+AZ89)))</f>
        <v>143.88555336788275</v>
      </c>
      <c r="BB89" s="7" cm="1">
        <f t="array" ref="BB89">IF(BB$8=-1,BC89,IF(BB$8=99,BA89,IF(BB$8=0,INDEX($E89:$K89,0,BB$6),(INDEX($E89:$K89,0,BB$8+1)-INDEX($E89:$K89,0,BB$8))/(INDEX($D$5:$J$5,0,BB$8+1)-INDEX($D$5:$J$5,0,BB$8))+BA89)))</f>
        <v>143.7936145127442</v>
      </c>
      <c r="BC89" s="7" cm="1">
        <f t="array" ref="BC89">IF(BC$8=-1,BD89,IF(BC$8=99,BB89,IF(BC$8=0,INDEX($E89:$K89,0,BC$6),(INDEX($E89:$K89,0,BC$8+1)-INDEX($E89:$K89,0,BC$8))/(INDEX($D$5:$J$5,0,BC$8+1)-INDEX($D$5:$J$5,0,BC$8))+BB89)))</f>
        <v>143.70167565760565</v>
      </c>
      <c r="BD89" s="7" cm="1">
        <f t="array" ref="BD89">IF(BD$8=-1,BE89,IF(BD$8=99,BC89,IF(BD$8=0,INDEX($E89:$K89,0,BD$6),(INDEX($E89:$K89,0,BD$8+1)-INDEX($E89:$K89,0,BD$8))/(INDEX($D$5:$J$5,0,BD$8+1)-INDEX($D$5:$J$5,0,BD$8))+BC89)))</f>
        <v>143.6097368024671</v>
      </c>
      <c r="BE89" s="7" cm="1">
        <f t="array" ref="BE89">IF(BE$8=-1,BF89,IF(BE$8=99,BD89,IF(BE$8=0,INDEX($E89:$K89,0,BE$6),(INDEX($E89:$K89,0,BE$8+1)-INDEX($E89:$K89,0,BE$8))/(INDEX($D$5:$J$5,0,BE$8+1)-INDEX($D$5:$J$5,0,BE$8))+BD89)))</f>
        <v>143.51779794732855</v>
      </c>
      <c r="BF89" s="7" cm="1">
        <f t="array" ref="BF89">IF(BF$8=-1,BG89,IF(BF$8=99,BE89,IF(BF$8=0,INDEX($E89:$K89,0,BF$6),(INDEX($E89:$K89,0,BF$8+1)-INDEX($E89:$K89,0,BF$8))/(INDEX($D$5:$J$5,0,BF$8+1)-INDEX($D$5:$J$5,0,BF$8))+BE89)))</f>
        <v>143.42585909219</v>
      </c>
      <c r="BG89" s="7" cm="1">
        <f t="array" ref="BG89">IF(BG$8=-1,BH89,IF(BG$8=99,BF89,IF(BG$8=0,INDEX($E89:$K89,0,BG$6),(INDEX($E89:$K89,0,BG$8+1)-INDEX($E89:$K89,0,BG$8))/(INDEX($D$5:$J$5,0,BG$8+1)-INDEX($D$5:$J$5,0,BG$8))+BF89)))</f>
        <v>143.33392023705144</v>
      </c>
      <c r="BH89" s="7" cm="1">
        <f t="array" ref="BH89">IF(BH$8=-1,BI89,IF(BH$8=99,BG89,IF(BH$8=0,INDEX($E89:$K89,0,BH$6),(INDEX($E89:$K89,0,BH$8+1)-INDEX($E89:$K89,0,BH$8))/(INDEX($D$5:$J$5,0,BH$8+1)-INDEX($D$5:$J$5,0,BH$8))+BG89)))</f>
        <v>143.24198138191289</v>
      </c>
      <c r="BI89" s="7" cm="1">
        <f t="array" ref="BI89">IF(BI$8=-1,BJ89,IF(BI$8=99,BH89,IF(BI$8=0,INDEX($E89:$K89,0,BI$6),(INDEX($E89:$K89,0,BI$8+1)-INDEX($E89:$K89,0,BI$8))/(INDEX($D$5:$J$5,0,BI$8+1)-INDEX($D$5:$J$5,0,BI$8))+BH89)))</f>
        <v>143.15004252677434</v>
      </c>
      <c r="BJ89" s="7" cm="1">
        <f t="array" ref="BJ89">IF(BJ$8=-1,BK89,IF(BJ$8=99,BI89,IF(BJ$8=0,INDEX($E89:$K89,0,BJ$6),(INDEX($E89:$K89,0,BJ$8+1)-INDEX($E89:$K89,0,BJ$8))/(INDEX($D$5:$J$5,0,BJ$8+1)-INDEX($D$5:$J$5,0,BJ$8))+BI89)))</f>
        <v>143.05810367163579</v>
      </c>
      <c r="BK89" s="7" cm="1">
        <f t="array" ref="BK89">IF(BK$8=-1,BL89,IF(BK$8=99,BJ89,IF(BK$8=0,INDEX($E89:$K89,0,BK$6),(INDEX($E89:$K89,0,BK$8+1)-INDEX($E89:$K89,0,BK$8))/(INDEX($D$5:$J$5,0,BK$8+1)-INDEX($D$5:$J$5,0,BK$8))+BJ89)))</f>
        <v>142.96616481649724</v>
      </c>
      <c r="BL89" s="7" cm="1">
        <f t="array" ref="BL89">IF(BL$8=-1,BM89,IF(BL$8=99,BK89,IF(BL$8=0,INDEX($E89:$K89,0,BL$6),(INDEX($E89:$K89,0,BL$8+1)-INDEX($E89:$K89,0,BL$8))/(INDEX($D$5:$J$5,0,BL$8+1)-INDEX($D$5:$J$5,0,BL$8))+BK89)))</f>
        <v>142.87422596135869</v>
      </c>
      <c r="BM89" s="7" cm="1">
        <f t="array" ref="BM89">IF(BM$8=-1,BN89,IF(BM$8=99,BL89,IF(BM$8=0,INDEX($E89:$K89,0,BM$6),(INDEX($E89:$K89,0,BM$8+1)-INDEX($E89:$K89,0,BM$8))/(INDEX($D$5:$J$5,0,BM$8+1)-INDEX($D$5:$J$5,0,BM$8))+BL89)))</f>
        <v>142.78228710622014</v>
      </c>
      <c r="BN89" s="7" cm="1">
        <f t="array" ref="BN89">IF(BN$8=-1,BO89,IF(BN$8=99,BM89,IF(BN$8=0,INDEX($E89:$K89,0,BN$6),(INDEX($E89:$K89,0,BN$8+1)-INDEX($E89:$K89,0,BN$8))/(INDEX($D$5:$J$5,0,BN$8+1)-INDEX($D$5:$J$5,0,BN$8))+BM89)))</f>
        <v>142.69034825108159</v>
      </c>
      <c r="BO89" s="7" cm="1">
        <f t="array" ref="BO89">IF(BO$8=-1,BP89,IF(BO$8=99,BN89,IF(BO$8=0,INDEX($E89:$K89,0,BO$6),(INDEX($E89:$K89,0,BO$8+1)-INDEX($E89:$K89,0,BO$8))/(INDEX($D$5:$J$5,0,BO$8+1)-INDEX($D$5:$J$5,0,BO$8))+BN89)))</f>
        <v>142.59840939594304</v>
      </c>
      <c r="BP89" s="7" cm="1">
        <f t="array" ref="BP89">IF(BP$8=-1,BQ89,IF(BP$8=99,BO89,IF(BP$8=0,INDEX($E89:$K89,0,BP$6),(INDEX($E89:$K89,0,BP$8+1)-INDEX($E89:$K89,0,BP$8))/(INDEX($D$5:$J$5,0,BP$8+1)-INDEX($D$5:$J$5,0,BP$8))+BO89)))</f>
        <v>142.50647054080449</v>
      </c>
      <c r="BQ89" s="7" cm="1">
        <f t="array" ref="BQ89">IF(BQ$8=-1,BR89,IF(BQ$8=99,BP89,IF(BQ$8=0,INDEX($E89:$K89,0,BQ$6),(INDEX($E89:$K89,0,BQ$8+1)-INDEX($E89:$K89,0,BQ$8))/(INDEX($D$5:$J$5,0,BQ$8+1)-INDEX($D$5:$J$5,0,BQ$8))+BP89)))</f>
        <v>142.41453168566593</v>
      </c>
      <c r="BR89" s="7" cm="1">
        <f t="array" ref="BR89">IF(BR$8=-1,BS89,IF(BR$8=99,BQ89,IF(BR$8=0,INDEX($E89:$K89,0,BR$6),(INDEX($E89:$K89,0,BR$8+1)-INDEX($E89:$K89,0,BR$8))/(INDEX($D$5:$J$5,0,BR$8+1)-INDEX($D$5:$J$5,0,BR$8))+BQ89)))</f>
        <v>142.32259283052738</v>
      </c>
    </row>
    <row r="90" spans="1:70">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75" thickBot="1">
      <c r="A91" t="s">
        <v>16</v>
      </c>
      <c r="B91" s="87" t="s">
        <v>468</v>
      </c>
      <c r="C91" s="68"/>
      <c r="D91" s="69"/>
      <c r="H91" s="123">
        <f>VLOOKUP($N$57,$M$59:$Q$62,3)</f>
        <v>0.05</v>
      </c>
      <c r="I91" s="154">
        <f>VLOOKUP($N$57,$M$59:$Q$66,5)</f>
        <v>0.1</v>
      </c>
      <c r="J91" s="154">
        <f t="shared" ref="J91:K91" si="159">VLOOKUP($N$57,$M$59:$Q$66,5)</f>
        <v>0.1</v>
      </c>
      <c r="K91" s="154">
        <f t="shared" si="159"/>
        <v>0.1</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c r="A92" t="s">
        <v>16</v>
      </c>
      <c r="B92" s="1" t="str">
        <f>B70</f>
        <v>CEC</v>
      </c>
      <c r="C92" s="71" t="str">
        <f t="shared" ref="C92:C100" si="160">C81</f>
        <v>Commercial - Cooling</v>
      </c>
      <c r="D92" s="71" t="s">
        <v>66</v>
      </c>
      <c r="E92" s="80">
        <f>E81</f>
        <v>1051.567060091289</v>
      </c>
      <c r="F92" s="88">
        <f>F81</f>
        <v>922.3353159822409</v>
      </c>
      <c r="G92" s="88">
        <f t="shared" ref="G92:G100" si="161">F92</f>
        <v>922.3353159822409</v>
      </c>
      <c r="H92" s="88">
        <f>$G92*(1-H$91*$T56)</f>
        <v>901.58277137264054</v>
      </c>
      <c r="I92" s="88">
        <f t="shared" ref="I92:K92" si="162">$G92*(1-I$91*$T56)</f>
        <v>880.83022676304006</v>
      </c>
      <c r="J92" s="88">
        <f t="shared" si="162"/>
        <v>880.83022676304006</v>
      </c>
      <c r="K92" s="88">
        <f t="shared" si="162"/>
        <v>880.83022676304006</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920.26006152128082</v>
      </c>
      <c r="V92" s="7" cm="1">
        <f t="array" ref="V92">IF(V$8=-1,W92,IF(V$8=99,U92,IF(V$8=0,INDEX($E92:$I92,0,V$6),(INDEX($E92:$I92,0,V$8+1)-INDEX($E92:$I92,0,V$8))/(INDEX($D$5:$H$5,0,V$8+1)-INDEX($D$5:$H$5,0,V$8))+U92)))</f>
        <v>918.18480706032074</v>
      </c>
      <c r="W92" s="7" cm="1">
        <f t="array" ref="W92">IF(W$8=-1,X92,IF(W$8=99,V92,IF(W$8=0,INDEX($E92:$I92,0,W$6),(INDEX($E92:$I92,0,W$8+1)-INDEX($E92:$I92,0,W$8))/(INDEX($D$5:$H$5,0,W$8+1)-INDEX($D$5:$H$5,0,W$8))+V92)))</f>
        <v>916.10955259936065</v>
      </c>
      <c r="X92" s="7" cm="1">
        <f t="array" ref="X92">IF(X$8=-1,Y92,IF(X$8=99,W92,IF(X$8=0,INDEX($E92:$I92,0,X$6),(INDEX($E92:$I92,0,X$8+1)-INDEX($E92:$I92,0,X$8))/(INDEX($D$5:$H$5,0,X$8+1)-INDEX($D$5:$H$5,0,X$8))+W92)))</f>
        <v>914.03429813840057</v>
      </c>
      <c r="Y92" s="7" cm="1">
        <f t="array" ref="Y92">IF(Y$8=-1,Z92,IF(Y$8=99,X92,IF(Y$8=0,INDEX($E92:$I92,0,Y$6),(INDEX($E92:$I92,0,Y$8+1)-INDEX($E92:$I92,0,Y$8))/(INDEX($D$5:$H$5,0,Y$8+1)-INDEX($D$5:$H$5,0,Y$8))+X92)))</f>
        <v>911.95904367744049</v>
      </c>
      <c r="Z92" s="7" cm="1">
        <f t="array" ref="Z92">IF(Z$8=-1,AA92,IF(Z$8=99,Y92,IF(Z$8=0,INDEX($E92:$I92,0,Z$6),(INDEX($E92:$I92,0,Z$8+1)-INDEX($E92:$I92,0,Z$8))/(INDEX($D$5:$H$5,0,Z$8+1)-INDEX($D$5:$H$5,0,Z$8))+Y92)))</f>
        <v>909.88378921648041</v>
      </c>
      <c r="AA92" s="7" cm="1">
        <f t="array" ref="AA92">IF(AA$8=-1,AB92,IF(AA$8=99,Z92,IF(AA$8=0,INDEX($E92:$I92,0,AA$6),(INDEX($E92:$I92,0,AA$8+1)-INDEX($E92:$I92,0,AA$8))/(INDEX($D$5:$H$5,0,AA$8+1)-INDEX($D$5:$H$5,0,AA$8))+Z92)))</f>
        <v>907.80853475552033</v>
      </c>
      <c r="AB92" s="7" cm="1">
        <f t="array" ref="AB92">IF(AB$8=-1,AC92,IF(AB$8=99,AA92,IF(AB$8=0,INDEX($E92:$I92,0,AB$6),(INDEX($E92:$I92,0,AB$8+1)-INDEX($E92:$I92,0,AB$8))/(INDEX($D$5:$H$5,0,AB$8+1)-INDEX($D$5:$H$5,0,AB$8))+AA92)))</f>
        <v>905.73328029456025</v>
      </c>
      <c r="AC92" s="7" cm="1">
        <f t="array" ref="AC92">IF(AC$8=-1,AD92,IF(AC$8=99,AB92,IF(AC$8=0,INDEX($E92:$I92,0,AC$6),(INDEX($E92:$I92,0,AC$8+1)-INDEX($E92:$I92,0,AC$8))/(INDEX($D$5:$H$5,0,AC$8+1)-INDEX($D$5:$H$5,0,AC$8))+AB92)))</f>
        <v>903.65802583360016</v>
      </c>
      <c r="AD92" s="7" cm="1">
        <f t="array" ref="AD92">IF(AD$8=-1,AE92,IF(AD$8=99,AC92,IF(AD$8=0,INDEX($E92:$I92,0,AD$6),(INDEX($E92:$I92,0,AD$8+1)-INDEX($E92:$I92,0,AD$8))/(INDEX($D$5:$H$5,0,AD$8+1)-INDEX($D$5:$H$5,0,AD$8))+AC92)))</f>
        <v>901.58277137264054</v>
      </c>
      <c r="AE92" s="7" cm="1">
        <f t="array" ref="AE92">IF(AE$8=-1,AF92,IF(AE$8=99,AD92,IF(AE$8=0,INDEX($E92:$I92,0,AE$6),(INDEX($E92:$I92,0,AE$8+1)-INDEX($E92:$I92,0,AE$8))/(INDEX($D$5:$H$5,0,AE$8+1)-INDEX($D$5:$H$5,0,AE$8))+AD92)))</f>
        <v>899.50751691168045</v>
      </c>
      <c r="AF92" s="7" cm="1">
        <f t="array" ref="AF92">IF(AF$8=-1,AG92,IF(AF$8=99,AE92,IF(AF$8=0,INDEX($E92:$I92,0,AF$6),(INDEX($E92:$I92,0,AF$8+1)-INDEX($E92:$I92,0,AF$8))/(INDEX($D$5:$H$5,0,AF$8+1)-INDEX($D$5:$H$5,0,AF$8))+AE92)))</f>
        <v>897.43226245072037</v>
      </c>
      <c r="AG92" s="7" cm="1">
        <f t="array" ref="AG92">IF(AG$8=-1,AH92,IF(AG$8=99,AF92,IF(AG$8=0,INDEX($E92:$I92,0,AG$6),(INDEX($E92:$I92,0,AG$8+1)-INDEX($E92:$I92,0,AG$8))/(INDEX($D$5:$H$5,0,AG$8+1)-INDEX($D$5:$H$5,0,AG$8))+AF92)))</f>
        <v>895.35700798976029</v>
      </c>
      <c r="AH92" s="7" cm="1">
        <f t="array" ref="AH92">IF(AH$8=-1,AI92,IF(AH$8=99,AG92,IF(AH$8=0,INDEX($E92:$I92,0,AH$6),(INDEX($E92:$I92,0,AH$8+1)-INDEX($E92:$I92,0,AH$8))/(INDEX($D$5:$H$5,0,AH$8+1)-INDEX($D$5:$H$5,0,AH$8))+AG92)))</f>
        <v>893.28175352880021</v>
      </c>
      <c r="AI92" s="7" cm="1">
        <f t="array" ref="AI92">IF(AI$8=-1,AJ92,IF(AI$8=99,AH92,IF(AI$8=0,INDEX($E92:$I92,0,AI$6),(INDEX($E92:$I92,0,AI$8+1)-INDEX($E92:$I92,0,AI$8))/(INDEX($D$5:$H$5,0,AI$8+1)-INDEX($D$5:$H$5,0,AI$8))+AH92)))</f>
        <v>891.20649906784013</v>
      </c>
      <c r="AJ92" s="7" cm="1">
        <f t="array" ref="AJ92">IF(AJ$8=-1,AK92,IF(AJ$8=99,AI92,IF(AJ$8=0,INDEX($E92:$I92,0,AJ$6),(INDEX($E92:$I92,0,AJ$8+1)-INDEX($E92:$I92,0,AJ$8))/(INDEX($D$5:$H$5,0,AJ$8+1)-INDEX($D$5:$H$5,0,AJ$8))+AI92)))</f>
        <v>889.13124460688005</v>
      </c>
      <c r="AK92" s="7" cm="1">
        <f t="array" ref="AK92">IF(AK$8=-1,AL92,IF(AK$8=99,AJ92,IF(AK$8=0,INDEX($E92:$I92,0,AK$6),(INDEX($E92:$I92,0,AK$8+1)-INDEX($E92:$I92,0,AK$8))/(INDEX($D$5:$H$5,0,AK$8+1)-INDEX($D$5:$H$5,0,AK$8))+AJ92)))</f>
        <v>887.05599014591996</v>
      </c>
      <c r="AL92" s="7" cm="1">
        <f t="array" ref="AL92">IF(AL$8=-1,AM92,IF(AL$8=99,AK92,IF(AL$8=0,INDEX($E92:$I92,0,AL$6),(INDEX($E92:$I92,0,AL$8+1)-INDEX($E92:$I92,0,AL$8))/(INDEX($D$5:$H$5,0,AL$8+1)-INDEX($D$5:$H$5,0,AL$8))+AK92)))</f>
        <v>884.98073568495988</v>
      </c>
      <c r="AM92" s="7" cm="1">
        <f t="array" ref="AM92">IF(AM$8=-1,AN92,IF(AM$8=99,AL92,IF(AM$8=0,INDEX($E92:$I92,0,AM$6),(INDEX($E92:$I92,0,AM$8+1)-INDEX($E92:$I92,0,AM$8))/(INDEX($D$5:$H$5,0,AM$8+1)-INDEX($D$5:$H$5,0,AM$8))+AL92)))</f>
        <v>882.9054812239998</v>
      </c>
      <c r="AN92" s="7" cm="1">
        <f t="array" ref="AN92">IF(AN$8=-1,AO92,IF(AN$8=99,AM92,IF(AN$8=0,INDEX($E92:$I92,0,AN$6),(INDEX($E92:$I92,0,AN$8+1)-INDEX($E92:$I92,0,AN$8))/(INDEX($D$5:$H$5,0,AN$8+1)-INDEX($D$5:$H$5,0,AN$8))+AM92)))</f>
        <v>880.83022676304006</v>
      </c>
      <c r="AO92" s="7" cm="1">
        <f t="array" ref="AO92">IF(AO$8=-1,AP92,IF(AO$8=99,AN92,IF(AO$8=0,INDEX($E92:$K92,0,AO$6),(INDEX($E92:$K92,0,AO$8+1)-INDEX($E92:$K92,0,AO$8))/(INDEX($D$5:$J$5,0,AO$8+1)-INDEX($D$5:$J$5,0,AO$8))+AN92)))</f>
        <v>880.83022676304006</v>
      </c>
      <c r="AP92" s="7" cm="1">
        <f t="array" ref="AP92">IF(AP$8=-1,AQ92,IF(AP$8=99,AO92,IF(AP$8=0,INDEX($E92:$K92,0,AP$6),(INDEX($E92:$K92,0,AP$8+1)-INDEX($E92:$K92,0,AP$8))/(INDEX($D$5:$J$5,0,AP$8+1)-INDEX($D$5:$J$5,0,AP$8))+AO92)))</f>
        <v>880.83022676304006</v>
      </c>
      <c r="AQ92" s="7" cm="1">
        <f t="array" ref="AQ92">IF(AQ$8=-1,AR92,IF(AQ$8=99,AP92,IF(AQ$8=0,INDEX($E92:$K92,0,AQ$6),(INDEX($E92:$K92,0,AQ$8+1)-INDEX($E92:$K92,0,AQ$8))/(INDEX($D$5:$J$5,0,AQ$8+1)-INDEX($D$5:$J$5,0,AQ$8))+AP92)))</f>
        <v>880.83022676304006</v>
      </c>
      <c r="AR92" s="7" cm="1">
        <f t="array" ref="AR92">IF(AR$8=-1,AS92,IF(AR$8=99,AQ92,IF(AR$8=0,INDEX($E92:$K92,0,AR$6),(INDEX($E92:$K92,0,AR$8+1)-INDEX($E92:$K92,0,AR$8))/(INDEX($D$5:$J$5,0,AR$8+1)-INDEX($D$5:$J$5,0,AR$8))+AQ92)))</f>
        <v>880.83022676304006</v>
      </c>
      <c r="AS92" s="7" cm="1">
        <f t="array" ref="AS92">IF(AS$8=-1,AT92,IF(AS$8=99,AR92,IF(AS$8=0,INDEX($E92:$K92,0,AS$6),(INDEX($E92:$K92,0,AS$8+1)-INDEX($E92:$K92,0,AS$8))/(INDEX($D$5:$J$5,0,AS$8+1)-INDEX($D$5:$J$5,0,AS$8))+AR92)))</f>
        <v>880.83022676304006</v>
      </c>
      <c r="AT92" s="7" cm="1">
        <f t="array" ref="AT92">IF(AT$8=-1,AU92,IF(AT$8=99,AS92,IF(AT$8=0,INDEX($E92:$K92,0,AT$6),(INDEX($E92:$K92,0,AT$8+1)-INDEX($E92:$K92,0,AT$8))/(INDEX($D$5:$J$5,0,AT$8+1)-INDEX($D$5:$J$5,0,AT$8))+AS92)))</f>
        <v>880.83022676304006</v>
      </c>
      <c r="AU92" s="7" cm="1">
        <f t="array" ref="AU92">IF(AU$8=-1,AV92,IF(AU$8=99,AT92,IF(AU$8=0,INDEX($E92:$K92,0,AU$6),(INDEX($E92:$K92,0,AU$8+1)-INDEX($E92:$K92,0,AU$8))/(INDEX($D$5:$J$5,0,AU$8+1)-INDEX($D$5:$J$5,0,AU$8))+AT92)))</f>
        <v>880.83022676304006</v>
      </c>
      <c r="AV92" s="7" cm="1">
        <f t="array" ref="AV92">IF(AV$8=-1,AW92,IF(AV$8=99,AU92,IF(AV$8=0,INDEX($E92:$K92,0,AV$6),(INDEX($E92:$K92,0,AV$8+1)-INDEX($E92:$K92,0,AV$8))/(INDEX($D$5:$J$5,0,AV$8+1)-INDEX($D$5:$J$5,0,AV$8))+AU92)))</f>
        <v>880.83022676304006</v>
      </c>
      <c r="AW92" s="7" cm="1">
        <f t="array" ref="AW92">IF(AW$8=-1,AX92,IF(AW$8=99,AV92,IF(AW$8=0,INDEX($E92:$K92,0,AW$6),(INDEX($E92:$K92,0,AW$8+1)-INDEX($E92:$K92,0,AW$8))/(INDEX($D$5:$J$5,0,AW$8+1)-INDEX($D$5:$J$5,0,AW$8))+AV92)))</f>
        <v>880.83022676304006</v>
      </c>
      <c r="AX92" s="7" cm="1">
        <f t="array" ref="AX92">IF(AX$8=-1,AY92,IF(AX$8=99,AW92,IF(AX$8=0,INDEX($E92:$K92,0,AX$6),(INDEX($E92:$K92,0,AX$8+1)-INDEX($E92:$K92,0,AX$8))/(INDEX($D$5:$J$5,0,AX$8+1)-INDEX($D$5:$J$5,0,AX$8))+AW92)))</f>
        <v>880.83022676304006</v>
      </c>
      <c r="AY92" s="7" cm="1">
        <f t="array" ref="AY92">IF(AY$8=-1,AZ92,IF(AY$8=99,AX92,IF(AY$8=0,INDEX($E92:$K92,0,AY$6),(INDEX($E92:$K92,0,AY$8+1)-INDEX($E92:$K92,0,AY$8))/(INDEX($D$5:$J$5,0,AY$8+1)-INDEX($D$5:$J$5,0,AY$8))+AX92)))</f>
        <v>880.83022676304006</v>
      </c>
      <c r="AZ92" s="7" cm="1">
        <f t="array" ref="AZ92">IF(AZ$8=-1,BA92,IF(AZ$8=99,AY92,IF(AZ$8=0,INDEX($E92:$K92,0,AZ$6),(INDEX($E92:$K92,0,AZ$8+1)-INDEX($E92:$K92,0,AZ$8))/(INDEX($D$5:$J$5,0,AZ$8+1)-INDEX($D$5:$J$5,0,AZ$8))+AY92)))</f>
        <v>880.83022676304006</v>
      </c>
      <c r="BA92" s="7" cm="1">
        <f t="array" ref="BA92">IF(BA$8=-1,BB92,IF(BA$8=99,AZ92,IF(BA$8=0,INDEX($E92:$K92,0,BA$6),(INDEX($E92:$K92,0,BA$8+1)-INDEX($E92:$K92,0,BA$8))/(INDEX($D$5:$J$5,0,BA$8+1)-INDEX($D$5:$J$5,0,BA$8))+AZ92)))</f>
        <v>880.83022676304006</v>
      </c>
      <c r="BB92" s="7" cm="1">
        <f t="array" ref="BB92">IF(BB$8=-1,BC92,IF(BB$8=99,BA92,IF(BB$8=0,INDEX($E92:$K92,0,BB$6),(INDEX($E92:$K92,0,BB$8+1)-INDEX($E92:$K92,0,BB$8))/(INDEX($D$5:$J$5,0,BB$8+1)-INDEX($D$5:$J$5,0,BB$8))+BA92)))</f>
        <v>880.83022676304006</v>
      </c>
      <c r="BC92" s="7" cm="1">
        <f t="array" ref="BC92">IF(BC$8=-1,BD92,IF(BC$8=99,BB92,IF(BC$8=0,INDEX($E92:$K92,0,BC$6),(INDEX($E92:$K92,0,BC$8+1)-INDEX($E92:$K92,0,BC$8))/(INDEX($D$5:$J$5,0,BC$8+1)-INDEX($D$5:$J$5,0,BC$8))+BB92)))</f>
        <v>880.83022676304006</v>
      </c>
      <c r="BD92" s="7" cm="1">
        <f t="array" ref="BD92">IF(BD$8=-1,BE92,IF(BD$8=99,BC92,IF(BD$8=0,INDEX($E92:$K92,0,BD$6),(INDEX($E92:$K92,0,BD$8+1)-INDEX($E92:$K92,0,BD$8))/(INDEX($D$5:$J$5,0,BD$8+1)-INDEX($D$5:$J$5,0,BD$8))+BC92)))</f>
        <v>880.83022676304006</v>
      </c>
      <c r="BE92" s="7" cm="1">
        <f t="array" ref="BE92">IF(BE$8=-1,BF92,IF(BE$8=99,BD92,IF(BE$8=0,INDEX($E92:$K92,0,BE$6),(INDEX($E92:$K92,0,BE$8+1)-INDEX($E92:$K92,0,BE$8))/(INDEX($D$5:$J$5,0,BE$8+1)-INDEX($D$5:$J$5,0,BE$8))+BD92)))</f>
        <v>880.83022676304006</v>
      </c>
      <c r="BF92" s="7" cm="1">
        <f t="array" ref="BF92">IF(BF$8=-1,BG92,IF(BF$8=99,BE92,IF(BF$8=0,INDEX($E92:$K92,0,BF$6),(INDEX($E92:$K92,0,BF$8+1)-INDEX($E92:$K92,0,BF$8))/(INDEX($D$5:$J$5,0,BF$8+1)-INDEX($D$5:$J$5,0,BF$8))+BE92)))</f>
        <v>880.83022676304006</v>
      </c>
      <c r="BG92" s="7" cm="1">
        <f t="array" ref="BG92">IF(BG$8=-1,BH92,IF(BG$8=99,BF92,IF(BG$8=0,INDEX($E92:$K92,0,BG$6),(INDEX($E92:$K92,0,BG$8+1)-INDEX($E92:$K92,0,BG$8))/(INDEX($D$5:$J$5,0,BG$8+1)-INDEX($D$5:$J$5,0,BG$8))+BF92)))</f>
        <v>880.83022676304006</v>
      </c>
      <c r="BH92" s="7" cm="1">
        <f t="array" ref="BH92">IF(BH$8=-1,BI92,IF(BH$8=99,BG92,IF(BH$8=0,INDEX($E92:$K92,0,BH$6),(INDEX($E92:$K92,0,BH$8+1)-INDEX($E92:$K92,0,BH$8))/(INDEX($D$5:$J$5,0,BH$8+1)-INDEX($D$5:$J$5,0,BH$8))+BG92)))</f>
        <v>880.83022676304006</v>
      </c>
      <c r="BI92" s="7" cm="1">
        <f t="array" ref="BI92">IF(BI$8=-1,BJ92,IF(BI$8=99,BH92,IF(BI$8=0,INDEX($E92:$K92,0,BI$6),(INDEX($E92:$K92,0,BI$8+1)-INDEX($E92:$K92,0,BI$8))/(INDEX($D$5:$J$5,0,BI$8+1)-INDEX($D$5:$J$5,0,BI$8))+BH92)))</f>
        <v>880.83022676304006</v>
      </c>
      <c r="BJ92" s="7" cm="1">
        <f t="array" ref="BJ92">IF(BJ$8=-1,BK92,IF(BJ$8=99,BI92,IF(BJ$8=0,INDEX($E92:$K92,0,BJ$6),(INDEX($E92:$K92,0,BJ$8+1)-INDEX($E92:$K92,0,BJ$8))/(INDEX($D$5:$J$5,0,BJ$8+1)-INDEX($D$5:$J$5,0,BJ$8))+BI92)))</f>
        <v>880.83022676304006</v>
      </c>
      <c r="BK92" s="7" cm="1">
        <f t="array" ref="BK92">IF(BK$8=-1,BL92,IF(BK$8=99,BJ92,IF(BK$8=0,INDEX($E92:$K92,0,BK$6),(INDEX($E92:$K92,0,BK$8+1)-INDEX($E92:$K92,0,BK$8))/(INDEX($D$5:$J$5,0,BK$8+1)-INDEX($D$5:$J$5,0,BK$8))+BJ92)))</f>
        <v>880.83022676304006</v>
      </c>
      <c r="BL92" s="7" cm="1">
        <f t="array" ref="BL92">IF(BL$8=-1,BM92,IF(BL$8=99,BK92,IF(BL$8=0,INDEX($E92:$K92,0,BL$6),(INDEX($E92:$K92,0,BL$8+1)-INDEX($E92:$K92,0,BL$8))/(INDEX($D$5:$J$5,0,BL$8+1)-INDEX($D$5:$J$5,0,BL$8))+BK92)))</f>
        <v>880.83022676304006</v>
      </c>
      <c r="BM92" s="7" cm="1">
        <f t="array" ref="BM92">IF(BM$8=-1,BN92,IF(BM$8=99,BL92,IF(BM$8=0,INDEX($E92:$K92,0,BM$6),(INDEX($E92:$K92,0,BM$8+1)-INDEX($E92:$K92,0,BM$8))/(INDEX($D$5:$J$5,0,BM$8+1)-INDEX($D$5:$J$5,0,BM$8))+BL92)))</f>
        <v>880.83022676304006</v>
      </c>
      <c r="BN92" s="7" cm="1">
        <f t="array" ref="BN92">IF(BN$8=-1,BO92,IF(BN$8=99,BM92,IF(BN$8=0,INDEX($E92:$K92,0,BN$6),(INDEX($E92:$K92,0,BN$8+1)-INDEX($E92:$K92,0,BN$8))/(INDEX($D$5:$J$5,0,BN$8+1)-INDEX($D$5:$J$5,0,BN$8))+BM92)))</f>
        <v>880.83022676304006</v>
      </c>
      <c r="BO92" s="7" cm="1">
        <f t="array" ref="BO92">IF(BO$8=-1,BP92,IF(BO$8=99,BN92,IF(BO$8=0,INDEX($E92:$K92,0,BO$6),(INDEX($E92:$K92,0,BO$8+1)-INDEX($E92:$K92,0,BO$8))/(INDEX($D$5:$J$5,0,BO$8+1)-INDEX($D$5:$J$5,0,BO$8))+BN92)))</f>
        <v>880.83022676304006</v>
      </c>
      <c r="BP92" s="7" cm="1">
        <f t="array" ref="BP92">IF(BP$8=-1,BQ92,IF(BP$8=99,BO92,IF(BP$8=0,INDEX($E92:$K92,0,BP$6),(INDEX($E92:$K92,0,BP$8+1)-INDEX($E92:$K92,0,BP$8))/(INDEX($D$5:$J$5,0,BP$8+1)-INDEX($D$5:$J$5,0,BP$8))+BO92)))</f>
        <v>880.83022676304006</v>
      </c>
      <c r="BQ92" s="7" cm="1">
        <f t="array" ref="BQ92">IF(BQ$8=-1,BR92,IF(BQ$8=99,BP92,IF(BQ$8=0,INDEX($E92:$K92,0,BQ$6),(INDEX($E92:$K92,0,BQ$8+1)-INDEX($E92:$K92,0,BQ$8))/(INDEX($D$5:$J$5,0,BQ$8+1)-INDEX($D$5:$J$5,0,BQ$8))+BP92)))</f>
        <v>880.83022676304006</v>
      </c>
      <c r="BR92" s="7" cm="1">
        <f t="array" ref="BR92">IF(BR$8=-1,BS92,IF(BR$8=99,BQ92,IF(BR$8=0,INDEX($E92:$K92,0,BR$6),(INDEX($E92:$K92,0,BR$8+1)-INDEX($E92:$K92,0,BR$8))/(INDEX($D$5:$J$5,0,BR$8+1)-INDEX($D$5:$J$5,0,BR$8))+BQ92)))</f>
        <v>880.83022676304006</v>
      </c>
    </row>
    <row r="93" spans="1:70">
      <c r="A93" t="s">
        <v>16</v>
      </c>
      <c r="B93" s="1" t="str">
        <f t="shared" ref="B93:B100" si="163">B71</f>
        <v>CEH</v>
      </c>
      <c r="C93" s="71" t="str">
        <f t="shared" si="160"/>
        <v>Commercial - Space Heating</v>
      </c>
      <c r="D93" s="71" t="s">
        <v>66</v>
      </c>
      <c r="E93" s="80">
        <f t="shared" ref="E93:F100" si="164">E82</f>
        <v>59.117764859369181</v>
      </c>
      <c r="F93" s="88">
        <f t="shared" si="164"/>
        <v>86.140082210951618</v>
      </c>
      <c r="G93" s="88">
        <f t="shared" si="161"/>
        <v>86.140082210951618</v>
      </c>
      <c r="H93" s="88">
        <f t="shared" ref="H93:K93" si="165">$G93*(1-H$91*$T57)</f>
        <v>84.201930361205214</v>
      </c>
      <c r="I93" s="88">
        <f t="shared" si="165"/>
        <v>82.263778511458796</v>
      </c>
      <c r="J93" s="88">
        <f t="shared" si="165"/>
        <v>82.263778511458796</v>
      </c>
      <c r="K93" s="88">
        <f t="shared" si="165"/>
        <v>82.263778511458796</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85.946267025976979</v>
      </c>
      <c r="V93" s="7" cm="1">
        <f t="array" ref="V93">IF(V$8=-1,W93,IF(V$8=99,U93,IF(V$8=0,INDEX($E93:$I93,0,V$6),(INDEX($E93:$I93,0,V$8+1)-INDEX($E93:$I93,0,V$8))/(INDEX($D$5:$H$5,0,V$8+1)-INDEX($D$5:$H$5,0,V$8))+U93)))</f>
        <v>85.75245184100234</v>
      </c>
      <c r="W93" s="7" cm="1">
        <f t="array" ref="W93">IF(W$8=-1,X93,IF(W$8=99,V93,IF(W$8=0,INDEX($E93:$I93,0,W$6),(INDEX($E93:$I93,0,W$8+1)-INDEX($E93:$I93,0,W$8))/(INDEX($D$5:$H$5,0,W$8+1)-INDEX($D$5:$H$5,0,W$8))+V93)))</f>
        <v>85.558636656027701</v>
      </c>
      <c r="X93" s="7" cm="1">
        <f t="array" ref="X93">IF(X$8=-1,Y93,IF(X$8=99,W93,IF(X$8=0,INDEX($E93:$I93,0,X$6),(INDEX($E93:$I93,0,X$8+1)-INDEX($E93:$I93,0,X$8))/(INDEX($D$5:$H$5,0,X$8+1)-INDEX($D$5:$H$5,0,X$8))+W93)))</f>
        <v>85.364821471053062</v>
      </c>
      <c r="Y93" s="7" cm="1">
        <f t="array" ref="Y93">IF(Y$8=-1,Z93,IF(Y$8=99,X93,IF(Y$8=0,INDEX($E93:$I93,0,Y$6),(INDEX($E93:$I93,0,Y$8+1)-INDEX($E93:$I93,0,Y$8))/(INDEX($D$5:$H$5,0,Y$8+1)-INDEX($D$5:$H$5,0,Y$8))+X93)))</f>
        <v>85.171006286078423</v>
      </c>
      <c r="Z93" s="7" cm="1">
        <f t="array" ref="Z93">IF(Z$8=-1,AA93,IF(Z$8=99,Y93,IF(Z$8=0,INDEX($E93:$I93,0,Z$6),(INDEX($E93:$I93,0,Z$8+1)-INDEX($E93:$I93,0,Z$8))/(INDEX($D$5:$H$5,0,Z$8+1)-INDEX($D$5:$H$5,0,Z$8))+Y93)))</f>
        <v>84.977191101103784</v>
      </c>
      <c r="AA93" s="7" cm="1">
        <f t="array" ref="AA93">IF(AA$8=-1,AB93,IF(AA$8=99,Z93,IF(AA$8=0,INDEX($E93:$I93,0,AA$6),(INDEX($E93:$I93,0,AA$8+1)-INDEX($E93:$I93,0,AA$8))/(INDEX($D$5:$H$5,0,AA$8+1)-INDEX($D$5:$H$5,0,AA$8))+Z93)))</f>
        <v>84.783375916129145</v>
      </c>
      <c r="AB93" s="7" cm="1">
        <f t="array" ref="AB93">IF(AB$8=-1,AC93,IF(AB$8=99,AA93,IF(AB$8=0,INDEX($E93:$I93,0,AB$6),(INDEX($E93:$I93,0,AB$8+1)-INDEX($E93:$I93,0,AB$8))/(INDEX($D$5:$H$5,0,AB$8+1)-INDEX($D$5:$H$5,0,AB$8))+AA93)))</f>
        <v>84.589560731154506</v>
      </c>
      <c r="AC93" s="7" cm="1">
        <f t="array" ref="AC93">IF(AC$8=-1,AD93,IF(AC$8=99,AB93,IF(AC$8=0,INDEX($E93:$I93,0,AC$6),(INDEX($E93:$I93,0,AC$8+1)-INDEX($E93:$I93,0,AC$8))/(INDEX($D$5:$H$5,0,AC$8+1)-INDEX($D$5:$H$5,0,AC$8))+AB93)))</f>
        <v>84.395745546179867</v>
      </c>
      <c r="AD93" s="7" cm="1">
        <f t="array" ref="AD93">IF(AD$8=-1,AE93,IF(AD$8=99,AC93,IF(AD$8=0,INDEX($E93:$I93,0,AD$6),(INDEX($E93:$I93,0,AD$8+1)-INDEX($E93:$I93,0,AD$8))/(INDEX($D$5:$H$5,0,AD$8+1)-INDEX($D$5:$H$5,0,AD$8))+AC93)))</f>
        <v>84.201930361205214</v>
      </c>
      <c r="AE93" s="7" cm="1">
        <f t="array" ref="AE93">IF(AE$8=-1,AF93,IF(AE$8=99,AD93,IF(AE$8=0,INDEX($E93:$I93,0,AE$6),(INDEX($E93:$I93,0,AE$8+1)-INDEX($E93:$I93,0,AE$8))/(INDEX($D$5:$H$5,0,AE$8+1)-INDEX($D$5:$H$5,0,AE$8))+AD93)))</f>
        <v>84.008115176230575</v>
      </c>
      <c r="AF93" s="7" cm="1">
        <f t="array" ref="AF93">IF(AF$8=-1,AG93,IF(AF$8=99,AE93,IF(AF$8=0,INDEX($E93:$I93,0,AF$6),(INDEX($E93:$I93,0,AF$8+1)-INDEX($E93:$I93,0,AF$8))/(INDEX($D$5:$H$5,0,AF$8+1)-INDEX($D$5:$H$5,0,AF$8))+AE93)))</f>
        <v>83.814299991255936</v>
      </c>
      <c r="AG93" s="7" cm="1">
        <f t="array" ref="AG93">IF(AG$8=-1,AH93,IF(AG$8=99,AF93,IF(AG$8=0,INDEX($E93:$I93,0,AG$6),(INDEX($E93:$I93,0,AG$8+1)-INDEX($E93:$I93,0,AG$8))/(INDEX($D$5:$H$5,0,AG$8+1)-INDEX($D$5:$H$5,0,AG$8))+AF93)))</f>
        <v>83.620484806281297</v>
      </c>
      <c r="AH93" s="7" cm="1">
        <f t="array" ref="AH93">IF(AH$8=-1,AI93,IF(AH$8=99,AG93,IF(AH$8=0,INDEX($E93:$I93,0,AH$6),(INDEX($E93:$I93,0,AH$8+1)-INDEX($E93:$I93,0,AH$8))/(INDEX($D$5:$H$5,0,AH$8+1)-INDEX($D$5:$H$5,0,AH$8))+AG93)))</f>
        <v>83.426669621306658</v>
      </c>
      <c r="AI93" s="7" cm="1">
        <f t="array" ref="AI93">IF(AI$8=-1,AJ93,IF(AI$8=99,AH93,IF(AI$8=0,INDEX($E93:$I93,0,AI$6),(INDEX($E93:$I93,0,AI$8+1)-INDEX($E93:$I93,0,AI$8))/(INDEX($D$5:$H$5,0,AI$8+1)-INDEX($D$5:$H$5,0,AI$8))+AH93)))</f>
        <v>83.232854436332019</v>
      </c>
      <c r="AJ93" s="7" cm="1">
        <f t="array" ref="AJ93">IF(AJ$8=-1,AK93,IF(AJ$8=99,AI93,IF(AJ$8=0,INDEX($E93:$I93,0,AJ$6),(INDEX($E93:$I93,0,AJ$8+1)-INDEX($E93:$I93,0,AJ$8))/(INDEX($D$5:$H$5,0,AJ$8+1)-INDEX($D$5:$H$5,0,AJ$8))+AI93)))</f>
        <v>83.03903925135738</v>
      </c>
      <c r="AK93" s="7" cm="1">
        <f t="array" ref="AK93">IF(AK$8=-1,AL93,IF(AK$8=99,AJ93,IF(AK$8=0,INDEX($E93:$I93,0,AK$6),(INDEX($E93:$I93,0,AK$8+1)-INDEX($E93:$I93,0,AK$8))/(INDEX($D$5:$H$5,0,AK$8+1)-INDEX($D$5:$H$5,0,AK$8))+AJ93)))</f>
        <v>82.845224066382741</v>
      </c>
      <c r="AL93" s="7" cm="1">
        <f t="array" ref="AL93">IF(AL$8=-1,AM93,IF(AL$8=99,AK93,IF(AL$8=0,INDEX($E93:$I93,0,AL$6),(INDEX($E93:$I93,0,AL$8+1)-INDEX($E93:$I93,0,AL$8))/(INDEX($D$5:$H$5,0,AL$8+1)-INDEX($D$5:$H$5,0,AL$8))+AK93)))</f>
        <v>82.651408881408102</v>
      </c>
      <c r="AM93" s="7" cm="1">
        <f t="array" ref="AM93">IF(AM$8=-1,AN93,IF(AM$8=99,AL93,IF(AM$8=0,INDEX($E93:$I93,0,AM$6),(INDEX($E93:$I93,0,AM$8+1)-INDEX($E93:$I93,0,AM$8))/(INDEX($D$5:$H$5,0,AM$8+1)-INDEX($D$5:$H$5,0,AM$8))+AL93)))</f>
        <v>82.457593696433463</v>
      </c>
      <c r="AN93" s="7" cm="1">
        <f t="array" ref="AN93">IF(AN$8=-1,AO93,IF(AN$8=99,AM93,IF(AN$8=0,INDEX($E93:$I93,0,AN$6),(INDEX($E93:$I93,0,AN$8+1)-INDEX($E93:$I93,0,AN$8))/(INDEX($D$5:$H$5,0,AN$8+1)-INDEX($D$5:$H$5,0,AN$8))+AM93)))</f>
        <v>82.263778511458796</v>
      </c>
      <c r="AO93" s="7" cm="1">
        <f t="array" ref="AO93">IF(AO$8=-1,AP93,IF(AO$8=99,AN93,IF(AO$8=0,INDEX($E93:$K93,0,AO$6),(INDEX($E93:$K93,0,AO$8+1)-INDEX($E93:$K93,0,AO$8))/(INDEX($D$5:$J$5,0,AO$8+1)-INDEX($D$5:$J$5,0,AO$8))+AN93)))</f>
        <v>82.263778511458796</v>
      </c>
      <c r="AP93" s="7" cm="1">
        <f t="array" ref="AP93">IF(AP$8=-1,AQ93,IF(AP$8=99,AO93,IF(AP$8=0,INDEX($E93:$K93,0,AP$6),(INDEX($E93:$K93,0,AP$8+1)-INDEX($E93:$K93,0,AP$8))/(INDEX($D$5:$J$5,0,AP$8+1)-INDEX($D$5:$J$5,0,AP$8))+AO93)))</f>
        <v>82.263778511458796</v>
      </c>
      <c r="AQ93" s="7" cm="1">
        <f t="array" ref="AQ93">IF(AQ$8=-1,AR93,IF(AQ$8=99,AP93,IF(AQ$8=0,INDEX($E93:$K93,0,AQ$6),(INDEX($E93:$K93,0,AQ$8+1)-INDEX($E93:$K93,0,AQ$8))/(INDEX($D$5:$J$5,0,AQ$8+1)-INDEX($D$5:$J$5,0,AQ$8))+AP93)))</f>
        <v>82.263778511458796</v>
      </c>
      <c r="AR93" s="7" cm="1">
        <f t="array" ref="AR93">IF(AR$8=-1,AS93,IF(AR$8=99,AQ93,IF(AR$8=0,INDEX($E93:$K93,0,AR$6),(INDEX($E93:$K93,0,AR$8+1)-INDEX($E93:$K93,0,AR$8))/(INDEX($D$5:$J$5,0,AR$8+1)-INDEX($D$5:$J$5,0,AR$8))+AQ93)))</f>
        <v>82.263778511458796</v>
      </c>
      <c r="AS93" s="7" cm="1">
        <f t="array" ref="AS93">IF(AS$8=-1,AT93,IF(AS$8=99,AR93,IF(AS$8=0,INDEX($E93:$K93,0,AS$6),(INDEX($E93:$K93,0,AS$8+1)-INDEX($E93:$K93,0,AS$8))/(INDEX($D$5:$J$5,0,AS$8+1)-INDEX($D$5:$J$5,0,AS$8))+AR93)))</f>
        <v>82.263778511458796</v>
      </c>
      <c r="AT93" s="7" cm="1">
        <f t="array" ref="AT93">IF(AT$8=-1,AU93,IF(AT$8=99,AS93,IF(AT$8=0,INDEX($E93:$K93,0,AT$6),(INDEX($E93:$K93,0,AT$8+1)-INDEX($E93:$K93,0,AT$8))/(INDEX($D$5:$J$5,0,AT$8+1)-INDEX($D$5:$J$5,0,AT$8))+AS93)))</f>
        <v>82.263778511458796</v>
      </c>
      <c r="AU93" s="7" cm="1">
        <f t="array" ref="AU93">IF(AU$8=-1,AV93,IF(AU$8=99,AT93,IF(AU$8=0,INDEX($E93:$K93,0,AU$6),(INDEX($E93:$K93,0,AU$8+1)-INDEX($E93:$K93,0,AU$8))/(INDEX($D$5:$J$5,0,AU$8+1)-INDEX($D$5:$J$5,0,AU$8))+AT93)))</f>
        <v>82.263778511458796</v>
      </c>
      <c r="AV93" s="7" cm="1">
        <f t="array" ref="AV93">IF(AV$8=-1,AW93,IF(AV$8=99,AU93,IF(AV$8=0,INDEX($E93:$K93,0,AV$6),(INDEX($E93:$K93,0,AV$8+1)-INDEX($E93:$K93,0,AV$8))/(INDEX($D$5:$J$5,0,AV$8+1)-INDEX($D$5:$J$5,0,AV$8))+AU93)))</f>
        <v>82.263778511458796</v>
      </c>
      <c r="AW93" s="7" cm="1">
        <f t="array" ref="AW93">IF(AW$8=-1,AX93,IF(AW$8=99,AV93,IF(AW$8=0,INDEX($E93:$K93,0,AW$6),(INDEX($E93:$K93,0,AW$8+1)-INDEX($E93:$K93,0,AW$8))/(INDEX($D$5:$J$5,0,AW$8+1)-INDEX($D$5:$J$5,0,AW$8))+AV93)))</f>
        <v>82.263778511458796</v>
      </c>
      <c r="AX93" s="7" cm="1">
        <f t="array" ref="AX93">IF(AX$8=-1,AY93,IF(AX$8=99,AW93,IF(AX$8=0,INDEX($E93:$K93,0,AX$6),(INDEX($E93:$K93,0,AX$8+1)-INDEX($E93:$K93,0,AX$8))/(INDEX($D$5:$J$5,0,AX$8+1)-INDEX($D$5:$J$5,0,AX$8))+AW93)))</f>
        <v>82.263778511458796</v>
      </c>
      <c r="AY93" s="7" cm="1">
        <f t="array" ref="AY93">IF(AY$8=-1,AZ93,IF(AY$8=99,AX93,IF(AY$8=0,INDEX($E93:$K93,0,AY$6),(INDEX($E93:$K93,0,AY$8+1)-INDEX($E93:$K93,0,AY$8))/(INDEX($D$5:$J$5,0,AY$8+1)-INDEX($D$5:$J$5,0,AY$8))+AX93)))</f>
        <v>82.263778511458796</v>
      </c>
      <c r="AZ93" s="7" cm="1">
        <f t="array" ref="AZ93">IF(AZ$8=-1,BA93,IF(AZ$8=99,AY93,IF(AZ$8=0,INDEX($E93:$K93,0,AZ$6),(INDEX($E93:$K93,0,AZ$8+1)-INDEX($E93:$K93,0,AZ$8))/(INDEX($D$5:$J$5,0,AZ$8+1)-INDEX($D$5:$J$5,0,AZ$8))+AY93)))</f>
        <v>82.263778511458796</v>
      </c>
      <c r="BA93" s="7" cm="1">
        <f t="array" ref="BA93">IF(BA$8=-1,BB93,IF(BA$8=99,AZ93,IF(BA$8=0,INDEX($E93:$K93,0,BA$6),(INDEX($E93:$K93,0,BA$8+1)-INDEX($E93:$K93,0,BA$8))/(INDEX($D$5:$J$5,0,BA$8+1)-INDEX($D$5:$J$5,0,BA$8))+AZ93)))</f>
        <v>82.263778511458796</v>
      </c>
      <c r="BB93" s="7" cm="1">
        <f t="array" ref="BB93">IF(BB$8=-1,BC93,IF(BB$8=99,BA93,IF(BB$8=0,INDEX($E93:$K93,0,BB$6),(INDEX($E93:$K93,0,BB$8+1)-INDEX($E93:$K93,0,BB$8))/(INDEX($D$5:$J$5,0,BB$8+1)-INDEX($D$5:$J$5,0,BB$8))+BA93)))</f>
        <v>82.263778511458796</v>
      </c>
      <c r="BC93" s="7" cm="1">
        <f t="array" ref="BC93">IF(BC$8=-1,BD93,IF(BC$8=99,BB93,IF(BC$8=0,INDEX($E93:$K93,0,BC$6),(INDEX($E93:$K93,0,BC$8+1)-INDEX($E93:$K93,0,BC$8))/(INDEX($D$5:$J$5,0,BC$8+1)-INDEX($D$5:$J$5,0,BC$8))+BB93)))</f>
        <v>82.263778511458796</v>
      </c>
      <c r="BD93" s="7" cm="1">
        <f t="array" ref="BD93">IF(BD$8=-1,BE93,IF(BD$8=99,BC93,IF(BD$8=0,INDEX($E93:$K93,0,BD$6),(INDEX($E93:$K93,0,BD$8+1)-INDEX($E93:$K93,0,BD$8))/(INDEX($D$5:$J$5,0,BD$8+1)-INDEX($D$5:$J$5,0,BD$8))+BC93)))</f>
        <v>82.263778511458796</v>
      </c>
      <c r="BE93" s="7" cm="1">
        <f t="array" ref="BE93">IF(BE$8=-1,BF93,IF(BE$8=99,BD93,IF(BE$8=0,INDEX($E93:$K93,0,BE$6),(INDEX($E93:$K93,0,BE$8+1)-INDEX($E93:$K93,0,BE$8))/(INDEX($D$5:$J$5,0,BE$8+1)-INDEX($D$5:$J$5,0,BE$8))+BD93)))</f>
        <v>82.263778511458796</v>
      </c>
      <c r="BF93" s="7" cm="1">
        <f t="array" ref="BF93">IF(BF$8=-1,BG93,IF(BF$8=99,BE93,IF(BF$8=0,INDEX($E93:$K93,0,BF$6),(INDEX($E93:$K93,0,BF$8+1)-INDEX($E93:$K93,0,BF$8))/(INDEX($D$5:$J$5,0,BF$8+1)-INDEX($D$5:$J$5,0,BF$8))+BE93)))</f>
        <v>82.263778511458796</v>
      </c>
      <c r="BG93" s="7" cm="1">
        <f t="array" ref="BG93">IF(BG$8=-1,BH93,IF(BG$8=99,BF93,IF(BG$8=0,INDEX($E93:$K93,0,BG$6),(INDEX($E93:$K93,0,BG$8+1)-INDEX($E93:$K93,0,BG$8))/(INDEX($D$5:$J$5,0,BG$8+1)-INDEX($D$5:$J$5,0,BG$8))+BF93)))</f>
        <v>82.263778511458796</v>
      </c>
      <c r="BH93" s="7" cm="1">
        <f t="array" ref="BH93">IF(BH$8=-1,BI93,IF(BH$8=99,BG93,IF(BH$8=0,INDEX($E93:$K93,0,BH$6),(INDEX($E93:$K93,0,BH$8+1)-INDEX($E93:$K93,0,BH$8))/(INDEX($D$5:$J$5,0,BH$8+1)-INDEX($D$5:$J$5,0,BH$8))+BG93)))</f>
        <v>82.263778511458796</v>
      </c>
      <c r="BI93" s="7" cm="1">
        <f t="array" ref="BI93">IF(BI$8=-1,BJ93,IF(BI$8=99,BH93,IF(BI$8=0,INDEX($E93:$K93,0,BI$6),(INDEX($E93:$K93,0,BI$8+1)-INDEX($E93:$K93,0,BI$8))/(INDEX($D$5:$J$5,0,BI$8+1)-INDEX($D$5:$J$5,0,BI$8))+BH93)))</f>
        <v>82.263778511458796</v>
      </c>
      <c r="BJ93" s="7" cm="1">
        <f t="array" ref="BJ93">IF(BJ$8=-1,BK93,IF(BJ$8=99,BI93,IF(BJ$8=0,INDEX($E93:$K93,0,BJ$6),(INDEX($E93:$K93,0,BJ$8+1)-INDEX($E93:$K93,0,BJ$8))/(INDEX($D$5:$J$5,0,BJ$8+1)-INDEX($D$5:$J$5,0,BJ$8))+BI93)))</f>
        <v>82.263778511458796</v>
      </c>
      <c r="BK93" s="7" cm="1">
        <f t="array" ref="BK93">IF(BK$8=-1,BL93,IF(BK$8=99,BJ93,IF(BK$8=0,INDEX($E93:$K93,0,BK$6),(INDEX($E93:$K93,0,BK$8+1)-INDEX($E93:$K93,0,BK$8))/(INDEX($D$5:$J$5,0,BK$8+1)-INDEX($D$5:$J$5,0,BK$8))+BJ93)))</f>
        <v>82.263778511458796</v>
      </c>
      <c r="BL93" s="7" cm="1">
        <f t="array" ref="BL93">IF(BL$8=-1,BM93,IF(BL$8=99,BK93,IF(BL$8=0,INDEX($E93:$K93,0,BL$6),(INDEX($E93:$K93,0,BL$8+1)-INDEX($E93:$K93,0,BL$8))/(INDEX($D$5:$J$5,0,BL$8+1)-INDEX($D$5:$J$5,0,BL$8))+BK93)))</f>
        <v>82.263778511458796</v>
      </c>
      <c r="BM93" s="7" cm="1">
        <f t="array" ref="BM93">IF(BM$8=-1,BN93,IF(BM$8=99,BL93,IF(BM$8=0,INDEX($E93:$K93,0,BM$6),(INDEX($E93:$K93,0,BM$8+1)-INDEX($E93:$K93,0,BM$8))/(INDEX($D$5:$J$5,0,BM$8+1)-INDEX($D$5:$J$5,0,BM$8))+BL93)))</f>
        <v>82.263778511458796</v>
      </c>
      <c r="BN93" s="7" cm="1">
        <f t="array" ref="BN93">IF(BN$8=-1,BO93,IF(BN$8=99,BM93,IF(BN$8=0,INDEX($E93:$K93,0,BN$6),(INDEX($E93:$K93,0,BN$8+1)-INDEX($E93:$K93,0,BN$8))/(INDEX($D$5:$J$5,0,BN$8+1)-INDEX($D$5:$J$5,0,BN$8))+BM93)))</f>
        <v>82.263778511458796</v>
      </c>
      <c r="BO93" s="7" cm="1">
        <f t="array" ref="BO93">IF(BO$8=-1,BP93,IF(BO$8=99,BN93,IF(BO$8=0,INDEX($E93:$K93,0,BO$6),(INDEX($E93:$K93,0,BO$8+1)-INDEX($E93:$K93,0,BO$8))/(INDEX($D$5:$J$5,0,BO$8+1)-INDEX($D$5:$J$5,0,BO$8))+BN93)))</f>
        <v>82.263778511458796</v>
      </c>
      <c r="BP93" s="7" cm="1">
        <f t="array" ref="BP93">IF(BP$8=-1,BQ93,IF(BP$8=99,BO93,IF(BP$8=0,INDEX($E93:$K93,0,BP$6),(INDEX($E93:$K93,0,BP$8+1)-INDEX($E93:$K93,0,BP$8))/(INDEX($D$5:$J$5,0,BP$8+1)-INDEX($D$5:$J$5,0,BP$8))+BO93)))</f>
        <v>82.263778511458796</v>
      </c>
      <c r="BQ93" s="7" cm="1">
        <f t="array" ref="BQ93">IF(BQ$8=-1,BR93,IF(BQ$8=99,BP93,IF(BQ$8=0,INDEX($E93:$K93,0,BQ$6),(INDEX($E93:$K93,0,BQ$8+1)-INDEX($E93:$K93,0,BQ$8))/(INDEX($D$5:$J$5,0,BQ$8+1)-INDEX($D$5:$J$5,0,BQ$8))+BP93)))</f>
        <v>82.263778511458796</v>
      </c>
      <c r="BR93" s="7" cm="1">
        <f t="array" ref="BR93">IF(BR$8=-1,BS93,IF(BR$8=99,BQ93,IF(BR$8=0,INDEX($E93:$K93,0,BR$6),(INDEX($E93:$K93,0,BR$8+1)-INDEX($E93:$K93,0,BR$8))/(INDEX($D$5:$J$5,0,BR$8+1)-INDEX($D$5:$J$5,0,BR$8))+BQ93)))</f>
        <v>82.263778511458796</v>
      </c>
    </row>
    <row r="94" spans="1:70">
      <c r="A94" t="s">
        <v>16</v>
      </c>
      <c r="B94" s="1" t="str">
        <f t="shared" si="163"/>
        <v>CEK</v>
      </c>
      <c r="C94" s="71" t="str">
        <f t="shared" si="160"/>
        <v>Commercial - Cooking</v>
      </c>
      <c r="D94" s="71" t="s">
        <v>66</v>
      </c>
      <c r="E94" s="80">
        <f t="shared" si="164"/>
        <v>74.498085701673489</v>
      </c>
      <c r="F94" s="88">
        <f t="shared" si="164"/>
        <v>64.377434268608681</v>
      </c>
      <c r="G94" s="88">
        <f t="shared" si="161"/>
        <v>64.377434268608681</v>
      </c>
      <c r="H94" s="88">
        <f t="shared" ref="H94:K94" si="166">$G94*(1-H$91*$T58)</f>
        <v>64.377434268608681</v>
      </c>
      <c r="I94" s="88">
        <f t="shared" si="166"/>
        <v>64.377434268608681</v>
      </c>
      <c r="J94" s="88">
        <f t="shared" si="166"/>
        <v>64.377434268608681</v>
      </c>
      <c r="K94" s="88">
        <f t="shared" si="166"/>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c r="A95" t="s">
        <v>16</v>
      </c>
      <c r="B95" s="1" t="str">
        <f t="shared" si="163"/>
        <v>CEL</v>
      </c>
      <c r="C95" s="71" t="str">
        <f t="shared" si="160"/>
        <v>Commercial - Lighting</v>
      </c>
      <c r="D95" s="71" t="s">
        <v>66</v>
      </c>
      <c r="E95" s="80">
        <f t="shared" si="164"/>
        <v>915.10615144128883</v>
      </c>
      <c r="F95" s="88">
        <f t="shared" si="164"/>
        <v>802.64469417063674</v>
      </c>
      <c r="G95" s="88">
        <f t="shared" si="161"/>
        <v>802.64469417063674</v>
      </c>
      <c r="H95" s="88">
        <f t="shared" ref="H95:K95" si="167">$G95*(1-H$91*$T59)</f>
        <v>798.63147069978356</v>
      </c>
      <c r="I95" s="88">
        <f t="shared" si="167"/>
        <v>794.61824722893039</v>
      </c>
      <c r="J95" s="88">
        <f t="shared" si="167"/>
        <v>794.61824722893039</v>
      </c>
      <c r="K95" s="88">
        <f t="shared" si="167"/>
        <v>794.61824722893039</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802.24337182355146</v>
      </c>
      <c r="V95" s="7" cm="1">
        <f t="array" ref="V95">IF(V$8=-1,W95,IF(V$8=99,U95,IF(V$8=0,INDEX($E95:$I95,0,V$6),(INDEX($E95:$I95,0,V$8+1)-INDEX($E95:$I95,0,V$8))/(INDEX($D$5:$H$5,0,V$8+1)-INDEX($D$5:$H$5,0,V$8))+U95)))</f>
        <v>801.84204947646617</v>
      </c>
      <c r="W95" s="7" cm="1">
        <f t="array" ref="W95">IF(W$8=-1,X95,IF(W$8=99,V95,IF(W$8=0,INDEX($E95:$I95,0,W$6),(INDEX($E95:$I95,0,W$8+1)-INDEX($E95:$I95,0,W$8))/(INDEX($D$5:$H$5,0,W$8+1)-INDEX($D$5:$H$5,0,W$8))+V95)))</f>
        <v>801.44072712938089</v>
      </c>
      <c r="X95" s="7" cm="1">
        <f t="array" ref="X95">IF(X$8=-1,Y95,IF(X$8=99,W95,IF(X$8=0,INDEX($E95:$I95,0,X$6),(INDEX($E95:$I95,0,X$8+1)-INDEX($E95:$I95,0,X$8))/(INDEX($D$5:$H$5,0,X$8+1)-INDEX($D$5:$H$5,0,X$8))+W95)))</f>
        <v>801.03940478229561</v>
      </c>
      <c r="Y95" s="7" cm="1">
        <f t="array" ref="Y95">IF(Y$8=-1,Z95,IF(Y$8=99,X95,IF(Y$8=0,INDEX($E95:$I95,0,Y$6),(INDEX($E95:$I95,0,Y$8+1)-INDEX($E95:$I95,0,Y$8))/(INDEX($D$5:$H$5,0,Y$8+1)-INDEX($D$5:$H$5,0,Y$8))+X95)))</f>
        <v>800.63808243521032</v>
      </c>
      <c r="Z95" s="7" cm="1">
        <f t="array" ref="Z95">IF(Z$8=-1,AA95,IF(Z$8=99,Y95,IF(Z$8=0,INDEX($E95:$I95,0,Z$6),(INDEX($E95:$I95,0,Z$8+1)-INDEX($E95:$I95,0,Z$8))/(INDEX($D$5:$H$5,0,Z$8+1)-INDEX($D$5:$H$5,0,Z$8))+Y95)))</f>
        <v>800.23676008812504</v>
      </c>
      <c r="AA95" s="7" cm="1">
        <f t="array" ref="AA95">IF(AA$8=-1,AB95,IF(AA$8=99,Z95,IF(AA$8=0,INDEX($E95:$I95,0,AA$6),(INDEX($E95:$I95,0,AA$8+1)-INDEX($E95:$I95,0,AA$8))/(INDEX($D$5:$H$5,0,AA$8+1)-INDEX($D$5:$H$5,0,AA$8))+Z95)))</f>
        <v>799.83543774103975</v>
      </c>
      <c r="AB95" s="7" cm="1">
        <f t="array" ref="AB95">IF(AB$8=-1,AC95,IF(AB$8=99,AA95,IF(AB$8=0,INDEX($E95:$I95,0,AB$6),(INDEX($E95:$I95,0,AB$8+1)-INDEX($E95:$I95,0,AB$8))/(INDEX($D$5:$H$5,0,AB$8+1)-INDEX($D$5:$H$5,0,AB$8))+AA95)))</f>
        <v>799.43411539395447</v>
      </c>
      <c r="AC95" s="7" cm="1">
        <f t="array" ref="AC95">IF(AC$8=-1,AD95,IF(AC$8=99,AB95,IF(AC$8=0,INDEX($E95:$I95,0,AC$6),(INDEX($E95:$I95,0,AC$8+1)-INDEX($E95:$I95,0,AC$8))/(INDEX($D$5:$H$5,0,AC$8+1)-INDEX($D$5:$H$5,0,AC$8))+AB95)))</f>
        <v>799.03279304686919</v>
      </c>
      <c r="AD95" s="7" cm="1">
        <f t="array" ref="AD95">IF(AD$8=-1,AE95,IF(AD$8=99,AC95,IF(AD$8=0,INDEX($E95:$I95,0,AD$6),(INDEX($E95:$I95,0,AD$8+1)-INDEX($E95:$I95,0,AD$8))/(INDEX($D$5:$H$5,0,AD$8+1)-INDEX($D$5:$H$5,0,AD$8))+AC95)))</f>
        <v>798.63147069978356</v>
      </c>
      <c r="AE95" s="7" cm="1">
        <f t="array" ref="AE95">IF(AE$8=-1,AF95,IF(AE$8=99,AD95,IF(AE$8=0,INDEX($E95:$I95,0,AE$6),(INDEX($E95:$I95,0,AE$8+1)-INDEX($E95:$I95,0,AE$8))/(INDEX($D$5:$H$5,0,AE$8+1)-INDEX($D$5:$H$5,0,AE$8))+AD95)))</f>
        <v>798.23014835269828</v>
      </c>
      <c r="AF95" s="7" cm="1">
        <f t="array" ref="AF95">IF(AF$8=-1,AG95,IF(AF$8=99,AE95,IF(AF$8=0,INDEX($E95:$I95,0,AF$6),(INDEX($E95:$I95,0,AF$8+1)-INDEX($E95:$I95,0,AF$8))/(INDEX($D$5:$H$5,0,AF$8+1)-INDEX($D$5:$H$5,0,AF$8))+AE95)))</f>
        <v>797.828826005613</v>
      </c>
      <c r="AG95" s="7" cm="1">
        <f t="array" ref="AG95">IF(AG$8=-1,AH95,IF(AG$8=99,AF95,IF(AG$8=0,INDEX($E95:$I95,0,AG$6),(INDEX($E95:$I95,0,AG$8+1)-INDEX($E95:$I95,0,AG$8))/(INDEX($D$5:$H$5,0,AG$8+1)-INDEX($D$5:$H$5,0,AG$8))+AF95)))</f>
        <v>797.42750365852771</v>
      </c>
      <c r="AH95" s="7" cm="1">
        <f t="array" ref="AH95">IF(AH$8=-1,AI95,IF(AH$8=99,AG95,IF(AH$8=0,INDEX($E95:$I95,0,AH$6),(INDEX($E95:$I95,0,AH$8+1)-INDEX($E95:$I95,0,AH$8))/(INDEX($D$5:$H$5,0,AH$8+1)-INDEX($D$5:$H$5,0,AH$8))+AG95)))</f>
        <v>797.02618131144243</v>
      </c>
      <c r="AI95" s="7" cm="1">
        <f t="array" ref="AI95">IF(AI$8=-1,AJ95,IF(AI$8=99,AH95,IF(AI$8=0,INDEX($E95:$I95,0,AI$6),(INDEX($E95:$I95,0,AI$8+1)-INDEX($E95:$I95,0,AI$8))/(INDEX($D$5:$H$5,0,AI$8+1)-INDEX($D$5:$H$5,0,AI$8))+AH95)))</f>
        <v>796.62485896435714</v>
      </c>
      <c r="AJ95" s="7" cm="1">
        <f t="array" ref="AJ95">IF(AJ$8=-1,AK95,IF(AJ$8=99,AI95,IF(AJ$8=0,INDEX($E95:$I95,0,AJ$6),(INDEX($E95:$I95,0,AJ$8+1)-INDEX($E95:$I95,0,AJ$8))/(INDEX($D$5:$H$5,0,AJ$8+1)-INDEX($D$5:$H$5,0,AJ$8))+AI95)))</f>
        <v>796.22353661727186</v>
      </c>
      <c r="AK95" s="7" cm="1">
        <f t="array" ref="AK95">IF(AK$8=-1,AL95,IF(AK$8=99,AJ95,IF(AK$8=0,INDEX($E95:$I95,0,AK$6),(INDEX($E95:$I95,0,AK$8+1)-INDEX($E95:$I95,0,AK$8))/(INDEX($D$5:$H$5,0,AK$8+1)-INDEX($D$5:$H$5,0,AK$8))+AJ95)))</f>
        <v>795.82221427018658</v>
      </c>
      <c r="AL95" s="7" cm="1">
        <f t="array" ref="AL95">IF(AL$8=-1,AM95,IF(AL$8=99,AK95,IF(AL$8=0,INDEX($E95:$I95,0,AL$6),(INDEX($E95:$I95,0,AL$8+1)-INDEX($E95:$I95,0,AL$8))/(INDEX($D$5:$H$5,0,AL$8+1)-INDEX($D$5:$H$5,0,AL$8))+AK95)))</f>
        <v>795.42089192310129</v>
      </c>
      <c r="AM95" s="7" cm="1">
        <f t="array" ref="AM95">IF(AM$8=-1,AN95,IF(AM$8=99,AL95,IF(AM$8=0,INDEX($E95:$I95,0,AM$6),(INDEX($E95:$I95,0,AM$8+1)-INDEX($E95:$I95,0,AM$8))/(INDEX($D$5:$H$5,0,AM$8+1)-INDEX($D$5:$H$5,0,AM$8))+AL95)))</f>
        <v>795.01956957601601</v>
      </c>
      <c r="AN95" s="7" cm="1">
        <f t="array" ref="AN95">IF(AN$8=-1,AO95,IF(AN$8=99,AM95,IF(AN$8=0,INDEX($E95:$I95,0,AN$6),(INDEX($E95:$I95,0,AN$8+1)-INDEX($E95:$I95,0,AN$8))/(INDEX($D$5:$H$5,0,AN$8+1)-INDEX($D$5:$H$5,0,AN$8))+AM95)))</f>
        <v>794.61824722893039</v>
      </c>
      <c r="AO95" s="7" cm="1">
        <f t="array" ref="AO95">IF(AO$8=-1,AP95,IF(AO$8=99,AN95,IF(AO$8=0,INDEX($E95:$K95,0,AO$6),(INDEX($E95:$K95,0,AO$8+1)-INDEX($E95:$K95,0,AO$8))/(INDEX($D$5:$J$5,0,AO$8+1)-INDEX($D$5:$J$5,0,AO$8))+AN95)))</f>
        <v>794.61824722893039</v>
      </c>
      <c r="AP95" s="7" cm="1">
        <f t="array" ref="AP95">IF(AP$8=-1,AQ95,IF(AP$8=99,AO95,IF(AP$8=0,INDEX($E95:$K95,0,AP$6),(INDEX($E95:$K95,0,AP$8+1)-INDEX($E95:$K95,0,AP$8))/(INDEX($D$5:$J$5,0,AP$8+1)-INDEX($D$5:$J$5,0,AP$8))+AO95)))</f>
        <v>794.61824722893039</v>
      </c>
      <c r="AQ95" s="7" cm="1">
        <f t="array" ref="AQ95">IF(AQ$8=-1,AR95,IF(AQ$8=99,AP95,IF(AQ$8=0,INDEX($E95:$K95,0,AQ$6),(INDEX($E95:$K95,0,AQ$8+1)-INDEX($E95:$K95,0,AQ$8))/(INDEX($D$5:$J$5,0,AQ$8+1)-INDEX($D$5:$J$5,0,AQ$8))+AP95)))</f>
        <v>794.61824722893039</v>
      </c>
      <c r="AR95" s="7" cm="1">
        <f t="array" ref="AR95">IF(AR$8=-1,AS95,IF(AR$8=99,AQ95,IF(AR$8=0,INDEX($E95:$K95,0,AR$6),(INDEX($E95:$K95,0,AR$8+1)-INDEX($E95:$K95,0,AR$8))/(INDEX($D$5:$J$5,0,AR$8+1)-INDEX($D$5:$J$5,0,AR$8))+AQ95)))</f>
        <v>794.61824722893039</v>
      </c>
      <c r="AS95" s="7" cm="1">
        <f t="array" ref="AS95">IF(AS$8=-1,AT95,IF(AS$8=99,AR95,IF(AS$8=0,INDEX($E95:$K95,0,AS$6),(INDEX($E95:$K95,0,AS$8+1)-INDEX($E95:$K95,0,AS$8))/(INDEX($D$5:$J$5,0,AS$8+1)-INDEX($D$5:$J$5,0,AS$8))+AR95)))</f>
        <v>794.61824722893039</v>
      </c>
      <c r="AT95" s="7" cm="1">
        <f t="array" ref="AT95">IF(AT$8=-1,AU95,IF(AT$8=99,AS95,IF(AT$8=0,INDEX($E95:$K95,0,AT$6),(INDEX($E95:$K95,0,AT$8+1)-INDEX($E95:$K95,0,AT$8))/(INDEX($D$5:$J$5,0,AT$8+1)-INDEX($D$5:$J$5,0,AT$8))+AS95)))</f>
        <v>794.61824722893039</v>
      </c>
      <c r="AU95" s="7" cm="1">
        <f t="array" ref="AU95">IF(AU$8=-1,AV95,IF(AU$8=99,AT95,IF(AU$8=0,INDEX($E95:$K95,0,AU$6),(INDEX($E95:$K95,0,AU$8+1)-INDEX($E95:$K95,0,AU$8))/(INDEX($D$5:$J$5,0,AU$8+1)-INDEX($D$5:$J$5,0,AU$8))+AT95)))</f>
        <v>794.61824722893039</v>
      </c>
      <c r="AV95" s="7" cm="1">
        <f t="array" ref="AV95">IF(AV$8=-1,AW95,IF(AV$8=99,AU95,IF(AV$8=0,INDEX($E95:$K95,0,AV$6),(INDEX($E95:$K95,0,AV$8+1)-INDEX($E95:$K95,0,AV$8))/(INDEX($D$5:$J$5,0,AV$8+1)-INDEX($D$5:$J$5,0,AV$8))+AU95)))</f>
        <v>794.61824722893039</v>
      </c>
      <c r="AW95" s="7" cm="1">
        <f t="array" ref="AW95">IF(AW$8=-1,AX95,IF(AW$8=99,AV95,IF(AW$8=0,INDEX($E95:$K95,0,AW$6),(INDEX($E95:$K95,0,AW$8+1)-INDEX($E95:$K95,0,AW$8))/(INDEX($D$5:$J$5,0,AW$8+1)-INDEX($D$5:$J$5,0,AW$8))+AV95)))</f>
        <v>794.61824722893039</v>
      </c>
      <c r="AX95" s="7" cm="1">
        <f t="array" ref="AX95">IF(AX$8=-1,AY95,IF(AX$8=99,AW95,IF(AX$8=0,INDEX($E95:$K95,0,AX$6),(INDEX($E95:$K95,0,AX$8+1)-INDEX($E95:$K95,0,AX$8))/(INDEX($D$5:$J$5,0,AX$8+1)-INDEX($D$5:$J$5,0,AX$8))+AW95)))</f>
        <v>794.61824722893039</v>
      </c>
      <c r="AY95" s="7" cm="1">
        <f t="array" ref="AY95">IF(AY$8=-1,AZ95,IF(AY$8=99,AX95,IF(AY$8=0,INDEX($E95:$K95,0,AY$6),(INDEX($E95:$K95,0,AY$8+1)-INDEX($E95:$K95,0,AY$8))/(INDEX($D$5:$J$5,0,AY$8+1)-INDEX($D$5:$J$5,0,AY$8))+AX95)))</f>
        <v>794.61824722893039</v>
      </c>
      <c r="AZ95" s="7" cm="1">
        <f t="array" ref="AZ95">IF(AZ$8=-1,BA95,IF(AZ$8=99,AY95,IF(AZ$8=0,INDEX($E95:$K95,0,AZ$6),(INDEX($E95:$K95,0,AZ$8+1)-INDEX($E95:$K95,0,AZ$8))/(INDEX($D$5:$J$5,0,AZ$8+1)-INDEX($D$5:$J$5,0,AZ$8))+AY95)))</f>
        <v>794.61824722893039</v>
      </c>
      <c r="BA95" s="7" cm="1">
        <f t="array" ref="BA95">IF(BA$8=-1,BB95,IF(BA$8=99,AZ95,IF(BA$8=0,INDEX($E95:$K95,0,BA$6),(INDEX($E95:$K95,0,BA$8+1)-INDEX($E95:$K95,0,BA$8))/(INDEX($D$5:$J$5,0,BA$8+1)-INDEX($D$5:$J$5,0,BA$8))+AZ95)))</f>
        <v>794.61824722893039</v>
      </c>
      <c r="BB95" s="7" cm="1">
        <f t="array" ref="BB95">IF(BB$8=-1,BC95,IF(BB$8=99,BA95,IF(BB$8=0,INDEX($E95:$K95,0,BB$6),(INDEX($E95:$K95,0,BB$8+1)-INDEX($E95:$K95,0,BB$8))/(INDEX($D$5:$J$5,0,BB$8+1)-INDEX($D$5:$J$5,0,BB$8))+BA95)))</f>
        <v>794.61824722893039</v>
      </c>
      <c r="BC95" s="7" cm="1">
        <f t="array" ref="BC95">IF(BC$8=-1,BD95,IF(BC$8=99,BB95,IF(BC$8=0,INDEX($E95:$K95,0,BC$6),(INDEX($E95:$K95,0,BC$8+1)-INDEX($E95:$K95,0,BC$8))/(INDEX($D$5:$J$5,0,BC$8+1)-INDEX($D$5:$J$5,0,BC$8))+BB95)))</f>
        <v>794.61824722893039</v>
      </c>
      <c r="BD95" s="7" cm="1">
        <f t="array" ref="BD95">IF(BD$8=-1,BE95,IF(BD$8=99,BC95,IF(BD$8=0,INDEX($E95:$K95,0,BD$6),(INDEX($E95:$K95,0,BD$8+1)-INDEX($E95:$K95,0,BD$8))/(INDEX($D$5:$J$5,0,BD$8+1)-INDEX($D$5:$J$5,0,BD$8))+BC95)))</f>
        <v>794.61824722893039</v>
      </c>
      <c r="BE95" s="7" cm="1">
        <f t="array" ref="BE95">IF(BE$8=-1,BF95,IF(BE$8=99,BD95,IF(BE$8=0,INDEX($E95:$K95,0,BE$6),(INDEX($E95:$K95,0,BE$8+1)-INDEX($E95:$K95,0,BE$8))/(INDEX($D$5:$J$5,0,BE$8+1)-INDEX($D$5:$J$5,0,BE$8))+BD95)))</f>
        <v>794.61824722893039</v>
      </c>
      <c r="BF95" s="7" cm="1">
        <f t="array" ref="BF95">IF(BF$8=-1,BG95,IF(BF$8=99,BE95,IF(BF$8=0,INDEX($E95:$K95,0,BF$6),(INDEX($E95:$K95,0,BF$8+1)-INDEX($E95:$K95,0,BF$8))/(INDEX($D$5:$J$5,0,BF$8+1)-INDEX($D$5:$J$5,0,BF$8))+BE95)))</f>
        <v>794.61824722893039</v>
      </c>
      <c r="BG95" s="7" cm="1">
        <f t="array" ref="BG95">IF(BG$8=-1,BH95,IF(BG$8=99,BF95,IF(BG$8=0,INDEX($E95:$K95,0,BG$6),(INDEX($E95:$K95,0,BG$8+1)-INDEX($E95:$K95,0,BG$8))/(INDEX($D$5:$J$5,0,BG$8+1)-INDEX($D$5:$J$5,0,BG$8))+BF95)))</f>
        <v>794.61824722893039</v>
      </c>
      <c r="BH95" s="7" cm="1">
        <f t="array" ref="BH95">IF(BH$8=-1,BI95,IF(BH$8=99,BG95,IF(BH$8=0,INDEX($E95:$K95,0,BH$6),(INDEX($E95:$K95,0,BH$8+1)-INDEX($E95:$K95,0,BH$8))/(INDEX($D$5:$J$5,0,BH$8+1)-INDEX($D$5:$J$5,0,BH$8))+BG95)))</f>
        <v>794.61824722893039</v>
      </c>
      <c r="BI95" s="7" cm="1">
        <f t="array" ref="BI95">IF(BI$8=-1,BJ95,IF(BI$8=99,BH95,IF(BI$8=0,INDEX($E95:$K95,0,BI$6),(INDEX($E95:$K95,0,BI$8+1)-INDEX($E95:$K95,0,BI$8))/(INDEX($D$5:$J$5,0,BI$8+1)-INDEX($D$5:$J$5,0,BI$8))+BH95)))</f>
        <v>794.61824722893039</v>
      </c>
      <c r="BJ95" s="7" cm="1">
        <f t="array" ref="BJ95">IF(BJ$8=-1,BK95,IF(BJ$8=99,BI95,IF(BJ$8=0,INDEX($E95:$K95,0,BJ$6),(INDEX($E95:$K95,0,BJ$8+1)-INDEX($E95:$K95,0,BJ$8))/(INDEX($D$5:$J$5,0,BJ$8+1)-INDEX($D$5:$J$5,0,BJ$8))+BI95)))</f>
        <v>794.61824722893039</v>
      </c>
      <c r="BK95" s="7" cm="1">
        <f t="array" ref="BK95">IF(BK$8=-1,BL95,IF(BK$8=99,BJ95,IF(BK$8=0,INDEX($E95:$K95,0,BK$6),(INDEX($E95:$K95,0,BK$8+1)-INDEX($E95:$K95,0,BK$8))/(INDEX($D$5:$J$5,0,BK$8+1)-INDEX($D$5:$J$5,0,BK$8))+BJ95)))</f>
        <v>794.61824722893039</v>
      </c>
      <c r="BL95" s="7" cm="1">
        <f t="array" ref="BL95">IF(BL$8=-1,BM95,IF(BL$8=99,BK95,IF(BL$8=0,INDEX($E95:$K95,0,BL$6),(INDEX($E95:$K95,0,BL$8+1)-INDEX($E95:$K95,0,BL$8))/(INDEX($D$5:$J$5,0,BL$8+1)-INDEX($D$5:$J$5,0,BL$8))+BK95)))</f>
        <v>794.61824722893039</v>
      </c>
      <c r="BM95" s="7" cm="1">
        <f t="array" ref="BM95">IF(BM$8=-1,BN95,IF(BM$8=99,BL95,IF(BM$8=0,INDEX($E95:$K95,0,BM$6),(INDEX($E95:$K95,0,BM$8+1)-INDEX($E95:$K95,0,BM$8))/(INDEX($D$5:$J$5,0,BM$8+1)-INDEX($D$5:$J$5,0,BM$8))+BL95)))</f>
        <v>794.61824722893039</v>
      </c>
      <c r="BN95" s="7" cm="1">
        <f t="array" ref="BN95">IF(BN$8=-1,BO95,IF(BN$8=99,BM95,IF(BN$8=0,INDEX($E95:$K95,0,BN$6),(INDEX($E95:$K95,0,BN$8+1)-INDEX($E95:$K95,0,BN$8))/(INDEX($D$5:$J$5,0,BN$8+1)-INDEX($D$5:$J$5,0,BN$8))+BM95)))</f>
        <v>794.61824722893039</v>
      </c>
      <c r="BO95" s="7" cm="1">
        <f t="array" ref="BO95">IF(BO$8=-1,BP95,IF(BO$8=99,BN95,IF(BO$8=0,INDEX($E95:$K95,0,BO$6),(INDEX($E95:$K95,0,BO$8+1)-INDEX($E95:$K95,0,BO$8))/(INDEX($D$5:$J$5,0,BO$8+1)-INDEX($D$5:$J$5,0,BO$8))+BN95)))</f>
        <v>794.61824722893039</v>
      </c>
      <c r="BP95" s="7" cm="1">
        <f t="array" ref="BP95">IF(BP$8=-1,BQ95,IF(BP$8=99,BO95,IF(BP$8=0,INDEX($E95:$K95,0,BP$6),(INDEX($E95:$K95,0,BP$8+1)-INDEX($E95:$K95,0,BP$8))/(INDEX($D$5:$J$5,0,BP$8+1)-INDEX($D$5:$J$5,0,BP$8))+BO95)))</f>
        <v>794.61824722893039</v>
      </c>
      <c r="BQ95" s="7" cm="1">
        <f t="array" ref="BQ95">IF(BQ$8=-1,BR95,IF(BQ$8=99,BP95,IF(BQ$8=0,INDEX($E95:$K95,0,BQ$6),(INDEX($E95:$K95,0,BQ$8+1)-INDEX($E95:$K95,0,BQ$8))/(INDEX($D$5:$J$5,0,BQ$8+1)-INDEX($D$5:$J$5,0,BQ$8))+BP95)))</f>
        <v>794.61824722893039</v>
      </c>
      <c r="BR95" s="7" cm="1">
        <f t="array" ref="BR95">IF(BR$8=-1,BS95,IF(BR$8=99,BQ95,IF(BR$8=0,INDEX($E95:$K95,0,BR$6),(INDEX($E95:$K95,0,BR$8+1)-INDEX($E95:$K95,0,BR$8))/(INDEX($D$5:$J$5,0,BR$8+1)-INDEX($D$5:$J$5,0,BR$8))+BQ95)))</f>
        <v>794.61824722893039</v>
      </c>
    </row>
    <row r="96" spans="1:70">
      <c r="A96" t="s">
        <v>16</v>
      </c>
      <c r="B96" s="1" t="str">
        <f t="shared" si="163"/>
        <v>CER</v>
      </c>
      <c r="C96" s="71" t="str">
        <f t="shared" si="160"/>
        <v>Commercial - Refrigeration</v>
      </c>
      <c r="D96" s="71" t="s">
        <v>66</v>
      </c>
      <c r="E96" s="80">
        <f t="shared" si="164"/>
        <v>222.6125158575035</v>
      </c>
      <c r="F96" s="88">
        <f t="shared" si="164"/>
        <v>195.25467556696461</v>
      </c>
      <c r="G96" s="88">
        <f t="shared" si="161"/>
        <v>195.25467556696461</v>
      </c>
      <c r="H96" s="88">
        <f t="shared" ref="H96:K96" si="168">$G96*(1-H$91*$T60)</f>
        <v>195.25467556696461</v>
      </c>
      <c r="I96" s="88">
        <f t="shared" si="168"/>
        <v>195.25467556696461</v>
      </c>
      <c r="J96" s="88">
        <f t="shared" si="168"/>
        <v>195.25467556696461</v>
      </c>
      <c r="K96" s="88">
        <f t="shared" si="168"/>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4">
      <c r="A97" t="s">
        <v>16</v>
      </c>
      <c r="B97" s="1" t="str">
        <f t="shared" si="163"/>
        <v>CEW</v>
      </c>
      <c r="C97" s="71" t="str">
        <f t="shared" si="160"/>
        <v>Commercial - Water Heating</v>
      </c>
      <c r="D97" s="71" t="s">
        <v>66</v>
      </c>
      <c r="E97" s="80">
        <f t="shared" si="164"/>
        <v>72.90647365811796</v>
      </c>
      <c r="F97" s="88">
        <f t="shared" si="164"/>
        <v>103.37272938194623</v>
      </c>
      <c r="G97" s="88">
        <f t="shared" si="161"/>
        <v>103.37272938194623</v>
      </c>
      <c r="H97" s="88">
        <f t="shared" ref="H97:K97" si="169">$G97*(1-H$91*$T61)</f>
        <v>103.37272938194623</v>
      </c>
      <c r="I97" s="88">
        <f t="shared" si="169"/>
        <v>103.37272938194623</v>
      </c>
      <c r="J97" s="88">
        <f t="shared" si="169"/>
        <v>103.37272938194623</v>
      </c>
      <c r="K97" s="88">
        <f t="shared" si="169"/>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4">
      <c r="A98" t="s">
        <v>16</v>
      </c>
      <c r="B98" s="1" t="str">
        <f t="shared" si="163"/>
        <v>CEG</v>
      </c>
      <c r="C98" s="91" t="str">
        <f t="shared" si="160"/>
        <v>Commercial - Public lights</v>
      </c>
      <c r="D98" s="91" t="s">
        <v>66</v>
      </c>
      <c r="E98" s="152">
        <f>D62/$L$34</f>
        <v>387.77678995775256</v>
      </c>
      <c r="F98" s="152">
        <f>E62/$Q$34</f>
        <v>340.12117882925378</v>
      </c>
      <c r="G98" s="147">
        <f t="shared" si="161"/>
        <v>340.12117882925378</v>
      </c>
      <c r="H98" s="88">
        <f>G98</f>
        <v>340.12117882925378</v>
      </c>
      <c r="I98" s="88">
        <f t="shared" ref="I98:K99" si="170">H98</f>
        <v>340.12117882925378</v>
      </c>
      <c r="J98" s="88">
        <f t="shared" si="170"/>
        <v>340.12117882925378</v>
      </c>
      <c r="K98" s="88">
        <f t="shared" si="170"/>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4">
      <c r="A99" t="s">
        <v>16</v>
      </c>
      <c r="B99" s="1" t="str">
        <f t="shared" si="163"/>
        <v>CET</v>
      </c>
      <c r="C99" s="91" t="str">
        <f t="shared" si="160"/>
        <v>Commercial - Public Water</v>
      </c>
      <c r="D99" s="91" t="s">
        <v>66</v>
      </c>
      <c r="E99" s="152">
        <f>D63/$L$34</f>
        <v>133.99608918927115</v>
      </c>
      <c r="F99" s="152">
        <f>E63/$Q$34</f>
        <v>117.52871495617349</v>
      </c>
      <c r="G99" s="147">
        <f t="shared" si="161"/>
        <v>117.52871495617349</v>
      </c>
      <c r="H99" s="88">
        <f>G99</f>
        <v>117.52871495617349</v>
      </c>
      <c r="I99" s="88">
        <f t="shared" si="170"/>
        <v>117.52871495617349</v>
      </c>
      <c r="J99" s="88">
        <f t="shared" si="170"/>
        <v>117.52871495617349</v>
      </c>
      <c r="K99" s="88">
        <f t="shared" si="170"/>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4">
      <c r="A100" t="s">
        <v>16</v>
      </c>
      <c r="B100" s="1" t="str">
        <f t="shared" si="163"/>
        <v>CEO</v>
      </c>
      <c r="C100" s="71" t="str">
        <f t="shared" si="160"/>
        <v>Commercial - Other</v>
      </c>
      <c r="D100" s="71" t="s">
        <v>66</v>
      </c>
      <c r="E100" s="80">
        <f t="shared" si="164"/>
        <v>141.24997285391106</v>
      </c>
      <c r="F100" s="88">
        <f t="shared" si="164"/>
        <v>145.08075848468391</v>
      </c>
      <c r="G100" s="88">
        <f t="shared" si="161"/>
        <v>145.08075848468391</v>
      </c>
      <c r="H100" s="88">
        <f t="shared" ref="H100:K100" si="171">$G100*(1-H$91*$T64)</f>
        <v>145.08075848468391</v>
      </c>
      <c r="I100" s="88">
        <f>$G100*(1-I$91*$T64)</f>
        <v>145.08075848468391</v>
      </c>
      <c r="J100" s="88">
        <f t="shared" si="171"/>
        <v>145.08075848468391</v>
      </c>
      <c r="K100" s="88">
        <f t="shared" si="171"/>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74">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74">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460</v>
      </c>
    </row>
    <row r="103" spans="1:74" ht="18.75">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461</v>
      </c>
    </row>
    <row r="104" spans="1:74" ht="15.75" thickBot="1">
      <c r="A104" t="s">
        <v>16</v>
      </c>
      <c r="B104" s="68"/>
      <c r="C104" s="68" t="s">
        <v>243</v>
      </c>
      <c r="D104" s="68"/>
      <c r="E104" s="68"/>
      <c r="F104" s="81"/>
      <c r="G104" s="81"/>
      <c r="H104" s="81"/>
      <c r="I104" s="151"/>
      <c r="J104" s="81"/>
      <c r="K104" s="81"/>
      <c r="L104" s="81">
        <f t="shared" ref="L104:BR104" si="172">L67</f>
        <v>2012</v>
      </c>
      <c r="M104" s="81">
        <f t="shared" si="172"/>
        <v>2013</v>
      </c>
      <c r="N104" s="81">
        <f t="shared" si="172"/>
        <v>2014</v>
      </c>
      <c r="O104" s="81">
        <f t="shared" si="172"/>
        <v>2015</v>
      </c>
      <c r="P104" s="81">
        <f t="shared" si="172"/>
        <v>2016</v>
      </c>
      <c r="Q104" s="81">
        <f t="shared" si="172"/>
        <v>2017</v>
      </c>
      <c r="R104" s="81">
        <f t="shared" si="172"/>
        <v>2018</v>
      </c>
      <c r="S104" s="81">
        <f t="shared" si="172"/>
        <v>2019</v>
      </c>
      <c r="T104" s="81">
        <f t="shared" si="172"/>
        <v>2020</v>
      </c>
      <c r="U104" s="81">
        <f t="shared" si="172"/>
        <v>2021</v>
      </c>
      <c r="V104" s="81">
        <f t="shared" si="172"/>
        <v>2022</v>
      </c>
      <c r="W104" s="81">
        <f t="shared" si="172"/>
        <v>2023</v>
      </c>
      <c r="X104" s="81">
        <f t="shared" si="172"/>
        <v>2024</v>
      </c>
      <c r="Y104" s="81">
        <f t="shared" si="172"/>
        <v>2025</v>
      </c>
      <c r="Z104" s="81">
        <f t="shared" si="172"/>
        <v>2026</v>
      </c>
      <c r="AA104" s="81">
        <f t="shared" si="172"/>
        <v>2027</v>
      </c>
      <c r="AB104" s="81">
        <f t="shared" si="172"/>
        <v>2028</v>
      </c>
      <c r="AC104" s="81">
        <f t="shared" si="172"/>
        <v>2029</v>
      </c>
      <c r="AD104" s="81">
        <f t="shared" si="172"/>
        <v>2030</v>
      </c>
      <c r="AE104" s="81">
        <f t="shared" si="172"/>
        <v>2031</v>
      </c>
      <c r="AF104" s="81">
        <f t="shared" si="172"/>
        <v>2032</v>
      </c>
      <c r="AG104" s="81">
        <f t="shared" si="172"/>
        <v>2033</v>
      </c>
      <c r="AH104" s="81">
        <f t="shared" si="172"/>
        <v>2034</v>
      </c>
      <c r="AI104" s="81">
        <f t="shared" si="172"/>
        <v>2035</v>
      </c>
      <c r="AJ104" s="81">
        <f t="shared" si="172"/>
        <v>2036</v>
      </c>
      <c r="AK104" s="81">
        <f t="shared" si="172"/>
        <v>2037</v>
      </c>
      <c r="AL104" s="81">
        <f t="shared" si="172"/>
        <v>2038</v>
      </c>
      <c r="AM104" s="81">
        <f t="shared" si="172"/>
        <v>2039</v>
      </c>
      <c r="AN104" s="81">
        <f t="shared" si="172"/>
        <v>2040</v>
      </c>
      <c r="AO104" s="81">
        <f t="shared" si="172"/>
        <v>2041</v>
      </c>
      <c r="AP104" s="81">
        <f t="shared" si="172"/>
        <v>2042</v>
      </c>
      <c r="AQ104" s="81">
        <f t="shared" si="172"/>
        <v>2043</v>
      </c>
      <c r="AR104" s="81">
        <f t="shared" si="172"/>
        <v>2044</v>
      </c>
      <c r="AS104" s="81">
        <f t="shared" si="172"/>
        <v>2045</v>
      </c>
      <c r="AT104" s="81">
        <f t="shared" si="172"/>
        <v>2046</v>
      </c>
      <c r="AU104" s="81">
        <f t="shared" si="172"/>
        <v>2047</v>
      </c>
      <c r="AV104" s="81">
        <f t="shared" si="172"/>
        <v>2048</v>
      </c>
      <c r="AW104" s="81">
        <f t="shared" si="172"/>
        <v>2049</v>
      </c>
      <c r="AX104" s="81">
        <f t="shared" si="172"/>
        <v>2050</v>
      </c>
      <c r="AY104" s="81">
        <f t="shared" si="172"/>
        <v>2051</v>
      </c>
      <c r="AZ104" s="81">
        <f t="shared" si="172"/>
        <v>2052</v>
      </c>
      <c r="BA104" s="81">
        <f t="shared" si="172"/>
        <v>2053</v>
      </c>
      <c r="BB104" s="81">
        <f t="shared" si="172"/>
        <v>2054</v>
      </c>
      <c r="BC104" s="81">
        <f t="shared" si="172"/>
        <v>2055</v>
      </c>
      <c r="BD104" s="81">
        <f t="shared" si="172"/>
        <v>2056</v>
      </c>
      <c r="BE104" s="81">
        <f t="shared" si="172"/>
        <v>2057</v>
      </c>
      <c r="BF104" s="81">
        <f t="shared" si="172"/>
        <v>2058</v>
      </c>
      <c r="BG104" s="81">
        <f t="shared" si="172"/>
        <v>2059</v>
      </c>
      <c r="BH104" s="81">
        <f t="shared" si="172"/>
        <v>2060</v>
      </c>
      <c r="BI104" s="81">
        <f t="shared" si="172"/>
        <v>2061</v>
      </c>
      <c r="BJ104" s="81">
        <f t="shared" si="172"/>
        <v>2062</v>
      </c>
      <c r="BK104" s="81">
        <f t="shared" si="172"/>
        <v>2063</v>
      </c>
      <c r="BL104" s="81">
        <f t="shared" si="172"/>
        <v>2064</v>
      </c>
      <c r="BM104" s="81">
        <f t="shared" si="172"/>
        <v>2065</v>
      </c>
      <c r="BN104" s="81">
        <f t="shared" si="172"/>
        <v>2066</v>
      </c>
      <c r="BO104" s="81">
        <f t="shared" si="172"/>
        <v>2067</v>
      </c>
      <c r="BP104" s="81">
        <f t="shared" si="172"/>
        <v>2068</v>
      </c>
      <c r="BQ104" s="81">
        <f t="shared" si="172"/>
        <v>2069</v>
      </c>
      <c r="BR104" s="81">
        <f t="shared" si="172"/>
        <v>2070</v>
      </c>
    </row>
    <row r="105" spans="1:74">
      <c r="A105" t="s">
        <v>16</v>
      </c>
      <c r="B105" s="1" t="s">
        <v>234</v>
      </c>
      <c r="C105" s="71" t="str">
        <f t="shared" ref="C105:C113" si="173">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4">
      <c r="A106" t="s">
        <v>16</v>
      </c>
      <c r="B106" s="1" t="s">
        <v>235</v>
      </c>
      <c r="C106" s="71" t="str">
        <f t="shared" si="173"/>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c r="A107" t="s">
        <v>16</v>
      </c>
      <c r="B107" s="1" t="s">
        <v>236</v>
      </c>
      <c r="C107" s="71" t="str">
        <f t="shared" si="173"/>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0"/>
      <c r="BV107" s="290"/>
    </row>
    <row r="108" spans="1:74">
      <c r="A108" t="s">
        <v>16</v>
      </c>
      <c r="B108" s="1" t="s">
        <v>237</v>
      </c>
      <c r="C108" s="71" t="str">
        <f t="shared" si="173"/>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4">
      <c r="A109" t="s">
        <v>16</v>
      </c>
      <c r="B109" s="1" t="s">
        <v>238</v>
      </c>
      <c r="C109" s="71" t="str">
        <f t="shared" si="173"/>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4">
      <c r="A110" t="s">
        <v>16</v>
      </c>
      <c r="B110" s="1" t="s">
        <v>239</v>
      </c>
      <c r="C110" s="71" t="str">
        <f t="shared" si="173"/>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4">
      <c r="A111" t="s">
        <v>16</v>
      </c>
      <c r="B111" s="1" t="s">
        <v>240</v>
      </c>
      <c r="C111" s="71" t="str">
        <f t="shared" si="173"/>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4">
      <c r="A112" t="s">
        <v>16</v>
      </c>
      <c r="B112" s="1" t="s">
        <v>241</v>
      </c>
      <c r="C112" s="71" t="str">
        <f t="shared" si="173"/>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c r="A113" t="s">
        <v>16</v>
      </c>
      <c r="B113" s="1" t="s">
        <v>242</v>
      </c>
      <c r="C113" s="71" t="str">
        <f t="shared" si="173"/>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70">
      <c r="A114" t="s">
        <v>16</v>
      </c>
      <c r="B114" s="1"/>
      <c r="I114" s="131"/>
      <c r="M114" s="71"/>
    </row>
    <row r="115" spans="1:70" ht="15.75" thickBot="1">
      <c r="A115" t="s">
        <v>16</v>
      </c>
      <c r="B115" s="1"/>
      <c r="C115" s="68" t="s">
        <v>244</v>
      </c>
      <c r="D115" s="71" t="s">
        <v>760</v>
      </c>
      <c r="E115" s="71" t="s">
        <v>761</v>
      </c>
      <c r="I115" s="131"/>
      <c r="M115" s="71"/>
    </row>
    <row r="116" spans="1:70">
      <c r="A116" t="s">
        <v>16</v>
      </c>
      <c r="B116" s="1" t="str">
        <f>B105</f>
        <v>CNC</v>
      </c>
      <c r="C116" s="1" t="str">
        <f>C105</f>
        <v>Commercial - Cooling</v>
      </c>
      <c r="E116" s="286">
        <f>E$125/9</f>
        <v>0</v>
      </c>
      <c r="F116" s="287" t="s">
        <v>762</v>
      </c>
      <c r="H116" s="288"/>
      <c r="I116" s="131"/>
      <c r="L116" s="133">
        <f t="shared" ref="L116:AA124" si="174">(1-$E116)</f>
        <v>1</v>
      </c>
      <c r="M116" s="92">
        <f t="shared" si="174"/>
        <v>1</v>
      </c>
      <c r="N116" s="92">
        <f t="shared" si="174"/>
        <v>1</v>
      </c>
      <c r="O116" s="92">
        <f t="shared" si="174"/>
        <v>1</v>
      </c>
      <c r="P116" s="92">
        <f t="shared" si="174"/>
        <v>1</v>
      </c>
      <c r="Q116" s="92">
        <f t="shared" si="174"/>
        <v>1</v>
      </c>
      <c r="R116" s="92">
        <f t="shared" si="174"/>
        <v>1</v>
      </c>
      <c r="S116" s="92">
        <f t="shared" si="174"/>
        <v>1</v>
      </c>
      <c r="T116" s="92">
        <f t="shared" si="174"/>
        <v>1</v>
      </c>
      <c r="U116" s="92">
        <f t="shared" si="174"/>
        <v>1</v>
      </c>
      <c r="V116" s="92">
        <f t="shared" si="174"/>
        <v>1</v>
      </c>
      <c r="W116" s="92">
        <f t="shared" si="174"/>
        <v>1</v>
      </c>
      <c r="X116" s="92">
        <f t="shared" si="174"/>
        <v>1</v>
      </c>
      <c r="Y116" s="92">
        <f t="shared" si="174"/>
        <v>1</v>
      </c>
      <c r="Z116" s="92">
        <f t="shared" si="174"/>
        <v>1</v>
      </c>
      <c r="AA116" s="92">
        <f t="shared" si="174"/>
        <v>1</v>
      </c>
      <c r="AB116" s="92">
        <f t="shared" ref="AB116:AY124" si="175">(1-$E116)</f>
        <v>1</v>
      </c>
      <c r="AC116" s="92">
        <f t="shared" si="175"/>
        <v>1</v>
      </c>
      <c r="AD116" s="92">
        <f t="shared" si="175"/>
        <v>1</v>
      </c>
      <c r="AE116" s="92">
        <f t="shared" si="175"/>
        <v>1</v>
      </c>
      <c r="AF116" s="92">
        <f t="shared" si="175"/>
        <v>1</v>
      </c>
      <c r="AG116" s="92">
        <f t="shared" si="175"/>
        <v>1</v>
      </c>
      <c r="AH116" s="92">
        <f t="shared" si="175"/>
        <v>1</v>
      </c>
      <c r="AI116" s="92">
        <f t="shared" si="175"/>
        <v>1</v>
      </c>
      <c r="AJ116" s="92">
        <f t="shared" si="175"/>
        <v>1</v>
      </c>
      <c r="AK116" s="92">
        <f t="shared" si="175"/>
        <v>1</v>
      </c>
      <c r="AL116" s="92">
        <f t="shared" si="175"/>
        <v>1</v>
      </c>
      <c r="AM116" s="92">
        <f t="shared" si="175"/>
        <v>1</v>
      </c>
      <c r="AN116" s="92">
        <f t="shared" si="175"/>
        <v>1</v>
      </c>
      <c r="AO116" s="92">
        <f t="shared" si="175"/>
        <v>1</v>
      </c>
      <c r="AP116" s="92">
        <f t="shared" si="175"/>
        <v>1</v>
      </c>
      <c r="AQ116" s="92">
        <f t="shared" si="175"/>
        <v>1</v>
      </c>
      <c r="AR116" s="92">
        <f t="shared" si="175"/>
        <v>1</v>
      </c>
      <c r="AS116" s="92">
        <f t="shared" si="175"/>
        <v>1</v>
      </c>
      <c r="AT116" s="92">
        <f t="shared" si="175"/>
        <v>1</v>
      </c>
      <c r="AU116" s="92">
        <f t="shared" si="175"/>
        <v>1</v>
      </c>
      <c r="AV116" s="92">
        <f t="shared" si="175"/>
        <v>1</v>
      </c>
      <c r="AW116" s="92">
        <f t="shared" si="175"/>
        <v>1</v>
      </c>
      <c r="AX116" s="92">
        <f t="shared" si="175"/>
        <v>1</v>
      </c>
      <c r="AY116" s="92">
        <f t="shared" si="175"/>
        <v>1</v>
      </c>
      <c r="AZ116" s="92">
        <f t="shared" ref="AY116:BR122" si="176">(1-$E116)</f>
        <v>1</v>
      </c>
      <c r="BA116" s="92">
        <f t="shared" si="176"/>
        <v>1</v>
      </c>
      <c r="BB116" s="92">
        <f t="shared" si="176"/>
        <v>1</v>
      </c>
      <c r="BC116" s="92">
        <f t="shared" si="176"/>
        <v>1</v>
      </c>
      <c r="BD116" s="92">
        <f t="shared" si="176"/>
        <v>1</v>
      </c>
      <c r="BE116" s="92">
        <f t="shared" si="176"/>
        <v>1</v>
      </c>
      <c r="BF116" s="92">
        <f t="shared" si="176"/>
        <v>1</v>
      </c>
      <c r="BG116" s="92">
        <f t="shared" si="176"/>
        <v>1</v>
      </c>
      <c r="BH116" s="92">
        <f t="shared" si="176"/>
        <v>1</v>
      </c>
      <c r="BI116" s="92">
        <f t="shared" si="176"/>
        <v>1</v>
      </c>
      <c r="BJ116" s="92">
        <f t="shared" si="176"/>
        <v>1</v>
      </c>
      <c r="BK116" s="92">
        <f t="shared" si="176"/>
        <v>1</v>
      </c>
      <c r="BL116" s="92">
        <f t="shared" si="176"/>
        <v>1</v>
      </c>
      <c r="BM116" s="92">
        <f t="shared" si="176"/>
        <v>1</v>
      </c>
      <c r="BN116" s="92">
        <f t="shared" si="176"/>
        <v>1</v>
      </c>
      <c r="BO116" s="92">
        <f t="shared" si="176"/>
        <v>1</v>
      </c>
      <c r="BP116" s="92">
        <f t="shared" si="176"/>
        <v>1</v>
      </c>
      <c r="BQ116" s="92">
        <f t="shared" si="176"/>
        <v>1</v>
      </c>
      <c r="BR116" s="92">
        <f t="shared" si="176"/>
        <v>1</v>
      </c>
    </row>
    <row r="117" spans="1:70">
      <c r="A117" t="s">
        <v>16</v>
      </c>
      <c r="B117" s="1" t="str">
        <f t="shared" ref="B117:C124" si="177">B106</f>
        <v>CNH</v>
      </c>
      <c r="C117" s="1" t="str">
        <f t="shared" si="177"/>
        <v>Commercial - Space Heating</v>
      </c>
      <c r="E117" s="286">
        <f t="shared" ref="E117:E124" si="178">E$125/9</f>
        <v>0</v>
      </c>
      <c r="F117" s="293"/>
      <c r="G117" s="289"/>
      <c r="H117" s="288"/>
      <c r="I117" s="131"/>
      <c r="L117" s="133">
        <f t="shared" si="174"/>
        <v>1</v>
      </c>
      <c r="M117" s="92">
        <f t="shared" si="174"/>
        <v>1</v>
      </c>
      <c r="N117" s="92">
        <f t="shared" si="174"/>
        <v>1</v>
      </c>
      <c r="O117" s="92">
        <f t="shared" si="174"/>
        <v>1</v>
      </c>
      <c r="P117" s="92">
        <f t="shared" si="174"/>
        <v>1</v>
      </c>
      <c r="Q117" s="92">
        <f t="shared" si="174"/>
        <v>1</v>
      </c>
      <c r="R117" s="92">
        <f t="shared" si="174"/>
        <v>1</v>
      </c>
      <c r="S117" s="92">
        <f t="shared" si="174"/>
        <v>1</v>
      </c>
      <c r="T117" s="92">
        <f t="shared" si="174"/>
        <v>1</v>
      </c>
      <c r="U117" s="92">
        <f t="shared" si="174"/>
        <v>1</v>
      </c>
      <c r="V117" s="92">
        <f t="shared" si="174"/>
        <v>1</v>
      </c>
      <c r="W117" s="92">
        <f t="shared" si="174"/>
        <v>1</v>
      </c>
      <c r="X117" s="92">
        <f t="shared" si="174"/>
        <v>1</v>
      </c>
      <c r="Y117" s="92">
        <f t="shared" si="174"/>
        <v>1</v>
      </c>
      <c r="Z117" s="92">
        <f t="shared" si="174"/>
        <v>1</v>
      </c>
      <c r="AA117" s="92">
        <f t="shared" si="174"/>
        <v>1</v>
      </c>
      <c r="AB117" s="92">
        <f t="shared" si="175"/>
        <v>1</v>
      </c>
      <c r="AC117" s="92">
        <f t="shared" si="175"/>
        <v>1</v>
      </c>
      <c r="AD117" s="92">
        <f t="shared" si="175"/>
        <v>1</v>
      </c>
      <c r="AE117" s="92">
        <f t="shared" si="175"/>
        <v>1</v>
      </c>
      <c r="AF117" s="92">
        <f t="shared" si="175"/>
        <v>1</v>
      </c>
      <c r="AG117" s="92">
        <f t="shared" si="175"/>
        <v>1</v>
      </c>
      <c r="AH117" s="92">
        <f t="shared" si="175"/>
        <v>1</v>
      </c>
      <c r="AI117" s="92">
        <f t="shared" si="175"/>
        <v>1</v>
      </c>
      <c r="AJ117" s="92">
        <f t="shared" si="175"/>
        <v>1</v>
      </c>
      <c r="AK117" s="92">
        <f t="shared" si="175"/>
        <v>1</v>
      </c>
      <c r="AL117" s="92">
        <f t="shared" si="175"/>
        <v>1</v>
      </c>
      <c r="AM117" s="92">
        <f t="shared" si="175"/>
        <v>1</v>
      </c>
      <c r="AN117" s="92">
        <f t="shared" si="175"/>
        <v>1</v>
      </c>
      <c r="AO117" s="92">
        <f t="shared" si="175"/>
        <v>1</v>
      </c>
      <c r="AP117" s="92">
        <f t="shared" si="175"/>
        <v>1</v>
      </c>
      <c r="AQ117" s="92">
        <f t="shared" si="175"/>
        <v>1</v>
      </c>
      <c r="AR117" s="92">
        <f t="shared" si="175"/>
        <v>1</v>
      </c>
      <c r="AS117" s="92">
        <f t="shared" si="175"/>
        <v>1</v>
      </c>
      <c r="AT117" s="92">
        <f t="shared" si="175"/>
        <v>1</v>
      </c>
      <c r="AU117" s="92">
        <f t="shared" si="175"/>
        <v>1</v>
      </c>
      <c r="AV117" s="92">
        <f t="shared" si="175"/>
        <v>1</v>
      </c>
      <c r="AW117" s="92">
        <f t="shared" si="175"/>
        <v>1</v>
      </c>
      <c r="AX117" s="92">
        <f t="shared" si="175"/>
        <v>1</v>
      </c>
      <c r="AY117" s="92">
        <f t="shared" si="176"/>
        <v>1</v>
      </c>
      <c r="AZ117" s="92">
        <f t="shared" si="176"/>
        <v>1</v>
      </c>
      <c r="BA117" s="92">
        <f t="shared" si="176"/>
        <v>1</v>
      </c>
      <c r="BB117" s="92">
        <f t="shared" si="176"/>
        <v>1</v>
      </c>
      <c r="BC117" s="92">
        <f t="shared" si="176"/>
        <v>1</v>
      </c>
      <c r="BD117" s="92">
        <f t="shared" si="176"/>
        <v>1</v>
      </c>
      <c r="BE117" s="92">
        <f t="shared" si="176"/>
        <v>1</v>
      </c>
      <c r="BF117" s="92">
        <f t="shared" si="176"/>
        <v>1</v>
      </c>
      <c r="BG117" s="92">
        <f t="shared" si="176"/>
        <v>1</v>
      </c>
      <c r="BH117" s="92">
        <f t="shared" si="176"/>
        <v>1</v>
      </c>
      <c r="BI117" s="92">
        <f t="shared" si="176"/>
        <v>1</v>
      </c>
      <c r="BJ117" s="92">
        <f t="shared" si="176"/>
        <v>1</v>
      </c>
      <c r="BK117" s="92">
        <f t="shared" si="176"/>
        <v>1</v>
      </c>
      <c r="BL117" s="92">
        <f t="shared" si="176"/>
        <v>1</v>
      </c>
      <c r="BM117" s="92">
        <f t="shared" si="176"/>
        <v>1</v>
      </c>
      <c r="BN117" s="92">
        <f t="shared" si="176"/>
        <v>1</v>
      </c>
      <c r="BO117" s="92">
        <f t="shared" si="176"/>
        <v>1</v>
      </c>
      <c r="BP117" s="92">
        <f t="shared" si="176"/>
        <v>1</v>
      </c>
      <c r="BQ117" s="92">
        <f t="shared" si="176"/>
        <v>1</v>
      </c>
      <c r="BR117" s="92">
        <f t="shared" si="176"/>
        <v>1</v>
      </c>
    </row>
    <row r="118" spans="1:70">
      <c r="A118" t="s">
        <v>16</v>
      </c>
      <c r="B118" s="1" t="str">
        <f t="shared" si="177"/>
        <v>CNK</v>
      </c>
      <c r="C118" s="1" t="str">
        <f t="shared" si="177"/>
        <v>Commercial - Cooking</v>
      </c>
      <c r="E118" s="286">
        <f t="shared" si="178"/>
        <v>0</v>
      </c>
      <c r="F118" s="293"/>
      <c r="G118" s="289"/>
      <c r="H118" s="288"/>
      <c r="I118" s="131"/>
      <c r="L118" s="133">
        <f t="shared" si="174"/>
        <v>1</v>
      </c>
      <c r="M118" s="92">
        <f t="shared" si="174"/>
        <v>1</v>
      </c>
      <c r="N118" s="92">
        <f t="shared" si="174"/>
        <v>1</v>
      </c>
      <c r="O118" s="92">
        <f>(1-$E118)</f>
        <v>1</v>
      </c>
      <c r="P118" s="92">
        <f t="shared" si="174"/>
        <v>1</v>
      </c>
      <c r="Q118" s="92">
        <f t="shared" si="174"/>
        <v>1</v>
      </c>
      <c r="R118" s="92">
        <f t="shared" si="174"/>
        <v>1</v>
      </c>
      <c r="S118" s="92">
        <f t="shared" si="174"/>
        <v>1</v>
      </c>
      <c r="T118" s="92">
        <f t="shared" si="174"/>
        <v>1</v>
      </c>
      <c r="U118" s="92">
        <f t="shared" si="174"/>
        <v>1</v>
      </c>
      <c r="V118" s="92">
        <f t="shared" si="174"/>
        <v>1</v>
      </c>
      <c r="W118" s="92">
        <f t="shared" si="174"/>
        <v>1</v>
      </c>
      <c r="X118" s="92">
        <f t="shared" si="174"/>
        <v>1</v>
      </c>
      <c r="Y118" s="92">
        <f t="shared" si="174"/>
        <v>1</v>
      </c>
      <c r="Z118" s="92">
        <f t="shared" si="174"/>
        <v>1</v>
      </c>
      <c r="AA118" s="92">
        <f t="shared" si="174"/>
        <v>1</v>
      </c>
      <c r="AB118" s="92">
        <f t="shared" si="175"/>
        <v>1</v>
      </c>
      <c r="AC118" s="92">
        <f t="shared" si="175"/>
        <v>1</v>
      </c>
      <c r="AD118" s="92">
        <f t="shared" si="175"/>
        <v>1</v>
      </c>
      <c r="AE118" s="92">
        <f t="shared" si="175"/>
        <v>1</v>
      </c>
      <c r="AF118" s="92">
        <f t="shared" si="175"/>
        <v>1</v>
      </c>
      <c r="AG118" s="92">
        <f t="shared" si="175"/>
        <v>1</v>
      </c>
      <c r="AH118" s="92">
        <f t="shared" si="175"/>
        <v>1</v>
      </c>
      <c r="AI118" s="92">
        <f t="shared" si="175"/>
        <v>1</v>
      </c>
      <c r="AJ118" s="92">
        <f t="shared" si="175"/>
        <v>1</v>
      </c>
      <c r="AK118" s="92">
        <f t="shared" si="175"/>
        <v>1</v>
      </c>
      <c r="AL118" s="92">
        <f t="shared" si="175"/>
        <v>1</v>
      </c>
      <c r="AM118" s="92">
        <f t="shared" si="175"/>
        <v>1</v>
      </c>
      <c r="AN118" s="92">
        <f t="shared" si="175"/>
        <v>1</v>
      </c>
      <c r="AO118" s="92">
        <f t="shared" si="175"/>
        <v>1</v>
      </c>
      <c r="AP118" s="92">
        <f t="shared" si="175"/>
        <v>1</v>
      </c>
      <c r="AQ118" s="92">
        <f t="shared" si="175"/>
        <v>1</v>
      </c>
      <c r="AR118" s="92">
        <f t="shared" si="175"/>
        <v>1</v>
      </c>
      <c r="AS118" s="92">
        <f t="shared" si="175"/>
        <v>1</v>
      </c>
      <c r="AT118" s="92">
        <f t="shared" si="175"/>
        <v>1</v>
      </c>
      <c r="AU118" s="92">
        <f t="shared" si="175"/>
        <v>1</v>
      </c>
      <c r="AV118" s="92">
        <f t="shared" si="175"/>
        <v>1</v>
      </c>
      <c r="AW118" s="92">
        <f t="shared" si="175"/>
        <v>1</v>
      </c>
      <c r="AX118" s="92">
        <f t="shared" si="175"/>
        <v>1</v>
      </c>
      <c r="AY118" s="92">
        <f t="shared" si="176"/>
        <v>1</v>
      </c>
      <c r="AZ118" s="92">
        <f t="shared" si="176"/>
        <v>1</v>
      </c>
      <c r="BA118" s="92">
        <f t="shared" si="176"/>
        <v>1</v>
      </c>
      <c r="BB118" s="92">
        <f t="shared" si="176"/>
        <v>1</v>
      </c>
      <c r="BC118" s="92">
        <f t="shared" si="176"/>
        <v>1</v>
      </c>
      <c r="BD118" s="92">
        <f t="shared" si="176"/>
        <v>1</v>
      </c>
      <c r="BE118" s="92">
        <f t="shared" si="176"/>
        <v>1</v>
      </c>
      <c r="BF118" s="92">
        <f t="shared" si="176"/>
        <v>1</v>
      </c>
      <c r="BG118" s="92">
        <f t="shared" si="176"/>
        <v>1</v>
      </c>
      <c r="BH118" s="92">
        <f t="shared" si="176"/>
        <v>1</v>
      </c>
      <c r="BI118" s="92">
        <f t="shared" si="176"/>
        <v>1</v>
      </c>
      <c r="BJ118" s="92">
        <f t="shared" si="176"/>
        <v>1</v>
      </c>
      <c r="BK118" s="92">
        <f t="shared" si="176"/>
        <v>1</v>
      </c>
      <c r="BL118" s="92">
        <f t="shared" si="176"/>
        <v>1</v>
      </c>
      <c r="BM118" s="92">
        <f t="shared" si="176"/>
        <v>1</v>
      </c>
      <c r="BN118" s="92">
        <f t="shared" si="176"/>
        <v>1</v>
      </c>
      <c r="BO118" s="92">
        <f t="shared" si="176"/>
        <v>1</v>
      </c>
      <c r="BP118" s="92">
        <f t="shared" si="176"/>
        <v>1</v>
      </c>
      <c r="BQ118" s="92">
        <f t="shared" si="176"/>
        <v>1</v>
      </c>
      <c r="BR118" s="92">
        <f t="shared" si="176"/>
        <v>1</v>
      </c>
    </row>
    <row r="119" spans="1:70">
      <c r="A119" t="s">
        <v>16</v>
      </c>
      <c r="B119" s="1" t="str">
        <f t="shared" si="177"/>
        <v>CNL</v>
      </c>
      <c r="C119" s="1" t="str">
        <f t="shared" si="177"/>
        <v>Commercial - Lighting</v>
      </c>
      <c r="E119" s="286">
        <f t="shared" si="178"/>
        <v>0</v>
      </c>
      <c r="F119" s="293"/>
      <c r="G119" s="289"/>
      <c r="H119" s="288"/>
      <c r="I119" s="131"/>
      <c r="L119" s="133">
        <f t="shared" si="174"/>
        <v>1</v>
      </c>
      <c r="M119" s="92">
        <f t="shared" si="174"/>
        <v>1</v>
      </c>
      <c r="N119" s="92">
        <f t="shared" si="174"/>
        <v>1</v>
      </c>
      <c r="O119" s="92">
        <f t="shared" si="174"/>
        <v>1</v>
      </c>
      <c r="P119" s="92">
        <f t="shared" si="174"/>
        <v>1</v>
      </c>
      <c r="Q119" s="92">
        <f t="shared" si="174"/>
        <v>1</v>
      </c>
      <c r="R119" s="92">
        <f t="shared" si="174"/>
        <v>1</v>
      </c>
      <c r="S119" s="92">
        <f t="shared" si="174"/>
        <v>1</v>
      </c>
      <c r="T119" s="92">
        <f t="shared" si="174"/>
        <v>1</v>
      </c>
      <c r="U119" s="92">
        <f t="shared" si="174"/>
        <v>1</v>
      </c>
      <c r="V119" s="92">
        <f t="shared" si="174"/>
        <v>1</v>
      </c>
      <c r="W119" s="92">
        <f t="shared" si="174"/>
        <v>1</v>
      </c>
      <c r="X119" s="92">
        <f t="shared" si="174"/>
        <v>1</v>
      </c>
      <c r="Y119" s="92">
        <f t="shared" si="174"/>
        <v>1</v>
      </c>
      <c r="Z119" s="92">
        <f t="shared" si="174"/>
        <v>1</v>
      </c>
      <c r="AA119" s="92">
        <f t="shared" si="174"/>
        <v>1</v>
      </c>
      <c r="AB119" s="92">
        <f t="shared" si="175"/>
        <v>1</v>
      </c>
      <c r="AC119" s="92">
        <f t="shared" si="175"/>
        <v>1</v>
      </c>
      <c r="AD119" s="92">
        <f t="shared" si="175"/>
        <v>1</v>
      </c>
      <c r="AE119" s="92">
        <f t="shared" si="175"/>
        <v>1</v>
      </c>
      <c r="AF119" s="92">
        <f t="shared" si="175"/>
        <v>1</v>
      </c>
      <c r="AG119" s="92">
        <f t="shared" si="175"/>
        <v>1</v>
      </c>
      <c r="AH119" s="92">
        <f t="shared" si="175"/>
        <v>1</v>
      </c>
      <c r="AI119" s="92">
        <f t="shared" si="175"/>
        <v>1</v>
      </c>
      <c r="AJ119" s="92">
        <f t="shared" si="175"/>
        <v>1</v>
      </c>
      <c r="AK119" s="92">
        <f t="shared" si="175"/>
        <v>1</v>
      </c>
      <c r="AL119" s="92">
        <f t="shared" si="175"/>
        <v>1</v>
      </c>
      <c r="AM119" s="92">
        <f t="shared" si="175"/>
        <v>1</v>
      </c>
      <c r="AN119" s="92">
        <f t="shared" si="175"/>
        <v>1</v>
      </c>
      <c r="AO119" s="92">
        <f t="shared" si="175"/>
        <v>1</v>
      </c>
      <c r="AP119" s="92">
        <f t="shared" si="175"/>
        <v>1</v>
      </c>
      <c r="AQ119" s="92">
        <f t="shared" si="175"/>
        <v>1</v>
      </c>
      <c r="AR119" s="92">
        <f t="shared" si="175"/>
        <v>1</v>
      </c>
      <c r="AS119" s="92">
        <f t="shared" si="175"/>
        <v>1</v>
      </c>
      <c r="AT119" s="92">
        <f t="shared" si="175"/>
        <v>1</v>
      </c>
      <c r="AU119" s="92">
        <f t="shared" si="175"/>
        <v>1</v>
      </c>
      <c r="AV119" s="92">
        <f t="shared" si="175"/>
        <v>1</v>
      </c>
      <c r="AW119" s="92">
        <f t="shared" si="175"/>
        <v>1</v>
      </c>
      <c r="AX119" s="92">
        <f t="shared" si="175"/>
        <v>1</v>
      </c>
      <c r="AY119" s="92">
        <f t="shared" si="176"/>
        <v>1</v>
      </c>
      <c r="AZ119" s="92">
        <f t="shared" si="176"/>
        <v>1</v>
      </c>
      <c r="BA119" s="92">
        <f t="shared" si="176"/>
        <v>1</v>
      </c>
      <c r="BB119" s="92">
        <f t="shared" si="176"/>
        <v>1</v>
      </c>
      <c r="BC119" s="92">
        <f t="shared" si="176"/>
        <v>1</v>
      </c>
      <c r="BD119" s="92">
        <f t="shared" si="176"/>
        <v>1</v>
      </c>
      <c r="BE119" s="92">
        <f t="shared" si="176"/>
        <v>1</v>
      </c>
      <c r="BF119" s="92">
        <f t="shared" si="176"/>
        <v>1</v>
      </c>
      <c r="BG119" s="92">
        <f t="shared" si="176"/>
        <v>1</v>
      </c>
      <c r="BH119" s="92">
        <f t="shared" si="176"/>
        <v>1</v>
      </c>
      <c r="BI119" s="92">
        <f t="shared" si="176"/>
        <v>1</v>
      </c>
      <c r="BJ119" s="92">
        <f t="shared" si="176"/>
        <v>1</v>
      </c>
      <c r="BK119" s="92">
        <f t="shared" si="176"/>
        <v>1</v>
      </c>
      <c r="BL119" s="92">
        <f t="shared" si="176"/>
        <v>1</v>
      </c>
      <c r="BM119" s="92">
        <f t="shared" si="176"/>
        <v>1</v>
      </c>
      <c r="BN119" s="92">
        <f t="shared" si="176"/>
        <v>1</v>
      </c>
      <c r="BO119" s="92">
        <f t="shared" si="176"/>
        <v>1</v>
      </c>
      <c r="BP119" s="92">
        <f t="shared" si="176"/>
        <v>1</v>
      </c>
      <c r="BQ119" s="92">
        <f t="shared" si="176"/>
        <v>1</v>
      </c>
      <c r="BR119" s="92">
        <f t="shared" si="176"/>
        <v>1</v>
      </c>
    </row>
    <row r="120" spans="1:70">
      <c r="A120" t="s">
        <v>16</v>
      </c>
      <c r="B120" s="1" t="str">
        <f t="shared" si="177"/>
        <v>CNR</v>
      </c>
      <c r="C120" s="1" t="str">
        <f t="shared" si="177"/>
        <v>Commercial - Refrigeration</v>
      </c>
      <c r="E120" s="286">
        <f t="shared" si="178"/>
        <v>0</v>
      </c>
      <c r="F120" s="293"/>
      <c r="G120" s="289"/>
      <c r="H120" s="288"/>
      <c r="I120" s="131"/>
      <c r="L120" s="133">
        <f t="shared" si="174"/>
        <v>1</v>
      </c>
      <c r="M120" s="92">
        <f t="shared" si="174"/>
        <v>1</v>
      </c>
      <c r="N120" s="92">
        <f t="shared" si="174"/>
        <v>1</v>
      </c>
      <c r="O120" s="92">
        <f t="shared" si="174"/>
        <v>1</v>
      </c>
      <c r="P120" s="92">
        <f t="shared" si="174"/>
        <v>1</v>
      </c>
      <c r="Q120" s="92">
        <f t="shared" si="174"/>
        <v>1</v>
      </c>
      <c r="R120" s="92">
        <f t="shared" si="174"/>
        <v>1</v>
      </c>
      <c r="S120" s="92">
        <f t="shared" si="174"/>
        <v>1</v>
      </c>
      <c r="T120" s="92">
        <f t="shared" si="174"/>
        <v>1</v>
      </c>
      <c r="U120" s="92">
        <f t="shared" si="174"/>
        <v>1</v>
      </c>
      <c r="V120" s="92">
        <f t="shared" si="174"/>
        <v>1</v>
      </c>
      <c r="W120" s="92">
        <f t="shared" si="174"/>
        <v>1</v>
      </c>
      <c r="X120" s="92">
        <f t="shared" si="174"/>
        <v>1</v>
      </c>
      <c r="Y120" s="92">
        <f t="shared" si="174"/>
        <v>1</v>
      </c>
      <c r="Z120" s="92">
        <f t="shared" si="174"/>
        <v>1</v>
      </c>
      <c r="AA120" s="92">
        <f t="shared" si="174"/>
        <v>1</v>
      </c>
      <c r="AB120" s="92">
        <f t="shared" si="175"/>
        <v>1</v>
      </c>
      <c r="AC120" s="92">
        <f t="shared" si="175"/>
        <v>1</v>
      </c>
      <c r="AD120" s="92">
        <f t="shared" si="175"/>
        <v>1</v>
      </c>
      <c r="AE120" s="92">
        <f t="shared" si="175"/>
        <v>1</v>
      </c>
      <c r="AF120" s="92">
        <f t="shared" si="175"/>
        <v>1</v>
      </c>
      <c r="AG120" s="92">
        <f t="shared" si="175"/>
        <v>1</v>
      </c>
      <c r="AH120" s="92">
        <f t="shared" si="175"/>
        <v>1</v>
      </c>
      <c r="AI120" s="92">
        <f t="shared" si="175"/>
        <v>1</v>
      </c>
      <c r="AJ120" s="92">
        <f t="shared" si="175"/>
        <v>1</v>
      </c>
      <c r="AK120" s="92">
        <f t="shared" si="175"/>
        <v>1</v>
      </c>
      <c r="AL120" s="92">
        <f t="shared" si="175"/>
        <v>1</v>
      </c>
      <c r="AM120" s="92">
        <f t="shared" si="175"/>
        <v>1</v>
      </c>
      <c r="AN120" s="92">
        <f t="shared" si="175"/>
        <v>1</v>
      </c>
      <c r="AO120" s="92">
        <f t="shared" si="175"/>
        <v>1</v>
      </c>
      <c r="AP120" s="92">
        <f t="shared" si="175"/>
        <v>1</v>
      </c>
      <c r="AQ120" s="92">
        <f t="shared" si="175"/>
        <v>1</v>
      </c>
      <c r="AR120" s="92">
        <f t="shared" si="175"/>
        <v>1</v>
      </c>
      <c r="AS120" s="92">
        <f t="shared" si="175"/>
        <v>1</v>
      </c>
      <c r="AT120" s="92">
        <f t="shared" si="175"/>
        <v>1</v>
      </c>
      <c r="AU120" s="92">
        <f t="shared" si="175"/>
        <v>1</v>
      </c>
      <c r="AV120" s="92">
        <f t="shared" si="175"/>
        <v>1</v>
      </c>
      <c r="AW120" s="92">
        <f t="shared" si="175"/>
        <v>1</v>
      </c>
      <c r="AX120" s="92">
        <f t="shared" si="175"/>
        <v>1</v>
      </c>
      <c r="AY120" s="92">
        <f t="shared" si="176"/>
        <v>1</v>
      </c>
      <c r="AZ120" s="92">
        <f t="shared" si="176"/>
        <v>1</v>
      </c>
      <c r="BA120" s="92">
        <f t="shared" si="176"/>
        <v>1</v>
      </c>
      <c r="BB120" s="92">
        <f t="shared" si="176"/>
        <v>1</v>
      </c>
      <c r="BC120" s="92">
        <f t="shared" si="176"/>
        <v>1</v>
      </c>
      <c r="BD120" s="92">
        <f t="shared" si="176"/>
        <v>1</v>
      </c>
      <c r="BE120" s="92">
        <f t="shared" si="176"/>
        <v>1</v>
      </c>
      <c r="BF120" s="92">
        <f t="shared" si="176"/>
        <v>1</v>
      </c>
      <c r="BG120" s="92">
        <f t="shared" si="176"/>
        <v>1</v>
      </c>
      <c r="BH120" s="92">
        <f t="shared" si="176"/>
        <v>1</v>
      </c>
      <c r="BI120" s="92">
        <f t="shared" si="176"/>
        <v>1</v>
      </c>
      <c r="BJ120" s="92">
        <f t="shared" si="176"/>
        <v>1</v>
      </c>
      <c r="BK120" s="92">
        <f t="shared" si="176"/>
        <v>1</v>
      </c>
      <c r="BL120" s="92">
        <f t="shared" si="176"/>
        <v>1</v>
      </c>
      <c r="BM120" s="92">
        <f t="shared" si="176"/>
        <v>1</v>
      </c>
      <c r="BN120" s="92">
        <f t="shared" si="176"/>
        <v>1</v>
      </c>
      <c r="BO120" s="92">
        <f t="shared" si="176"/>
        <v>1</v>
      </c>
      <c r="BP120" s="92">
        <f t="shared" si="176"/>
        <v>1</v>
      </c>
      <c r="BQ120" s="92">
        <f t="shared" si="176"/>
        <v>1</v>
      </c>
      <c r="BR120" s="92">
        <f t="shared" si="176"/>
        <v>1</v>
      </c>
    </row>
    <row r="121" spans="1:70">
      <c r="A121" t="s">
        <v>16</v>
      </c>
      <c r="B121" s="1" t="str">
        <f t="shared" si="177"/>
        <v>CNW</v>
      </c>
      <c r="C121" s="1" t="str">
        <f t="shared" si="177"/>
        <v>Commercial - Water Heating</v>
      </c>
      <c r="E121" s="286">
        <f t="shared" si="178"/>
        <v>0</v>
      </c>
      <c r="F121" s="293"/>
      <c r="G121" s="289"/>
      <c r="H121" s="288"/>
      <c r="I121" s="131"/>
      <c r="L121" s="133">
        <f t="shared" si="174"/>
        <v>1</v>
      </c>
      <c r="M121" s="92">
        <f t="shared" si="174"/>
        <v>1</v>
      </c>
      <c r="N121" s="92">
        <f t="shared" si="174"/>
        <v>1</v>
      </c>
      <c r="O121" s="92">
        <f t="shared" si="174"/>
        <v>1</v>
      </c>
      <c r="P121" s="92">
        <f t="shared" si="174"/>
        <v>1</v>
      </c>
      <c r="Q121" s="92">
        <f t="shared" si="174"/>
        <v>1</v>
      </c>
      <c r="R121" s="92">
        <f t="shared" si="174"/>
        <v>1</v>
      </c>
      <c r="S121" s="92">
        <f t="shared" si="174"/>
        <v>1</v>
      </c>
      <c r="T121" s="92">
        <f t="shared" si="174"/>
        <v>1</v>
      </c>
      <c r="U121" s="92">
        <f t="shared" si="174"/>
        <v>1</v>
      </c>
      <c r="V121" s="92">
        <f t="shared" si="174"/>
        <v>1</v>
      </c>
      <c r="W121" s="92">
        <f t="shared" si="174"/>
        <v>1</v>
      </c>
      <c r="X121" s="92">
        <f t="shared" si="174"/>
        <v>1</v>
      </c>
      <c r="Y121" s="92">
        <f t="shared" si="174"/>
        <v>1</v>
      </c>
      <c r="Z121" s="92">
        <f t="shared" si="174"/>
        <v>1</v>
      </c>
      <c r="AA121" s="92">
        <f t="shared" si="174"/>
        <v>1</v>
      </c>
      <c r="AB121" s="92">
        <f t="shared" si="175"/>
        <v>1</v>
      </c>
      <c r="AC121" s="92">
        <f t="shared" si="175"/>
        <v>1</v>
      </c>
      <c r="AD121" s="92">
        <f t="shared" si="175"/>
        <v>1</v>
      </c>
      <c r="AE121" s="92">
        <f t="shared" si="175"/>
        <v>1</v>
      </c>
      <c r="AF121" s="92">
        <f t="shared" si="175"/>
        <v>1</v>
      </c>
      <c r="AG121" s="92">
        <f t="shared" si="175"/>
        <v>1</v>
      </c>
      <c r="AH121" s="92">
        <f t="shared" si="175"/>
        <v>1</v>
      </c>
      <c r="AI121" s="92">
        <f t="shared" si="175"/>
        <v>1</v>
      </c>
      <c r="AJ121" s="92">
        <f t="shared" si="175"/>
        <v>1</v>
      </c>
      <c r="AK121" s="92">
        <f t="shared" si="175"/>
        <v>1</v>
      </c>
      <c r="AL121" s="92">
        <f t="shared" si="175"/>
        <v>1</v>
      </c>
      <c r="AM121" s="92">
        <f t="shared" si="175"/>
        <v>1</v>
      </c>
      <c r="AN121" s="92">
        <f t="shared" si="175"/>
        <v>1</v>
      </c>
      <c r="AO121" s="92">
        <f t="shared" si="175"/>
        <v>1</v>
      </c>
      <c r="AP121" s="92">
        <f t="shared" si="175"/>
        <v>1</v>
      </c>
      <c r="AQ121" s="92">
        <f t="shared" si="175"/>
        <v>1</v>
      </c>
      <c r="AR121" s="92">
        <f t="shared" si="175"/>
        <v>1</v>
      </c>
      <c r="AS121" s="92">
        <f t="shared" si="175"/>
        <v>1</v>
      </c>
      <c r="AT121" s="92">
        <f t="shared" si="175"/>
        <v>1</v>
      </c>
      <c r="AU121" s="92">
        <f t="shared" si="175"/>
        <v>1</v>
      </c>
      <c r="AV121" s="92">
        <f t="shared" si="175"/>
        <v>1</v>
      </c>
      <c r="AW121" s="92">
        <f t="shared" si="175"/>
        <v>1</v>
      </c>
      <c r="AX121" s="92">
        <f t="shared" si="175"/>
        <v>1</v>
      </c>
      <c r="AY121" s="92">
        <f t="shared" si="176"/>
        <v>1</v>
      </c>
      <c r="AZ121" s="92">
        <f t="shared" si="176"/>
        <v>1</v>
      </c>
      <c r="BA121" s="92">
        <f t="shared" si="176"/>
        <v>1</v>
      </c>
      <c r="BB121" s="92">
        <f t="shared" si="176"/>
        <v>1</v>
      </c>
      <c r="BC121" s="92">
        <f t="shared" si="176"/>
        <v>1</v>
      </c>
      <c r="BD121" s="92">
        <f t="shared" si="176"/>
        <v>1</v>
      </c>
      <c r="BE121" s="92">
        <f t="shared" si="176"/>
        <v>1</v>
      </c>
      <c r="BF121" s="92">
        <f t="shared" si="176"/>
        <v>1</v>
      </c>
      <c r="BG121" s="92">
        <f t="shared" si="176"/>
        <v>1</v>
      </c>
      <c r="BH121" s="92">
        <f t="shared" si="176"/>
        <v>1</v>
      </c>
      <c r="BI121" s="92">
        <f t="shared" si="176"/>
        <v>1</v>
      </c>
      <c r="BJ121" s="92">
        <f t="shared" si="176"/>
        <v>1</v>
      </c>
      <c r="BK121" s="92">
        <f t="shared" si="176"/>
        <v>1</v>
      </c>
      <c r="BL121" s="92">
        <f t="shared" si="176"/>
        <v>1</v>
      </c>
      <c r="BM121" s="92">
        <f t="shared" si="176"/>
        <v>1</v>
      </c>
      <c r="BN121" s="92">
        <f t="shared" si="176"/>
        <v>1</v>
      </c>
      <c r="BO121" s="92">
        <f t="shared" si="176"/>
        <v>1</v>
      </c>
      <c r="BP121" s="92">
        <f t="shared" si="176"/>
        <v>1</v>
      </c>
      <c r="BQ121" s="92">
        <f t="shared" si="176"/>
        <v>1</v>
      </c>
      <c r="BR121" s="92">
        <f t="shared" si="176"/>
        <v>1</v>
      </c>
    </row>
    <row r="122" spans="1:70">
      <c r="A122" t="s">
        <v>16</v>
      </c>
      <c r="B122" s="1" t="str">
        <f t="shared" si="177"/>
        <v>CNG</v>
      </c>
      <c r="C122" s="1" t="str">
        <f t="shared" si="177"/>
        <v>Commercial - Public lights</v>
      </c>
      <c r="E122" s="286">
        <f t="shared" si="178"/>
        <v>0</v>
      </c>
      <c r="F122" s="293"/>
      <c r="G122" s="289"/>
      <c r="I122" s="131"/>
      <c r="L122" s="133">
        <f t="shared" si="174"/>
        <v>1</v>
      </c>
      <c r="M122" s="92">
        <f t="shared" si="174"/>
        <v>1</v>
      </c>
      <c r="N122" s="92">
        <f t="shared" si="174"/>
        <v>1</v>
      </c>
      <c r="O122" s="92">
        <f t="shared" si="174"/>
        <v>1</v>
      </c>
      <c r="P122" s="92">
        <f t="shared" si="174"/>
        <v>1</v>
      </c>
      <c r="Q122" s="92">
        <f t="shared" si="174"/>
        <v>1</v>
      </c>
      <c r="R122" s="92">
        <f t="shared" si="174"/>
        <v>1</v>
      </c>
      <c r="S122" s="92">
        <f t="shared" si="174"/>
        <v>1</v>
      </c>
      <c r="T122" s="92">
        <f t="shared" si="174"/>
        <v>1</v>
      </c>
      <c r="U122" s="92">
        <f t="shared" si="174"/>
        <v>1</v>
      </c>
      <c r="V122" s="92">
        <f t="shared" si="174"/>
        <v>1</v>
      </c>
      <c r="W122" s="92">
        <f t="shared" si="174"/>
        <v>1</v>
      </c>
      <c r="X122" s="92">
        <f t="shared" si="174"/>
        <v>1</v>
      </c>
      <c r="Y122" s="92">
        <f t="shared" si="174"/>
        <v>1</v>
      </c>
      <c r="Z122" s="92">
        <f t="shared" si="174"/>
        <v>1</v>
      </c>
      <c r="AA122" s="92">
        <f t="shared" si="174"/>
        <v>1</v>
      </c>
      <c r="AB122" s="92">
        <f t="shared" si="175"/>
        <v>1</v>
      </c>
      <c r="AC122" s="92">
        <f t="shared" si="175"/>
        <v>1</v>
      </c>
      <c r="AD122" s="92">
        <f t="shared" si="175"/>
        <v>1</v>
      </c>
      <c r="AE122" s="92">
        <f t="shared" si="175"/>
        <v>1</v>
      </c>
      <c r="AF122" s="92">
        <f t="shared" si="175"/>
        <v>1</v>
      </c>
      <c r="AG122" s="92">
        <f t="shared" si="175"/>
        <v>1</v>
      </c>
      <c r="AH122" s="92">
        <f t="shared" si="175"/>
        <v>1</v>
      </c>
      <c r="AI122" s="92">
        <f t="shared" si="175"/>
        <v>1</v>
      </c>
      <c r="AJ122" s="92">
        <f t="shared" si="175"/>
        <v>1</v>
      </c>
      <c r="AK122" s="92">
        <f t="shared" si="175"/>
        <v>1</v>
      </c>
      <c r="AL122" s="92">
        <f t="shared" si="175"/>
        <v>1</v>
      </c>
      <c r="AM122" s="92">
        <f t="shared" si="175"/>
        <v>1</v>
      </c>
      <c r="AN122" s="92">
        <f t="shared" si="175"/>
        <v>1</v>
      </c>
      <c r="AO122" s="92">
        <f t="shared" si="175"/>
        <v>1</v>
      </c>
      <c r="AP122" s="92">
        <f t="shared" si="175"/>
        <v>1</v>
      </c>
      <c r="AQ122" s="92">
        <f t="shared" si="175"/>
        <v>1</v>
      </c>
      <c r="AR122" s="92">
        <f t="shared" si="175"/>
        <v>1</v>
      </c>
      <c r="AS122" s="92">
        <f t="shared" si="175"/>
        <v>1</v>
      </c>
      <c r="AT122" s="92">
        <f t="shared" si="175"/>
        <v>1</v>
      </c>
      <c r="AU122" s="92">
        <f t="shared" si="175"/>
        <v>1</v>
      </c>
      <c r="AV122" s="92">
        <f t="shared" si="175"/>
        <v>1</v>
      </c>
      <c r="AW122" s="92">
        <f t="shared" si="175"/>
        <v>1</v>
      </c>
      <c r="AX122" s="92">
        <f t="shared" si="175"/>
        <v>1</v>
      </c>
      <c r="AY122" s="92">
        <f t="shared" si="176"/>
        <v>1</v>
      </c>
      <c r="AZ122" s="92">
        <f t="shared" si="176"/>
        <v>1</v>
      </c>
      <c r="BA122" s="92">
        <f t="shared" si="176"/>
        <v>1</v>
      </c>
      <c r="BB122" s="92">
        <f t="shared" si="176"/>
        <v>1</v>
      </c>
      <c r="BC122" s="92">
        <f t="shared" si="176"/>
        <v>1</v>
      </c>
      <c r="BD122" s="92">
        <f t="shared" si="176"/>
        <v>1</v>
      </c>
      <c r="BE122" s="92">
        <f t="shared" si="176"/>
        <v>1</v>
      </c>
      <c r="BF122" s="92">
        <f t="shared" si="176"/>
        <v>1</v>
      </c>
      <c r="BG122" s="92">
        <f t="shared" si="176"/>
        <v>1</v>
      </c>
      <c r="BH122" s="92">
        <f t="shared" si="176"/>
        <v>1</v>
      </c>
      <c r="BI122" s="92">
        <f t="shared" si="176"/>
        <v>1</v>
      </c>
      <c r="BJ122" s="92">
        <f t="shared" si="176"/>
        <v>1</v>
      </c>
      <c r="BK122" s="92">
        <f t="shared" si="176"/>
        <v>1</v>
      </c>
      <c r="BL122" s="92">
        <f t="shared" si="176"/>
        <v>1</v>
      </c>
      <c r="BM122" s="92">
        <f t="shared" si="176"/>
        <v>1</v>
      </c>
      <c r="BN122" s="92">
        <f t="shared" si="176"/>
        <v>1</v>
      </c>
      <c r="BO122" s="92">
        <f t="shared" ref="AY122:BR124" si="179">(1-$E122)</f>
        <v>1</v>
      </c>
      <c r="BP122" s="92">
        <f t="shared" si="179"/>
        <v>1</v>
      </c>
      <c r="BQ122" s="92">
        <f t="shared" si="179"/>
        <v>1</v>
      </c>
      <c r="BR122" s="92">
        <f t="shared" si="179"/>
        <v>1</v>
      </c>
    </row>
    <row r="123" spans="1:70">
      <c r="A123" t="s">
        <v>16</v>
      </c>
      <c r="B123" s="1" t="str">
        <f t="shared" si="177"/>
        <v>CNT</v>
      </c>
      <c r="C123" s="1" t="str">
        <f t="shared" si="177"/>
        <v>Commercial - Public Water</v>
      </c>
      <c r="E123" s="286">
        <f t="shared" si="178"/>
        <v>0</v>
      </c>
      <c r="F123" s="293"/>
      <c r="G123" s="289"/>
      <c r="H123" s="288"/>
      <c r="I123" s="131"/>
      <c r="L123" s="133">
        <f t="shared" si="174"/>
        <v>1</v>
      </c>
      <c r="M123" s="92">
        <f t="shared" si="174"/>
        <v>1</v>
      </c>
      <c r="N123" s="92">
        <f t="shared" si="174"/>
        <v>1</v>
      </c>
      <c r="O123" s="92">
        <f t="shared" si="174"/>
        <v>1</v>
      </c>
      <c r="P123" s="92">
        <f t="shared" si="174"/>
        <v>1</v>
      </c>
      <c r="Q123" s="92">
        <f t="shared" si="174"/>
        <v>1</v>
      </c>
      <c r="R123" s="92">
        <f t="shared" si="174"/>
        <v>1</v>
      </c>
      <c r="S123" s="92">
        <f t="shared" si="174"/>
        <v>1</v>
      </c>
      <c r="T123" s="92">
        <f t="shared" si="174"/>
        <v>1</v>
      </c>
      <c r="U123" s="92">
        <f t="shared" si="174"/>
        <v>1</v>
      </c>
      <c r="V123" s="92">
        <f t="shared" si="174"/>
        <v>1</v>
      </c>
      <c r="W123" s="92">
        <f t="shared" si="174"/>
        <v>1</v>
      </c>
      <c r="X123" s="92">
        <f t="shared" si="174"/>
        <v>1</v>
      </c>
      <c r="Y123" s="92">
        <f t="shared" si="174"/>
        <v>1</v>
      </c>
      <c r="Z123" s="92">
        <f t="shared" si="174"/>
        <v>1</v>
      </c>
      <c r="AA123" s="92">
        <f t="shared" si="174"/>
        <v>1</v>
      </c>
      <c r="AB123" s="92">
        <f t="shared" si="175"/>
        <v>1</v>
      </c>
      <c r="AC123" s="92">
        <f t="shared" si="175"/>
        <v>1</v>
      </c>
      <c r="AD123" s="92">
        <f t="shared" si="175"/>
        <v>1</v>
      </c>
      <c r="AE123" s="92">
        <f t="shared" si="175"/>
        <v>1</v>
      </c>
      <c r="AF123" s="92">
        <f t="shared" si="175"/>
        <v>1</v>
      </c>
      <c r="AG123" s="92">
        <f t="shared" si="175"/>
        <v>1</v>
      </c>
      <c r="AH123" s="92">
        <f t="shared" si="175"/>
        <v>1</v>
      </c>
      <c r="AI123" s="92">
        <f t="shared" si="175"/>
        <v>1</v>
      </c>
      <c r="AJ123" s="92">
        <f t="shared" si="175"/>
        <v>1</v>
      </c>
      <c r="AK123" s="92">
        <f t="shared" si="175"/>
        <v>1</v>
      </c>
      <c r="AL123" s="92">
        <f t="shared" si="175"/>
        <v>1</v>
      </c>
      <c r="AM123" s="92">
        <f t="shared" si="175"/>
        <v>1</v>
      </c>
      <c r="AN123" s="92">
        <f t="shared" si="175"/>
        <v>1</v>
      </c>
      <c r="AO123" s="92">
        <f t="shared" si="175"/>
        <v>1</v>
      </c>
      <c r="AP123" s="92">
        <f t="shared" si="175"/>
        <v>1</v>
      </c>
      <c r="AQ123" s="92">
        <f t="shared" si="175"/>
        <v>1</v>
      </c>
      <c r="AR123" s="92">
        <f t="shared" si="175"/>
        <v>1</v>
      </c>
      <c r="AS123" s="92">
        <f t="shared" si="175"/>
        <v>1</v>
      </c>
      <c r="AT123" s="92">
        <f t="shared" si="175"/>
        <v>1</v>
      </c>
      <c r="AU123" s="92">
        <f t="shared" si="175"/>
        <v>1</v>
      </c>
      <c r="AV123" s="92">
        <f t="shared" si="175"/>
        <v>1</v>
      </c>
      <c r="AW123" s="92">
        <f t="shared" si="175"/>
        <v>1</v>
      </c>
      <c r="AX123" s="92">
        <f t="shared" si="175"/>
        <v>1</v>
      </c>
      <c r="AY123" s="92">
        <f t="shared" si="179"/>
        <v>1</v>
      </c>
      <c r="AZ123" s="92">
        <f t="shared" si="179"/>
        <v>1</v>
      </c>
      <c r="BA123" s="92">
        <f t="shared" si="179"/>
        <v>1</v>
      </c>
      <c r="BB123" s="92">
        <f t="shared" si="179"/>
        <v>1</v>
      </c>
      <c r="BC123" s="92">
        <f t="shared" si="179"/>
        <v>1</v>
      </c>
      <c r="BD123" s="92">
        <f t="shared" si="179"/>
        <v>1</v>
      </c>
      <c r="BE123" s="92">
        <f t="shared" si="179"/>
        <v>1</v>
      </c>
      <c r="BF123" s="92">
        <f t="shared" si="179"/>
        <v>1</v>
      </c>
      <c r="BG123" s="92">
        <f t="shared" si="179"/>
        <v>1</v>
      </c>
      <c r="BH123" s="92">
        <f t="shared" si="179"/>
        <v>1</v>
      </c>
      <c r="BI123" s="92">
        <f t="shared" si="179"/>
        <v>1</v>
      </c>
      <c r="BJ123" s="92">
        <f t="shared" si="179"/>
        <v>1</v>
      </c>
      <c r="BK123" s="92">
        <f t="shared" si="179"/>
        <v>1</v>
      </c>
      <c r="BL123" s="92">
        <f t="shared" si="179"/>
        <v>1</v>
      </c>
      <c r="BM123" s="92">
        <f t="shared" si="179"/>
        <v>1</v>
      </c>
      <c r="BN123" s="92">
        <f t="shared" si="179"/>
        <v>1</v>
      </c>
      <c r="BO123" s="92">
        <f t="shared" si="179"/>
        <v>1</v>
      </c>
      <c r="BP123" s="92">
        <f t="shared" si="179"/>
        <v>1</v>
      </c>
      <c r="BQ123" s="92">
        <f t="shared" si="179"/>
        <v>1</v>
      </c>
      <c r="BR123" s="92">
        <f t="shared" si="179"/>
        <v>1</v>
      </c>
    </row>
    <row r="124" spans="1:70">
      <c r="A124" t="s">
        <v>16</v>
      </c>
      <c r="B124" s="1" t="str">
        <f t="shared" si="177"/>
        <v>CNO</v>
      </c>
      <c r="C124" s="1" t="str">
        <f t="shared" si="177"/>
        <v>Commercial - Other</v>
      </c>
      <c r="E124" s="286">
        <f t="shared" si="178"/>
        <v>0</v>
      </c>
      <c r="F124" s="71" t="s">
        <v>765</v>
      </c>
      <c r="H124" s="64">
        <f>IF(N57=1,27%,0)</f>
        <v>0</v>
      </c>
      <c r="I124" s="131"/>
      <c r="L124" s="133">
        <f t="shared" si="174"/>
        <v>1</v>
      </c>
      <c r="M124" s="92">
        <f t="shared" si="174"/>
        <v>1</v>
      </c>
      <c r="N124" s="92">
        <f t="shared" si="174"/>
        <v>1</v>
      </c>
      <c r="O124" s="92">
        <f t="shared" si="174"/>
        <v>1</v>
      </c>
      <c r="P124" s="92">
        <f t="shared" si="174"/>
        <v>1</v>
      </c>
      <c r="Q124" s="92">
        <f t="shared" si="174"/>
        <v>1</v>
      </c>
      <c r="R124" s="92">
        <f t="shared" si="174"/>
        <v>1</v>
      </c>
      <c r="S124" s="92">
        <f t="shared" si="174"/>
        <v>1</v>
      </c>
      <c r="T124" s="92">
        <f t="shared" si="174"/>
        <v>1</v>
      </c>
      <c r="U124" s="92">
        <f t="shared" si="174"/>
        <v>1</v>
      </c>
      <c r="V124" s="92">
        <f t="shared" si="174"/>
        <v>1</v>
      </c>
      <c r="W124" s="92">
        <f t="shared" si="174"/>
        <v>1</v>
      </c>
      <c r="X124" s="92">
        <f t="shared" si="174"/>
        <v>1</v>
      </c>
      <c r="Y124" s="92">
        <f t="shared" si="174"/>
        <v>1</v>
      </c>
      <c r="Z124" s="92">
        <f t="shared" si="174"/>
        <v>1</v>
      </c>
      <c r="AA124" s="92">
        <f t="shared" si="174"/>
        <v>1</v>
      </c>
      <c r="AB124" s="92">
        <f t="shared" si="175"/>
        <v>1</v>
      </c>
      <c r="AC124" s="92">
        <f t="shared" si="175"/>
        <v>1</v>
      </c>
      <c r="AD124" s="92">
        <f t="shared" si="175"/>
        <v>1</v>
      </c>
      <c r="AE124" s="92">
        <f t="shared" si="175"/>
        <v>1</v>
      </c>
      <c r="AF124" s="92">
        <f t="shared" si="175"/>
        <v>1</v>
      </c>
      <c r="AG124" s="92">
        <f t="shared" si="175"/>
        <v>1</v>
      </c>
      <c r="AH124" s="92">
        <f t="shared" si="175"/>
        <v>1</v>
      </c>
      <c r="AI124" s="92">
        <f t="shared" si="175"/>
        <v>1</v>
      </c>
      <c r="AJ124" s="92">
        <f t="shared" si="175"/>
        <v>1</v>
      </c>
      <c r="AK124" s="92">
        <f t="shared" si="175"/>
        <v>1</v>
      </c>
      <c r="AL124" s="92">
        <f t="shared" si="175"/>
        <v>1</v>
      </c>
      <c r="AM124" s="92">
        <f t="shared" si="175"/>
        <v>1</v>
      </c>
      <c r="AN124" s="92">
        <f t="shared" si="175"/>
        <v>1</v>
      </c>
      <c r="AO124" s="92">
        <f t="shared" si="175"/>
        <v>1</v>
      </c>
      <c r="AP124" s="92">
        <f t="shared" si="175"/>
        <v>1</v>
      </c>
      <c r="AQ124" s="92">
        <f t="shared" si="175"/>
        <v>1</v>
      </c>
      <c r="AR124" s="92">
        <f t="shared" si="175"/>
        <v>1</v>
      </c>
      <c r="AS124" s="92">
        <f t="shared" si="175"/>
        <v>1</v>
      </c>
      <c r="AT124" s="92">
        <f t="shared" si="175"/>
        <v>1</v>
      </c>
      <c r="AU124" s="92">
        <f t="shared" si="175"/>
        <v>1</v>
      </c>
      <c r="AV124" s="92">
        <f t="shared" si="175"/>
        <v>1</v>
      </c>
      <c r="AW124" s="92">
        <f t="shared" si="175"/>
        <v>1</v>
      </c>
      <c r="AX124" s="92">
        <f t="shared" si="175"/>
        <v>1</v>
      </c>
      <c r="AY124" s="92">
        <f t="shared" si="179"/>
        <v>1</v>
      </c>
      <c r="AZ124" s="92">
        <f t="shared" si="179"/>
        <v>1</v>
      </c>
      <c r="BA124" s="92">
        <f t="shared" si="179"/>
        <v>1</v>
      </c>
      <c r="BB124" s="92">
        <f t="shared" si="179"/>
        <v>1</v>
      </c>
      <c r="BC124" s="92">
        <f t="shared" si="179"/>
        <v>1</v>
      </c>
      <c r="BD124" s="92">
        <f t="shared" si="179"/>
        <v>1</v>
      </c>
      <c r="BE124" s="92">
        <f t="shared" si="179"/>
        <v>1</v>
      </c>
      <c r="BF124" s="92">
        <f t="shared" si="179"/>
        <v>1</v>
      </c>
      <c r="BG124" s="92">
        <f t="shared" si="179"/>
        <v>1</v>
      </c>
      <c r="BH124" s="92">
        <f t="shared" si="179"/>
        <v>1</v>
      </c>
      <c r="BI124" s="92">
        <f t="shared" si="179"/>
        <v>1</v>
      </c>
      <c r="BJ124" s="92">
        <f t="shared" si="179"/>
        <v>1</v>
      </c>
      <c r="BK124" s="92">
        <f t="shared" si="179"/>
        <v>1</v>
      </c>
      <c r="BL124" s="92">
        <f t="shared" si="179"/>
        <v>1</v>
      </c>
      <c r="BM124" s="92">
        <f t="shared" si="179"/>
        <v>1</v>
      </c>
      <c r="BN124" s="92">
        <f t="shared" si="179"/>
        <v>1</v>
      </c>
      <c r="BO124" s="92">
        <f t="shared" si="179"/>
        <v>1</v>
      </c>
      <c r="BP124" s="92">
        <f t="shared" si="179"/>
        <v>1</v>
      </c>
      <c r="BQ124" s="92">
        <f t="shared" si="179"/>
        <v>1</v>
      </c>
      <c r="BR124" s="92">
        <f t="shared" si="179"/>
        <v>1</v>
      </c>
    </row>
    <row r="125" spans="1:70">
      <c r="A125" t="s">
        <v>16</v>
      </c>
      <c r="B125" s="1"/>
      <c r="C125" s="1"/>
      <c r="D125" s="71" t="s">
        <v>766</v>
      </c>
      <c r="E125" s="292">
        <f>((1/(1-H124))-1)</f>
        <v>0</v>
      </c>
      <c r="F125" s="71" t="s">
        <v>767</v>
      </c>
      <c r="I125" s="131"/>
      <c r="M125" s="71"/>
    </row>
    <row r="126" spans="1:70" ht="15.75" thickBot="1">
      <c r="A126" t="s">
        <v>16</v>
      </c>
      <c r="B126" s="1"/>
      <c r="C126" s="68" t="s">
        <v>245</v>
      </c>
      <c r="E126" s="71" t="s">
        <v>763</v>
      </c>
      <c r="I126" s="131"/>
      <c r="M126" s="71"/>
    </row>
    <row r="127" spans="1:70">
      <c r="A127" t="s">
        <v>16</v>
      </c>
      <c r="B127" s="1" t="str">
        <f t="shared" ref="B127:C135" si="180">B116</f>
        <v>CNC</v>
      </c>
      <c r="C127" s="1" t="str">
        <f t="shared" si="180"/>
        <v>Commercial - Cooling</v>
      </c>
      <c r="E127" s="124">
        <f>E$136/9</f>
        <v>0</v>
      </c>
      <c r="G127" s="289"/>
      <c r="I127" s="131"/>
      <c r="L127" s="294">
        <f t="shared" ref="L127:AX133" si="181">L116*(1-$E127)</f>
        <v>1</v>
      </c>
      <c r="M127" s="295">
        <f t="shared" si="181"/>
        <v>1</v>
      </c>
      <c r="N127" s="295">
        <f t="shared" si="181"/>
        <v>1</v>
      </c>
      <c r="O127" s="295">
        <f t="shared" si="181"/>
        <v>1</v>
      </c>
      <c r="P127" s="89">
        <f t="shared" si="181"/>
        <v>1</v>
      </c>
      <c r="Q127" s="89">
        <f t="shared" si="181"/>
        <v>1</v>
      </c>
      <c r="R127" s="89">
        <f t="shared" si="181"/>
        <v>1</v>
      </c>
      <c r="S127" s="89">
        <f t="shared" si="181"/>
        <v>1</v>
      </c>
      <c r="T127" s="89">
        <f t="shared" si="181"/>
        <v>1</v>
      </c>
      <c r="U127" s="89">
        <f t="shared" si="181"/>
        <v>1</v>
      </c>
      <c r="V127" s="89">
        <f t="shared" si="181"/>
        <v>1</v>
      </c>
      <c r="W127" s="89">
        <f t="shared" si="181"/>
        <v>1</v>
      </c>
      <c r="X127" s="89">
        <f t="shared" si="181"/>
        <v>1</v>
      </c>
      <c r="Y127" s="89">
        <f t="shared" si="181"/>
        <v>1</v>
      </c>
      <c r="Z127" s="89">
        <f t="shared" si="181"/>
        <v>1</v>
      </c>
      <c r="AA127" s="89">
        <f t="shared" si="181"/>
        <v>1</v>
      </c>
      <c r="AB127" s="89">
        <f t="shared" si="181"/>
        <v>1</v>
      </c>
      <c r="AC127" s="89">
        <f t="shared" si="181"/>
        <v>1</v>
      </c>
      <c r="AD127" s="89">
        <f t="shared" si="181"/>
        <v>1</v>
      </c>
      <c r="AE127" s="89">
        <f t="shared" si="181"/>
        <v>1</v>
      </c>
      <c r="AF127" s="89">
        <f t="shared" si="181"/>
        <v>1</v>
      </c>
      <c r="AG127" s="89">
        <f t="shared" si="181"/>
        <v>1</v>
      </c>
      <c r="AH127" s="89">
        <f t="shared" si="181"/>
        <v>1</v>
      </c>
      <c r="AI127" s="89">
        <f t="shared" si="181"/>
        <v>1</v>
      </c>
      <c r="AJ127" s="89">
        <f t="shared" si="181"/>
        <v>1</v>
      </c>
      <c r="AK127" s="89">
        <f t="shared" si="181"/>
        <v>1</v>
      </c>
      <c r="AL127" s="89">
        <f t="shared" si="181"/>
        <v>1</v>
      </c>
      <c r="AM127" s="89">
        <f t="shared" si="181"/>
        <v>1</v>
      </c>
      <c r="AN127" s="89">
        <f t="shared" si="181"/>
        <v>1</v>
      </c>
      <c r="AO127" s="89">
        <f t="shared" si="181"/>
        <v>1</v>
      </c>
      <c r="AP127" s="89">
        <f t="shared" si="181"/>
        <v>1</v>
      </c>
      <c r="AQ127" s="89">
        <f t="shared" si="181"/>
        <v>1</v>
      </c>
      <c r="AR127" s="89">
        <f t="shared" si="181"/>
        <v>1</v>
      </c>
      <c r="AS127" s="89">
        <f t="shared" si="181"/>
        <v>1</v>
      </c>
      <c r="AT127" s="89">
        <f t="shared" si="181"/>
        <v>1</v>
      </c>
      <c r="AU127" s="89">
        <f t="shared" si="181"/>
        <v>1</v>
      </c>
      <c r="AV127" s="89">
        <f t="shared" si="181"/>
        <v>1</v>
      </c>
      <c r="AW127" s="89">
        <f t="shared" si="181"/>
        <v>1</v>
      </c>
      <c r="AX127" s="89">
        <f t="shared" si="181"/>
        <v>1</v>
      </c>
      <c r="AY127" s="89">
        <f t="shared" ref="AY127:BR132" si="182">AY116*(1-$E127)</f>
        <v>1</v>
      </c>
      <c r="AZ127" s="89">
        <f t="shared" si="182"/>
        <v>1</v>
      </c>
      <c r="BA127" s="89">
        <f t="shared" si="182"/>
        <v>1</v>
      </c>
      <c r="BB127" s="89">
        <f t="shared" si="182"/>
        <v>1</v>
      </c>
      <c r="BC127" s="89">
        <f t="shared" si="182"/>
        <v>1</v>
      </c>
      <c r="BD127" s="89">
        <f t="shared" si="182"/>
        <v>1</v>
      </c>
      <c r="BE127" s="89">
        <f t="shared" si="182"/>
        <v>1</v>
      </c>
      <c r="BF127" s="89">
        <f t="shared" si="182"/>
        <v>1</v>
      </c>
      <c r="BG127" s="89">
        <f t="shared" si="182"/>
        <v>1</v>
      </c>
      <c r="BH127" s="89">
        <f t="shared" si="182"/>
        <v>1</v>
      </c>
      <c r="BI127" s="89">
        <f t="shared" si="182"/>
        <v>1</v>
      </c>
      <c r="BJ127" s="89">
        <f t="shared" si="182"/>
        <v>1</v>
      </c>
      <c r="BK127" s="89">
        <f t="shared" si="182"/>
        <v>1</v>
      </c>
      <c r="BL127" s="89">
        <f t="shared" si="182"/>
        <v>1</v>
      </c>
      <c r="BM127" s="89">
        <f t="shared" si="182"/>
        <v>1</v>
      </c>
      <c r="BN127" s="89">
        <f t="shared" si="182"/>
        <v>1</v>
      </c>
      <c r="BO127" s="89">
        <f t="shared" si="182"/>
        <v>1</v>
      </c>
      <c r="BP127" s="89">
        <f t="shared" si="182"/>
        <v>1</v>
      </c>
      <c r="BQ127" s="89">
        <f t="shared" si="182"/>
        <v>1</v>
      </c>
      <c r="BR127" s="89">
        <f t="shared" si="182"/>
        <v>1</v>
      </c>
    </row>
    <row r="128" spans="1:70">
      <c r="A128" t="s">
        <v>16</v>
      </c>
      <c r="B128" s="1" t="str">
        <f t="shared" si="180"/>
        <v>CNH</v>
      </c>
      <c r="C128" s="1" t="str">
        <f t="shared" si="180"/>
        <v>Commercial - Space Heating</v>
      </c>
      <c r="E128" s="124">
        <f t="shared" ref="E128:E135" si="183">E$136/9</f>
        <v>0</v>
      </c>
      <c r="G128" s="289" t="s">
        <v>768</v>
      </c>
      <c r="H128" s="123">
        <v>0.09</v>
      </c>
      <c r="I128" s="131"/>
      <c r="L128" s="294">
        <f t="shared" si="181"/>
        <v>1</v>
      </c>
      <c r="M128" s="295">
        <f t="shared" si="181"/>
        <v>1</v>
      </c>
      <c r="N128" s="295">
        <f t="shared" si="181"/>
        <v>1</v>
      </c>
      <c r="O128" s="295">
        <f t="shared" si="181"/>
        <v>1</v>
      </c>
      <c r="P128" s="89">
        <f t="shared" si="181"/>
        <v>1</v>
      </c>
      <c r="Q128" s="89">
        <f t="shared" si="181"/>
        <v>1</v>
      </c>
      <c r="R128" s="89">
        <f t="shared" si="181"/>
        <v>1</v>
      </c>
      <c r="S128" s="89">
        <f t="shared" si="181"/>
        <v>1</v>
      </c>
      <c r="T128" s="89">
        <f t="shared" si="181"/>
        <v>1</v>
      </c>
      <c r="U128" s="89">
        <f t="shared" si="181"/>
        <v>1</v>
      </c>
      <c r="V128" s="89">
        <f t="shared" si="181"/>
        <v>1</v>
      </c>
      <c r="W128" s="89">
        <f t="shared" si="181"/>
        <v>1</v>
      </c>
      <c r="X128" s="89">
        <f t="shared" si="181"/>
        <v>1</v>
      </c>
      <c r="Y128" s="89">
        <f t="shared" si="181"/>
        <v>1</v>
      </c>
      <c r="Z128" s="89">
        <f t="shared" si="181"/>
        <v>1</v>
      </c>
      <c r="AA128" s="89">
        <f t="shared" si="181"/>
        <v>1</v>
      </c>
      <c r="AB128" s="89">
        <f t="shared" si="181"/>
        <v>1</v>
      </c>
      <c r="AC128" s="89">
        <f t="shared" si="181"/>
        <v>1</v>
      </c>
      <c r="AD128" s="89">
        <f t="shared" si="181"/>
        <v>1</v>
      </c>
      <c r="AE128" s="89">
        <f t="shared" si="181"/>
        <v>1</v>
      </c>
      <c r="AF128" s="89">
        <f t="shared" si="181"/>
        <v>1</v>
      </c>
      <c r="AG128" s="89">
        <f t="shared" si="181"/>
        <v>1</v>
      </c>
      <c r="AH128" s="89">
        <f t="shared" si="181"/>
        <v>1</v>
      </c>
      <c r="AI128" s="89">
        <f t="shared" si="181"/>
        <v>1</v>
      </c>
      <c r="AJ128" s="89">
        <f t="shared" si="181"/>
        <v>1</v>
      </c>
      <c r="AK128" s="89">
        <f t="shared" si="181"/>
        <v>1</v>
      </c>
      <c r="AL128" s="89">
        <f t="shared" si="181"/>
        <v>1</v>
      </c>
      <c r="AM128" s="89">
        <f t="shared" si="181"/>
        <v>1</v>
      </c>
      <c r="AN128" s="89">
        <f t="shared" si="181"/>
        <v>1</v>
      </c>
      <c r="AO128" s="89">
        <f t="shared" si="181"/>
        <v>1</v>
      </c>
      <c r="AP128" s="89">
        <f t="shared" si="181"/>
        <v>1</v>
      </c>
      <c r="AQ128" s="89">
        <f t="shared" si="181"/>
        <v>1</v>
      </c>
      <c r="AR128" s="89">
        <f t="shared" si="181"/>
        <v>1</v>
      </c>
      <c r="AS128" s="89">
        <f t="shared" si="181"/>
        <v>1</v>
      </c>
      <c r="AT128" s="89">
        <f t="shared" si="181"/>
        <v>1</v>
      </c>
      <c r="AU128" s="89">
        <f t="shared" si="181"/>
        <v>1</v>
      </c>
      <c r="AV128" s="89">
        <f t="shared" si="181"/>
        <v>1</v>
      </c>
      <c r="AW128" s="89">
        <f t="shared" si="181"/>
        <v>1</v>
      </c>
      <c r="AX128" s="89">
        <f t="shared" si="181"/>
        <v>1</v>
      </c>
      <c r="AY128" s="89">
        <f t="shared" si="182"/>
        <v>1</v>
      </c>
      <c r="AZ128" s="89">
        <f t="shared" si="182"/>
        <v>1</v>
      </c>
      <c r="BA128" s="89">
        <f t="shared" si="182"/>
        <v>1</v>
      </c>
      <c r="BB128" s="89">
        <f t="shared" si="182"/>
        <v>1</v>
      </c>
      <c r="BC128" s="89">
        <f t="shared" si="182"/>
        <v>1</v>
      </c>
      <c r="BD128" s="89">
        <f t="shared" si="182"/>
        <v>1</v>
      </c>
      <c r="BE128" s="89">
        <f t="shared" si="182"/>
        <v>1</v>
      </c>
      <c r="BF128" s="89">
        <f t="shared" si="182"/>
        <v>1</v>
      </c>
      <c r="BG128" s="89">
        <f t="shared" si="182"/>
        <v>1</v>
      </c>
      <c r="BH128" s="89">
        <f t="shared" si="182"/>
        <v>1</v>
      </c>
      <c r="BI128" s="89">
        <f t="shared" si="182"/>
        <v>1</v>
      </c>
      <c r="BJ128" s="89">
        <f t="shared" si="182"/>
        <v>1</v>
      </c>
      <c r="BK128" s="89">
        <f t="shared" si="182"/>
        <v>1</v>
      </c>
      <c r="BL128" s="89">
        <f t="shared" si="182"/>
        <v>1</v>
      </c>
      <c r="BM128" s="89">
        <f t="shared" si="182"/>
        <v>1</v>
      </c>
      <c r="BN128" s="89">
        <f t="shared" si="182"/>
        <v>1</v>
      </c>
      <c r="BO128" s="89">
        <f t="shared" si="182"/>
        <v>1</v>
      </c>
      <c r="BP128" s="89">
        <f t="shared" si="182"/>
        <v>1</v>
      </c>
      <c r="BQ128" s="89">
        <f t="shared" si="182"/>
        <v>1</v>
      </c>
      <c r="BR128" s="89">
        <f t="shared" si="182"/>
        <v>1</v>
      </c>
    </row>
    <row r="129" spans="1:70">
      <c r="A129" t="s">
        <v>16</v>
      </c>
      <c r="B129" s="1" t="str">
        <f t="shared" si="180"/>
        <v>CNK</v>
      </c>
      <c r="C129" s="1" t="str">
        <f t="shared" si="180"/>
        <v>Commercial - Cooking</v>
      </c>
      <c r="E129" s="124">
        <f t="shared" si="183"/>
        <v>0</v>
      </c>
      <c r="G129" s="289" t="s">
        <v>765</v>
      </c>
      <c r="H129" s="64">
        <f>(1-(1/(H128+1)))</f>
        <v>8.2568807339449601E-2</v>
      </c>
      <c r="I129" s="131"/>
      <c r="L129" s="294">
        <f t="shared" si="181"/>
        <v>1</v>
      </c>
      <c r="M129" s="295">
        <f t="shared" si="181"/>
        <v>1</v>
      </c>
      <c r="N129" s="295">
        <f t="shared" si="181"/>
        <v>1</v>
      </c>
      <c r="O129" s="295">
        <f t="shared" si="181"/>
        <v>1</v>
      </c>
      <c r="P129" s="89">
        <f t="shared" si="181"/>
        <v>1</v>
      </c>
      <c r="Q129" s="89">
        <f t="shared" si="181"/>
        <v>1</v>
      </c>
      <c r="R129" s="89">
        <f t="shared" si="181"/>
        <v>1</v>
      </c>
      <c r="S129" s="89">
        <f t="shared" si="181"/>
        <v>1</v>
      </c>
      <c r="T129" s="89">
        <f t="shared" si="181"/>
        <v>1</v>
      </c>
      <c r="U129" s="89">
        <f t="shared" si="181"/>
        <v>1</v>
      </c>
      <c r="V129" s="89">
        <f t="shared" si="181"/>
        <v>1</v>
      </c>
      <c r="W129" s="89">
        <f t="shared" si="181"/>
        <v>1</v>
      </c>
      <c r="X129" s="89">
        <f t="shared" si="181"/>
        <v>1</v>
      </c>
      <c r="Y129" s="89">
        <f t="shared" si="181"/>
        <v>1</v>
      </c>
      <c r="Z129" s="89">
        <f t="shared" si="181"/>
        <v>1</v>
      </c>
      <c r="AA129" s="89">
        <f t="shared" si="181"/>
        <v>1</v>
      </c>
      <c r="AB129" s="89">
        <f t="shared" si="181"/>
        <v>1</v>
      </c>
      <c r="AC129" s="89">
        <f t="shared" si="181"/>
        <v>1</v>
      </c>
      <c r="AD129" s="89">
        <f t="shared" si="181"/>
        <v>1</v>
      </c>
      <c r="AE129" s="89">
        <f t="shared" si="181"/>
        <v>1</v>
      </c>
      <c r="AF129" s="89">
        <f t="shared" si="181"/>
        <v>1</v>
      </c>
      <c r="AG129" s="89">
        <f t="shared" si="181"/>
        <v>1</v>
      </c>
      <c r="AH129" s="89">
        <f t="shared" si="181"/>
        <v>1</v>
      </c>
      <c r="AI129" s="89">
        <f t="shared" si="181"/>
        <v>1</v>
      </c>
      <c r="AJ129" s="89">
        <f t="shared" si="181"/>
        <v>1</v>
      </c>
      <c r="AK129" s="89">
        <f t="shared" si="181"/>
        <v>1</v>
      </c>
      <c r="AL129" s="89">
        <f t="shared" si="181"/>
        <v>1</v>
      </c>
      <c r="AM129" s="89">
        <f t="shared" si="181"/>
        <v>1</v>
      </c>
      <c r="AN129" s="89">
        <f t="shared" si="181"/>
        <v>1</v>
      </c>
      <c r="AO129" s="89">
        <f t="shared" si="181"/>
        <v>1</v>
      </c>
      <c r="AP129" s="89">
        <f t="shared" si="181"/>
        <v>1</v>
      </c>
      <c r="AQ129" s="89">
        <f t="shared" si="181"/>
        <v>1</v>
      </c>
      <c r="AR129" s="89">
        <f t="shared" si="181"/>
        <v>1</v>
      </c>
      <c r="AS129" s="89">
        <f t="shared" si="181"/>
        <v>1</v>
      </c>
      <c r="AT129" s="89">
        <f t="shared" si="181"/>
        <v>1</v>
      </c>
      <c r="AU129" s="89">
        <f t="shared" si="181"/>
        <v>1</v>
      </c>
      <c r="AV129" s="89">
        <f t="shared" si="181"/>
        <v>1</v>
      </c>
      <c r="AW129" s="89">
        <f t="shared" si="181"/>
        <v>1</v>
      </c>
      <c r="AX129" s="89">
        <f t="shared" si="181"/>
        <v>1</v>
      </c>
      <c r="AY129" s="89">
        <f t="shared" si="182"/>
        <v>1</v>
      </c>
      <c r="AZ129" s="89">
        <f t="shared" si="182"/>
        <v>1</v>
      </c>
      <c r="BA129" s="89">
        <f t="shared" si="182"/>
        <v>1</v>
      </c>
      <c r="BB129" s="89">
        <f t="shared" si="182"/>
        <v>1</v>
      </c>
      <c r="BC129" s="89">
        <f t="shared" si="182"/>
        <v>1</v>
      </c>
      <c r="BD129" s="89">
        <f t="shared" si="182"/>
        <v>1</v>
      </c>
      <c r="BE129" s="89">
        <f t="shared" si="182"/>
        <v>1</v>
      </c>
      <c r="BF129" s="89">
        <f t="shared" si="182"/>
        <v>1</v>
      </c>
      <c r="BG129" s="89">
        <f t="shared" si="182"/>
        <v>1</v>
      </c>
      <c r="BH129" s="89">
        <f t="shared" si="182"/>
        <v>1</v>
      </c>
      <c r="BI129" s="89">
        <f t="shared" si="182"/>
        <v>1</v>
      </c>
      <c r="BJ129" s="89">
        <f t="shared" si="182"/>
        <v>1</v>
      </c>
      <c r="BK129" s="89">
        <f t="shared" si="182"/>
        <v>1</v>
      </c>
      <c r="BL129" s="89">
        <f t="shared" si="182"/>
        <v>1</v>
      </c>
      <c r="BM129" s="89">
        <f t="shared" si="182"/>
        <v>1</v>
      </c>
      <c r="BN129" s="89">
        <f t="shared" si="182"/>
        <v>1</v>
      </c>
      <c r="BO129" s="89">
        <f t="shared" si="182"/>
        <v>1</v>
      </c>
      <c r="BP129" s="89">
        <f t="shared" si="182"/>
        <v>1</v>
      </c>
      <c r="BQ129" s="89">
        <f t="shared" si="182"/>
        <v>1</v>
      </c>
      <c r="BR129" s="89">
        <f t="shared" si="182"/>
        <v>1</v>
      </c>
    </row>
    <row r="130" spans="1:70">
      <c r="A130" t="s">
        <v>16</v>
      </c>
      <c r="B130" s="1" t="str">
        <f t="shared" si="180"/>
        <v>CNL</v>
      </c>
      <c r="C130" s="1" t="str">
        <f t="shared" si="180"/>
        <v>Commercial - Lighting</v>
      </c>
      <c r="E130" s="124">
        <f t="shared" si="183"/>
        <v>0</v>
      </c>
      <c r="G130" s="289"/>
      <c r="I130" s="131"/>
      <c r="L130" s="294">
        <f t="shared" si="181"/>
        <v>1</v>
      </c>
      <c r="M130" s="295">
        <f t="shared" si="181"/>
        <v>1</v>
      </c>
      <c r="N130" s="295">
        <f t="shared" si="181"/>
        <v>1</v>
      </c>
      <c r="O130" s="295">
        <f t="shared" si="181"/>
        <v>1</v>
      </c>
      <c r="P130" s="89">
        <f t="shared" si="181"/>
        <v>1</v>
      </c>
      <c r="Q130" s="89">
        <f t="shared" si="181"/>
        <v>1</v>
      </c>
      <c r="R130" s="89">
        <f t="shared" si="181"/>
        <v>1</v>
      </c>
      <c r="S130" s="89">
        <f t="shared" si="181"/>
        <v>1</v>
      </c>
      <c r="T130" s="89">
        <f t="shared" si="181"/>
        <v>1</v>
      </c>
      <c r="U130" s="89">
        <f t="shared" si="181"/>
        <v>1</v>
      </c>
      <c r="V130" s="89">
        <f t="shared" si="181"/>
        <v>1</v>
      </c>
      <c r="W130" s="89">
        <f t="shared" si="181"/>
        <v>1</v>
      </c>
      <c r="X130" s="89">
        <f t="shared" si="181"/>
        <v>1</v>
      </c>
      <c r="Y130" s="89">
        <f t="shared" si="181"/>
        <v>1</v>
      </c>
      <c r="Z130" s="89">
        <f t="shared" si="181"/>
        <v>1</v>
      </c>
      <c r="AA130" s="89">
        <f t="shared" si="181"/>
        <v>1</v>
      </c>
      <c r="AB130" s="89">
        <f t="shared" si="181"/>
        <v>1</v>
      </c>
      <c r="AC130" s="89">
        <f t="shared" si="181"/>
        <v>1</v>
      </c>
      <c r="AD130" s="89">
        <f t="shared" si="181"/>
        <v>1</v>
      </c>
      <c r="AE130" s="89">
        <f t="shared" si="181"/>
        <v>1</v>
      </c>
      <c r="AF130" s="89">
        <f t="shared" si="181"/>
        <v>1</v>
      </c>
      <c r="AG130" s="89">
        <f t="shared" si="181"/>
        <v>1</v>
      </c>
      <c r="AH130" s="89">
        <f t="shared" si="181"/>
        <v>1</v>
      </c>
      <c r="AI130" s="89">
        <f t="shared" si="181"/>
        <v>1</v>
      </c>
      <c r="AJ130" s="89">
        <f t="shared" si="181"/>
        <v>1</v>
      </c>
      <c r="AK130" s="89">
        <f t="shared" si="181"/>
        <v>1</v>
      </c>
      <c r="AL130" s="89">
        <f t="shared" si="181"/>
        <v>1</v>
      </c>
      <c r="AM130" s="89">
        <f t="shared" si="181"/>
        <v>1</v>
      </c>
      <c r="AN130" s="89">
        <f t="shared" si="181"/>
        <v>1</v>
      </c>
      <c r="AO130" s="89">
        <f t="shared" si="181"/>
        <v>1</v>
      </c>
      <c r="AP130" s="89">
        <f t="shared" si="181"/>
        <v>1</v>
      </c>
      <c r="AQ130" s="89">
        <f t="shared" si="181"/>
        <v>1</v>
      </c>
      <c r="AR130" s="89">
        <f t="shared" si="181"/>
        <v>1</v>
      </c>
      <c r="AS130" s="89">
        <f t="shared" si="181"/>
        <v>1</v>
      </c>
      <c r="AT130" s="89">
        <f t="shared" si="181"/>
        <v>1</v>
      </c>
      <c r="AU130" s="89">
        <f t="shared" si="181"/>
        <v>1</v>
      </c>
      <c r="AV130" s="89">
        <f t="shared" si="181"/>
        <v>1</v>
      </c>
      <c r="AW130" s="89">
        <f t="shared" si="181"/>
        <v>1</v>
      </c>
      <c r="AX130" s="89">
        <f t="shared" si="181"/>
        <v>1</v>
      </c>
      <c r="AY130" s="89">
        <f t="shared" si="182"/>
        <v>1</v>
      </c>
      <c r="AZ130" s="89">
        <f t="shared" si="182"/>
        <v>1</v>
      </c>
      <c r="BA130" s="89">
        <f t="shared" si="182"/>
        <v>1</v>
      </c>
      <c r="BB130" s="89">
        <f t="shared" si="182"/>
        <v>1</v>
      </c>
      <c r="BC130" s="89">
        <f t="shared" si="182"/>
        <v>1</v>
      </c>
      <c r="BD130" s="89">
        <f t="shared" si="182"/>
        <v>1</v>
      </c>
      <c r="BE130" s="89">
        <f t="shared" si="182"/>
        <v>1</v>
      </c>
      <c r="BF130" s="89">
        <f t="shared" si="182"/>
        <v>1</v>
      </c>
      <c r="BG130" s="89">
        <f t="shared" si="182"/>
        <v>1</v>
      </c>
      <c r="BH130" s="89">
        <f t="shared" si="182"/>
        <v>1</v>
      </c>
      <c r="BI130" s="89">
        <f t="shared" si="182"/>
        <v>1</v>
      </c>
      <c r="BJ130" s="89">
        <f t="shared" si="182"/>
        <v>1</v>
      </c>
      <c r="BK130" s="89">
        <f t="shared" si="182"/>
        <v>1</v>
      </c>
      <c r="BL130" s="89">
        <f t="shared" si="182"/>
        <v>1</v>
      </c>
      <c r="BM130" s="89">
        <f t="shared" si="182"/>
        <v>1</v>
      </c>
      <c r="BN130" s="89">
        <f t="shared" si="182"/>
        <v>1</v>
      </c>
      <c r="BO130" s="89">
        <f t="shared" si="182"/>
        <v>1</v>
      </c>
      <c r="BP130" s="89">
        <f t="shared" si="182"/>
        <v>1</v>
      </c>
      <c r="BQ130" s="89">
        <f t="shared" si="182"/>
        <v>1</v>
      </c>
      <c r="BR130" s="89">
        <f t="shared" si="182"/>
        <v>1</v>
      </c>
    </row>
    <row r="131" spans="1:70">
      <c r="A131" t="s">
        <v>16</v>
      </c>
      <c r="B131" s="1" t="str">
        <f t="shared" si="180"/>
        <v>CNR</v>
      </c>
      <c r="C131" s="1" t="str">
        <f t="shared" si="180"/>
        <v>Commercial - Refrigeration</v>
      </c>
      <c r="E131" s="124">
        <f t="shared" si="183"/>
        <v>0</v>
      </c>
      <c r="G131" s="289"/>
      <c r="I131" s="131"/>
      <c r="L131" s="294">
        <f t="shared" si="181"/>
        <v>1</v>
      </c>
      <c r="M131" s="295">
        <f t="shared" si="181"/>
        <v>1</v>
      </c>
      <c r="N131" s="295">
        <f t="shared" si="181"/>
        <v>1</v>
      </c>
      <c r="O131" s="295">
        <f t="shared" si="181"/>
        <v>1</v>
      </c>
      <c r="P131" s="89">
        <f>P120*(1-$E131)</f>
        <v>1</v>
      </c>
      <c r="Q131" s="89">
        <f t="shared" si="181"/>
        <v>1</v>
      </c>
      <c r="R131" s="89">
        <f t="shared" si="181"/>
        <v>1</v>
      </c>
      <c r="S131" s="89">
        <f t="shared" si="181"/>
        <v>1</v>
      </c>
      <c r="T131" s="89">
        <f t="shared" si="181"/>
        <v>1</v>
      </c>
      <c r="U131" s="89">
        <f t="shared" si="181"/>
        <v>1</v>
      </c>
      <c r="V131" s="89">
        <f t="shared" si="181"/>
        <v>1</v>
      </c>
      <c r="W131" s="89">
        <f t="shared" si="181"/>
        <v>1</v>
      </c>
      <c r="X131" s="89">
        <f t="shared" si="181"/>
        <v>1</v>
      </c>
      <c r="Y131" s="89">
        <f t="shared" si="181"/>
        <v>1</v>
      </c>
      <c r="Z131" s="89">
        <f t="shared" si="181"/>
        <v>1</v>
      </c>
      <c r="AA131" s="89">
        <f t="shared" si="181"/>
        <v>1</v>
      </c>
      <c r="AB131" s="89">
        <f t="shared" si="181"/>
        <v>1</v>
      </c>
      <c r="AC131" s="89">
        <f t="shared" si="181"/>
        <v>1</v>
      </c>
      <c r="AD131" s="89">
        <f t="shared" si="181"/>
        <v>1</v>
      </c>
      <c r="AE131" s="89">
        <f t="shared" si="181"/>
        <v>1</v>
      </c>
      <c r="AF131" s="89">
        <f t="shared" si="181"/>
        <v>1</v>
      </c>
      <c r="AG131" s="89">
        <f t="shared" si="181"/>
        <v>1</v>
      </c>
      <c r="AH131" s="89">
        <f t="shared" si="181"/>
        <v>1</v>
      </c>
      <c r="AI131" s="89">
        <f t="shared" si="181"/>
        <v>1</v>
      </c>
      <c r="AJ131" s="89">
        <f t="shared" si="181"/>
        <v>1</v>
      </c>
      <c r="AK131" s="89">
        <f t="shared" si="181"/>
        <v>1</v>
      </c>
      <c r="AL131" s="89">
        <f t="shared" si="181"/>
        <v>1</v>
      </c>
      <c r="AM131" s="89">
        <f t="shared" si="181"/>
        <v>1</v>
      </c>
      <c r="AN131" s="89">
        <f t="shared" si="181"/>
        <v>1</v>
      </c>
      <c r="AO131" s="89">
        <f t="shared" si="181"/>
        <v>1</v>
      </c>
      <c r="AP131" s="89">
        <f t="shared" si="181"/>
        <v>1</v>
      </c>
      <c r="AQ131" s="89">
        <f t="shared" si="181"/>
        <v>1</v>
      </c>
      <c r="AR131" s="89">
        <f t="shared" si="181"/>
        <v>1</v>
      </c>
      <c r="AS131" s="89">
        <f t="shared" si="181"/>
        <v>1</v>
      </c>
      <c r="AT131" s="89">
        <f t="shared" si="181"/>
        <v>1</v>
      </c>
      <c r="AU131" s="89">
        <f t="shared" si="181"/>
        <v>1</v>
      </c>
      <c r="AV131" s="89">
        <f t="shared" si="181"/>
        <v>1</v>
      </c>
      <c r="AW131" s="89">
        <f t="shared" si="181"/>
        <v>1</v>
      </c>
      <c r="AX131" s="89">
        <f t="shared" si="181"/>
        <v>1</v>
      </c>
      <c r="AY131" s="89">
        <f t="shared" si="182"/>
        <v>1</v>
      </c>
      <c r="AZ131" s="89">
        <f t="shared" si="182"/>
        <v>1</v>
      </c>
      <c r="BA131" s="89">
        <f t="shared" si="182"/>
        <v>1</v>
      </c>
      <c r="BB131" s="89">
        <f t="shared" si="182"/>
        <v>1</v>
      </c>
      <c r="BC131" s="89">
        <f t="shared" si="182"/>
        <v>1</v>
      </c>
      <c r="BD131" s="89">
        <f t="shared" si="182"/>
        <v>1</v>
      </c>
      <c r="BE131" s="89">
        <f t="shared" si="182"/>
        <v>1</v>
      </c>
      <c r="BF131" s="89">
        <f t="shared" si="182"/>
        <v>1</v>
      </c>
      <c r="BG131" s="89">
        <f t="shared" si="182"/>
        <v>1</v>
      </c>
      <c r="BH131" s="89">
        <f t="shared" si="182"/>
        <v>1</v>
      </c>
      <c r="BI131" s="89">
        <f t="shared" si="182"/>
        <v>1</v>
      </c>
      <c r="BJ131" s="89">
        <f t="shared" si="182"/>
        <v>1</v>
      </c>
      <c r="BK131" s="89">
        <f t="shared" si="182"/>
        <v>1</v>
      </c>
      <c r="BL131" s="89">
        <f t="shared" si="182"/>
        <v>1</v>
      </c>
      <c r="BM131" s="89">
        <f t="shared" si="182"/>
        <v>1</v>
      </c>
      <c r="BN131" s="89">
        <f t="shared" si="182"/>
        <v>1</v>
      </c>
      <c r="BO131" s="89">
        <f t="shared" si="182"/>
        <v>1</v>
      </c>
      <c r="BP131" s="89">
        <f t="shared" si="182"/>
        <v>1</v>
      </c>
      <c r="BQ131" s="89">
        <f t="shared" si="182"/>
        <v>1</v>
      </c>
      <c r="BR131" s="89">
        <f t="shared" si="182"/>
        <v>1</v>
      </c>
    </row>
    <row r="132" spans="1:70">
      <c r="A132" t="s">
        <v>16</v>
      </c>
      <c r="B132" s="1" t="str">
        <f t="shared" si="180"/>
        <v>CNW</v>
      </c>
      <c r="C132" s="1" t="str">
        <f t="shared" si="180"/>
        <v>Commercial - Water Heating</v>
      </c>
      <c r="E132" s="124">
        <f t="shared" si="183"/>
        <v>0</v>
      </c>
      <c r="G132" s="289"/>
      <c r="I132" s="131"/>
      <c r="L132" s="294">
        <f t="shared" si="181"/>
        <v>1</v>
      </c>
      <c r="M132" s="295">
        <f t="shared" si="181"/>
        <v>1</v>
      </c>
      <c r="N132" s="295">
        <f t="shared" si="181"/>
        <v>1</v>
      </c>
      <c r="O132" s="295">
        <f t="shared" si="181"/>
        <v>1</v>
      </c>
      <c r="P132" s="89">
        <f t="shared" si="181"/>
        <v>1</v>
      </c>
      <c r="Q132" s="89">
        <f t="shared" si="181"/>
        <v>1</v>
      </c>
      <c r="R132" s="89">
        <f t="shared" si="181"/>
        <v>1</v>
      </c>
      <c r="S132" s="89">
        <f t="shared" si="181"/>
        <v>1</v>
      </c>
      <c r="T132" s="89">
        <f t="shared" si="181"/>
        <v>1</v>
      </c>
      <c r="U132" s="89">
        <f t="shared" si="181"/>
        <v>1</v>
      </c>
      <c r="V132" s="89">
        <f t="shared" si="181"/>
        <v>1</v>
      </c>
      <c r="W132" s="89">
        <f t="shared" si="181"/>
        <v>1</v>
      </c>
      <c r="X132" s="89">
        <f t="shared" si="181"/>
        <v>1</v>
      </c>
      <c r="Y132" s="89">
        <f t="shared" si="181"/>
        <v>1</v>
      </c>
      <c r="Z132" s="89">
        <f t="shared" si="181"/>
        <v>1</v>
      </c>
      <c r="AA132" s="89">
        <f t="shared" si="181"/>
        <v>1</v>
      </c>
      <c r="AB132" s="89">
        <f t="shared" si="181"/>
        <v>1</v>
      </c>
      <c r="AC132" s="89">
        <f t="shared" si="181"/>
        <v>1</v>
      </c>
      <c r="AD132" s="89">
        <f t="shared" si="181"/>
        <v>1</v>
      </c>
      <c r="AE132" s="89">
        <f t="shared" si="181"/>
        <v>1</v>
      </c>
      <c r="AF132" s="89">
        <f t="shared" si="181"/>
        <v>1</v>
      </c>
      <c r="AG132" s="89">
        <f t="shared" si="181"/>
        <v>1</v>
      </c>
      <c r="AH132" s="89">
        <f t="shared" si="181"/>
        <v>1</v>
      </c>
      <c r="AI132" s="89">
        <f t="shared" si="181"/>
        <v>1</v>
      </c>
      <c r="AJ132" s="89">
        <f t="shared" si="181"/>
        <v>1</v>
      </c>
      <c r="AK132" s="89">
        <f t="shared" si="181"/>
        <v>1</v>
      </c>
      <c r="AL132" s="89">
        <f t="shared" si="181"/>
        <v>1</v>
      </c>
      <c r="AM132" s="89">
        <f t="shared" si="181"/>
        <v>1</v>
      </c>
      <c r="AN132" s="89">
        <f t="shared" si="181"/>
        <v>1</v>
      </c>
      <c r="AO132" s="89">
        <f t="shared" si="181"/>
        <v>1</v>
      </c>
      <c r="AP132" s="89">
        <f t="shared" si="181"/>
        <v>1</v>
      </c>
      <c r="AQ132" s="89">
        <f t="shared" si="181"/>
        <v>1</v>
      </c>
      <c r="AR132" s="89">
        <f t="shared" si="181"/>
        <v>1</v>
      </c>
      <c r="AS132" s="89">
        <f t="shared" si="181"/>
        <v>1</v>
      </c>
      <c r="AT132" s="89">
        <f t="shared" si="181"/>
        <v>1</v>
      </c>
      <c r="AU132" s="89">
        <f t="shared" si="181"/>
        <v>1</v>
      </c>
      <c r="AV132" s="89">
        <f t="shared" si="181"/>
        <v>1</v>
      </c>
      <c r="AW132" s="89">
        <f t="shared" si="181"/>
        <v>1</v>
      </c>
      <c r="AX132" s="89">
        <f t="shared" si="181"/>
        <v>1</v>
      </c>
      <c r="AY132" s="89">
        <f t="shared" si="182"/>
        <v>1</v>
      </c>
      <c r="AZ132" s="89">
        <f t="shared" si="182"/>
        <v>1</v>
      </c>
      <c r="BA132" s="89">
        <f t="shared" si="182"/>
        <v>1</v>
      </c>
      <c r="BB132" s="89">
        <f t="shared" si="182"/>
        <v>1</v>
      </c>
      <c r="BC132" s="89">
        <f t="shared" si="182"/>
        <v>1</v>
      </c>
      <c r="BD132" s="89">
        <f t="shared" si="182"/>
        <v>1</v>
      </c>
      <c r="BE132" s="89">
        <f t="shared" si="182"/>
        <v>1</v>
      </c>
      <c r="BF132" s="89">
        <f t="shared" si="182"/>
        <v>1</v>
      </c>
      <c r="BG132" s="89">
        <f t="shared" si="182"/>
        <v>1</v>
      </c>
      <c r="BH132" s="89">
        <f t="shared" si="182"/>
        <v>1</v>
      </c>
      <c r="BI132" s="89">
        <f t="shared" si="182"/>
        <v>1</v>
      </c>
      <c r="BJ132" s="89">
        <f t="shared" si="182"/>
        <v>1</v>
      </c>
      <c r="BK132" s="89">
        <f t="shared" si="182"/>
        <v>1</v>
      </c>
      <c r="BL132" s="89">
        <f t="shared" si="182"/>
        <v>1</v>
      </c>
      <c r="BM132" s="89">
        <f t="shared" si="182"/>
        <v>1</v>
      </c>
      <c r="BN132" s="89">
        <f t="shared" si="182"/>
        <v>1</v>
      </c>
      <c r="BO132" s="89">
        <f t="shared" si="182"/>
        <v>1</v>
      </c>
      <c r="BP132" s="89">
        <f t="shared" si="182"/>
        <v>1</v>
      </c>
      <c r="BQ132" s="89">
        <f t="shared" si="182"/>
        <v>1</v>
      </c>
      <c r="BR132" s="89">
        <f t="shared" si="182"/>
        <v>1</v>
      </c>
    </row>
    <row r="133" spans="1:70">
      <c r="A133" t="s">
        <v>16</v>
      </c>
      <c r="B133" s="1" t="str">
        <f t="shared" si="180"/>
        <v>CNG</v>
      </c>
      <c r="C133" s="1" t="str">
        <f t="shared" si="180"/>
        <v>Commercial - Public lights</v>
      </c>
      <c r="E133" s="124">
        <f t="shared" si="183"/>
        <v>0</v>
      </c>
      <c r="G133" s="289"/>
      <c r="I133" s="131"/>
      <c r="L133" s="294">
        <f t="shared" si="181"/>
        <v>1</v>
      </c>
      <c r="M133" s="295">
        <f t="shared" si="181"/>
        <v>1</v>
      </c>
      <c r="N133" s="295">
        <f t="shared" si="181"/>
        <v>1</v>
      </c>
      <c r="O133" s="295">
        <f t="shared" si="181"/>
        <v>1</v>
      </c>
      <c r="P133" s="89">
        <f t="shared" si="181"/>
        <v>1</v>
      </c>
      <c r="Q133" s="89">
        <f t="shared" si="181"/>
        <v>1</v>
      </c>
      <c r="R133" s="89">
        <f t="shared" si="181"/>
        <v>1</v>
      </c>
      <c r="S133" s="89">
        <f t="shared" si="181"/>
        <v>1</v>
      </c>
      <c r="T133" s="89">
        <f t="shared" si="181"/>
        <v>1</v>
      </c>
      <c r="U133" s="89">
        <f t="shared" si="181"/>
        <v>1</v>
      </c>
      <c r="V133" s="89">
        <f t="shared" si="181"/>
        <v>1</v>
      </c>
      <c r="W133" s="89">
        <f t="shared" si="181"/>
        <v>1</v>
      </c>
      <c r="X133" s="89">
        <f t="shared" si="181"/>
        <v>1</v>
      </c>
      <c r="Y133" s="89">
        <f t="shared" si="181"/>
        <v>1</v>
      </c>
      <c r="Z133" s="89">
        <f t="shared" si="181"/>
        <v>1</v>
      </c>
      <c r="AA133" s="89">
        <f t="shared" si="181"/>
        <v>1</v>
      </c>
      <c r="AB133" s="89">
        <f t="shared" si="181"/>
        <v>1</v>
      </c>
      <c r="AC133" s="89">
        <f t="shared" si="181"/>
        <v>1</v>
      </c>
      <c r="AD133" s="89">
        <f t="shared" si="181"/>
        <v>1</v>
      </c>
      <c r="AE133" s="89">
        <f t="shared" si="181"/>
        <v>1</v>
      </c>
      <c r="AF133" s="89">
        <f t="shared" si="181"/>
        <v>1</v>
      </c>
      <c r="AG133" s="89">
        <f t="shared" si="181"/>
        <v>1</v>
      </c>
      <c r="AH133" s="89">
        <f t="shared" ref="AH133:AX135" si="184">AH122*(1-$E133)</f>
        <v>1</v>
      </c>
      <c r="AI133" s="89">
        <f t="shared" si="184"/>
        <v>1</v>
      </c>
      <c r="AJ133" s="89">
        <f t="shared" si="184"/>
        <v>1</v>
      </c>
      <c r="AK133" s="89">
        <f t="shared" si="184"/>
        <v>1</v>
      </c>
      <c r="AL133" s="89">
        <f t="shared" si="184"/>
        <v>1</v>
      </c>
      <c r="AM133" s="89">
        <f t="shared" si="184"/>
        <v>1</v>
      </c>
      <c r="AN133" s="89">
        <f t="shared" si="184"/>
        <v>1</v>
      </c>
      <c r="AO133" s="89">
        <f t="shared" si="184"/>
        <v>1</v>
      </c>
      <c r="AP133" s="89">
        <f t="shared" si="184"/>
        <v>1</v>
      </c>
      <c r="AQ133" s="89">
        <f t="shared" si="184"/>
        <v>1</v>
      </c>
      <c r="AR133" s="89">
        <f t="shared" si="184"/>
        <v>1</v>
      </c>
      <c r="AS133" s="89">
        <f t="shared" si="184"/>
        <v>1</v>
      </c>
      <c r="AT133" s="89">
        <f t="shared" si="184"/>
        <v>1</v>
      </c>
      <c r="AU133" s="89">
        <f t="shared" si="184"/>
        <v>1</v>
      </c>
      <c r="AV133" s="89">
        <f t="shared" si="184"/>
        <v>1</v>
      </c>
      <c r="AW133" s="89">
        <f t="shared" si="184"/>
        <v>1</v>
      </c>
      <c r="AX133" s="89">
        <f t="shared" si="184"/>
        <v>1</v>
      </c>
      <c r="AY133" s="89">
        <f t="shared" ref="AY133:BR133" si="185">AY122*(1-$E133)</f>
        <v>1</v>
      </c>
      <c r="AZ133" s="89">
        <f t="shared" si="185"/>
        <v>1</v>
      </c>
      <c r="BA133" s="89">
        <f t="shared" si="185"/>
        <v>1</v>
      </c>
      <c r="BB133" s="89">
        <f t="shared" si="185"/>
        <v>1</v>
      </c>
      <c r="BC133" s="89">
        <f t="shared" si="185"/>
        <v>1</v>
      </c>
      <c r="BD133" s="89">
        <f t="shared" si="185"/>
        <v>1</v>
      </c>
      <c r="BE133" s="89">
        <f t="shared" si="185"/>
        <v>1</v>
      </c>
      <c r="BF133" s="89">
        <f t="shared" si="185"/>
        <v>1</v>
      </c>
      <c r="BG133" s="89">
        <f t="shared" si="185"/>
        <v>1</v>
      </c>
      <c r="BH133" s="89">
        <f t="shared" si="185"/>
        <v>1</v>
      </c>
      <c r="BI133" s="89">
        <f t="shared" si="185"/>
        <v>1</v>
      </c>
      <c r="BJ133" s="89">
        <f t="shared" si="185"/>
        <v>1</v>
      </c>
      <c r="BK133" s="89">
        <f>BK122*(1-$E133)</f>
        <v>1</v>
      </c>
      <c r="BL133" s="89">
        <f t="shared" si="185"/>
        <v>1</v>
      </c>
      <c r="BM133" s="89">
        <f t="shared" si="185"/>
        <v>1</v>
      </c>
      <c r="BN133" s="89">
        <f t="shared" si="185"/>
        <v>1</v>
      </c>
      <c r="BO133" s="89">
        <f t="shared" si="185"/>
        <v>1</v>
      </c>
      <c r="BP133" s="89">
        <f t="shared" si="185"/>
        <v>1</v>
      </c>
      <c r="BQ133" s="89">
        <f t="shared" si="185"/>
        <v>1</v>
      </c>
      <c r="BR133" s="89">
        <f t="shared" si="185"/>
        <v>1</v>
      </c>
    </row>
    <row r="134" spans="1:70">
      <c r="A134" t="s">
        <v>16</v>
      </c>
      <c r="B134" s="1" t="str">
        <f t="shared" si="180"/>
        <v>CNT</v>
      </c>
      <c r="C134" s="1" t="str">
        <f t="shared" si="180"/>
        <v>Commercial - Public Water</v>
      </c>
      <c r="E134" s="124">
        <f t="shared" si="183"/>
        <v>0</v>
      </c>
      <c r="F134" s="71" t="s">
        <v>769</v>
      </c>
      <c r="H134" s="64">
        <f>IF(N57=1,54%,0)</f>
        <v>0</v>
      </c>
      <c r="I134" s="131"/>
      <c r="L134" s="294">
        <f t="shared" ref="L134:AX135" si="186">L123*(1-$E134)</f>
        <v>1</v>
      </c>
      <c r="M134" s="295">
        <f t="shared" si="186"/>
        <v>1</v>
      </c>
      <c r="N134" s="295">
        <f t="shared" si="186"/>
        <v>1</v>
      </c>
      <c r="O134" s="295">
        <f t="shared" si="186"/>
        <v>1</v>
      </c>
      <c r="P134" s="89">
        <f t="shared" si="186"/>
        <v>1</v>
      </c>
      <c r="Q134" s="89">
        <f t="shared" si="186"/>
        <v>1</v>
      </c>
      <c r="R134" s="89">
        <f t="shared" si="186"/>
        <v>1</v>
      </c>
      <c r="S134" s="89">
        <f t="shared" si="186"/>
        <v>1</v>
      </c>
      <c r="T134" s="89">
        <f t="shared" si="186"/>
        <v>1</v>
      </c>
      <c r="U134" s="89">
        <f t="shared" si="186"/>
        <v>1</v>
      </c>
      <c r="V134" s="89">
        <f t="shared" si="186"/>
        <v>1</v>
      </c>
      <c r="W134" s="89">
        <f t="shared" si="186"/>
        <v>1</v>
      </c>
      <c r="X134" s="89">
        <f t="shared" si="186"/>
        <v>1</v>
      </c>
      <c r="Y134" s="89">
        <f t="shared" si="186"/>
        <v>1</v>
      </c>
      <c r="Z134" s="89">
        <f t="shared" si="186"/>
        <v>1</v>
      </c>
      <c r="AA134" s="89">
        <f t="shared" si="186"/>
        <v>1</v>
      </c>
      <c r="AB134" s="89">
        <f t="shared" si="186"/>
        <v>1</v>
      </c>
      <c r="AC134" s="89">
        <f t="shared" si="186"/>
        <v>1</v>
      </c>
      <c r="AD134" s="89">
        <f t="shared" si="186"/>
        <v>1</v>
      </c>
      <c r="AE134" s="89">
        <f t="shared" si="186"/>
        <v>1</v>
      </c>
      <c r="AF134" s="89">
        <f t="shared" si="186"/>
        <v>1</v>
      </c>
      <c r="AG134" s="89">
        <f t="shared" si="186"/>
        <v>1</v>
      </c>
      <c r="AH134" s="89">
        <f t="shared" si="186"/>
        <v>1</v>
      </c>
      <c r="AI134" s="89">
        <f t="shared" si="186"/>
        <v>1</v>
      </c>
      <c r="AJ134" s="89">
        <f t="shared" si="186"/>
        <v>1</v>
      </c>
      <c r="AK134" s="89">
        <f t="shared" si="184"/>
        <v>1</v>
      </c>
      <c r="AL134" s="89">
        <f t="shared" si="184"/>
        <v>1</v>
      </c>
      <c r="AM134" s="89">
        <f t="shared" si="184"/>
        <v>1</v>
      </c>
      <c r="AN134" s="89">
        <f t="shared" si="184"/>
        <v>1</v>
      </c>
      <c r="AO134" s="89">
        <f t="shared" si="184"/>
        <v>1</v>
      </c>
      <c r="AP134" s="89">
        <f t="shared" si="184"/>
        <v>1</v>
      </c>
      <c r="AQ134" s="89">
        <f t="shared" si="184"/>
        <v>1</v>
      </c>
      <c r="AR134" s="89">
        <f t="shared" si="184"/>
        <v>1</v>
      </c>
      <c r="AS134" s="89">
        <f t="shared" si="184"/>
        <v>1</v>
      </c>
      <c r="AT134" s="89">
        <f t="shared" si="184"/>
        <v>1</v>
      </c>
      <c r="AU134" s="89">
        <f t="shared" si="186"/>
        <v>1</v>
      </c>
      <c r="AV134" s="89">
        <f t="shared" si="186"/>
        <v>1</v>
      </c>
      <c r="AW134" s="89">
        <f t="shared" si="186"/>
        <v>1</v>
      </c>
      <c r="AX134" s="89">
        <f t="shared" si="186"/>
        <v>1</v>
      </c>
      <c r="AY134" s="89">
        <f t="shared" ref="AY134:BR134" si="187">AY123*(1-$E134)</f>
        <v>1</v>
      </c>
      <c r="AZ134" s="89">
        <f t="shared" si="187"/>
        <v>1</v>
      </c>
      <c r="BA134" s="89">
        <f t="shared" si="187"/>
        <v>1</v>
      </c>
      <c r="BB134" s="89">
        <f t="shared" si="187"/>
        <v>1</v>
      </c>
      <c r="BC134" s="89">
        <f t="shared" si="187"/>
        <v>1</v>
      </c>
      <c r="BD134" s="89">
        <f t="shared" si="187"/>
        <v>1</v>
      </c>
      <c r="BE134" s="89">
        <f t="shared" si="187"/>
        <v>1</v>
      </c>
      <c r="BF134" s="89">
        <f t="shared" si="187"/>
        <v>1</v>
      </c>
      <c r="BG134" s="89">
        <f t="shared" si="187"/>
        <v>1</v>
      </c>
      <c r="BH134" s="89">
        <f t="shared" si="187"/>
        <v>1</v>
      </c>
      <c r="BI134" s="89">
        <f t="shared" si="187"/>
        <v>1</v>
      </c>
      <c r="BJ134" s="89">
        <f t="shared" si="187"/>
        <v>1</v>
      </c>
      <c r="BK134" s="89">
        <f t="shared" si="187"/>
        <v>1</v>
      </c>
      <c r="BL134" s="89">
        <f t="shared" si="187"/>
        <v>1</v>
      </c>
      <c r="BM134" s="89">
        <f t="shared" si="187"/>
        <v>1</v>
      </c>
      <c r="BN134" s="89">
        <f t="shared" si="187"/>
        <v>1</v>
      </c>
      <c r="BO134" s="89">
        <f t="shared" si="187"/>
        <v>1</v>
      </c>
      <c r="BP134" s="89">
        <f t="shared" si="187"/>
        <v>1</v>
      </c>
      <c r="BQ134" s="89">
        <f t="shared" si="187"/>
        <v>1</v>
      </c>
      <c r="BR134" s="89">
        <f t="shared" si="187"/>
        <v>1</v>
      </c>
    </row>
    <row r="135" spans="1:70">
      <c r="A135" t="s">
        <v>16</v>
      </c>
      <c r="B135" s="1" t="str">
        <f t="shared" si="180"/>
        <v>CNO</v>
      </c>
      <c r="C135" s="1" t="str">
        <f t="shared" si="180"/>
        <v>Commercial - Other</v>
      </c>
      <c r="E135" s="124">
        <f t="shared" si="183"/>
        <v>0</v>
      </c>
      <c r="F135" s="71" t="s">
        <v>771</v>
      </c>
      <c r="G135" s="291"/>
      <c r="H135" s="123">
        <f>H134-H124</f>
        <v>0</v>
      </c>
      <c r="I135" s="131"/>
      <c r="L135" s="294">
        <f t="shared" si="186"/>
        <v>1</v>
      </c>
      <c r="M135" s="295">
        <f t="shared" si="186"/>
        <v>1</v>
      </c>
      <c r="N135" s="295">
        <f t="shared" si="186"/>
        <v>1</v>
      </c>
      <c r="O135" s="295">
        <f t="shared" si="186"/>
        <v>1</v>
      </c>
      <c r="P135" s="89">
        <f t="shared" si="186"/>
        <v>1</v>
      </c>
      <c r="Q135" s="89">
        <f t="shared" si="186"/>
        <v>1</v>
      </c>
      <c r="R135" s="89">
        <f t="shared" si="186"/>
        <v>1</v>
      </c>
      <c r="S135" s="89">
        <f t="shared" si="186"/>
        <v>1</v>
      </c>
      <c r="T135" s="89">
        <f t="shared" si="186"/>
        <v>1</v>
      </c>
      <c r="U135" s="89">
        <f t="shared" si="186"/>
        <v>1</v>
      </c>
      <c r="V135" s="89">
        <f t="shared" si="186"/>
        <v>1</v>
      </c>
      <c r="W135" s="89">
        <f t="shared" si="186"/>
        <v>1</v>
      </c>
      <c r="X135" s="89">
        <f t="shared" si="186"/>
        <v>1</v>
      </c>
      <c r="Y135" s="89">
        <f t="shared" si="186"/>
        <v>1</v>
      </c>
      <c r="Z135" s="89">
        <f t="shared" si="186"/>
        <v>1</v>
      </c>
      <c r="AA135" s="89">
        <f t="shared" si="186"/>
        <v>1</v>
      </c>
      <c r="AB135" s="89">
        <f t="shared" si="186"/>
        <v>1</v>
      </c>
      <c r="AC135" s="89">
        <f t="shared" si="186"/>
        <v>1</v>
      </c>
      <c r="AD135" s="89">
        <f t="shared" si="186"/>
        <v>1</v>
      </c>
      <c r="AE135" s="89">
        <f t="shared" si="186"/>
        <v>1</v>
      </c>
      <c r="AF135" s="89">
        <f t="shared" si="186"/>
        <v>1</v>
      </c>
      <c r="AG135" s="89">
        <f t="shared" si="186"/>
        <v>1</v>
      </c>
      <c r="AH135" s="89">
        <f t="shared" si="186"/>
        <v>1</v>
      </c>
      <c r="AI135" s="89">
        <f t="shared" si="186"/>
        <v>1</v>
      </c>
      <c r="AJ135" s="89">
        <f t="shared" si="186"/>
        <v>1</v>
      </c>
      <c r="AK135" s="89">
        <f t="shared" si="184"/>
        <v>1</v>
      </c>
      <c r="AL135" s="89">
        <f t="shared" si="184"/>
        <v>1</v>
      </c>
      <c r="AM135" s="89">
        <f t="shared" si="184"/>
        <v>1</v>
      </c>
      <c r="AN135" s="89">
        <f t="shared" si="184"/>
        <v>1</v>
      </c>
      <c r="AO135" s="89">
        <f t="shared" si="184"/>
        <v>1</v>
      </c>
      <c r="AP135" s="89">
        <f t="shared" si="184"/>
        <v>1</v>
      </c>
      <c r="AQ135" s="89">
        <f t="shared" si="184"/>
        <v>1</v>
      </c>
      <c r="AR135" s="89">
        <f t="shared" si="184"/>
        <v>1</v>
      </c>
      <c r="AS135" s="89">
        <f t="shared" si="184"/>
        <v>1</v>
      </c>
      <c r="AT135" s="89">
        <f t="shared" si="184"/>
        <v>1</v>
      </c>
      <c r="AU135" s="89">
        <f t="shared" si="186"/>
        <v>1</v>
      </c>
      <c r="AV135" s="89">
        <f t="shared" si="186"/>
        <v>1</v>
      </c>
      <c r="AW135" s="89">
        <f t="shared" si="186"/>
        <v>1</v>
      </c>
      <c r="AX135" s="89">
        <f t="shared" si="186"/>
        <v>1</v>
      </c>
      <c r="AY135" s="89">
        <f t="shared" ref="AY135:BR135" si="188">AY124*(1-$E135)</f>
        <v>1</v>
      </c>
      <c r="AZ135" s="89">
        <f t="shared" si="188"/>
        <v>1</v>
      </c>
      <c r="BA135" s="89">
        <f t="shared" si="188"/>
        <v>1</v>
      </c>
      <c r="BB135" s="89">
        <f t="shared" si="188"/>
        <v>1</v>
      </c>
      <c r="BC135" s="89">
        <f t="shared" si="188"/>
        <v>1</v>
      </c>
      <c r="BD135" s="89">
        <f t="shared" si="188"/>
        <v>1</v>
      </c>
      <c r="BE135" s="89">
        <f t="shared" si="188"/>
        <v>1</v>
      </c>
      <c r="BF135" s="89">
        <f t="shared" si="188"/>
        <v>1</v>
      </c>
      <c r="BG135" s="89">
        <f t="shared" si="188"/>
        <v>1</v>
      </c>
      <c r="BH135" s="89">
        <f t="shared" si="188"/>
        <v>1</v>
      </c>
      <c r="BI135" s="89">
        <f t="shared" si="188"/>
        <v>1</v>
      </c>
      <c r="BJ135" s="89">
        <f t="shared" si="188"/>
        <v>1</v>
      </c>
      <c r="BK135" s="89">
        <f t="shared" si="188"/>
        <v>1</v>
      </c>
      <c r="BL135" s="89">
        <f t="shared" si="188"/>
        <v>1</v>
      </c>
      <c r="BM135" s="89">
        <f t="shared" si="188"/>
        <v>1</v>
      </c>
      <c r="BN135" s="89">
        <f t="shared" si="188"/>
        <v>1</v>
      </c>
      <c r="BO135" s="89">
        <f t="shared" si="188"/>
        <v>1</v>
      </c>
      <c r="BP135" s="89">
        <f t="shared" si="188"/>
        <v>1</v>
      </c>
      <c r="BQ135" s="89">
        <f t="shared" si="188"/>
        <v>1</v>
      </c>
      <c r="BR135" s="89">
        <f t="shared" si="188"/>
        <v>1</v>
      </c>
    </row>
    <row r="136" spans="1:70">
      <c r="A136" t="s">
        <v>16</v>
      </c>
      <c r="B136" s="1"/>
      <c r="C136" s="1"/>
      <c r="E136" s="292">
        <f>((1/(1-H134))-1)</f>
        <v>0</v>
      </c>
      <c r="F136" s="71" t="s">
        <v>772</v>
      </c>
      <c r="G136" s="291"/>
      <c r="I136" s="131"/>
      <c r="L136" s="90"/>
      <c r="M136" s="90"/>
      <c r="N136" s="90"/>
      <c r="O136" s="90"/>
    </row>
    <row r="137" spans="1:70" ht="15.75" thickBot="1">
      <c r="A137" t="s">
        <v>16</v>
      </c>
      <c r="B137" s="1"/>
      <c r="C137" s="68" t="s">
        <v>246</v>
      </c>
      <c r="E137" s="71" t="s">
        <v>764</v>
      </c>
      <c r="I137" s="131"/>
      <c r="L137" s="90"/>
      <c r="M137" s="90"/>
      <c r="N137" s="90"/>
      <c r="O137" s="90"/>
    </row>
    <row r="138" spans="1:70">
      <c r="A138" t="s">
        <v>16</v>
      </c>
      <c r="B138" s="1" t="str">
        <f t="shared" ref="B138:C146" si="189">B127</f>
        <v>CNC</v>
      </c>
      <c r="C138" s="1" t="str">
        <f t="shared" si="189"/>
        <v>Commercial - Cooling</v>
      </c>
      <c r="E138" s="124">
        <f>E$147/9</f>
        <v>0</v>
      </c>
      <c r="G138" s="289"/>
      <c r="I138" s="131"/>
      <c r="L138" s="294">
        <f t="shared" ref="L138:AX144" si="190">L127*(1-$E138)</f>
        <v>1</v>
      </c>
      <c r="M138" s="295">
        <f t="shared" si="190"/>
        <v>1</v>
      </c>
      <c r="N138" s="295">
        <f t="shared" si="190"/>
        <v>1</v>
      </c>
      <c r="O138" s="295">
        <f t="shared" si="190"/>
        <v>1</v>
      </c>
      <c r="P138" s="89">
        <f t="shared" si="190"/>
        <v>1</v>
      </c>
      <c r="Q138" s="89">
        <f t="shared" si="190"/>
        <v>1</v>
      </c>
      <c r="R138" s="89">
        <f t="shared" si="190"/>
        <v>1</v>
      </c>
      <c r="S138" s="89">
        <f t="shared" si="190"/>
        <v>1</v>
      </c>
      <c r="T138" s="89">
        <f t="shared" si="190"/>
        <v>1</v>
      </c>
      <c r="U138" s="89">
        <f t="shared" si="190"/>
        <v>1</v>
      </c>
      <c r="V138" s="89">
        <f t="shared" si="190"/>
        <v>1</v>
      </c>
      <c r="W138" s="89">
        <f t="shared" si="190"/>
        <v>1</v>
      </c>
      <c r="X138" s="89">
        <f t="shared" si="190"/>
        <v>1</v>
      </c>
      <c r="Y138" s="89">
        <f t="shared" si="190"/>
        <v>1</v>
      </c>
      <c r="Z138" s="89">
        <f t="shared" si="190"/>
        <v>1</v>
      </c>
      <c r="AA138" s="89">
        <f t="shared" si="190"/>
        <v>1</v>
      </c>
      <c r="AB138" s="89">
        <f t="shared" si="190"/>
        <v>1</v>
      </c>
      <c r="AC138" s="89">
        <f t="shared" si="190"/>
        <v>1</v>
      </c>
      <c r="AD138" s="89">
        <f t="shared" si="190"/>
        <v>1</v>
      </c>
      <c r="AE138" s="89">
        <f t="shared" si="190"/>
        <v>1</v>
      </c>
      <c r="AF138" s="89">
        <f t="shared" si="190"/>
        <v>1</v>
      </c>
      <c r="AG138" s="89">
        <f t="shared" si="190"/>
        <v>1</v>
      </c>
      <c r="AH138" s="89">
        <f t="shared" si="190"/>
        <v>1</v>
      </c>
      <c r="AI138" s="89">
        <f t="shared" si="190"/>
        <v>1</v>
      </c>
      <c r="AJ138" s="89">
        <f t="shared" si="190"/>
        <v>1</v>
      </c>
      <c r="AK138" s="89">
        <f t="shared" si="190"/>
        <v>1</v>
      </c>
      <c r="AL138" s="89">
        <f t="shared" si="190"/>
        <v>1</v>
      </c>
      <c r="AM138" s="89">
        <f t="shared" si="190"/>
        <v>1</v>
      </c>
      <c r="AN138" s="89">
        <f t="shared" si="190"/>
        <v>1</v>
      </c>
      <c r="AO138" s="89">
        <f t="shared" si="190"/>
        <v>1</v>
      </c>
      <c r="AP138" s="89">
        <f t="shared" si="190"/>
        <v>1</v>
      </c>
      <c r="AQ138" s="89">
        <f t="shared" si="190"/>
        <v>1</v>
      </c>
      <c r="AR138" s="89">
        <f t="shared" si="190"/>
        <v>1</v>
      </c>
      <c r="AS138" s="89">
        <f t="shared" si="190"/>
        <v>1</v>
      </c>
      <c r="AT138" s="89">
        <f t="shared" si="190"/>
        <v>1</v>
      </c>
      <c r="AU138" s="89">
        <f t="shared" si="190"/>
        <v>1</v>
      </c>
      <c r="AV138" s="89">
        <f t="shared" si="190"/>
        <v>1</v>
      </c>
      <c r="AW138" s="89">
        <f t="shared" si="190"/>
        <v>1</v>
      </c>
      <c r="AX138" s="89">
        <f t="shared" si="190"/>
        <v>1</v>
      </c>
      <c r="AY138" s="89">
        <f t="shared" ref="AY138:BR143" si="191">AY127*(1-$E138)</f>
        <v>1</v>
      </c>
      <c r="AZ138" s="89">
        <f t="shared" si="191"/>
        <v>1</v>
      </c>
      <c r="BA138" s="89">
        <f t="shared" si="191"/>
        <v>1</v>
      </c>
      <c r="BB138" s="89">
        <f t="shared" si="191"/>
        <v>1</v>
      </c>
      <c r="BC138" s="89">
        <f t="shared" si="191"/>
        <v>1</v>
      </c>
      <c r="BD138" s="89">
        <f t="shared" si="191"/>
        <v>1</v>
      </c>
      <c r="BE138" s="89">
        <f t="shared" si="191"/>
        <v>1</v>
      </c>
      <c r="BF138" s="89">
        <f t="shared" si="191"/>
        <v>1</v>
      </c>
      <c r="BG138" s="89">
        <f t="shared" si="191"/>
        <v>1</v>
      </c>
      <c r="BH138" s="89">
        <f t="shared" si="191"/>
        <v>1</v>
      </c>
      <c r="BI138" s="89">
        <f t="shared" si="191"/>
        <v>1</v>
      </c>
      <c r="BJ138" s="89">
        <f t="shared" si="191"/>
        <v>1</v>
      </c>
      <c r="BK138" s="89">
        <f t="shared" si="191"/>
        <v>1</v>
      </c>
      <c r="BL138" s="89">
        <f t="shared" si="191"/>
        <v>1</v>
      </c>
      <c r="BM138" s="89">
        <f t="shared" si="191"/>
        <v>1</v>
      </c>
      <c r="BN138" s="89">
        <f t="shared" si="191"/>
        <v>1</v>
      </c>
      <c r="BO138" s="89">
        <f t="shared" si="191"/>
        <v>1</v>
      </c>
      <c r="BP138" s="89">
        <f t="shared" si="191"/>
        <v>1</v>
      </c>
      <c r="BQ138" s="89">
        <f t="shared" si="191"/>
        <v>1</v>
      </c>
      <c r="BR138" s="89">
        <f t="shared" si="191"/>
        <v>1</v>
      </c>
    </row>
    <row r="139" spans="1:70">
      <c r="A139" t="s">
        <v>16</v>
      </c>
      <c r="B139" s="1" t="str">
        <f t="shared" si="189"/>
        <v>CNH</v>
      </c>
      <c r="C139" s="1" t="str">
        <f t="shared" si="189"/>
        <v>Commercial - Space Heating</v>
      </c>
      <c r="E139" s="124">
        <f t="shared" ref="E139:E146" si="192">E$147/9</f>
        <v>0</v>
      </c>
      <c r="G139" s="289" t="s">
        <v>768</v>
      </c>
      <c r="H139" s="123">
        <v>0.18</v>
      </c>
      <c r="I139" s="131"/>
      <c r="L139" s="294">
        <f t="shared" si="190"/>
        <v>1</v>
      </c>
      <c r="M139" s="295">
        <f t="shared" si="190"/>
        <v>1</v>
      </c>
      <c r="N139" s="295">
        <f t="shared" si="190"/>
        <v>1</v>
      </c>
      <c r="O139" s="295">
        <f t="shared" si="190"/>
        <v>1</v>
      </c>
      <c r="P139" s="89">
        <f t="shared" si="190"/>
        <v>1</v>
      </c>
      <c r="Q139" s="89">
        <f t="shared" si="190"/>
        <v>1</v>
      </c>
      <c r="R139" s="89">
        <f t="shared" si="190"/>
        <v>1</v>
      </c>
      <c r="S139" s="89">
        <f t="shared" si="190"/>
        <v>1</v>
      </c>
      <c r="T139" s="89">
        <f t="shared" si="190"/>
        <v>1</v>
      </c>
      <c r="U139" s="89">
        <f t="shared" si="190"/>
        <v>1</v>
      </c>
      <c r="V139" s="89">
        <f t="shared" si="190"/>
        <v>1</v>
      </c>
      <c r="W139" s="89">
        <f t="shared" si="190"/>
        <v>1</v>
      </c>
      <c r="X139" s="89">
        <f t="shared" si="190"/>
        <v>1</v>
      </c>
      <c r="Y139" s="89">
        <f t="shared" si="190"/>
        <v>1</v>
      </c>
      <c r="Z139" s="89">
        <f t="shared" si="190"/>
        <v>1</v>
      </c>
      <c r="AA139" s="89">
        <f t="shared" si="190"/>
        <v>1</v>
      </c>
      <c r="AB139" s="89">
        <f t="shared" si="190"/>
        <v>1</v>
      </c>
      <c r="AC139" s="89">
        <f t="shared" si="190"/>
        <v>1</v>
      </c>
      <c r="AD139" s="89">
        <f t="shared" si="190"/>
        <v>1</v>
      </c>
      <c r="AE139" s="89">
        <f t="shared" si="190"/>
        <v>1</v>
      </c>
      <c r="AF139" s="89">
        <f t="shared" si="190"/>
        <v>1</v>
      </c>
      <c r="AG139" s="89">
        <f t="shared" si="190"/>
        <v>1</v>
      </c>
      <c r="AH139" s="89">
        <f t="shared" si="190"/>
        <v>1</v>
      </c>
      <c r="AI139" s="89">
        <f t="shared" si="190"/>
        <v>1</v>
      </c>
      <c r="AJ139" s="89">
        <f t="shared" si="190"/>
        <v>1</v>
      </c>
      <c r="AK139" s="89">
        <f t="shared" si="190"/>
        <v>1</v>
      </c>
      <c r="AL139" s="89">
        <f t="shared" si="190"/>
        <v>1</v>
      </c>
      <c r="AM139" s="89">
        <f t="shared" si="190"/>
        <v>1</v>
      </c>
      <c r="AN139" s="89">
        <f t="shared" si="190"/>
        <v>1</v>
      </c>
      <c r="AO139" s="89">
        <f t="shared" si="190"/>
        <v>1</v>
      </c>
      <c r="AP139" s="89">
        <f t="shared" si="190"/>
        <v>1</v>
      </c>
      <c r="AQ139" s="89">
        <f t="shared" si="190"/>
        <v>1</v>
      </c>
      <c r="AR139" s="89">
        <f t="shared" si="190"/>
        <v>1</v>
      </c>
      <c r="AS139" s="89">
        <f t="shared" si="190"/>
        <v>1</v>
      </c>
      <c r="AT139" s="89">
        <f t="shared" si="190"/>
        <v>1</v>
      </c>
      <c r="AU139" s="89">
        <f t="shared" si="190"/>
        <v>1</v>
      </c>
      <c r="AV139" s="89">
        <f t="shared" si="190"/>
        <v>1</v>
      </c>
      <c r="AW139" s="89">
        <f t="shared" si="190"/>
        <v>1</v>
      </c>
      <c r="AX139" s="89">
        <f t="shared" si="190"/>
        <v>1</v>
      </c>
      <c r="AY139" s="89">
        <f t="shared" si="191"/>
        <v>1</v>
      </c>
      <c r="AZ139" s="89">
        <f t="shared" si="191"/>
        <v>1</v>
      </c>
      <c r="BA139" s="89">
        <f t="shared" si="191"/>
        <v>1</v>
      </c>
      <c r="BB139" s="89">
        <f t="shared" si="191"/>
        <v>1</v>
      </c>
      <c r="BC139" s="89">
        <f t="shared" si="191"/>
        <v>1</v>
      </c>
      <c r="BD139" s="89">
        <f t="shared" si="191"/>
        <v>1</v>
      </c>
      <c r="BE139" s="89">
        <f t="shared" si="191"/>
        <v>1</v>
      </c>
      <c r="BF139" s="89">
        <f t="shared" si="191"/>
        <v>1</v>
      </c>
      <c r="BG139" s="89">
        <f t="shared" si="191"/>
        <v>1</v>
      </c>
      <c r="BH139" s="89">
        <f t="shared" si="191"/>
        <v>1</v>
      </c>
      <c r="BI139" s="89">
        <f t="shared" si="191"/>
        <v>1</v>
      </c>
      <c r="BJ139" s="89">
        <f t="shared" si="191"/>
        <v>1</v>
      </c>
      <c r="BK139" s="89">
        <f t="shared" si="191"/>
        <v>1</v>
      </c>
      <c r="BL139" s="89">
        <f t="shared" si="191"/>
        <v>1</v>
      </c>
      <c r="BM139" s="89">
        <f t="shared" si="191"/>
        <v>1</v>
      </c>
      <c r="BN139" s="89">
        <f t="shared" si="191"/>
        <v>1</v>
      </c>
      <c r="BO139" s="89">
        <f t="shared" si="191"/>
        <v>1</v>
      </c>
      <c r="BP139" s="89">
        <f t="shared" si="191"/>
        <v>1</v>
      </c>
      <c r="BQ139" s="89">
        <f t="shared" si="191"/>
        <v>1</v>
      </c>
      <c r="BR139" s="89">
        <f t="shared" si="191"/>
        <v>1</v>
      </c>
    </row>
    <row r="140" spans="1:70">
      <c r="A140" t="s">
        <v>16</v>
      </c>
      <c r="B140" s="1" t="str">
        <f t="shared" si="189"/>
        <v>CNK</v>
      </c>
      <c r="C140" s="1" t="str">
        <f t="shared" si="189"/>
        <v>Commercial - Cooking</v>
      </c>
      <c r="E140" s="124">
        <f t="shared" si="192"/>
        <v>0</v>
      </c>
      <c r="G140" s="289" t="s">
        <v>765</v>
      </c>
      <c r="H140" s="64">
        <f>(1-(1/(H139+1)))</f>
        <v>0.15254237288135586</v>
      </c>
      <c r="I140" s="131"/>
      <c r="L140" s="294">
        <f t="shared" si="190"/>
        <v>1</v>
      </c>
      <c r="M140" s="295">
        <f t="shared" si="190"/>
        <v>1</v>
      </c>
      <c r="N140" s="295">
        <f t="shared" si="190"/>
        <v>1</v>
      </c>
      <c r="O140" s="295">
        <f t="shared" si="190"/>
        <v>1</v>
      </c>
      <c r="P140" s="89">
        <f t="shared" si="190"/>
        <v>1</v>
      </c>
      <c r="Q140" s="89">
        <f t="shared" si="190"/>
        <v>1</v>
      </c>
      <c r="R140" s="89">
        <f t="shared" si="190"/>
        <v>1</v>
      </c>
      <c r="S140" s="89">
        <f t="shared" si="190"/>
        <v>1</v>
      </c>
      <c r="T140" s="89">
        <f t="shared" si="190"/>
        <v>1</v>
      </c>
      <c r="U140" s="89">
        <f t="shared" si="190"/>
        <v>1</v>
      </c>
      <c r="V140" s="89">
        <f t="shared" si="190"/>
        <v>1</v>
      </c>
      <c r="W140" s="89">
        <f t="shared" si="190"/>
        <v>1</v>
      </c>
      <c r="X140" s="89">
        <f t="shared" si="190"/>
        <v>1</v>
      </c>
      <c r="Y140" s="89">
        <f t="shared" si="190"/>
        <v>1</v>
      </c>
      <c r="Z140" s="89">
        <f t="shared" si="190"/>
        <v>1</v>
      </c>
      <c r="AA140" s="89">
        <f t="shared" si="190"/>
        <v>1</v>
      </c>
      <c r="AB140" s="89">
        <f t="shared" si="190"/>
        <v>1</v>
      </c>
      <c r="AC140" s="89">
        <f t="shared" si="190"/>
        <v>1</v>
      </c>
      <c r="AD140" s="89">
        <f t="shared" si="190"/>
        <v>1</v>
      </c>
      <c r="AE140" s="89">
        <f t="shared" si="190"/>
        <v>1</v>
      </c>
      <c r="AF140" s="89">
        <f t="shared" si="190"/>
        <v>1</v>
      </c>
      <c r="AG140" s="89">
        <f t="shared" si="190"/>
        <v>1</v>
      </c>
      <c r="AH140" s="89">
        <f t="shared" si="190"/>
        <v>1</v>
      </c>
      <c r="AI140" s="89">
        <f t="shared" si="190"/>
        <v>1</v>
      </c>
      <c r="AJ140" s="89">
        <f t="shared" si="190"/>
        <v>1</v>
      </c>
      <c r="AK140" s="89">
        <f t="shared" si="190"/>
        <v>1</v>
      </c>
      <c r="AL140" s="89">
        <f t="shared" si="190"/>
        <v>1</v>
      </c>
      <c r="AM140" s="89">
        <f t="shared" si="190"/>
        <v>1</v>
      </c>
      <c r="AN140" s="89">
        <f t="shared" si="190"/>
        <v>1</v>
      </c>
      <c r="AO140" s="89">
        <f t="shared" si="190"/>
        <v>1</v>
      </c>
      <c r="AP140" s="89">
        <f t="shared" si="190"/>
        <v>1</v>
      </c>
      <c r="AQ140" s="89">
        <f t="shared" si="190"/>
        <v>1</v>
      </c>
      <c r="AR140" s="89">
        <f t="shared" si="190"/>
        <v>1</v>
      </c>
      <c r="AS140" s="89">
        <f t="shared" si="190"/>
        <v>1</v>
      </c>
      <c r="AT140" s="89">
        <f t="shared" si="190"/>
        <v>1</v>
      </c>
      <c r="AU140" s="89">
        <f t="shared" si="190"/>
        <v>1</v>
      </c>
      <c r="AV140" s="89">
        <f t="shared" si="190"/>
        <v>1</v>
      </c>
      <c r="AW140" s="89">
        <f t="shared" si="190"/>
        <v>1</v>
      </c>
      <c r="AX140" s="89">
        <f t="shared" si="190"/>
        <v>1</v>
      </c>
      <c r="AY140" s="89">
        <f t="shared" si="191"/>
        <v>1</v>
      </c>
      <c r="AZ140" s="89">
        <f t="shared" si="191"/>
        <v>1</v>
      </c>
      <c r="BA140" s="89">
        <f t="shared" si="191"/>
        <v>1</v>
      </c>
      <c r="BB140" s="89">
        <f t="shared" si="191"/>
        <v>1</v>
      </c>
      <c r="BC140" s="89">
        <f t="shared" si="191"/>
        <v>1</v>
      </c>
      <c r="BD140" s="89">
        <f t="shared" si="191"/>
        <v>1</v>
      </c>
      <c r="BE140" s="89">
        <f t="shared" si="191"/>
        <v>1</v>
      </c>
      <c r="BF140" s="89">
        <f t="shared" si="191"/>
        <v>1</v>
      </c>
      <c r="BG140" s="89">
        <f t="shared" si="191"/>
        <v>1</v>
      </c>
      <c r="BH140" s="89">
        <f t="shared" si="191"/>
        <v>1</v>
      </c>
      <c r="BI140" s="89">
        <f t="shared" si="191"/>
        <v>1</v>
      </c>
      <c r="BJ140" s="89">
        <f t="shared" si="191"/>
        <v>1</v>
      </c>
      <c r="BK140" s="89">
        <f t="shared" si="191"/>
        <v>1</v>
      </c>
      <c r="BL140" s="89">
        <f t="shared" si="191"/>
        <v>1</v>
      </c>
      <c r="BM140" s="89">
        <f t="shared" si="191"/>
        <v>1</v>
      </c>
      <c r="BN140" s="89">
        <f t="shared" si="191"/>
        <v>1</v>
      </c>
      <c r="BO140" s="89">
        <f t="shared" si="191"/>
        <v>1</v>
      </c>
      <c r="BP140" s="89">
        <f t="shared" si="191"/>
        <v>1</v>
      </c>
      <c r="BQ140" s="89">
        <f t="shared" si="191"/>
        <v>1</v>
      </c>
      <c r="BR140" s="89">
        <f t="shared" si="191"/>
        <v>1</v>
      </c>
    </row>
    <row r="141" spans="1:70">
      <c r="A141" t="s">
        <v>16</v>
      </c>
      <c r="B141" s="1" t="str">
        <f t="shared" si="189"/>
        <v>CNL</v>
      </c>
      <c r="C141" s="1" t="str">
        <f t="shared" si="189"/>
        <v>Commercial - Lighting</v>
      </c>
      <c r="E141" s="124">
        <f t="shared" si="192"/>
        <v>0</v>
      </c>
      <c r="G141" s="289"/>
      <c r="I141" s="131"/>
      <c r="L141" s="294">
        <f t="shared" si="190"/>
        <v>1</v>
      </c>
      <c r="M141" s="295">
        <f t="shared" si="190"/>
        <v>1</v>
      </c>
      <c r="N141" s="295">
        <f t="shared" si="190"/>
        <v>1</v>
      </c>
      <c r="O141" s="295">
        <f t="shared" si="190"/>
        <v>1</v>
      </c>
      <c r="P141" s="89">
        <f t="shared" si="190"/>
        <v>1</v>
      </c>
      <c r="Q141" s="89">
        <f t="shared" si="190"/>
        <v>1</v>
      </c>
      <c r="R141" s="89">
        <f t="shared" si="190"/>
        <v>1</v>
      </c>
      <c r="S141" s="89">
        <f t="shared" si="190"/>
        <v>1</v>
      </c>
      <c r="T141" s="89">
        <f t="shared" si="190"/>
        <v>1</v>
      </c>
      <c r="U141" s="89">
        <f t="shared" si="190"/>
        <v>1</v>
      </c>
      <c r="V141" s="89">
        <f t="shared" si="190"/>
        <v>1</v>
      </c>
      <c r="W141" s="89">
        <f t="shared" si="190"/>
        <v>1</v>
      </c>
      <c r="X141" s="89">
        <f t="shared" si="190"/>
        <v>1</v>
      </c>
      <c r="Y141" s="89">
        <f t="shared" si="190"/>
        <v>1</v>
      </c>
      <c r="Z141" s="89">
        <f t="shared" si="190"/>
        <v>1</v>
      </c>
      <c r="AA141" s="89">
        <f t="shared" si="190"/>
        <v>1</v>
      </c>
      <c r="AB141" s="89">
        <f t="shared" si="190"/>
        <v>1</v>
      </c>
      <c r="AC141" s="89">
        <f t="shared" si="190"/>
        <v>1</v>
      </c>
      <c r="AD141" s="89">
        <f t="shared" si="190"/>
        <v>1</v>
      </c>
      <c r="AE141" s="89">
        <f t="shared" si="190"/>
        <v>1</v>
      </c>
      <c r="AF141" s="89">
        <f t="shared" si="190"/>
        <v>1</v>
      </c>
      <c r="AG141" s="89">
        <f t="shared" si="190"/>
        <v>1</v>
      </c>
      <c r="AH141" s="89">
        <f t="shared" si="190"/>
        <v>1</v>
      </c>
      <c r="AI141" s="89">
        <f t="shared" si="190"/>
        <v>1</v>
      </c>
      <c r="AJ141" s="89">
        <f t="shared" si="190"/>
        <v>1</v>
      </c>
      <c r="AK141" s="89">
        <f t="shared" si="190"/>
        <v>1</v>
      </c>
      <c r="AL141" s="89">
        <f t="shared" si="190"/>
        <v>1</v>
      </c>
      <c r="AM141" s="89">
        <f t="shared" si="190"/>
        <v>1</v>
      </c>
      <c r="AN141" s="89">
        <f t="shared" si="190"/>
        <v>1</v>
      </c>
      <c r="AO141" s="89">
        <f t="shared" si="190"/>
        <v>1</v>
      </c>
      <c r="AP141" s="89">
        <f t="shared" si="190"/>
        <v>1</v>
      </c>
      <c r="AQ141" s="89">
        <f t="shared" si="190"/>
        <v>1</v>
      </c>
      <c r="AR141" s="89">
        <f t="shared" si="190"/>
        <v>1</v>
      </c>
      <c r="AS141" s="89">
        <f t="shared" si="190"/>
        <v>1</v>
      </c>
      <c r="AT141" s="89">
        <f t="shared" si="190"/>
        <v>1</v>
      </c>
      <c r="AU141" s="89">
        <f t="shared" si="190"/>
        <v>1</v>
      </c>
      <c r="AV141" s="89">
        <f t="shared" si="190"/>
        <v>1</v>
      </c>
      <c r="AW141" s="89">
        <f t="shared" si="190"/>
        <v>1</v>
      </c>
      <c r="AX141" s="89">
        <f t="shared" si="190"/>
        <v>1</v>
      </c>
      <c r="AY141" s="89">
        <f t="shared" si="191"/>
        <v>1</v>
      </c>
      <c r="AZ141" s="89">
        <f t="shared" si="191"/>
        <v>1</v>
      </c>
      <c r="BA141" s="89">
        <f t="shared" si="191"/>
        <v>1</v>
      </c>
      <c r="BB141" s="89">
        <f t="shared" si="191"/>
        <v>1</v>
      </c>
      <c r="BC141" s="89">
        <f t="shared" si="191"/>
        <v>1</v>
      </c>
      <c r="BD141" s="89">
        <f t="shared" si="191"/>
        <v>1</v>
      </c>
      <c r="BE141" s="89">
        <f t="shared" si="191"/>
        <v>1</v>
      </c>
      <c r="BF141" s="89">
        <f t="shared" si="191"/>
        <v>1</v>
      </c>
      <c r="BG141" s="89">
        <f t="shared" si="191"/>
        <v>1</v>
      </c>
      <c r="BH141" s="89">
        <f t="shared" si="191"/>
        <v>1</v>
      </c>
      <c r="BI141" s="89">
        <f t="shared" si="191"/>
        <v>1</v>
      </c>
      <c r="BJ141" s="89">
        <f t="shared" si="191"/>
        <v>1</v>
      </c>
      <c r="BK141" s="89">
        <f t="shared" si="191"/>
        <v>1</v>
      </c>
      <c r="BL141" s="89">
        <f t="shared" si="191"/>
        <v>1</v>
      </c>
      <c r="BM141" s="89">
        <f t="shared" si="191"/>
        <v>1</v>
      </c>
      <c r="BN141" s="89">
        <f t="shared" si="191"/>
        <v>1</v>
      </c>
      <c r="BO141" s="89">
        <f t="shared" si="191"/>
        <v>1</v>
      </c>
      <c r="BP141" s="89">
        <f t="shared" si="191"/>
        <v>1</v>
      </c>
      <c r="BQ141" s="89">
        <f t="shared" si="191"/>
        <v>1</v>
      </c>
      <c r="BR141" s="89">
        <f t="shared" si="191"/>
        <v>1</v>
      </c>
    </row>
    <row r="142" spans="1:70">
      <c r="A142" t="s">
        <v>16</v>
      </c>
      <c r="B142" s="1" t="str">
        <f t="shared" si="189"/>
        <v>CNR</v>
      </c>
      <c r="C142" s="1" t="str">
        <f t="shared" si="189"/>
        <v>Commercial - Refrigeration</v>
      </c>
      <c r="E142" s="124">
        <f t="shared" si="192"/>
        <v>0</v>
      </c>
      <c r="G142" s="289"/>
      <c r="I142" s="131"/>
      <c r="L142" s="294">
        <f t="shared" si="190"/>
        <v>1</v>
      </c>
      <c r="M142" s="295">
        <f t="shared" si="190"/>
        <v>1</v>
      </c>
      <c r="N142" s="295">
        <f t="shared" si="190"/>
        <v>1</v>
      </c>
      <c r="O142" s="295">
        <f t="shared" si="190"/>
        <v>1</v>
      </c>
      <c r="P142" s="89">
        <f t="shared" si="190"/>
        <v>1</v>
      </c>
      <c r="Q142" s="89">
        <f t="shared" si="190"/>
        <v>1</v>
      </c>
      <c r="R142" s="89">
        <f t="shared" si="190"/>
        <v>1</v>
      </c>
      <c r="S142" s="89">
        <f t="shared" si="190"/>
        <v>1</v>
      </c>
      <c r="T142" s="89">
        <f t="shared" si="190"/>
        <v>1</v>
      </c>
      <c r="U142" s="89">
        <f t="shared" si="190"/>
        <v>1</v>
      </c>
      <c r="V142" s="89">
        <f t="shared" si="190"/>
        <v>1</v>
      </c>
      <c r="W142" s="89">
        <f t="shared" si="190"/>
        <v>1</v>
      </c>
      <c r="X142" s="89">
        <f t="shared" si="190"/>
        <v>1</v>
      </c>
      <c r="Y142" s="89">
        <f t="shared" si="190"/>
        <v>1</v>
      </c>
      <c r="Z142" s="89">
        <f t="shared" si="190"/>
        <v>1</v>
      </c>
      <c r="AA142" s="89">
        <f t="shared" si="190"/>
        <v>1</v>
      </c>
      <c r="AB142" s="89">
        <f t="shared" si="190"/>
        <v>1</v>
      </c>
      <c r="AC142" s="89">
        <f t="shared" si="190"/>
        <v>1</v>
      </c>
      <c r="AD142" s="89">
        <f t="shared" si="190"/>
        <v>1</v>
      </c>
      <c r="AE142" s="89">
        <f t="shared" si="190"/>
        <v>1</v>
      </c>
      <c r="AF142" s="89">
        <f t="shared" si="190"/>
        <v>1</v>
      </c>
      <c r="AG142" s="89">
        <f t="shared" si="190"/>
        <v>1</v>
      </c>
      <c r="AH142" s="89">
        <f t="shared" si="190"/>
        <v>1</v>
      </c>
      <c r="AI142" s="89">
        <f t="shared" si="190"/>
        <v>1</v>
      </c>
      <c r="AJ142" s="89">
        <f t="shared" si="190"/>
        <v>1</v>
      </c>
      <c r="AK142" s="89">
        <f t="shared" si="190"/>
        <v>1</v>
      </c>
      <c r="AL142" s="89">
        <f t="shared" si="190"/>
        <v>1</v>
      </c>
      <c r="AM142" s="89">
        <f t="shared" si="190"/>
        <v>1</v>
      </c>
      <c r="AN142" s="89">
        <f t="shared" si="190"/>
        <v>1</v>
      </c>
      <c r="AO142" s="89">
        <f t="shared" si="190"/>
        <v>1</v>
      </c>
      <c r="AP142" s="89">
        <f t="shared" si="190"/>
        <v>1</v>
      </c>
      <c r="AQ142" s="89">
        <f t="shared" si="190"/>
        <v>1</v>
      </c>
      <c r="AR142" s="89">
        <f t="shared" si="190"/>
        <v>1</v>
      </c>
      <c r="AS142" s="89">
        <f t="shared" si="190"/>
        <v>1</v>
      </c>
      <c r="AT142" s="89">
        <f t="shared" si="190"/>
        <v>1</v>
      </c>
      <c r="AU142" s="89">
        <f t="shared" si="190"/>
        <v>1</v>
      </c>
      <c r="AV142" s="89">
        <f t="shared" si="190"/>
        <v>1</v>
      </c>
      <c r="AW142" s="89">
        <f t="shared" si="190"/>
        <v>1</v>
      </c>
      <c r="AX142" s="89">
        <f t="shared" si="190"/>
        <v>1</v>
      </c>
      <c r="AY142" s="89">
        <f t="shared" si="191"/>
        <v>1</v>
      </c>
      <c r="AZ142" s="89">
        <f t="shared" si="191"/>
        <v>1</v>
      </c>
      <c r="BA142" s="89">
        <f t="shared" si="191"/>
        <v>1</v>
      </c>
      <c r="BB142" s="89">
        <f t="shared" si="191"/>
        <v>1</v>
      </c>
      <c r="BC142" s="89">
        <f t="shared" si="191"/>
        <v>1</v>
      </c>
      <c r="BD142" s="89">
        <f t="shared" si="191"/>
        <v>1</v>
      </c>
      <c r="BE142" s="89">
        <f t="shared" si="191"/>
        <v>1</v>
      </c>
      <c r="BF142" s="89">
        <f t="shared" si="191"/>
        <v>1</v>
      </c>
      <c r="BG142" s="89">
        <f t="shared" si="191"/>
        <v>1</v>
      </c>
      <c r="BH142" s="89">
        <f t="shared" si="191"/>
        <v>1</v>
      </c>
      <c r="BI142" s="89">
        <f t="shared" si="191"/>
        <v>1</v>
      </c>
      <c r="BJ142" s="89">
        <f t="shared" si="191"/>
        <v>1</v>
      </c>
      <c r="BK142" s="89">
        <f t="shared" si="191"/>
        <v>1</v>
      </c>
      <c r="BL142" s="89">
        <f t="shared" si="191"/>
        <v>1</v>
      </c>
      <c r="BM142" s="89">
        <f t="shared" si="191"/>
        <v>1</v>
      </c>
      <c r="BN142" s="89">
        <f t="shared" si="191"/>
        <v>1</v>
      </c>
      <c r="BO142" s="89">
        <f t="shared" si="191"/>
        <v>1</v>
      </c>
      <c r="BP142" s="89">
        <f t="shared" si="191"/>
        <v>1</v>
      </c>
      <c r="BQ142" s="89">
        <f t="shared" si="191"/>
        <v>1</v>
      </c>
      <c r="BR142" s="89">
        <f t="shared" si="191"/>
        <v>1</v>
      </c>
    </row>
    <row r="143" spans="1:70">
      <c r="A143" t="s">
        <v>16</v>
      </c>
      <c r="B143" s="1" t="str">
        <f t="shared" si="189"/>
        <v>CNW</v>
      </c>
      <c r="C143" s="1" t="str">
        <f t="shared" si="189"/>
        <v>Commercial - Water Heating</v>
      </c>
      <c r="E143" s="124">
        <f t="shared" si="192"/>
        <v>0</v>
      </c>
      <c r="G143" s="289"/>
      <c r="I143" s="131"/>
      <c r="L143" s="294">
        <f t="shared" si="190"/>
        <v>1</v>
      </c>
      <c r="M143" s="295">
        <f t="shared" si="190"/>
        <v>1</v>
      </c>
      <c r="N143" s="295">
        <f t="shared" si="190"/>
        <v>1</v>
      </c>
      <c r="O143" s="295">
        <f t="shared" si="190"/>
        <v>1</v>
      </c>
      <c r="P143" s="89">
        <f t="shared" si="190"/>
        <v>1</v>
      </c>
      <c r="Q143" s="89">
        <f t="shared" si="190"/>
        <v>1</v>
      </c>
      <c r="R143" s="89">
        <f t="shared" si="190"/>
        <v>1</v>
      </c>
      <c r="S143" s="89">
        <f t="shared" si="190"/>
        <v>1</v>
      </c>
      <c r="T143" s="89">
        <f t="shared" si="190"/>
        <v>1</v>
      </c>
      <c r="U143" s="89">
        <f t="shared" si="190"/>
        <v>1</v>
      </c>
      <c r="V143" s="89">
        <f t="shared" si="190"/>
        <v>1</v>
      </c>
      <c r="W143" s="89">
        <f t="shared" si="190"/>
        <v>1</v>
      </c>
      <c r="X143" s="89">
        <f t="shared" si="190"/>
        <v>1</v>
      </c>
      <c r="Y143" s="89">
        <f t="shared" si="190"/>
        <v>1</v>
      </c>
      <c r="Z143" s="89">
        <f t="shared" si="190"/>
        <v>1</v>
      </c>
      <c r="AA143" s="89">
        <f t="shared" si="190"/>
        <v>1</v>
      </c>
      <c r="AB143" s="89">
        <f t="shared" si="190"/>
        <v>1</v>
      </c>
      <c r="AC143" s="89">
        <f t="shared" si="190"/>
        <v>1</v>
      </c>
      <c r="AD143" s="89">
        <f t="shared" si="190"/>
        <v>1</v>
      </c>
      <c r="AE143" s="89">
        <f t="shared" si="190"/>
        <v>1</v>
      </c>
      <c r="AF143" s="89">
        <f t="shared" si="190"/>
        <v>1</v>
      </c>
      <c r="AG143" s="89">
        <f t="shared" si="190"/>
        <v>1</v>
      </c>
      <c r="AH143" s="89">
        <f t="shared" si="190"/>
        <v>1</v>
      </c>
      <c r="AI143" s="89">
        <f t="shared" si="190"/>
        <v>1</v>
      </c>
      <c r="AJ143" s="89">
        <f t="shared" si="190"/>
        <v>1</v>
      </c>
      <c r="AK143" s="89">
        <f t="shared" si="190"/>
        <v>1</v>
      </c>
      <c r="AL143" s="89">
        <f t="shared" si="190"/>
        <v>1</v>
      </c>
      <c r="AM143" s="89">
        <f t="shared" si="190"/>
        <v>1</v>
      </c>
      <c r="AN143" s="89">
        <f t="shared" si="190"/>
        <v>1</v>
      </c>
      <c r="AO143" s="89">
        <f t="shared" si="190"/>
        <v>1</v>
      </c>
      <c r="AP143" s="89">
        <f t="shared" si="190"/>
        <v>1</v>
      </c>
      <c r="AQ143" s="89">
        <f t="shared" si="190"/>
        <v>1</v>
      </c>
      <c r="AR143" s="89">
        <f t="shared" si="190"/>
        <v>1</v>
      </c>
      <c r="AS143" s="89">
        <f t="shared" si="190"/>
        <v>1</v>
      </c>
      <c r="AT143" s="89">
        <f t="shared" si="190"/>
        <v>1</v>
      </c>
      <c r="AU143" s="89">
        <f t="shared" si="190"/>
        <v>1</v>
      </c>
      <c r="AV143" s="89">
        <f t="shared" si="190"/>
        <v>1</v>
      </c>
      <c r="AW143" s="89">
        <f t="shared" si="190"/>
        <v>1</v>
      </c>
      <c r="AX143" s="89">
        <f t="shared" si="190"/>
        <v>1</v>
      </c>
      <c r="AY143" s="89">
        <f t="shared" si="191"/>
        <v>1</v>
      </c>
      <c r="AZ143" s="89">
        <f t="shared" si="191"/>
        <v>1</v>
      </c>
      <c r="BA143" s="89">
        <f t="shared" si="191"/>
        <v>1</v>
      </c>
      <c r="BB143" s="89">
        <f t="shared" si="191"/>
        <v>1</v>
      </c>
      <c r="BC143" s="89">
        <f t="shared" si="191"/>
        <v>1</v>
      </c>
      <c r="BD143" s="89">
        <f t="shared" si="191"/>
        <v>1</v>
      </c>
      <c r="BE143" s="89">
        <f t="shared" si="191"/>
        <v>1</v>
      </c>
      <c r="BF143" s="89">
        <f t="shared" si="191"/>
        <v>1</v>
      </c>
      <c r="BG143" s="89">
        <f t="shared" si="191"/>
        <v>1</v>
      </c>
      <c r="BH143" s="89">
        <f t="shared" si="191"/>
        <v>1</v>
      </c>
      <c r="BI143" s="89">
        <f t="shared" si="191"/>
        <v>1</v>
      </c>
      <c r="BJ143" s="89">
        <f t="shared" si="191"/>
        <v>1</v>
      </c>
      <c r="BK143" s="89">
        <f t="shared" si="191"/>
        <v>1</v>
      </c>
      <c r="BL143" s="89">
        <f t="shared" si="191"/>
        <v>1</v>
      </c>
      <c r="BM143" s="89">
        <f t="shared" si="191"/>
        <v>1</v>
      </c>
      <c r="BN143" s="89">
        <f t="shared" si="191"/>
        <v>1</v>
      </c>
      <c r="BO143" s="89">
        <f t="shared" si="191"/>
        <v>1</v>
      </c>
      <c r="BP143" s="89">
        <f t="shared" si="191"/>
        <v>1</v>
      </c>
      <c r="BQ143" s="89">
        <f t="shared" si="191"/>
        <v>1</v>
      </c>
      <c r="BR143" s="89">
        <f t="shared" si="191"/>
        <v>1</v>
      </c>
    </row>
    <row r="144" spans="1:70">
      <c r="A144" t="s">
        <v>16</v>
      </c>
      <c r="B144" s="1" t="str">
        <f t="shared" si="189"/>
        <v>CNG</v>
      </c>
      <c r="C144" s="1" t="str">
        <f t="shared" si="189"/>
        <v>Commercial - Public lights</v>
      </c>
      <c r="E144" s="124">
        <f t="shared" si="192"/>
        <v>0</v>
      </c>
      <c r="G144" s="289"/>
      <c r="I144" s="131"/>
      <c r="L144" s="294">
        <f t="shared" si="190"/>
        <v>1</v>
      </c>
      <c r="M144" s="295">
        <f t="shared" si="190"/>
        <v>1</v>
      </c>
      <c r="N144" s="295">
        <f t="shared" si="190"/>
        <v>1</v>
      </c>
      <c r="O144" s="295">
        <f t="shared" si="190"/>
        <v>1</v>
      </c>
      <c r="P144" s="89">
        <f t="shared" si="190"/>
        <v>1</v>
      </c>
      <c r="Q144" s="89">
        <f t="shared" si="190"/>
        <v>1</v>
      </c>
      <c r="R144" s="89">
        <f t="shared" si="190"/>
        <v>1</v>
      </c>
      <c r="S144" s="89">
        <f t="shared" si="190"/>
        <v>1</v>
      </c>
      <c r="T144" s="89">
        <f t="shared" si="190"/>
        <v>1</v>
      </c>
      <c r="U144" s="89">
        <f t="shared" si="190"/>
        <v>1</v>
      </c>
      <c r="V144" s="89">
        <f t="shared" si="190"/>
        <v>1</v>
      </c>
      <c r="W144" s="89">
        <f t="shared" si="190"/>
        <v>1</v>
      </c>
      <c r="X144" s="89">
        <f t="shared" si="190"/>
        <v>1</v>
      </c>
      <c r="Y144" s="89">
        <f t="shared" si="190"/>
        <v>1</v>
      </c>
      <c r="Z144" s="89">
        <f t="shared" si="190"/>
        <v>1</v>
      </c>
      <c r="AA144" s="89">
        <f t="shared" si="190"/>
        <v>1</v>
      </c>
      <c r="AB144" s="89">
        <f t="shared" si="190"/>
        <v>1</v>
      </c>
      <c r="AC144" s="89">
        <f t="shared" si="190"/>
        <v>1</v>
      </c>
      <c r="AD144" s="89">
        <f t="shared" si="190"/>
        <v>1</v>
      </c>
      <c r="AE144" s="89">
        <f t="shared" si="190"/>
        <v>1</v>
      </c>
      <c r="AF144" s="89">
        <f t="shared" si="190"/>
        <v>1</v>
      </c>
      <c r="AG144" s="89">
        <f t="shared" ref="AG144:AX146" si="193">AG133*(1-$E144)</f>
        <v>1</v>
      </c>
      <c r="AH144" s="89">
        <f t="shared" si="193"/>
        <v>1</v>
      </c>
      <c r="AI144" s="89">
        <f t="shared" si="193"/>
        <v>1</v>
      </c>
      <c r="AJ144" s="89">
        <f t="shared" si="193"/>
        <v>1</v>
      </c>
      <c r="AK144" s="89">
        <f t="shared" si="193"/>
        <v>1</v>
      </c>
      <c r="AL144" s="89">
        <f t="shared" si="193"/>
        <v>1</v>
      </c>
      <c r="AM144" s="89">
        <f t="shared" si="193"/>
        <v>1</v>
      </c>
      <c r="AN144" s="89">
        <f t="shared" si="193"/>
        <v>1</v>
      </c>
      <c r="AO144" s="89">
        <f t="shared" si="193"/>
        <v>1</v>
      </c>
      <c r="AP144" s="89">
        <f t="shared" si="193"/>
        <v>1</v>
      </c>
      <c r="AQ144" s="89">
        <f t="shared" si="193"/>
        <v>1</v>
      </c>
      <c r="AR144" s="89">
        <f t="shared" si="193"/>
        <v>1</v>
      </c>
      <c r="AS144" s="89">
        <f t="shared" si="193"/>
        <v>1</v>
      </c>
      <c r="AT144" s="89">
        <f t="shared" si="193"/>
        <v>1</v>
      </c>
      <c r="AU144" s="89">
        <f t="shared" si="193"/>
        <v>1</v>
      </c>
      <c r="AV144" s="89">
        <f t="shared" si="193"/>
        <v>1</v>
      </c>
      <c r="AW144" s="89">
        <f t="shared" si="193"/>
        <v>1</v>
      </c>
      <c r="AX144" s="89">
        <f t="shared" si="193"/>
        <v>1</v>
      </c>
      <c r="AY144" s="89">
        <f t="shared" ref="AY144:BR144" si="194">AY133*(1-$E144)</f>
        <v>1</v>
      </c>
      <c r="AZ144" s="89">
        <f t="shared" si="194"/>
        <v>1</v>
      </c>
      <c r="BA144" s="89">
        <f t="shared" si="194"/>
        <v>1</v>
      </c>
      <c r="BB144" s="89">
        <f t="shared" si="194"/>
        <v>1</v>
      </c>
      <c r="BC144" s="89">
        <f t="shared" si="194"/>
        <v>1</v>
      </c>
      <c r="BD144" s="89">
        <f t="shared" si="194"/>
        <v>1</v>
      </c>
      <c r="BE144" s="89">
        <f t="shared" si="194"/>
        <v>1</v>
      </c>
      <c r="BF144" s="89">
        <f t="shared" si="194"/>
        <v>1</v>
      </c>
      <c r="BG144" s="89">
        <f t="shared" si="194"/>
        <v>1</v>
      </c>
      <c r="BH144" s="89">
        <f t="shared" si="194"/>
        <v>1</v>
      </c>
      <c r="BI144" s="89">
        <f t="shared" si="194"/>
        <v>1</v>
      </c>
      <c r="BJ144" s="89">
        <f t="shared" si="194"/>
        <v>1</v>
      </c>
      <c r="BK144" s="89">
        <f t="shared" si="194"/>
        <v>1</v>
      </c>
      <c r="BL144" s="89">
        <f t="shared" si="194"/>
        <v>1</v>
      </c>
      <c r="BM144" s="89">
        <f t="shared" si="194"/>
        <v>1</v>
      </c>
      <c r="BN144" s="89">
        <f t="shared" si="194"/>
        <v>1</v>
      </c>
      <c r="BO144" s="89">
        <f t="shared" si="194"/>
        <v>1</v>
      </c>
      <c r="BP144" s="89">
        <f t="shared" si="194"/>
        <v>1</v>
      </c>
      <c r="BQ144" s="89">
        <f t="shared" si="194"/>
        <v>1</v>
      </c>
      <c r="BR144" s="89">
        <f t="shared" si="194"/>
        <v>1</v>
      </c>
    </row>
    <row r="145" spans="1:70">
      <c r="A145" t="s">
        <v>16</v>
      </c>
      <c r="B145" s="1" t="str">
        <f t="shared" si="189"/>
        <v>CNT</v>
      </c>
      <c r="C145" s="1" t="str">
        <f t="shared" si="189"/>
        <v>Commercial - Public Water</v>
      </c>
      <c r="E145" s="124">
        <f t="shared" si="192"/>
        <v>0</v>
      </c>
      <c r="F145" s="71" t="s">
        <v>769</v>
      </c>
      <c r="H145" s="64">
        <f>IF(N57=1,70%,0)</f>
        <v>0</v>
      </c>
      <c r="I145" s="131"/>
      <c r="L145" s="294">
        <f t="shared" ref="L145:AX146" si="195">L134*(1-$E145)</f>
        <v>1</v>
      </c>
      <c r="M145" s="295">
        <f t="shared" si="195"/>
        <v>1</v>
      </c>
      <c r="N145" s="295">
        <f t="shared" si="195"/>
        <v>1</v>
      </c>
      <c r="O145" s="295">
        <f t="shared" si="195"/>
        <v>1</v>
      </c>
      <c r="P145" s="89">
        <f t="shared" si="195"/>
        <v>1</v>
      </c>
      <c r="Q145" s="89">
        <f t="shared" si="195"/>
        <v>1</v>
      </c>
      <c r="R145" s="89">
        <f t="shared" si="195"/>
        <v>1</v>
      </c>
      <c r="S145" s="89">
        <f t="shared" si="195"/>
        <v>1</v>
      </c>
      <c r="T145" s="89">
        <f t="shared" si="195"/>
        <v>1</v>
      </c>
      <c r="U145" s="89">
        <f t="shared" si="195"/>
        <v>1</v>
      </c>
      <c r="V145" s="89">
        <f t="shared" si="195"/>
        <v>1</v>
      </c>
      <c r="W145" s="89">
        <f t="shared" si="195"/>
        <v>1</v>
      </c>
      <c r="X145" s="89">
        <f t="shared" si="195"/>
        <v>1</v>
      </c>
      <c r="Y145" s="89">
        <f t="shared" si="195"/>
        <v>1</v>
      </c>
      <c r="Z145" s="89">
        <f t="shared" si="195"/>
        <v>1</v>
      </c>
      <c r="AA145" s="89">
        <f t="shared" si="195"/>
        <v>1</v>
      </c>
      <c r="AB145" s="89">
        <f t="shared" si="195"/>
        <v>1</v>
      </c>
      <c r="AC145" s="89">
        <f t="shared" si="195"/>
        <v>1</v>
      </c>
      <c r="AD145" s="89">
        <f t="shared" si="195"/>
        <v>1</v>
      </c>
      <c r="AE145" s="89">
        <f t="shared" si="195"/>
        <v>1</v>
      </c>
      <c r="AF145" s="89">
        <f t="shared" si="195"/>
        <v>1</v>
      </c>
      <c r="AG145" s="89">
        <f t="shared" si="195"/>
        <v>1</v>
      </c>
      <c r="AH145" s="89">
        <f t="shared" si="195"/>
        <v>1</v>
      </c>
      <c r="AI145" s="89">
        <f t="shared" si="195"/>
        <v>1</v>
      </c>
      <c r="AJ145" s="89">
        <f t="shared" si="195"/>
        <v>1</v>
      </c>
      <c r="AK145" s="89">
        <f t="shared" si="193"/>
        <v>1</v>
      </c>
      <c r="AL145" s="89">
        <f t="shared" si="193"/>
        <v>1</v>
      </c>
      <c r="AM145" s="89">
        <f t="shared" si="193"/>
        <v>1</v>
      </c>
      <c r="AN145" s="89">
        <f t="shared" si="193"/>
        <v>1</v>
      </c>
      <c r="AO145" s="89">
        <f t="shared" si="193"/>
        <v>1</v>
      </c>
      <c r="AP145" s="89">
        <f t="shared" si="193"/>
        <v>1</v>
      </c>
      <c r="AQ145" s="89">
        <f t="shared" si="193"/>
        <v>1</v>
      </c>
      <c r="AR145" s="89">
        <f t="shared" si="193"/>
        <v>1</v>
      </c>
      <c r="AS145" s="89">
        <f t="shared" si="193"/>
        <v>1</v>
      </c>
      <c r="AT145" s="89">
        <f t="shared" si="193"/>
        <v>1</v>
      </c>
      <c r="AU145" s="89">
        <f t="shared" si="195"/>
        <v>1</v>
      </c>
      <c r="AV145" s="89">
        <f t="shared" si="195"/>
        <v>1</v>
      </c>
      <c r="AW145" s="89">
        <f t="shared" si="195"/>
        <v>1</v>
      </c>
      <c r="AX145" s="89">
        <f t="shared" si="195"/>
        <v>1</v>
      </c>
      <c r="AY145" s="89">
        <f t="shared" ref="AY145:BR145" si="196">AY134*(1-$E145)</f>
        <v>1</v>
      </c>
      <c r="AZ145" s="89">
        <f t="shared" si="196"/>
        <v>1</v>
      </c>
      <c r="BA145" s="89">
        <f t="shared" si="196"/>
        <v>1</v>
      </c>
      <c r="BB145" s="89">
        <f t="shared" si="196"/>
        <v>1</v>
      </c>
      <c r="BC145" s="89">
        <f t="shared" si="196"/>
        <v>1</v>
      </c>
      <c r="BD145" s="89">
        <f t="shared" si="196"/>
        <v>1</v>
      </c>
      <c r="BE145" s="89">
        <f t="shared" si="196"/>
        <v>1</v>
      </c>
      <c r="BF145" s="89">
        <f t="shared" si="196"/>
        <v>1</v>
      </c>
      <c r="BG145" s="89">
        <f t="shared" si="196"/>
        <v>1</v>
      </c>
      <c r="BH145" s="89">
        <f t="shared" si="196"/>
        <v>1</v>
      </c>
      <c r="BI145" s="89">
        <f t="shared" si="196"/>
        <v>1</v>
      </c>
      <c r="BJ145" s="89">
        <f t="shared" si="196"/>
        <v>1</v>
      </c>
      <c r="BK145" s="89">
        <f t="shared" si="196"/>
        <v>1</v>
      </c>
      <c r="BL145" s="89">
        <f t="shared" si="196"/>
        <v>1</v>
      </c>
      <c r="BM145" s="89">
        <f t="shared" si="196"/>
        <v>1</v>
      </c>
      <c r="BN145" s="89">
        <f t="shared" si="196"/>
        <v>1</v>
      </c>
      <c r="BO145" s="89">
        <f t="shared" si="196"/>
        <v>1</v>
      </c>
      <c r="BP145" s="89">
        <f t="shared" si="196"/>
        <v>1</v>
      </c>
      <c r="BQ145" s="89">
        <f t="shared" si="196"/>
        <v>1</v>
      </c>
      <c r="BR145" s="89">
        <f t="shared" si="196"/>
        <v>1</v>
      </c>
    </row>
    <row r="146" spans="1:70">
      <c r="A146" t="s">
        <v>16</v>
      </c>
      <c r="B146" s="1" t="str">
        <f t="shared" si="189"/>
        <v>CNO</v>
      </c>
      <c r="C146" s="1" t="str">
        <f t="shared" si="189"/>
        <v>Commercial - Other</v>
      </c>
      <c r="E146" s="124">
        <f t="shared" si="192"/>
        <v>0</v>
      </c>
      <c r="F146" s="71" t="s">
        <v>770</v>
      </c>
      <c r="G146" s="291"/>
      <c r="H146" s="123">
        <f>H145-H134</f>
        <v>0</v>
      </c>
      <c r="I146" s="131"/>
      <c r="L146" s="294">
        <f t="shared" si="195"/>
        <v>1</v>
      </c>
      <c r="M146" s="295">
        <f t="shared" si="195"/>
        <v>1</v>
      </c>
      <c r="N146" s="295">
        <f t="shared" si="195"/>
        <v>1</v>
      </c>
      <c r="O146" s="295">
        <f t="shared" si="195"/>
        <v>1</v>
      </c>
      <c r="P146" s="89">
        <f t="shared" si="195"/>
        <v>1</v>
      </c>
      <c r="Q146" s="89">
        <f t="shared" si="195"/>
        <v>1</v>
      </c>
      <c r="R146" s="89">
        <f t="shared" si="195"/>
        <v>1</v>
      </c>
      <c r="S146" s="89">
        <f t="shared" si="195"/>
        <v>1</v>
      </c>
      <c r="T146" s="89">
        <f t="shared" si="195"/>
        <v>1</v>
      </c>
      <c r="U146" s="89">
        <f t="shared" si="195"/>
        <v>1</v>
      </c>
      <c r="V146" s="89">
        <f t="shared" si="195"/>
        <v>1</v>
      </c>
      <c r="W146" s="89">
        <f t="shared" si="195"/>
        <v>1</v>
      </c>
      <c r="X146" s="89">
        <f t="shared" si="195"/>
        <v>1</v>
      </c>
      <c r="Y146" s="89">
        <f t="shared" si="195"/>
        <v>1</v>
      </c>
      <c r="Z146" s="89">
        <f t="shared" si="195"/>
        <v>1</v>
      </c>
      <c r="AA146" s="89">
        <f t="shared" si="195"/>
        <v>1</v>
      </c>
      <c r="AB146" s="89">
        <f t="shared" si="195"/>
        <v>1</v>
      </c>
      <c r="AC146" s="89">
        <f t="shared" si="195"/>
        <v>1</v>
      </c>
      <c r="AD146" s="89">
        <f t="shared" si="195"/>
        <v>1</v>
      </c>
      <c r="AE146" s="89">
        <f t="shared" si="195"/>
        <v>1</v>
      </c>
      <c r="AF146" s="89">
        <f t="shared" si="195"/>
        <v>1</v>
      </c>
      <c r="AG146" s="89">
        <f t="shared" si="195"/>
        <v>1</v>
      </c>
      <c r="AH146" s="89">
        <f t="shared" si="195"/>
        <v>1</v>
      </c>
      <c r="AI146" s="89">
        <f t="shared" si="195"/>
        <v>1</v>
      </c>
      <c r="AJ146" s="89">
        <f t="shared" si="195"/>
        <v>1</v>
      </c>
      <c r="AK146" s="89">
        <f t="shared" si="193"/>
        <v>1</v>
      </c>
      <c r="AL146" s="89">
        <f t="shared" si="193"/>
        <v>1</v>
      </c>
      <c r="AM146" s="89">
        <f t="shared" si="193"/>
        <v>1</v>
      </c>
      <c r="AN146" s="89">
        <f t="shared" si="193"/>
        <v>1</v>
      </c>
      <c r="AO146" s="89">
        <f t="shared" si="193"/>
        <v>1</v>
      </c>
      <c r="AP146" s="89">
        <f t="shared" si="193"/>
        <v>1</v>
      </c>
      <c r="AQ146" s="89">
        <f t="shared" si="193"/>
        <v>1</v>
      </c>
      <c r="AR146" s="89">
        <f t="shared" si="193"/>
        <v>1</v>
      </c>
      <c r="AS146" s="89">
        <f t="shared" si="193"/>
        <v>1</v>
      </c>
      <c r="AT146" s="89">
        <f t="shared" si="193"/>
        <v>1</v>
      </c>
      <c r="AU146" s="89">
        <f t="shared" si="195"/>
        <v>1</v>
      </c>
      <c r="AV146" s="89">
        <f t="shared" si="195"/>
        <v>1</v>
      </c>
      <c r="AW146" s="89">
        <f t="shared" si="195"/>
        <v>1</v>
      </c>
      <c r="AX146" s="89">
        <f t="shared" si="195"/>
        <v>1</v>
      </c>
      <c r="AY146" s="89">
        <f t="shared" ref="AY146:BR146" si="197">AY135*(1-$E146)</f>
        <v>1</v>
      </c>
      <c r="AZ146" s="89">
        <f t="shared" si="197"/>
        <v>1</v>
      </c>
      <c r="BA146" s="89">
        <f t="shared" si="197"/>
        <v>1</v>
      </c>
      <c r="BB146" s="89">
        <f t="shared" si="197"/>
        <v>1</v>
      </c>
      <c r="BC146" s="89">
        <f t="shared" si="197"/>
        <v>1</v>
      </c>
      <c r="BD146" s="89">
        <f t="shared" si="197"/>
        <v>1</v>
      </c>
      <c r="BE146" s="89">
        <f t="shared" si="197"/>
        <v>1</v>
      </c>
      <c r="BF146" s="89">
        <f t="shared" si="197"/>
        <v>1</v>
      </c>
      <c r="BG146" s="89">
        <f t="shared" si="197"/>
        <v>1</v>
      </c>
      <c r="BH146" s="89">
        <f t="shared" si="197"/>
        <v>1</v>
      </c>
      <c r="BI146" s="89">
        <f t="shared" si="197"/>
        <v>1</v>
      </c>
      <c r="BJ146" s="89">
        <f t="shared" si="197"/>
        <v>1</v>
      </c>
      <c r="BK146" s="89">
        <f t="shared" si="197"/>
        <v>1</v>
      </c>
      <c r="BL146" s="89">
        <f t="shared" si="197"/>
        <v>1</v>
      </c>
      <c r="BM146" s="89">
        <f t="shared" si="197"/>
        <v>1</v>
      </c>
      <c r="BN146" s="89">
        <f t="shared" si="197"/>
        <v>1</v>
      </c>
      <c r="BO146" s="89">
        <f t="shared" si="197"/>
        <v>1</v>
      </c>
      <c r="BP146" s="89">
        <f t="shared" si="197"/>
        <v>1</v>
      </c>
      <c r="BQ146" s="89">
        <f t="shared" si="197"/>
        <v>1</v>
      </c>
      <c r="BR146" s="89">
        <f t="shared" si="197"/>
        <v>1</v>
      </c>
    </row>
    <row r="147" spans="1:70">
      <c r="A147" t="s">
        <v>16</v>
      </c>
      <c r="E147" s="292">
        <f>((1/(1-H145))-1)</f>
        <v>0</v>
      </c>
      <c r="F147" s="71" t="s">
        <v>773</v>
      </c>
      <c r="I147" s="131"/>
      <c r="M147" s="71"/>
    </row>
    <row r="148" spans="1:70" ht="19.5" thickBot="1">
      <c r="A148" t="s">
        <v>16</v>
      </c>
      <c r="B148" s="139" t="s">
        <v>463</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70">
      <c r="A149" t="s">
        <v>16</v>
      </c>
      <c r="B149" s="138"/>
      <c r="C149" s="138"/>
      <c r="D149" s="138"/>
      <c r="E149" s="138"/>
      <c r="F149" s="138"/>
      <c r="G149" s="138"/>
      <c r="H149" s="138"/>
      <c r="I149" s="137"/>
      <c r="J149" s="138"/>
      <c r="K149" s="138"/>
      <c r="M149" s="71"/>
    </row>
    <row r="150" spans="1:70" ht="15.75" thickBot="1">
      <c r="A150" t="s">
        <v>16</v>
      </c>
      <c r="B150" s="69" t="s">
        <v>477</v>
      </c>
      <c r="C150" s="138"/>
      <c r="D150" s="138"/>
      <c r="E150" s="138"/>
      <c r="F150" s="138"/>
      <c r="G150" s="138"/>
      <c r="H150" s="138"/>
      <c r="I150" s="137"/>
      <c r="J150" s="138"/>
      <c r="K150" s="138"/>
      <c r="M150" s="71"/>
    </row>
    <row r="151" spans="1:70">
      <c r="A151" t="s">
        <v>16</v>
      </c>
      <c r="B151" s="71" t="str">
        <f>B92</f>
        <v>CEC</v>
      </c>
      <c r="C151" s="71" t="str">
        <f>C92</f>
        <v>Commercial - Cooling</v>
      </c>
      <c r="D151" s="138"/>
      <c r="E151" s="138"/>
      <c r="F151" s="138"/>
      <c r="G151" s="138"/>
      <c r="H151" s="138"/>
      <c r="I151" s="137"/>
      <c r="J151" s="138"/>
      <c r="K151" s="138"/>
      <c r="L151" s="136">
        <f t="shared" ref="L151:AX157" si="198">L92*L$34/1000</f>
        <v>27.932878870776804</v>
      </c>
      <c r="M151" s="136">
        <f t="shared" si="198"/>
        <v>27.4909305721423</v>
      </c>
      <c r="N151" s="136">
        <f t="shared" si="198"/>
        <v>27.116362938452312</v>
      </c>
      <c r="O151" s="136">
        <f t="shared" si="198"/>
        <v>26.687240817742403</v>
      </c>
      <c r="P151" s="136">
        <f t="shared" si="198"/>
        <v>26.232059419977514</v>
      </c>
      <c r="Q151" s="136">
        <f t="shared" si="198"/>
        <v>25.682543867083599</v>
      </c>
      <c r="R151" s="136">
        <f>R92*R$34/1000</f>
        <v>25.867296957823559</v>
      </c>
      <c r="S151" s="136">
        <f>S92*S$34/1000</f>
        <v>26.019629889666199</v>
      </c>
      <c r="T151" s="136">
        <f t="shared" si="198"/>
        <v>26.019629889666199</v>
      </c>
      <c r="U151" s="136">
        <f t="shared" si="198"/>
        <v>26.374406939178293</v>
      </c>
      <c r="V151" s="136">
        <f t="shared" si="198"/>
        <v>26.774582255326859</v>
      </c>
      <c r="W151" s="136">
        <f t="shared" si="198"/>
        <v>26.8895630670172</v>
      </c>
      <c r="X151" s="136">
        <f t="shared" si="198"/>
        <v>27.063683486485424</v>
      </c>
      <c r="Y151" s="136">
        <f t="shared" si="198"/>
        <v>27.237203737335282</v>
      </c>
      <c r="Z151" s="136">
        <f t="shared" si="198"/>
        <v>27.44476799943445</v>
      </c>
      <c r="AA151" s="136">
        <f t="shared" si="198"/>
        <v>27.728964285091337</v>
      </c>
      <c r="AB151" s="136">
        <f t="shared" si="198"/>
        <v>28.049134166234452</v>
      </c>
      <c r="AC151" s="136">
        <f t="shared" si="198"/>
        <v>28.401759464482296</v>
      </c>
      <c r="AD151" s="136">
        <f t="shared" si="198"/>
        <v>28.812501032561102</v>
      </c>
      <c r="AE151" s="136">
        <f t="shared" si="198"/>
        <v>29.23788771918769</v>
      </c>
      <c r="AF151" s="136">
        <f t="shared" si="198"/>
        <v>29.681079119267178</v>
      </c>
      <c r="AG151" s="136">
        <f t="shared" si="198"/>
        <v>30.123885776348555</v>
      </c>
      <c r="AH151" s="136">
        <f t="shared" si="198"/>
        <v>30.580711562529299</v>
      </c>
      <c r="AI151" s="136">
        <f t="shared" si="198"/>
        <v>31.061111151608475</v>
      </c>
      <c r="AJ151" s="136">
        <f t="shared" si="198"/>
        <v>31.539129674025567</v>
      </c>
      <c r="AK151" s="136">
        <f t="shared" si="198"/>
        <v>32.027271063199343</v>
      </c>
      <c r="AL151" s="136">
        <f t="shared" si="198"/>
        <v>32.530566901083411</v>
      </c>
      <c r="AM151" s="136">
        <f t="shared" si="198"/>
        <v>33.042202615199635</v>
      </c>
      <c r="AN151" s="136">
        <f t="shared" si="198"/>
        <v>33.553285461639717</v>
      </c>
      <c r="AO151" s="136">
        <f t="shared" si="198"/>
        <v>34.157858124626244</v>
      </c>
      <c r="AP151" s="136">
        <f t="shared" si="198"/>
        <v>34.749278938675715</v>
      </c>
      <c r="AQ151" s="136">
        <f t="shared" si="198"/>
        <v>35.328317752282999</v>
      </c>
      <c r="AR151" s="136">
        <f t="shared" si="198"/>
        <v>35.895673086620462</v>
      </c>
      <c r="AS151" s="136">
        <f t="shared" si="198"/>
        <v>36.451981007288708</v>
      </c>
      <c r="AT151" s="136">
        <f t="shared" si="198"/>
        <v>37.010994213930132</v>
      </c>
      <c r="AU151" s="136">
        <f t="shared" si="198"/>
        <v>37.559596685184893</v>
      </c>
      <c r="AV151" s="136">
        <f t="shared" si="198"/>
        <v>38.098312959296507</v>
      </c>
      <c r="AW151" s="136">
        <f t="shared" si="198"/>
        <v>38.627625530695731</v>
      </c>
      <c r="AX151" s="136">
        <f t="shared" si="198"/>
        <v>39.147979395515925</v>
      </c>
      <c r="AY151" s="136">
        <f t="shared" ref="AY151:BR156" si="199">AY92*AY$34/1000</f>
        <v>39.661553007271067</v>
      </c>
      <c r="AZ151" s="136">
        <f t="shared" si="199"/>
        <v>40.166904963656513</v>
      </c>
      <c r="BA151" s="136">
        <f t="shared" si="199"/>
        <v>40.664392973857794</v>
      </c>
      <c r="BB151" s="136">
        <f t="shared" si="199"/>
        <v>41.154349881849036</v>
      </c>
      <c r="BC151" s="136">
        <f t="shared" si="199"/>
        <v>41.637086007204665</v>
      </c>
      <c r="BD151" s="136">
        <f t="shared" si="199"/>
        <v>42.112891210871226</v>
      </c>
      <c r="BE151" s="136">
        <f t="shared" si="199"/>
        <v>42.582036724317177</v>
      </c>
      <c r="BF151" s="136">
        <f t="shared" si="199"/>
        <v>43.044776774301951</v>
      </c>
      <c r="BG151" s="136">
        <f t="shared" si="199"/>
        <v>43.501350030445565</v>
      </c>
      <c r="BH151" s="136">
        <f t="shared" si="199"/>
        <v>43.951980898614821</v>
      </c>
      <c r="BI151" s="136">
        <f t="shared" si="199"/>
        <v>44.126507717440823</v>
      </c>
      <c r="BJ151" s="136">
        <f t="shared" si="199"/>
        <v>44.300171549123327</v>
      </c>
      <c r="BK151" s="136">
        <f t="shared" si="199"/>
        <v>44.472984219477141</v>
      </c>
      <c r="BL151" s="136">
        <f t="shared" si="199"/>
        <v>44.644957290493423</v>
      </c>
      <c r="BM151" s="136">
        <f t="shared" si="199"/>
        <v>44.81610206845648</v>
      </c>
      <c r="BN151" s="136">
        <f t="shared" si="199"/>
        <v>44.98642961174339</v>
      </c>
      <c r="BO151" s="136">
        <f t="shared" si="199"/>
        <v>45.155950738321437</v>
      </c>
      <c r="BP151" s="136">
        <f t="shared" si="199"/>
        <v>45.324676032957505</v>
      </c>
      <c r="BQ151" s="136">
        <f t="shared" si="199"/>
        <v>45.492615854152731</v>
      </c>
      <c r="BR151" s="136">
        <f t="shared" si="199"/>
        <v>45.659780340815246</v>
      </c>
    </row>
    <row r="152" spans="1:70">
      <c r="A152" t="s">
        <v>16</v>
      </c>
      <c r="B152" s="71" t="str">
        <f t="shared" ref="B152:C159" si="200">B93</f>
        <v>CEH</v>
      </c>
      <c r="C152" s="71" t="str">
        <f t="shared" si="200"/>
        <v>Commercial - Space Heating</v>
      </c>
      <c r="D152" s="138"/>
      <c r="E152" s="138"/>
      <c r="F152" s="138"/>
      <c r="G152" s="138"/>
      <c r="H152" s="138"/>
      <c r="I152" s="137"/>
      <c r="J152" s="138"/>
      <c r="K152" s="138"/>
      <c r="L152" s="136">
        <f t="shared" si="198"/>
        <v>1.57035098150038</v>
      </c>
      <c r="M152" s="136">
        <f t="shared" si="198"/>
        <v>1.7292973417451956</v>
      </c>
      <c r="N152" s="136">
        <f t="shared" si="198"/>
        <v>1.8963958124622828</v>
      </c>
      <c r="O152" s="136">
        <f t="shared" si="198"/>
        <v>2.0639865113263145</v>
      </c>
      <c r="P152" s="136">
        <f t="shared" si="198"/>
        <v>2.2336031445521205</v>
      </c>
      <c r="Q152" s="136">
        <f t="shared" si="198"/>
        <v>2.3985815155966002</v>
      </c>
      <c r="R152" s="136">
        <f t="shared" si="198"/>
        <v>2.4158362451394226</v>
      </c>
      <c r="S152" s="136">
        <f t="shared" si="198"/>
        <v>2.4300631440177187</v>
      </c>
      <c r="T152" s="136">
        <f t="shared" si="198"/>
        <v>2.4300631440177187</v>
      </c>
      <c r="U152" s="136">
        <f t="shared" si="198"/>
        <v>2.4631969985736246</v>
      </c>
      <c r="V152" s="136">
        <f t="shared" si="198"/>
        <v>2.5005707541205657</v>
      </c>
      <c r="W152" s="136">
        <f t="shared" si="198"/>
        <v>2.5113092094307587</v>
      </c>
      <c r="X152" s="136">
        <f t="shared" si="198"/>
        <v>2.5275709170632217</v>
      </c>
      <c r="Y152" s="136">
        <f t="shared" si="198"/>
        <v>2.5437765728745836</v>
      </c>
      <c r="Z152" s="136">
        <f t="shared" si="198"/>
        <v>2.5631617165327083</v>
      </c>
      <c r="AA152" s="136">
        <f t="shared" si="198"/>
        <v>2.5897037896663395</v>
      </c>
      <c r="AB152" s="136">
        <f t="shared" si="198"/>
        <v>2.6196055611861349</v>
      </c>
      <c r="AC152" s="136">
        <f t="shared" si="198"/>
        <v>2.6525384562562779</v>
      </c>
      <c r="AD152" s="136">
        <f t="shared" si="198"/>
        <v>2.6908990305817686</v>
      </c>
      <c r="AE152" s="136">
        <f t="shared" si="198"/>
        <v>2.730627363133403</v>
      </c>
      <c r="AF152" s="136">
        <f t="shared" si="198"/>
        <v>2.7720185393970787</v>
      </c>
      <c r="AG152" s="136">
        <f t="shared" si="198"/>
        <v>2.8133737831827137</v>
      </c>
      <c r="AH152" s="136">
        <f t="shared" si="198"/>
        <v>2.8560383218768499</v>
      </c>
      <c r="AI152" s="136">
        <f t="shared" si="198"/>
        <v>2.9009044994809443</v>
      </c>
      <c r="AJ152" s="136">
        <f t="shared" si="198"/>
        <v>2.9455483010418928</v>
      </c>
      <c r="AK152" s="136">
        <f t="shared" si="198"/>
        <v>2.9911375121079549</v>
      </c>
      <c r="AL152" s="136">
        <f t="shared" si="198"/>
        <v>3.0381420495039819</v>
      </c>
      <c r="AM152" s="136">
        <f t="shared" si="198"/>
        <v>3.0859254767590638</v>
      </c>
      <c r="AN152" s="136">
        <f t="shared" si="198"/>
        <v>3.133657269791482</v>
      </c>
      <c r="AO152" s="136">
        <f t="shared" si="198"/>
        <v>3.1901203998372973</v>
      </c>
      <c r="AP152" s="136">
        <f t="shared" si="198"/>
        <v>3.2453552332657836</v>
      </c>
      <c r="AQ152" s="136">
        <f t="shared" si="198"/>
        <v>3.2994336688880237</v>
      </c>
      <c r="AR152" s="136">
        <f t="shared" si="198"/>
        <v>3.352420944009983</v>
      </c>
      <c r="AS152" s="136">
        <f t="shared" si="198"/>
        <v>3.4043764629959745</v>
      </c>
      <c r="AT152" s="136">
        <f t="shared" si="198"/>
        <v>3.4565846379868881</v>
      </c>
      <c r="AU152" s="136">
        <f t="shared" si="198"/>
        <v>3.5078205184266285</v>
      </c>
      <c r="AV152" s="136">
        <f t="shared" si="198"/>
        <v>3.5581330927542556</v>
      </c>
      <c r="AW152" s="136">
        <f t="shared" si="198"/>
        <v>3.6075674227918766</v>
      </c>
      <c r="AX152" s="136">
        <f t="shared" si="198"/>
        <v>3.6561650682660316</v>
      </c>
      <c r="AY152" s="136">
        <f t="shared" si="199"/>
        <v>3.7041294824778532</v>
      </c>
      <c r="AZ152" s="136">
        <f t="shared" si="199"/>
        <v>3.7513260478854664</v>
      </c>
      <c r="BA152" s="136">
        <f t="shared" si="199"/>
        <v>3.7977881721857418</v>
      </c>
      <c r="BB152" s="136">
        <f t="shared" si="199"/>
        <v>3.8435469408275384</v>
      </c>
      <c r="BC152" s="136">
        <f t="shared" si="199"/>
        <v>3.888631335628193</v>
      </c>
      <c r="BD152" s="136">
        <f t="shared" si="199"/>
        <v>3.9330684277030947</v>
      </c>
      <c r="BE152" s="136">
        <f t="shared" si="199"/>
        <v>3.9768835482962994</v>
      </c>
      <c r="BF152" s="136">
        <f t="shared" si="199"/>
        <v>4.02010044052333</v>
      </c>
      <c r="BG152" s="136">
        <f t="shared" si="199"/>
        <v>4.0627413945647017</v>
      </c>
      <c r="BH152" s="136">
        <f t="shared" si="199"/>
        <v>4.1048273684597305</v>
      </c>
      <c r="BI152" s="136">
        <f t="shared" si="199"/>
        <v>4.1211270311324943</v>
      </c>
      <c r="BJ152" s="136">
        <f t="shared" si="199"/>
        <v>4.1373460964539479</v>
      </c>
      <c r="BK152" s="136">
        <f t="shared" si="199"/>
        <v>4.1534856688778001</v>
      </c>
      <c r="BL152" s="136">
        <f t="shared" si="199"/>
        <v>4.1695468282183556</v>
      </c>
      <c r="BM152" s="136">
        <f t="shared" si="199"/>
        <v>4.1855306304085733</v>
      </c>
      <c r="BN152" s="136">
        <f t="shared" si="199"/>
        <v>4.2014381082285031</v>
      </c>
      <c r="BO152" s="136">
        <f t="shared" si="199"/>
        <v>4.2172702720054849</v>
      </c>
      <c r="BP152" s="136">
        <f t="shared" si="199"/>
        <v>4.2330281102874769</v>
      </c>
      <c r="BQ152" s="136">
        <f t="shared" si="199"/>
        <v>4.2487125904906913</v>
      </c>
      <c r="BR152" s="136">
        <f t="shared" si="199"/>
        <v>4.2643246595227939</v>
      </c>
    </row>
    <row r="153" spans="1:70">
      <c r="A153" t="s">
        <v>16</v>
      </c>
      <c r="B153" s="71" t="str">
        <f t="shared" si="200"/>
        <v>CEK</v>
      </c>
      <c r="C153" s="71" t="str">
        <f t="shared" si="200"/>
        <v>Commercial - Cooking</v>
      </c>
      <c r="D153" s="138"/>
      <c r="E153" s="138"/>
      <c r="F153" s="138"/>
      <c r="G153" s="138"/>
      <c r="H153" s="138"/>
      <c r="I153" s="137"/>
      <c r="J153" s="138"/>
      <c r="K153" s="138"/>
      <c r="L153" s="136">
        <f t="shared" si="198"/>
        <v>1.9788999513059518</v>
      </c>
      <c r="M153" s="136">
        <f t="shared" si="198"/>
        <v>1.9424161516034013</v>
      </c>
      <c r="N153" s="136">
        <f t="shared" si="198"/>
        <v>1.9105830681136837</v>
      </c>
      <c r="O153" s="136">
        <f t="shared" si="198"/>
        <v>1.8747848838224754</v>
      </c>
      <c r="P153" s="136">
        <f t="shared" si="198"/>
        <v>1.8370422585127875</v>
      </c>
      <c r="Q153" s="136">
        <f t="shared" si="198"/>
        <v>1.792597823160518</v>
      </c>
      <c r="R153" s="136">
        <f t="shared" si="198"/>
        <v>1.8054932742496563</v>
      </c>
      <c r="S153" s="136">
        <f t="shared" si="198"/>
        <v>1.8161258534610465</v>
      </c>
      <c r="T153" s="136">
        <f t="shared" si="198"/>
        <v>1.8161258534610465</v>
      </c>
      <c r="U153" s="136">
        <f t="shared" si="198"/>
        <v>1.8450400273740701</v>
      </c>
      <c r="V153" s="136">
        <f t="shared" si="198"/>
        <v>1.8772679486282582</v>
      </c>
      <c r="W153" s="136">
        <f t="shared" si="198"/>
        <v>1.8896005111471157</v>
      </c>
      <c r="X153" s="136">
        <f t="shared" si="198"/>
        <v>1.9061544060941058</v>
      </c>
      <c r="Y153" s="136">
        <f t="shared" si="198"/>
        <v>1.9227412737640479</v>
      </c>
      <c r="Z153" s="136">
        <f t="shared" si="198"/>
        <v>1.9418125356670599</v>
      </c>
      <c r="AA153" s="136">
        <f t="shared" si="198"/>
        <v>1.9664053677142519</v>
      </c>
      <c r="AB153" s="136">
        <f t="shared" si="198"/>
        <v>1.9936678163033705</v>
      </c>
      <c r="AC153" s="136">
        <f t="shared" si="198"/>
        <v>2.0233676355066552</v>
      </c>
      <c r="AD153" s="136">
        <f t="shared" si="198"/>
        <v>2.0573539670838144</v>
      </c>
      <c r="AE153" s="136">
        <f t="shared" si="198"/>
        <v>2.0925452643880229</v>
      </c>
      <c r="AF153" s="136">
        <f t="shared" si="198"/>
        <v>2.129176540638265</v>
      </c>
      <c r="AG153" s="136">
        <f t="shared" si="198"/>
        <v>2.1659499609390824</v>
      </c>
      <c r="AH153" s="136">
        <f t="shared" si="198"/>
        <v>2.2039045807516748</v>
      </c>
      <c r="AI153" s="136">
        <f t="shared" si="198"/>
        <v>2.2437388456706118</v>
      </c>
      <c r="AJ153" s="136">
        <f t="shared" si="198"/>
        <v>2.2835866580939128</v>
      </c>
      <c r="AK153" s="136">
        <f t="shared" si="198"/>
        <v>2.3243555768501816</v>
      </c>
      <c r="AL153" s="136">
        <f t="shared" si="198"/>
        <v>2.3664181014902801</v>
      </c>
      <c r="AM153" s="136">
        <f t="shared" si="198"/>
        <v>2.4092864663169808</v>
      </c>
      <c r="AN153" s="136">
        <f t="shared" si="198"/>
        <v>2.4523164211117323</v>
      </c>
      <c r="AO153" s="136">
        <f t="shared" si="198"/>
        <v>2.4965029575059741</v>
      </c>
      <c r="AP153" s="136">
        <f t="shared" si="198"/>
        <v>2.5397282617981247</v>
      </c>
      <c r="AQ153" s="136">
        <f t="shared" si="198"/>
        <v>2.5820486000759852</v>
      </c>
      <c r="AR153" s="136">
        <f t="shared" si="198"/>
        <v>2.6235150253115034</v>
      </c>
      <c r="AS153" s="136">
        <f t="shared" si="198"/>
        <v>2.6641740257723954</v>
      </c>
      <c r="AT153" s="136">
        <f t="shared" si="198"/>
        <v>2.7050307480696021</v>
      </c>
      <c r="AU153" s="136">
        <f t="shared" si="198"/>
        <v>2.7451265786391184</v>
      </c>
      <c r="AV153" s="136">
        <f t="shared" si="198"/>
        <v>2.7844998545239612</v>
      </c>
      <c r="AW153" s="136">
        <f t="shared" si="198"/>
        <v>2.8231858399016736</v>
      </c>
      <c r="AX153" s="136">
        <f t="shared" si="198"/>
        <v>2.8612170583034127</v>
      </c>
      <c r="AY153" s="136">
        <f t="shared" si="199"/>
        <v>2.8987527268446258</v>
      </c>
      <c r="AZ153" s="136">
        <f t="shared" si="199"/>
        <v>2.9356874974351772</v>
      </c>
      <c r="BA153" s="136">
        <f t="shared" si="199"/>
        <v>2.9720475140456992</v>
      </c>
      <c r="BB153" s="136">
        <f t="shared" si="199"/>
        <v>3.0078571033175967</v>
      </c>
      <c r="BC153" s="136">
        <f t="shared" si="199"/>
        <v>3.0431389456464761</v>
      </c>
      <c r="BD153" s="136">
        <f t="shared" si="199"/>
        <v>3.0779142261636681</v>
      </c>
      <c r="BE153" s="136">
        <f t="shared" si="199"/>
        <v>3.1122027684237019</v>
      </c>
      <c r="BF153" s="136">
        <f t="shared" si="199"/>
        <v>3.1460231531541654</v>
      </c>
      <c r="BG153" s="136">
        <f t="shared" si="199"/>
        <v>3.1793928240545455</v>
      </c>
      <c r="BH153" s="136">
        <f t="shared" si="199"/>
        <v>3.2123281823262326</v>
      </c>
      <c r="BI153" s="136">
        <f t="shared" si="199"/>
        <v>3.225083862667006</v>
      </c>
      <c r="BJ153" s="136">
        <f t="shared" si="199"/>
        <v>3.2377764696748974</v>
      </c>
      <c r="BK153" s="136">
        <f t="shared" si="199"/>
        <v>3.2504068676658586</v>
      </c>
      <c r="BL153" s="136">
        <f t="shared" si="199"/>
        <v>3.2629759016737023</v>
      </c>
      <c r="BM153" s="136">
        <f t="shared" si="199"/>
        <v>3.2754843980433392</v>
      </c>
      <c r="BN153" s="136">
        <f t="shared" si="199"/>
        <v>3.2879331650008301</v>
      </c>
      <c r="BO153" s="136">
        <f t="shared" si="199"/>
        <v>3.3003229932013496</v>
      </c>
      <c r="BP153" s="136">
        <f t="shared" si="199"/>
        <v>3.3126546562561048</v>
      </c>
      <c r="BQ153" s="136">
        <f t="shared" si="199"/>
        <v>3.3249289112391662</v>
      </c>
      <c r="BR153" s="136">
        <f t="shared" si="199"/>
        <v>3.3371464991751632</v>
      </c>
    </row>
    <row r="154" spans="1:70">
      <c r="A154" t="s">
        <v>16</v>
      </c>
      <c r="B154" s="71" t="str">
        <f t="shared" si="200"/>
        <v>CEL</v>
      </c>
      <c r="C154" s="71" t="str">
        <f t="shared" si="200"/>
        <v>Commercial - Lighting</v>
      </c>
      <c r="D154" s="138"/>
      <c r="E154" s="138"/>
      <c r="F154" s="138"/>
      <c r="G154" s="138"/>
      <c r="H154" s="138"/>
      <c r="I154" s="137"/>
      <c r="J154" s="138"/>
      <c r="K154" s="138"/>
      <c r="L154" s="136">
        <f t="shared" si="198"/>
        <v>24.308054381137801</v>
      </c>
      <c r="M154" s="136">
        <f t="shared" si="198"/>
        <v>23.923457314485326</v>
      </c>
      <c r="N154" s="136">
        <f t="shared" si="198"/>
        <v>23.597496984679275</v>
      </c>
      <c r="O154" s="136">
        <f t="shared" si="198"/>
        <v>23.224061654414072</v>
      </c>
      <c r="P154" s="136">
        <f t="shared" si="198"/>
        <v>22.827948735966284</v>
      </c>
      <c r="Q154" s="136">
        <f t="shared" si="198"/>
        <v>22.349743320590999</v>
      </c>
      <c r="R154" s="136">
        <f t="shared" si="198"/>
        <v>22.510521169432373</v>
      </c>
      <c r="S154" s="136">
        <f t="shared" si="198"/>
        <v>22.643085994146627</v>
      </c>
      <c r="T154" s="136">
        <f t="shared" si="198"/>
        <v>22.643085994146627</v>
      </c>
      <c r="U154" s="136">
        <f t="shared" si="198"/>
        <v>22.9920802145379</v>
      </c>
      <c r="V154" s="136">
        <f t="shared" si="198"/>
        <v>23.38198774843929</v>
      </c>
      <c r="W154" s="136">
        <f t="shared" si="198"/>
        <v>23.523814281244785</v>
      </c>
      <c r="X154" s="136">
        <f t="shared" si="198"/>
        <v>23.718012502795755</v>
      </c>
      <c r="Y154" s="136">
        <f t="shared" si="198"/>
        <v>23.912414403195989</v>
      </c>
      <c r="Z154" s="136">
        <f t="shared" si="198"/>
        <v>24.137491496743639</v>
      </c>
      <c r="AA154" s="136">
        <f t="shared" si="198"/>
        <v>24.430931675526217</v>
      </c>
      <c r="AB154" s="136">
        <f t="shared" si="198"/>
        <v>24.757216332447772</v>
      </c>
      <c r="AC154" s="136">
        <f t="shared" si="198"/>
        <v>25.113412976569425</v>
      </c>
      <c r="AD154" s="136">
        <f t="shared" si="198"/>
        <v>25.522415472891304</v>
      </c>
      <c r="AE154" s="136">
        <f t="shared" si="198"/>
        <v>25.945934873047044</v>
      </c>
      <c r="AF154" s="136">
        <f t="shared" si="198"/>
        <v>26.386861158342835</v>
      </c>
      <c r="AG154" s="136">
        <f t="shared" si="198"/>
        <v>26.829091435896796</v>
      </c>
      <c r="AH154" s="136">
        <f t="shared" si="198"/>
        <v>27.285487095403401</v>
      </c>
      <c r="AI154" s="136">
        <f t="shared" si="198"/>
        <v>27.764668812791907</v>
      </c>
      <c r="AJ154" s="136">
        <f t="shared" si="198"/>
        <v>28.243521440961704</v>
      </c>
      <c r="AK154" s="136">
        <f t="shared" si="198"/>
        <v>28.733263804863117</v>
      </c>
      <c r="AL154" s="136">
        <f t="shared" si="198"/>
        <v>29.23848112828885</v>
      </c>
      <c r="AM154" s="136">
        <f t="shared" si="198"/>
        <v>29.753125628534665</v>
      </c>
      <c r="AN154" s="136">
        <f t="shared" si="198"/>
        <v>30.269230178760314</v>
      </c>
      <c r="AO154" s="136">
        <f t="shared" si="198"/>
        <v>30.814629797424995</v>
      </c>
      <c r="AP154" s="136">
        <f t="shared" si="198"/>
        <v>31.348164815134052</v>
      </c>
      <c r="AQ154" s="136">
        <f t="shared" si="198"/>
        <v>31.870529730830711</v>
      </c>
      <c r="AR154" s="136">
        <f t="shared" si="198"/>
        <v>32.38235469735573</v>
      </c>
      <c r="AS154" s="136">
        <f t="shared" si="198"/>
        <v>32.884213524868343</v>
      </c>
      <c r="AT154" s="136">
        <f t="shared" si="198"/>
        <v>33.388512856274836</v>
      </c>
      <c r="AU154" s="136">
        <f t="shared" si="198"/>
        <v>33.883420411543369</v>
      </c>
      <c r="AV154" s="136">
        <f t="shared" si="198"/>
        <v>34.369409389307449</v>
      </c>
      <c r="AW154" s="136">
        <f t="shared" si="198"/>
        <v>34.846915059460429</v>
      </c>
      <c r="AX154" s="136">
        <f t="shared" si="198"/>
        <v>35.316338863774831</v>
      </c>
      <c r="AY154" s="136">
        <f t="shared" si="199"/>
        <v>35.779646037843555</v>
      </c>
      <c r="AZ154" s="136">
        <f t="shared" si="199"/>
        <v>36.235536257792539</v>
      </c>
      <c r="BA154" s="136">
        <f t="shared" si="199"/>
        <v>36.684332221727935</v>
      </c>
      <c r="BB154" s="136">
        <f t="shared" si="199"/>
        <v>37.126334196247413</v>
      </c>
      <c r="BC154" s="136">
        <f t="shared" si="199"/>
        <v>37.561822128143021</v>
      </c>
      <c r="BD154" s="136">
        <f t="shared" si="199"/>
        <v>37.991057507983861</v>
      </c>
      <c r="BE154" s="136">
        <f t="shared" si="199"/>
        <v>38.414285020236377</v>
      </c>
      <c r="BF154" s="136">
        <f t="shared" si="199"/>
        <v>38.831734009007789</v>
      </c>
      <c r="BG154" s="136">
        <f t="shared" si="199"/>
        <v>39.243619783933681</v>
      </c>
      <c r="BH154" s="136">
        <f t="shared" si="199"/>
        <v>39.65014478697293</v>
      </c>
      <c r="BI154" s="136">
        <f t="shared" si="199"/>
        <v>39.807589650530346</v>
      </c>
      <c r="BJ154" s="136">
        <f t="shared" si="199"/>
        <v>39.964255992517423</v>
      </c>
      <c r="BK154" s="136">
        <f t="shared" si="199"/>
        <v>40.120154481287663</v>
      </c>
      <c r="BL154" s="136">
        <f t="shared" si="199"/>
        <v>40.275295547192862</v>
      </c>
      <c r="BM154" s="136">
        <f t="shared" si="199"/>
        <v>40.429689389905491</v>
      </c>
      <c r="BN154" s="136">
        <f t="shared" si="199"/>
        <v>40.58334598545494</v>
      </c>
      <c r="BO154" s="136">
        <f t="shared" si="199"/>
        <v>40.736275092991072</v>
      </c>
      <c r="BP154" s="136">
        <f t="shared" si="199"/>
        <v>40.888486261288051</v>
      </c>
      <c r="BQ154" s="136">
        <f t="shared" si="199"/>
        <v>41.039988835000237</v>
      </c>
      <c r="BR154" s="136">
        <f t="shared" si="199"/>
        <v>41.190791960681835</v>
      </c>
    </row>
    <row r="155" spans="1:70">
      <c r="A155" t="s">
        <v>16</v>
      </c>
      <c r="B155" s="71" t="str">
        <f t="shared" si="200"/>
        <v>CER</v>
      </c>
      <c r="C155" s="71" t="str">
        <f t="shared" si="200"/>
        <v>Commercial - Refrigeration</v>
      </c>
      <c r="D155" s="138"/>
      <c r="E155" s="138"/>
      <c r="F155" s="138"/>
      <c r="G155" s="138"/>
      <c r="H155" s="138"/>
      <c r="I155" s="137"/>
      <c r="J155" s="138"/>
      <c r="K155" s="138"/>
      <c r="L155" s="136">
        <f t="shared" si="198"/>
        <v>5.91327807474942</v>
      </c>
      <c r="M155" s="136">
        <f t="shared" si="198"/>
        <v>5.8197193980165904</v>
      </c>
      <c r="N155" s="136">
        <f t="shared" si="198"/>
        <v>5.7404249369602649</v>
      </c>
      <c r="O155" s="136">
        <f t="shared" si="198"/>
        <v>5.6495815104905818</v>
      </c>
      <c r="P155" s="136">
        <f t="shared" si="198"/>
        <v>5.5532214399125026</v>
      </c>
      <c r="Q155" s="136">
        <f t="shared" si="198"/>
        <v>5.4368912082276806</v>
      </c>
      <c r="R155" s="136">
        <f t="shared" si="198"/>
        <v>5.4760026942212612</v>
      </c>
      <c r="S155" s="136">
        <f t="shared" si="198"/>
        <v>5.5082509630121219</v>
      </c>
      <c r="T155" s="136">
        <f t="shared" si="198"/>
        <v>5.5082509630121219</v>
      </c>
      <c r="U155" s="136">
        <f t="shared" si="198"/>
        <v>5.5959467171348845</v>
      </c>
      <c r="V155" s="136">
        <f t="shared" si="198"/>
        <v>5.6936929597457455</v>
      </c>
      <c r="W155" s="136">
        <f t="shared" si="198"/>
        <v>5.731097222914757</v>
      </c>
      <c r="X155" s="136">
        <f t="shared" si="198"/>
        <v>5.7813046507808323</v>
      </c>
      <c r="Y155" s="136">
        <f t="shared" si="198"/>
        <v>5.8316120838489738</v>
      </c>
      <c r="Z155" s="136">
        <f t="shared" si="198"/>
        <v>5.8894546042574172</v>
      </c>
      <c r="AA155" s="136">
        <f t="shared" si="198"/>
        <v>5.9640438682938193</v>
      </c>
      <c r="AB155" s="136">
        <f t="shared" si="198"/>
        <v>6.0467299929414589</v>
      </c>
      <c r="AC155" s="136">
        <f t="shared" si="198"/>
        <v>6.1368085838144495</v>
      </c>
      <c r="AD155" s="136">
        <f t="shared" si="198"/>
        <v>6.2398880280514089</v>
      </c>
      <c r="AE155" s="136">
        <f t="shared" si="198"/>
        <v>6.3466220943586196</v>
      </c>
      <c r="AF155" s="136">
        <f t="shared" si="198"/>
        <v>6.4577235702267339</v>
      </c>
      <c r="AG155" s="136">
        <f t="shared" si="198"/>
        <v>6.5692561644019696</v>
      </c>
      <c r="AH155" s="136">
        <f t="shared" si="198"/>
        <v>6.6843712984853552</v>
      </c>
      <c r="AI155" s="136">
        <f t="shared" si="198"/>
        <v>6.80518733537094</v>
      </c>
      <c r="AJ155" s="136">
        <f t="shared" si="198"/>
        <v>6.926044461399008</v>
      </c>
      <c r="AK155" s="136">
        <f t="shared" si="198"/>
        <v>7.0496952731377531</v>
      </c>
      <c r="AL155" s="136">
        <f t="shared" si="198"/>
        <v>7.1772695496748149</v>
      </c>
      <c r="AM155" s="136">
        <f t="shared" si="198"/>
        <v>7.3072879134294126</v>
      </c>
      <c r="AN155" s="136">
        <f t="shared" si="198"/>
        <v>7.4377963743297748</v>
      </c>
      <c r="AO155" s="136">
        <f t="shared" si="198"/>
        <v>7.5718127098067001</v>
      </c>
      <c r="AP155" s="136">
        <f t="shared" si="198"/>
        <v>7.7029136594132392</v>
      </c>
      <c r="AQ155" s="136">
        <f t="shared" si="198"/>
        <v>7.8312698763735229</v>
      </c>
      <c r="AR155" s="136">
        <f t="shared" si="198"/>
        <v>7.9570362026999328</v>
      </c>
      <c r="AS155" s="136">
        <f t="shared" si="198"/>
        <v>8.08035363580459</v>
      </c>
      <c r="AT155" s="136">
        <f t="shared" si="198"/>
        <v>8.2042707528426089</v>
      </c>
      <c r="AU155" s="136">
        <f t="shared" si="198"/>
        <v>8.3258801098849169</v>
      </c>
      <c r="AV155" s="136">
        <f t="shared" si="198"/>
        <v>8.4452979819428027</v>
      </c>
      <c r="AW155" s="136">
        <f t="shared" si="198"/>
        <v>8.5626313241259773</v>
      </c>
      <c r="AX155" s="136">
        <f t="shared" si="198"/>
        <v>8.677978779252328</v>
      </c>
      <c r="AY155" s="136">
        <f t="shared" si="199"/>
        <v>8.7918232476824301</v>
      </c>
      <c r="AZ155" s="136">
        <f t="shared" si="199"/>
        <v>8.9038452120668516</v>
      </c>
      <c r="BA155" s="136">
        <f t="shared" si="199"/>
        <v>9.0141239662227726</v>
      </c>
      <c r="BB155" s="136">
        <f t="shared" si="199"/>
        <v>9.1227332920666271</v>
      </c>
      <c r="BC155" s="136">
        <f t="shared" si="199"/>
        <v>9.22974197850459</v>
      </c>
      <c r="BD155" s="136">
        <f t="shared" si="199"/>
        <v>9.3352142793546626</v>
      </c>
      <c r="BE155" s="136">
        <f t="shared" si="199"/>
        <v>9.4392103188164533</v>
      </c>
      <c r="BF155" s="136">
        <f t="shared" si="199"/>
        <v>9.5417864516356588</v>
      </c>
      <c r="BG155" s="136">
        <f t="shared" si="199"/>
        <v>9.6429955839885348</v>
      </c>
      <c r="BH155" s="136">
        <f t="shared" si="199"/>
        <v>9.7428874601883262</v>
      </c>
      <c r="BI155" s="136">
        <f t="shared" si="199"/>
        <v>9.7815750260236101</v>
      </c>
      <c r="BJ155" s="136">
        <f t="shared" si="199"/>
        <v>9.8200712924806499</v>
      </c>
      <c r="BK155" s="136">
        <f t="shared" si="199"/>
        <v>9.8583788810017605</v>
      </c>
      <c r="BL155" s="136">
        <f t="shared" si="199"/>
        <v>9.8965003545471646</v>
      </c>
      <c r="BM155" s="136">
        <f t="shared" si="199"/>
        <v>9.9344382193942398</v>
      </c>
      <c r="BN155" s="136">
        <f t="shared" si="199"/>
        <v>9.9721949268664893</v>
      </c>
      <c r="BO155" s="136">
        <f t="shared" si="199"/>
        <v>10.009772874995472</v>
      </c>
      <c r="BP155" s="136">
        <f t="shared" si="199"/>
        <v>10.047174410118958</v>
      </c>
      <c r="BQ155" s="136">
        <f t="shared" si="199"/>
        <v>10.084401828418113</v>
      </c>
      <c r="BR155" s="136">
        <f t="shared" si="199"/>
        <v>10.121457377396666</v>
      </c>
    </row>
    <row r="156" spans="1:70">
      <c r="A156" t="s">
        <v>16</v>
      </c>
      <c r="B156" s="71" t="str">
        <f t="shared" si="200"/>
        <v>CEW</v>
      </c>
      <c r="C156" s="71" t="str">
        <f t="shared" si="200"/>
        <v>Commercial - Water Heating</v>
      </c>
      <c r="D156" s="138"/>
      <c r="E156" s="138"/>
      <c r="F156" s="138"/>
      <c r="G156" s="138"/>
      <c r="H156" s="138"/>
      <c r="I156" s="137"/>
      <c r="J156" s="138"/>
      <c r="K156" s="138"/>
      <c r="L156" s="136">
        <f t="shared" si="198"/>
        <v>1.9366218046150061</v>
      </c>
      <c r="M156" s="136">
        <f t="shared" si="198"/>
        <v>2.1173170492838458</v>
      </c>
      <c r="N156" s="136">
        <f t="shared" si="198"/>
        <v>2.3077019533343761</v>
      </c>
      <c r="O156" s="136">
        <f t="shared" si="198"/>
        <v>2.4983971381046688</v>
      </c>
      <c r="P156" s="136">
        <f t="shared" si="198"/>
        <v>2.6912997247099164</v>
      </c>
      <c r="Q156" s="136">
        <f t="shared" si="198"/>
        <v>2.87842676194686</v>
      </c>
      <c r="R156" s="136">
        <f t="shared" si="198"/>
        <v>2.8991333649800541</v>
      </c>
      <c r="S156" s="136">
        <f t="shared" si="198"/>
        <v>2.9162064084453343</v>
      </c>
      <c r="T156" s="136">
        <f t="shared" si="198"/>
        <v>2.9162064084453343</v>
      </c>
      <c r="U156" s="136">
        <f t="shared" si="198"/>
        <v>2.9626347432985445</v>
      </c>
      <c r="V156" s="136">
        <f t="shared" si="198"/>
        <v>3.0143840591916189</v>
      </c>
      <c r="W156" s="136">
        <f t="shared" si="198"/>
        <v>3.0341868155818252</v>
      </c>
      <c r="X156" s="136">
        <f t="shared" si="198"/>
        <v>3.060767888934834</v>
      </c>
      <c r="Y156" s="136">
        <f t="shared" si="198"/>
        <v>3.087401907553609</v>
      </c>
      <c r="Z156" s="136">
        <f t="shared" si="198"/>
        <v>3.1180251906662377</v>
      </c>
      <c r="AA156" s="136">
        <f t="shared" si="198"/>
        <v>3.1575146204770443</v>
      </c>
      <c r="AB156" s="136">
        <f t="shared" si="198"/>
        <v>3.2012907316611829</v>
      </c>
      <c r="AC156" s="136">
        <f t="shared" si="198"/>
        <v>3.2489806001387609</v>
      </c>
      <c r="AD156" s="136">
        <f t="shared" si="198"/>
        <v>3.3035534469246719</v>
      </c>
      <c r="AE156" s="136">
        <f t="shared" si="198"/>
        <v>3.3600611424263138</v>
      </c>
      <c r="AF156" s="136">
        <f t="shared" si="198"/>
        <v>3.4188810542440491</v>
      </c>
      <c r="AG156" s="136">
        <f t="shared" si="198"/>
        <v>3.4779292109218081</v>
      </c>
      <c r="AH156" s="136">
        <f t="shared" si="198"/>
        <v>3.5388740542082222</v>
      </c>
      <c r="AI156" s="136">
        <f t="shared" si="198"/>
        <v>3.6028370986255096</v>
      </c>
      <c r="AJ156" s="136">
        <f t="shared" si="198"/>
        <v>3.666821896666848</v>
      </c>
      <c r="AK156" s="136">
        <f t="shared" si="198"/>
        <v>3.7322857420913511</v>
      </c>
      <c r="AL156" s="136">
        <f t="shared" si="198"/>
        <v>3.7998267683242433</v>
      </c>
      <c r="AM156" s="136">
        <f t="shared" si="198"/>
        <v>3.8686617557173006</v>
      </c>
      <c r="AN156" s="136">
        <f t="shared" si="198"/>
        <v>3.9377562128489076</v>
      </c>
      <c r="AO156" s="136">
        <f t="shared" si="198"/>
        <v>4.0087078268872869</v>
      </c>
      <c r="AP156" s="136">
        <f t="shared" si="198"/>
        <v>4.078115962421256</v>
      </c>
      <c r="AQ156" s="136">
        <f t="shared" si="198"/>
        <v>4.1460709675538991</v>
      </c>
      <c r="AR156" s="136">
        <f t="shared" si="198"/>
        <v>4.2126548195356808</v>
      </c>
      <c r="AS156" s="136">
        <f t="shared" si="198"/>
        <v>4.2779421659379544</v>
      </c>
      <c r="AT156" s="136">
        <f t="shared" si="198"/>
        <v>4.3435470000765806</v>
      </c>
      <c r="AU156" s="136">
        <f t="shared" si="198"/>
        <v>4.4079300481103552</v>
      </c>
      <c r="AV156" s="136">
        <f t="shared" si="198"/>
        <v>4.4711528689506892</v>
      </c>
      <c r="AW156" s="136">
        <f t="shared" si="198"/>
        <v>4.5332720873190135</v>
      </c>
      <c r="AX156" s="136">
        <f t="shared" si="198"/>
        <v>4.594339927200692</v>
      </c>
      <c r="AY156" s="136">
        <f t="shared" si="199"/>
        <v>4.6546120481754363</v>
      </c>
      <c r="AZ156" s="136">
        <f t="shared" si="199"/>
        <v>4.7139192897332611</v>
      </c>
      <c r="BA156" s="136">
        <f t="shared" si="199"/>
        <v>4.7723036320125765</v>
      </c>
      <c r="BB156" s="136">
        <f t="shared" si="199"/>
        <v>4.8298041370130926</v>
      </c>
      <c r="BC156" s="136">
        <f t="shared" si="199"/>
        <v>4.8864572233094838</v>
      </c>
      <c r="BD156" s="136">
        <f t="shared" si="199"/>
        <v>4.9422969084868376</v>
      </c>
      <c r="BE156" s="136">
        <f t="shared" si="199"/>
        <v>4.9973550238065449</v>
      </c>
      <c r="BF156" s="136">
        <f t="shared" si="199"/>
        <v>5.051661404886417</v>
      </c>
      <c r="BG156" s="136">
        <f t="shared" si="199"/>
        <v>5.1052440615849877</v>
      </c>
      <c r="BH156" s="136">
        <f t="shared" si="199"/>
        <v>5.1581293297910973</v>
      </c>
      <c r="BI156" s="136">
        <f t="shared" si="199"/>
        <v>5.1786114988450489</v>
      </c>
      <c r="BJ156" s="136">
        <f t="shared" si="199"/>
        <v>5.1989923892033651</v>
      </c>
      <c r="BK156" s="136">
        <f t="shared" si="199"/>
        <v>5.2192733887234493</v>
      </c>
      <c r="BL156" s="136">
        <f t="shared" si="199"/>
        <v>5.2394558543008154</v>
      </c>
      <c r="BM156" s="136">
        <f t="shared" si="199"/>
        <v>5.2595411128216565</v>
      </c>
      <c r="BN156" s="136">
        <f t="shared" si="199"/>
        <v>5.2795304620782044</v>
      </c>
      <c r="BO156" s="136">
        <f t="shared" si="199"/>
        <v>5.2994251716485978</v>
      </c>
      <c r="BP156" s="136">
        <f t="shared" si="199"/>
        <v>5.3192264837429839</v>
      </c>
      <c r="BQ156" s="136">
        <f t="shared" si="199"/>
        <v>5.338935614017343</v>
      </c>
      <c r="BR156" s="136">
        <f t="shared" si="199"/>
        <v>5.3585537523565998</v>
      </c>
    </row>
    <row r="157" spans="1:70">
      <c r="A157" t="s">
        <v>16</v>
      </c>
      <c r="B157" s="71" t="str">
        <f t="shared" si="200"/>
        <v>CEG</v>
      </c>
      <c r="C157" s="71" t="str">
        <f t="shared" si="200"/>
        <v>Commercial - Public lights</v>
      </c>
      <c r="D157" s="138"/>
      <c r="E157" s="138"/>
      <c r="F157" s="138"/>
      <c r="G157" s="138"/>
      <c r="H157" s="138"/>
      <c r="I157" s="137"/>
      <c r="J157" s="138"/>
      <c r="K157" s="138"/>
      <c r="L157" s="136">
        <f t="shared" si="198"/>
        <v>10.300552873773198</v>
      </c>
      <c r="M157" s="136">
        <f t="shared" si="198"/>
        <v>10.137579632145695</v>
      </c>
      <c r="N157" s="136">
        <f t="shared" si="198"/>
        <v>9.9994537435297381</v>
      </c>
      <c r="O157" s="136">
        <f t="shared" si="198"/>
        <v>9.8412102945058528</v>
      </c>
      <c r="P157" s="136">
        <f t="shared" si="198"/>
        <v>9.6733572036545361</v>
      </c>
      <c r="Q157" s="136">
        <f t="shared" si="198"/>
        <v>9.4707173671475111</v>
      </c>
      <c r="R157" s="136">
        <f t="shared" si="198"/>
        <v>9.5388470786807869</v>
      </c>
      <c r="S157" s="136">
        <f t="shared" si="198"/>
        <v>9.5950215040281002</v>
      </c>
      <c r="T157" s="136">
        <f t="shared" si="198"/>
        <v>9.5950215040281002</v>
      </c>
      <c r="U157" s="136">
        <f t="shared" si="198"/>
        <v>9.7477819087863704</v>
      </c>
      <c r="V157" s="136">
        <f t="shared" si="198"/>
        <v>9.9180496228188275</v>
      </c>
      <c r="W157" s="136">
        <f t="shared" si="198"/>
        <v>9.9832054611891152</v>
      </c>
      <c r="X157" s="136">
        <f t="shared" si="198"/>
        <v>10.070663595045366</v>
      </c>
      <c r="Y157" s="136">
        <f t="shared" si="198"/>
        <v>10.158295931578795</v>
      </c>
      <c r="Z157" s="136">
        <f t="shared" si="198"/>
        <v>10.259053909182397</v>
      </c>
      <c r="AA157" s="136">
        <f t="shared" si="198"/>
        <v>10.388983644992319</v>
      </c>
      <c r="AB157" s="136">
        <f t="shared" si="198"/>
        <v>10.533017595044042</v>
      </c>
      <c r="AC157" s="136">
        <f t="shared" si="198"/>
        <v>10.68992874928932</v>
      </c>
      <c r="AD157" s="136">
        <f t="shared" si="198"/>
        <v>10.869486560056904</v>
      </c>
      <c r="AE157" s="136">
        <f t="shared" si="198"/>
        <v>11.055410489142012</v>
      </c>
      <c r="AF157" s="136">
        <f t="shared" si="198"/>
        <v>11.248942166845541</v>
      </c>
      <c r="AG157" s="136">
        <f t="shared" si="198"/>
        <v>11.443224825115387</v>
      </c>
      <c r="AH157" s="136">
        <f t="shared" si="198"/>
        <v>11.643748039178451</v>
      </c>
      <c r="AI157" s="136">
        <f t="shared" ref="M157:AX159" si="201">AI98*AI$34/1000</f>
        <v>11.854201861949578</v>
      </c>
      <c r="AJ157" s="136">
        <f t="shared" si="201"/>
        <v>12.064727259383579</v>
      </c>
      <c r="AK157" s="136">
        <f t="shared" si="201"/>
        <v>12.280119078963093</v>
      </c>
      <c r="AL157" s="136">
        <f t="shared" si="201"/>
        <v>12.502345323728193</v>
      </c>
      <c r="AM157" s="136">
        <f t="shared" si="201"/>
        <v>12.728829012383823</v>
      </c>
      <c r="AN157" s="136">
        <f t="shared" si="201"/>
        <v>12.956166418977189</v>
      </c>
      <c r="AO157" s="136">
        <f t="shared" si="201"/>
        <v>13.189614319123148</v>
      </c>
      <c r="AP157" s="136">
        <f t="shared" si="201"/>
        <v>13.417983803215314</v>
      </c>
      <c r="AQ157" s="136">
        <f t="shared" si="201"/>
        <v>13.641572138274785</v>
      </c>
      <c r="AR157" s="136">
        <f t="shared" si="201"/>
        <v>13.860649049201269</v>
      </c>
      <c r="AS157" s="136">
        <f t="shared" si="201"/>
        <v>14.075460144484714</v>
      </c>
      <c r="AT157" s="136">
        <f t="shared" si="201"/>
        <v>14.291315850893337</v>
      </c>
      <c r="AU157" s="136">
        <f t="shared" si="201"/>
        <v>14.503151586728055</v>
      </c>
      <c r="AV157" s="136">
        <f t="shared" si="201"/>
        <v>14.711169895634976</v>
      </c>
      <c r="AW157" s="136">
        <f t="shared" si="201"/>
        <v>14.915557086586677</v>
      </c>
      <c r="AX157" s="136">
        <f t="shared" si="201"/>
        <v>15.116484989074081</v>
      </c>
      <c r="AY157" s="136">
        <f t="shared" ref="AY157:BR157" si="202">AY98*AY$34/1000</f>
        <v>15.314794784694605</v>
      </c>
      <c r="AZ157" s="136">
        <f t="shared" si="202"/>
        <v>15.509929894625074</v>
      </c>
      <c r="BA157" s="136">
        <f t="shared" si="202"/>
        <v>15.702028443632519</v>
      </c>
      <c r="BB157" s="136">
        <f t="shared" si="202"/>
        <v>15.891218955104771</v>
      </c>
      <c r="BC157" s="136">
        <f t="shared" si="202"/>
        <v>16.077621254924566</v>
      </c>
      <c r="BD157" s="136">
        <f t="shared" si="202"/>
        <v>16.261347269140582</v>
      </c>
      <c r="BE157" s="136">
        <f t="shared" si="202"/>
        <v>16.442501730269925</v>
      </c>
      <c r="BF157" s="136">
        <f t="shared" si="202"/>
        <v>16.621182804681634</v>
      </c>
      <c r="BG157" s="136">
        <f t="shared" si="202"/>
        <v>16.797482651556951</v>
      </c>
      <c r="BH157" s="136">
        <f t="shared" si="202"/>
        <v>16.971487922313639</v>
      </c>
      <c r="BI157" s="136">
        <f t="shared" si="202"/>
        <v>17.038879191996291</v>
      </c>
      <c r="BJ157" s="136">
        <f t="shared" si="202"/>
        <v>17.105937230375517</v>
      </c>
      <c r="BK157" s="136">
        <f t="shared" si="202"/>
        <v>17.172666603836475</v>
      </c>
      <c r="BL157" s="136">
        <f t="shared" si="202"/>
        <v>17.239071776892239</v>
      </c>
      <c r="BM157" s="136">
        <f t="shared" si="202"/>
        <v>17.305157115317982</v>
      </c>
      <c r="BN157" s="136">
        <f t="shared" si="202"/>
        <v>17.370926889162746</v>
      </c>
      <c r="BO157" s="136">
        <f t="shared" si="202"/>
        <v>17.436385275644412</v>
      </c>
      <c r="BP157" s="136">
        <f t="shared" si="202"/>
        <v>17.501536361933567</v>
      </c>
      <c r="BQ157" s="136">
        <f t="shared" si="202"/>
        <v>17.566384147831197</v>
      </c>
      <c r="BR157" s="136">
        <f t="shared" si="202"/>
        <v>17.630932548345314</v>
      </c>
    </row>
    <row r="158" spans="1:70">
      <c r="A158" t="s">
        <v>16</v>
      </c>
      <c r="B158" s="71" t="str">
        <f t="shared" si="200"/>
        <v>CET</v>
      </c>
      <c r="C158" s="71" t="str">
        <f t="shared" si="200"/>
        <v>Commercial - Public Water</v>
      </c>
      <c r="D158" s="138"/>
      <c r="E158" s="138"/>
      <c r="F158" s="138"/>
      <c r="G158" s="138"/>
      <c r="H158" s="138"/>
      <c r="I158" s="137"/>
      <c r="J158" s="138"/>
      <c r="K158" s="138"/>
      <c r="L158" s="136">
        <f t="shared" ref="L158:L159" si="203">L99*L$34/1000</f>
        <v>3.5593512487513506</v>
      </c>
      <c r="M158" s="136">
        <f t="shared" si="201"/>
        <v>3.5030359210006532</v>
      </c>
      <c r="N158" s="136">
        <f t="shared" si="201"/>
        <v>3.4553065845121336</v>
      </c>
      <c r="O158" s="136">
        <f t="shared" si="201"/>
        <v>3.400625634393037</v>
      </c>
      <c r="P158" s="136">
        <f t="shared" si="201"/>
        <v>3.3426240770155089</v>
      </c>
      <c r="Q158" s="136">
        <f t="shared" si="201"/>
        <v>3.2726019758762099</v>
      </c>
      <c r="R158" s="136">
        <f t="shared" si="201"/>
        <v>3.2961441659697601</v>
      </c>
      <c r="S158" s="136">
        <f t="shared" si="201"/>
        <v>3.3155552124891114</v>
      </c>
      <c r="T158" s="136">
        <f t="shared" si="201"/>
        <v>3.3155552124891114</v>
      </c>
      <c r="U158" s="136">
        <f t="shared" si="201"/>
        <v>3.3683414992155769</v>
      </c>
      <c r="V158" s="136">
        <f t="shared" si="201"/>
        <v>3.4271774285089007</v>
      </c>
      <c r="W158" s="136">
        <f t="shared" si="201"/>
        <v>3.4496919981158594</v>
      </c>
      <c r="X158" s="136">
        <f t="shared" si="201"/>
        <v>3.4799131155422169</v>
      </c>
      <c r="Y158" s="136">
        <f t="shared" si="201"/>
        <v>3.5101944286225515</v>
      </c>
      <c r="Z158" s="136">
        <f t="shared" si="201"/>
        <v>3.5450113008623103</v>
      </c>
      <c r="AA158" s="136">
        <f t="shared" si="201"/>
        <v>3.5899084605655025</v>
      </c>
      <c r="AB158" s="136">
        <f t="shared" si="201"/>
        <v>3.6396793249318731</v>
      </c>
      <c r="AC158" s="136">
        <f t="shared" si="201"/>
        <v>3.6938999012106453</v>
      </c>
      <c r="AD158" s="136">
        <f t="shared" si="201"/>
        <v>3.7559460191045617</v>
      </c>
      <c r="AE158" s="136">
        <f t="shared" si="201"/>
        <v>3.8201919462185137</v>
      </c>
      <c r="AF158" s="136">
        <f t="shared" si="201"/>
        <v>3.8870667273247697</v>
      </c>
      <c r="AG158" s="136">
        <f t="shared" si="201"/>
        <v>3.9542010094159976</v>
      </c>
      <c r="AH158" s="136">
        <f t="shared" si="201"/>
        <v>4.0234917126554599</v>
      </c>
      <c r="AI158" s="136">
        <f t="shared" si="201"/>
        <v>4.096213933109488</v>
      </c>
      <c r="AJ158" s="136">
        <f t="shared" si="201"/>
        <v>4.1689608861549408</v>
      </c>
      <c r="AK158" s="136">
        <f t="shared" si="201"/>
        <v>4.2433894291065704</v>
      </c>
      <c r="AL158" s="136">
        <f t="shared" si="201"/>
        <v>4.3201796044984118</v>
      </c>
      <c r="AM158" s="136">
        <f t="shared" si="201"/>
        <v>4.398440937644013</v>
      </c>
      <c r="AN158" s="136">
        <f t="shared" si="201"/>
        <v>4.4769972726254359</v>
      </c>
      <c r="AO158" s="136">
        <f t="shared" si="201"/>
        <v>4.5576650858084102</v>
      </c>
      <c r="AP158" s="136">
        <f t="shared" si="201"/>
        <v>4.6365780546889246</v>
      </c>
      <c r="AQ158" s="136">
        <f t="shared" si="201"/>
        <v>4.7138388997476852</v>
      </c>
      <c r="AR158" s="136">
        <f t="shared" si="201"/>
        <v>4.7895408242981814</v>
      </c>
      <c r="AS158" s="136">
        <f t="shared" si="201"/>
        <v>4.8637686982397375</v>
      </c>
      <c r="AT158" s="136">
        <f t="shared" si="201"/>
        <v>4.9383575370691428</v>
      </c>
      <c r="AU158" s="136">
        <f t="shared" si="201"/>
        <v>5.0115572769387624</v>
      </c>
      <c r="AV158" s="136">
        <f t="shared" si="201"/>
        <v>5.0834379067111879</v>
      </c>
      <c r="AW158" s="136">
        <f t="shared" si="201"/>
        <v>5.1540638053651335</v>
      </c>
      <c r="AX158" s="136">
        <f t="shared" si="201"/>
        <v>5.2234943485011698</v>
      </c>
      <c r="AY158" s="136">
        <f t="shared" ref="AY158:BR158" si="204">AY99*AY$34/1000</f>
        <v>5.2920202060285613</v>
      </c>
      <c r="AZ158" s="136">
        <f t="shared" si="204"/>
        <v>5.3594490523941465</v>
      </c>
      <c r="BA158" s="136">
        <f t="shared" si="204"/>
        <v>5.4258286165468537</v>
      </c>
      <c r="BB158" s="136">
        <f t="shared" si="204"/>
        <v>5.4912033096834927</v>
      </c>
      <c r="BC158" s="136">
        <f t="shared" si="204"/>
        <v>5.5556145375820467</v>
      </c>
      <c r="BD158" s="136">
        <f t="shared" si="204"/>
        <v>5.6191009762365134</v>
      </c>
      <c r="BE158" s="136">
        <f t="shared" si="204"/>
        <v>5.681698815919404</v>
      </c>
      <c r="BF158" s="136">
        <f t="shared" si="204"/>
        <v>5.7434419779738288</v>
      </c>
      <c r="BG158" s="136">
        <f t="shared" si="204"/>
        <v>5.8043623079619486</v>
      </c>
      <c r="BH158" s="136">
        <f t="shared" si="204"/>
        <v>5.8644897482408176</v>
      </c>
      <c r="BI158" s="136">
        <f t="shared" si="204"/>
        <v>5.8877767700967629</v>
      </c>
      <c r="BJ158" s="136">
        <f t="shared" si="204"/>
        <v>5.9109486440309897</v>
      </c>
      <c r="BK158" s="136">
        <f t="shared" si="204"/>
        <v>5.9340069479557638</v>
      </c>
      <c r="BL158" s="136">
        <f t="shared" si="204"/>
        <v>5.9569532245814951</v>
      </c>
      <c r="BM158" s="136">
        <f t="shared" si="204"/>
        <v>5.979788982499767</v>
      </c>
      <c r="BN158" s="136">
        <f t="shared" si="204"/>
        <v>6.0025156972240321</v>
      </c>
      <c r="BO158" s="136">
        <f t="shared" si="204"/>
        <v>6.0251348121899859</v>
      </c>
      <c r="BP158" s="136">
        <f t="shared" si="204"/>
        <v>6.0476477397175215</v>
      </c>
      <c r="BQ158" s="136">
        <f t="shared" si="204"/>
        <v>6.0700558619360088</v>
      </c>
      <c r="BR158" s="136">
        <f t="shared" si="204"/>
        <v>6.0923605316746405</v>
      </c>
    </row>
    <row r="159" spans="1:70">
      <c r="A159" t="s">
        <v>16</v>
      </c>
      <c r="B159" s="71" t="str">
        <f t="shared" si="200"/>
        <v>CEO</v>
      </c>
      <c r="C159" s="71" t="str">
        <f t="shared" si="200"/>
        <v>Commercial - Other</v>
      </c>
      <c r="D159" s="138"/>
      <c r="E159" s="138"/>
      <c r="F159" s="138"/>
      <c r="G159" s="138"/>
      <c r="H159" s="138"/>
      <c r="I159" s="137"/>
      <c r="J159" s="138"/>
      <c r="K159" s="138"/>
      <c r="L159" s="136">
        <f t="shared" si="203"/>
        <v>3.7520368714157799</v>
      </c>
      <c r="M159" s="136">
        <f t="shared" si="201"/>
        <v>3.8062559588704783</v>
      </c>
      <c r="N159" s="136">
        <f t="shared" si="201"/>
        <v>3.8722228149511158</v>
      </c>
      <c r="O159" s="136">
        <f t="shared" si="201"/>
        <v>3.9330613151267819</v>
      </c>
      <c r="P159" s="136">
        <f t="shared" si="201"/>
        <v>3.9925568469937152</v>
      </c>
      <c r="Q159" s="136">
        <f t="shared" si="201"/>
        <v>4.0397921227646005</v>
      </c>
      <c r="R159" s="136">
        <f t="shared" si="201"/>
        <v>4.0688532657919581</v>
      </c>
      <c r="S159" s="136">
        <f t="shared" si="201"/>
        <v>4.0928148087481553</v>
      </c>
      <c r="T159" s="136">
        <f t="shared" si="201"/>
        <v>4.0928148087481553</v>
      </c>
      <c r="U159" s="136">
        <f t="shared" si="201"/>
        <v>4.1579756889528046</v>
      </c>
      <c r="V159" s="136">
        <f t="shared" si="201"/>
        <v>4.2306044184612466</v>
      </c>
      <c r="W159" s="136">
        <f t="shared" si="201"/>
        <v>4.258397037794758</v>
      </c>
      <c r="X159" s="136">
        <f t="shared" si="201"/>
        <v>4.2957028369784354</v>
      </c>
      <c r="Y159" s="136">
        <f t="shared" si="201"/>
        <v>4.3330829433740963</v>
      </c>
      <c r="Z159" s="136">
        <f t="shared" si="201"/>
        <v>4.3760618718384485</v>
      </c>
      <c r="AA159" s="136">
        <f t="shared" si="201"/>
        <v>4.431484191277371</v>
      </c>
      <c r="AB159" s="136">
        <f t="shared" si="201"/>
        <v>4.4929227491260129</v>
      </c>
      <c r="AC159" s="136">
        <f t="shared" si="201"/>
        <v>4.5598541567818707</v>
      </c>
      <c r="AD159" s="136">
        <f t="shared" si="201"/>
        <v>4.6364456335834028</v>
      </c>
      <c r="AE159" s="136">
        <f t="shared" si="201"/>
        <v>4.7157526168914359</v>
      </c>
      <c r="AF159" s="136">
        <f t="shared" si="201"/>
        <v>4.7983047316662022</v>
      </c>
      <c r="AG159" s="136">
        <f t="shared" si="201"/>
        <v>4.8811771817712861</v>
      </c>
      <c r="AH159" s="136">
        <f t="shared" si="201"/>
        <v>4.966711578924075</v>
      </c>
      <c r="AI159" s="136">
        <f t="shared" si="201"/>
        <v>5.0564819376495578</v>
      </c>
      <c r="AJ159" s="136">
        <f t="shared" si="201"/>
        <v>5.1462828269830263</v>
      </c>
      <c r="AK159" s="136">
        <f t="shared" si="201"/>
        <v>5.2381595182950944</v>
      </c>
      <c r="AL159" s="136">
        <f t="shared" si="201"/>
        <v>5.3329514752579072</v>
      </c>
      <c r="AM159" s="136">
        <f t="shared" si="201"/>
        <v>5.4295594708189929</v>
      </c>
      <c r="AN159" s="136">
        <f t="shared" si="201"/>
        <v>5.5265316249613381</v>
      </c>
      <c r="AO159" s="136">
        <f t="shared" si="201"/>
        <v>5.6261102473112121</v>
      </c>
      <c r="AP159" s="136">
        <f t="shared" si="201"/>
        <v>5.7235226403909163</v>
      </c>
      <c r="AQ159" s="136">
        <f t="shared" si="201"/>
        <v>5.8188956052571834</v>
      </c>
      <c r="AR159" s="136">
        <f t="shared" si="201"/>
        <v>5.9123441947072735</v>
      </c>
      <c r="AS159" s="136">
        <f t="shared" si="201"/>
        <v>6.0039731745371157</v>
      </c>
      <c r="AT159" s="136">
        <f t="shared" si="201"/>
        <v>6.0960477395989168</v>
      </c>
      <c r="AU159" s="136">
        <f t="shared" si="201"/>
        <v>6.1864075617506868</v>
      </c>
      <c r="AV159" s="136">
        <f t="shared" si="201"/>
        <v>6.2751390372171647</v>
      </c>
      <c r="AW159" s="136">
        <f t="shared" si="201"/>
        <v>6.3623216372243014</v>
      </c>
      <c r="AX159" s="136">
        <f t="shared" si="201"/>
        <v>6.4480286566870415</v>
      </c>
      <c r="AY159" s="136">
        <f t="shared" ref="AY159:BR159" si="205">AY100*AY$34/1000</f>
        <v>6.532618906734398</v>
      </c>
      <c r="AZ159" s="136">
        <f t="shared" si="205"/>
        <v>6.6158549752825344</v>
      </c>
      <c r="BA159" s="136">
        <f t="shared" si="205"/>
        <v>6.6977957802913242</v>
      </c>
      <c r="BB159" s="136">
        <f t="shared" si="205"/>
        <v>6.778496144193916</v>
      </c>
      <c r="BC159" s="136">
        <f t="shared" si="205"/>
        <v>6.858007179449741</v>
      </c>
      <c r="BD159" s="136">
        <f t="shared" si="205"/>
        <v>6.9363766287959372</v>
      </c>
      <c r="BE159" s="136">
        <f t="shared" si="205"/>
        <v>7.0136491665249761</v>
      </c>
      <c r="BF159" s="136">
        <f t="shared" si="205"/>
        <v>7.0898666660989225</v>
      </c>
      <c r="BG159" s="136">
        <f t="shared" si="205"/>
        <v>7.1650684385773289</v>
      </c>
      <c r="BH159" s="136">
        <f t="shared" si="205"/>
        <v>7.2392914456497186</v>
      </c>
      <c r="BI159" s="136">
        <f t="shared" si="205"/>
        <v>7.2680376018122343</v>
      </c>
      <c r="BJ159" s="136">
        <f t="shared" si="205"/>
        <v>7.2966416161345453</v>
      </c>
      <c r="BK159" s="136">
        <f t="shared" si="205"/>
        <v>7.3251054364360257</v>
      </c>
      <c r="BL159" s="136">
        <f t="shared" si="205"/>
        <v>7.353430967081894</v>
      </c>
      <c r="BM159" s="136">
        <f t="shared" si="205"/>
        <v>7.3816200703201185</v>
      </c>
      <c r="BN159" s="136">
        <f t="shared" si="205"/>
        <v>7.4096745675660971</v>
      </c>
      <c r="BO159" s="136">
        <f t="shared" si="205"/>
        <v>7.4375962406375375</v>
      </c>
      <c r="BP159" s="136">
        <f t="shared" si="205"/>
        <v>7.4653868329419248</v>
      </c>
      <c r="BQ159" s="136">
        <f t="shared" si="205"/>
        <v>7.4930480506187118</v>
      </c>
      <c r="BR159" s="136">
        <f t="shared" si="205"/>
        <v>7.5205815636383821</v>
      </c>
    </row>
    <row r="160" spans="1:70">
      <c r="A160" t="s">
        <v>16</v>
      </c>
      <c r="B160" s="138"/>
      <c r="C160" s="138"/>
      <c r="D160" s="138"/>
      <c r="E160" s="138"/>
      <c r="F160" s="138"/>
      <c r="G160" s="138"/>
      <c r="H160" s="138"/>
      <c r="I160" s="137"/>
      <c r="J160" s="138"/>
      <c r="K160" s="138"/>
      <c r="M160" s="71"/>
    </row>
    <row r="161" spans="1:70" ht="15.75" thickBot="1">
      <c r="A161" t="s">
        <v>16</v>
      </c>
      <c r="B161" s="69" t="s">
        <v>462</v>
      </c>
      <c r="C161" s="69"/>
      <c r="D161" s="69"/>
      <c r="E161" s="69"/>
      <c r="F161" s="69"/>
      <c r="G161" s="69"/>
      <c r="H161" s="69"/>
      <c r="I161" s="131"/>
      <c r="M161" s="71"/>
    </row>
    <row r="162" spans="1:70">
      <c r="A162" t="s">
        <v>16</v>
      </c>
      <c r="B162" s="71" t="str">
        <f t="shared" ref="B162:B170" si="206">B70</f>
        <v>CEC</v>
      </c>
      <c r="C162" s="71" t="str">
        <f t="shared" ref="C162:C170" si="207">C138</f>
        <v>Commercial - Cooling</v>
      </c>
      <c r="E162" s="90"/>
      <c r="F162" s="90"/>
      <c r="I162" s="131"/>
      <c r="L162" s="136">
        <f t="shared" ref="L162:AX168" si="208">L$35*L70/1000</f>
        <v>111.73151548310722</v>
      </c>
      <c r="M162" s="136">
        <f t="shared" si="208"/>
        <v>109.9637222885692</v>
      </c>
      <c r="N162" s="136">
        <f t="shared" si="208"/>
        <v>108.46545175380923</v>
      </c>
      <c r="O162" s="136">
        <f t="shared" si="208"/>
        <v>106.7489632709696</v>
      </c>
      <c r="P162" s="136">
        <f t="shared" si="208"/>
        <v>104.92823767991005</v>
      </c>
      <c r="Q162" s="136">
        <f t="shared" si="208"/>
        <v>102.73017546833439</v>
      </c>
      <c r="R162" s="136">
        <f t="shared" si="208"/>
        <v>101.70287371365104</v>
      </c>
      <c r="S162" s="136">
        <f>S$35*S70/1000</f>
        <v>100.67557195896771</v>
      </c>
      <c r="T162" s="136">
        <f t="shared" si="208"/>
        <v>99.648270204284358</v>
      </c>
      <c r="U162" s="136">
        <f t="shared" si="208"/>
        <v>99.450056929958677</v>
      </c>
      <c r="V162" s="136">
        <f t="shared" si="208"/>
        <v>99.234570978958871</v>
      </c>
      <c r="W162" s="136">
        <f t="shared" si="208"/>
        <v>99.001812351284968</v>
      </c>
      <c r="X162" s="136">
        <f t="shared" si="208"/>
        <v>98.751781046936927</v>
      </c>
      <c r="Y162" s="136">
        <f t="shared" si="208"/>
        <v>98.48447706591476</v>
      </c>
      <c r="Z162" s="136">
        <f t="shared" si="208"/>
        <v>98.199900408218497</v>
      </c>
      <c r="AA162" s="136">
        <f t="shared" si="208"/>
        <v>97.898051073848109</v>
      </c>
      <c r="AB162" s="136">
        <f t="shared" si="208"/>
        <v>97.578929062803596</v>
      </c>
      <c r="AC162" s="136">
        <f t="shared" si="208"/>
        <v>97.242534375084972</v>
      </c>
      <c r="AD162" s="136">
        <f t="shared" si="208"/>
        <v>96.888867010692238</v>
      </c>
      <c r="AE162" s="136">
        <f t="shared" si="208"/>
        <v>95.775201872638291</v>
      </c>
      <c r="AF162" s="136">
        <f t="shared" si="208"/>
        <v>94.661536734584359</v>
      </c>
      <c r="AG162" s="136">
        <f t="shared" si="208"/>
        <v>93.547871596530427</v>
      </c>
      <c r="AH162" s="136">
        <f t="shared" si="208"/>
        <v>92.434206458476496</v>
      </c>
      <c r="AI162" s="136">
        <f t="shared" si="208"/>
        <v>91.320541320422549</v>
      </c>
      <c r="AJ162" s="136">
        <f t="shared" si="208"/>
        <v>90.206876182368617</v>
      </c>
      <c r="AK162" s="136">
        <f t="shared" si="208"/>
        <v>89.0932110443147</v>
      </c>
      <c r="AL162" s="136">
        <f t="shared" si="208"/>
        <v>87.979545906260753</v>
      </c>
      <c r="AM162" s="136">
        <f t="shared" si="208"/>
        <v>86.865880768206821</v>
      </c>
      <c r="AN162" s="136">
        <f t="shared" si="208"/>
        <v>85.75221563015289</v>
      </c>
      <c r="AO162" s="136">
        <f t="shared" si="208"/>
        <v>84.638550492098943</v>
      </c>
      <c r="AP162" s="136">
        <f t="shared" si="208"/>
        <v>83.524885354045011</v>
      </c>
      <c r="AQ162" s="136">
        <f t="shared" si="208"/>
        <v>82.411220215991079</v>
      </c>
      <c r="AR162" s="136">
        <f t="shared" si="208"/>
        <v>81.297555077937162</v>
      </c>
      <c r="AS162" s="136">
        <f t="shared" si="208"/>
        <v>80.183889939883201</v>
      </c>
      <c r="AT162" s="136">
        <f t="shared" si="208"/>
        <v>79.070224801829269</v>
      </c>
      <c r="AU162" s="136">
        <f t="shared" si="208"/>
        <v>77.956559663775337</v>
      </c>
      <c r="AV162" s="136">
        <f t="shared" si="208"/>
        <v>76.842894525721405</v>
      </c>
      <c r="AW162" s="136">
        <f t="shared" si="208"/>
        <v>75.729229387667473</v>
      </c>
      <c r="AX162" s="136">
        <f t="shared" si="208"/>
        <v>74.615564249613541</v>
      </c>
      <c r="AY162" s="136">
        <f t="shared" ref="AY162:BR167" si="209">AY$35*AY70/1000</f>
        <v>73.501899111559595</v>
      </c>
      <c r="AZ162" s="136">
        <f t="shared" si="209"/>
        <v>72.388233973505663</v>
      </c>
      <c r="BA162" s="136">
        <f t="shared" si="209"/>
        <v>71.274568835451731</v>
      </c>
      <c r="BB162" s="136">
        <f t="shared" si="209"/>
        <v>70.160903697397814</v>
      </c>
      <c r="BC162" s="136">
        <f t="shared" si="209"/>
        <v>69.047238559343853</v>
      </c>
      <c r="BD162" s="136">
        <f t="shared" si="209"/>
        <v>67.933573421289921</v>
      </c>
      <c r="BE162" s="136">
        <f t="shared" si="209"/>
        <v>66.819908283236003</v>
      </c>
      <c r="BF162" s="136">
        <f t="shared" si="209"/>
        <v>65.706243145182057</v>
      </c>
      <c r="BG162" s="136">
        <f t="shared" si="209"/>
        <v>64.592578007128125</v>
      </c>
      <c r="BH162" s="136">
        <f t="shared" si="209"/>
        <v>63.478912869074179</v>
      </c>
      <c r="BI162" s="136">
        <f t="shared" si="209"/>
        <v>62.365247731020254</v>
      </c>
      <c r="BJ162" s="136">
        <f t="shared" si="209"/>
        <v>61.251582592966322</v>
      </c>
      <c r="BK162" s="136">
        <f t="shared" si="209"/>
        <v>60.137917454912376</v>
      </c>
      <c r="BL162" s="136">
        <f t="shared" si="209"/>
        <v>59.024252316858444</v>
      </c>
      <c r="BM162" s="136">
        <f t="shared" si="209"/>
        <v>57.910587178804512</v>
      </c>
      <c r="BN162" s="136">
        <f t="shared" si="209"/>
        <v>56.79692204075058</v>
      </c>
      <c r="BO162" s="136">
        <f t="shared" si="209"/>
        <v>55.683256902696655</v>
      </c>
      <c r="BP162" s="136">
        <f t="shared" si="209"/>
        <v>54.569591764642702</v>
      </c>
      <c r="BQ162" s="136">
        <f t="shared" si="209"/>
        <v>53.455926626588777</v>
      </c>
      <c r="BR162" s="136">
        <f t="shared" si="209"/>
        <v>52.342261488534838</v>
      </c>
    </row>
    <row r="163" spans="1:70">
      <c r="A163" t="s">
        <v>16</v>
      </c>
      <c r="B163" s="71" t="str">
        <f t="shared" si="206"/>
        <v>CEH</v>
      </c>
      <c r="C163" s="71" t="str">
        <f t="shared" si="207"/>
        <v>Commercial - Space Heating</v>
      </c>
      <c r="E163" s="90"/>
      <c r="F163" s="90"/>
      <c r="I163" s="131"/>
      <c r="L163" s="136">
        <f t="shared" si="208"/>
        <v>6.28140392600152</v>
      </c>
      <c r="M163" s="136">
        <f t="shared" si="208"/>
        <v>6.9171893669807822</v>
      </c>
      <c r="N163" s="136">
        <f t="shared" si="208"/>
        <v>7.5855832498491305</v>
      </c>
      <c r="O163" s="136">
        <f t="shared" si="208"/>
        <v>8.2559460453052562</v>
      </c>
      <c r="P163" s="136">
        <f t="shared" si="208"/>
        <v>8.934412578208482</v>
      </c>
      <c r="Q163" s="136">
        <f t="shared" si="208"/>
        <v>9.5943260623864006</v>
      </c>
      <c r="R163" s="136">
        <f t="shared" si="208"/>
        <v>9.4983828017625367</v>
      </c>
      <c r="S163" s="136">
        <f t="shared" si="208"/>
        <v>9.4024395411386728</v>
      </c>
      <c r="T163" s="136">
        <f t="shared" si="208"/>
        <v>9.3064962805148088</v>
      </c>
      <c r="U163" s="136">
        <f t="shared" si="208"/>
        <v>9.0371908774605121</v>
      </c>
      <c r="V163" s="136">
        <f t="shared" si="208"/>
        <v>8.7714971857068509</v>
      </c>
      <c r="W163" s="136">
        <f t="shared" si="208"/>
        <v>8.5094152052538234</v>
      </c>
      <c r="X163" s="136">
        <f t="shared" si="208"/>
        <v>8.250944936101428</v>
      </c>
      <c r="Y163" s="136">
        <f t="shared" si="208"/>
        <v>7.9960863782496681</v>
      </c>
      <c r="Z163" s="136">
        <f t="shared" si="208"/>
        <v>7.7448395316985437</v>
      </c>
      <c r="AA163" s="136">
        <f t="shared" si="208"/>
        <v>7.4972043964480513</v>
      </c>
      <c r="AB163" s="136">
        <f t="shared" si="208"/>
        <v>7.2531809724981935</v>
      </c>
      <c r="AC163" s="136">
        <f t="shared" si="208"/>
        <v>7.0127692598489695</v>
      </c>
      <c r="AD163" s="136">
        <f t="shared" si="208"/>
        <v>6.7759692585003748</v>
      </c>
      <c r="AE163" s="136">
        <f t="shared" si="208"/>
        <v>6.6980845543796805</v>
      </c>
      <c r="AF163" s="136">
        <f t="shared" si="208"/>
        <v>6.6201998502589872</v>
      </c>
      <c r="AG163" s="136">
        <f t="shared" si="208"/>
        <v>6.5423151461382929</v>
      </c>
      <c r="AH163" s="136">
        <f t="shared" si="208"/>
        <v>6.4644304420175986</v>
      </c>
      <c r="AI163" s="136">
        <f t="shared" si="208"/>
        <v>6.3865457378969044</v>
      </c>
      <c r="AJ163" s="136">
        <f t="shared" si="208"/>
        <v>6.308661033776211</v>
      </c>
      <c r="AK163" s="136">
        <f t="shared" si="208"/>
        <v>6.2307763296555168</v>
      </c>
      <c r="AL163" s="136">
        <f t="shared" si="208"/>
        <v>6.1528916255348234</v>
      </c>
      <c r="AM163" s="136">
        <f t="shared" si="208"/>
        <v>6.0750069214141282</v>
      </c>
      <c r="AN163" s="136">
        <f t="shared" si="208"/>
        <v>5.9971222172934349</v>
      </c>
      <c r="AO163" s="136">
        <f t="shared" si="208"/>
        <v>5.9192375131727406</v>
      </c>
      <c r="AP163" s="136">
        <f t="shared" si="208"/>
        <v>5.8413528090520455</v>
      </c>
      <c r="AQ163" s="136">
        <f t="shared" si="208"/>
        <v>5.7634681049313521</v>
      </c>
      <c r="AR163" s="136">
        <f t="shared" si="208"/>
        <v>5.6855834008106587</v>
      </c>
      <c r="AS163" s="136">
        <f t="shared" si="208"/>
        <v>5.6076986966899636</v>
      </c>
      <c r="AT163" s="136">
        <f t="shared" si="208"/>
        <v>5.5298139925692702</v>
      </c>
      <c r="AU163" s="136">
        <f t="shared" si="208"/>
        <v>5.4519292884485759</v>
      </c>
      <c r="AV163" s="136">
        <f t="shared" si="208"/>
        <v>5.3740445843278826</v>
      </c>
      <c r="AW163" s="136">
        <f t="shared" si="208"/>
        <v>5.2961598802071883</v>
      </c>
      <c r="AX163" s="136">
        <f t="shared" si="208"/>
        <v>5.218275176086494</v>
      </c>
      <c r="AY163" s="136">
        <f t="shared" si="209"/>
        <v>5.1403904719658007</v>
      </c>
      <c r="AZ163" s="136">
        <f t="shared" si="209"/>
        <v>5.0625057678451055</v>
      </c>
      <c r="BA163" s="136">
        <f t="shared" si="209"/>
        <v>4.9846210637244122</v>
      </c>
      <c r="BB163" s="136">
        <f t="shared" si="209"/>
        <v>4.9067363596037188</v>
      </c>
      <c r="BC163" s="136">
        <f t="shared" si="209"/>
        <v>4.8288516554830236</v>
      </c>
      <c r="BD163" s="136">
        <f t="shared" si="209"/>
        <v>4.7509669513623303</v>
      </c>
      <c r="BE163" s="136">
        <f t="shared" si="209"/>
        <v>4.6730822472416369</v>
      </c>
      <c r="BF163" s="136">
        <f t="shared" si="209"/>
        <v>4.5951975431209418</v>
      </c>
      <c r="BG163" s="136">
        <f t="shared" si="209"/>
        <v>4.5173128390002475</v>
      </c>
      <c r="BH163" s="136">
        <f t="shared" si="209"/>
        <v>4.4394281348795532</v>
      </c>
      <c r="BI163" s="136">
        <f t="shared" si="209"/>
        <v>4.361543430758859</v>
      </c>
      <c r="BJ163" s="136">
        <f t="shared" si="209"/>
        <v>4.2836587266381656</v>
      </c>
      <c r="BK163" s="136">
        <f t="shared" si="209"/>
        <v>4.2057740225174713</v>
      </c>
      <c r="BL163" s="136">
        <f t="shared" si="209"/>
        <v>4.1278893183967771</v>
      </c>
      <c r="BM163" s="136">
        <f t="shared" si="209"/>
        <v>4.0500046142760828</v>
      </c>
      <c r="BN163" s="136">
        <f t="shared" si="209"/>
        <v>3.9721199101553895</v>
      </c>
      <c r="BO163" s="136">
        <f t="shared" si="209"/>
        <v>3.8942352060346956</v>
      </c>
      <c r="BP163" s="136">
        <f t="shared" si="209"/>
        <v>3.8163505019140009</v>
      </c>
      <c r="BQ163" s="136">
        <f t="shared" si="209"/>
        <v>3.7384657977933076</v>
      </c>
      <c r="BR163" s="136">
        <f t="shared" si="209"/>
        <v>3.6605810936726129</v>
      </c>
    </row>
    <row r="164" spans="1:70">
      <c r="A164" t="s">
        <v>16</v>
      </c>
      <c r="B164" s="71" t="str">
        <f t="shared" si="206"/>
        <v>CEK</v>
      </c>
      <c r="C164" s="71" t="str">
        <f t="shared" si="207"/>
        <v>Commercial - Cooking</v>
      </c>
      <c r="E164" s="90"/>
      <c r="F164" s="90"/>
      <c r="I164" s="131"/>
      <c r="L164" s="136">
        <f t="shared" si="208"/>
        <v>7.915599805223807</v>
      </c>
      <c r="M164" s="136">
        <f t="shared" si="208"/>
        <v>7.7696646064136052</v>
      </c>
      <c r="N164" s="136">
        <f t="shared" si="208"/>
        <v>7.642332272454734</v>
      </c>
      <c r="O164" s="136">
        <f t="shared" si="208"/>
        <v>7.4991395352899008</v>
      </c>
      <c r="P164" s="136">
        <f t="shared" si="208"/>
        <v>7.3481690340511499</v>
      </c>
      <c r="Q164" s="136">
        <f t="shared" si="208"/>
        <v>7.1703912926420719</v>
      </c>
      <c r="R164" s="136">
        <f t="shared" si="208"/>
        <v>7.09868737971565</v>
      </c>
      <c r="S164" s="136">
        <f t="shared" si="208"/>
        <v>7.026983466789229</v>
      </c>
      <c r="T164" s="136">
        <f t="shared" si="208"/>
        <v>6.9552795538628089</v>
      </c>
      <c r="U164" s="136">
        <f t="shared" si="208"/>
        <v>6.9485048545341623</v>
      </c>
      <c r="V164" s="136">
        <f t="shared" si="208"/>
        <v>6.9403774632555626</v>
      </c>
      <c r="W164" s="136">
        <f t="shared" si="208"/>
        <v>6.9308973800270106</v>
      </c>
      <c r="X164" s="136">
        <f t="shared" si="208"/>
        <v>6.9200646048485028</v>
      </c>
      <c r="Y164" s="136">
        <f t="shared" si="208"/>
        <v>6.907879137720041</v>
      </c>
      <c r="Z164" s="136">
        <f t="shared" si="208"/>
        <v>6.8943409786416279</v>
      </c>
      <c r="AA164" s="136">
        <f t="shared" si="208"/>
        <v>6.8794501276132607</v>
      </c>
      <c r="AB164" s="136">
        <f t="shared" si="208"/>
        <v>6.8632065846349386</v>
      </c>
      <c r="AC164" s="136">
        <f t="shared" si="208"/>
        <v>6.8456103497066634</v>
      </c>
      <c r="AD164" s="136">
        <f t="shared" si="208"/>
        <v>6.8266614228284315</v>
      </c>
      <c r="AE164" s="136">
        <f t="shared" si="208"/>
        <v>6.7481940501522422</v>
      </c>
      <c r="AF164" s="136">
        <f t="shared" si="208"/>
        <v>6.6697266774760537</v>
      </c>
      <c r="AG164" s="136">
        <f t="shared" si="208"/>
        <v>6.5912593047998653</v>
      </c>
      <c r="AH164" s="136">
        <f t="shared" si="208"/>
        <v>6.5127919321236751</v>
      </c>
      <c r="AI164" s="136">
        <f t="shared" si="208"/>
        <v>6.4343245594474867</v>
      </c>
      <c r="AJ164" s="136">
        <f t="shared" si="208"/>
        <v>6.3558571867712983</v>
      </c>
      <c r="AK164" s="136">
        <f t="shared" si="208"/>
        <v>6.2773898140951099</v>
      </c>
      <c r="AL164" s="136">
        <f t="shared" si="208"/>
        <v>6.1989224414189206</v>
      </c>
      <c r="AM164" s="136">
        <f t="shared" si="208"/>
        <v>6.1204550687427313</v>
      </c>
      <c r="AN164" s="136">
        <f t="shared" si="208"/>
        <v>6.0419876960665428</v>
      </c>
      <c r="AO164" s="136">
        <f t="shared" si="208"/>
        <v>5.9635203233903527</v>
      </c>
      <c r="AP164" s="136">
        <f t="shared" si="208"/>
        <v>5.8850529507141633</v>
      </c>
      <c r="AQ164" s="136">
        <f t="shared" si="208"/>
        <v>5.8065855780379749</v>
      </c>
      <c r="AR164" s="136">
        <f t="shared" si="208"/>
        <v>5.7281182053617865</v>
      </c>
      <c r="AS164" s="136">
        <f t="shared" si="208"/>
        <v>5.6496508326855972</v>
      </c>
      <c r="AT164" s="136">
        <f t="shared" si="208"/>
        <v>5.5711834600094088</v>
      </c>
      <c r="AU164" s="136">
        <f t="shared" si="208"/>
        <v>5.4927160873332186</v>
      </c>
      <c r="AV164" s="136">
        <f t="shared" si="208"/>
        <v>5.4142487146570311</v>
      </c>
      <c r="AW164" s="136">
        <f t="shared" si="208"/>
        <v>5.3357813419808418</v>
      </c>
      <c r="AX164" s="136">
        <f t="shared" si="208"/>
        <v>5.2573139693046524</v>
      </c>
      <c r="AY164" s="136">
        <f t="shared" si="209"/>
        <v>5.178846596628464</v>
      </c>
      <c r="AZ164" s="136">
        <f t="shared" si="209"/>
        <v>5.1003792239522747</v>
      </c>
      <c r="BA164" s="136">
        <f t="shared" si="209"/>
        <v>5.0219118512760863</v>
      </c>
      <c r="BB164" s="136">
        <f t="shared" si="209"/>
        <v>4.9434444785998979</v>
      </c>
      <c r="BC164" s="136">
        <f t="shared" si="209"/>
        <v>4.8649771059237077</v>
      </c>
      <c r="BD164" s="136">
        <f t="shared" si="209"/>
        <v>4.7865097332475202</v>
      </c>
      <c r="BE164" s="136">
        <f t="shared" si="209"/>
        <v>4.70804236057133</v>
      </c>
      <c r="BF164" s="136">
        <f t="shared" si="209"/>
        <v>4.6295749878951407</v>
      </c>
      <c r="BG164" s="136">
        <f t="shared" si="209"/>
        <v>4.5511076152189522</v>
      </c>
      <c r="BH164" s="136">
        <f t="shared" si="209"/>
        <v>4.4726402425427629</v>
      </c>
      <c r="BI164" s="136">
        <f t="shared" si="209"/>
        <v>4.3941728698665745</v>
      </c>
      <c r="BJ164" s="136">
        <f t="shared" si="209"/>
        <v>4.3157054971903852</v>
      </c>
      <c r="BK164" s="136">
        <f t="shared" si="209"/>
        <v>4.2372381245141959</v>
      </c>
      <c r="BL164" s="136">
        <f t="shared" si="209"/>
        <v>4.1587707518380075</v>
      </c>
      <c r="BM164" s="136">
        <f t="shared" si="209"/>
        <v>4.0803033791618182</v>
      </c>
      <c r="BN164" s="136">
        <f t="shared" si="209"/>
        <v>4.0018360064856298</v>
      </c>
      <c r="BO164" s="136">
        <f t="shared" si="209"/>
        <v>3.9233686338094413</v>
      </c>
      <c r="BP164" s="136">
        <f t="shared" si="209"/>
        <v>3.8449012611332516</v>
      </c>
      <c r="BQ164" s="136">
        <f t="shared" si="209"/>
        <v>3.7664338884570627</v>
      </c>
      <c r="BR164" s="136">
        <f t="shared" si="209"/>
        <v>3.6879665157808734</v>
      </c>
    </row>
    <row r="165" spans="1:70">
      <c r="A165" t="s">
        <v>16</v>
      </c>
      <c r="B165" s="71" t="str">
        <f t="shared" si="206"/>
        <v>CEL</v>
      </c>
      <c r="C165" s="71" t="str">
        <f t="shared" si="207"/>
        <v>Commercial - Lighting</v>
      </c>
      <c r="E165" s="90"/>
      <c r="F165" s="90"/>
      <c r="I165" s="131"/>
      <c r="L165" s="136">
        <f t="shared" si="208"/>
        <v>97.232217524551203</v>
      </c>
      <c r="M165" s="136">
        <f t="shared" si="208"/>
        <v>95.693829257941303</v>
      </c>
      <c r="N165" s="136">
        <f t="shared" si="208"/>
        <v>94.389987938717084</v>
      </c>
      <c r="O165" s="136">
        <f t="shared" si="208"/>
        <v>92.896246617656274</v>
      </c>
      <c r="P165" s="136">
        <f t="shared" si="208"/>
        <v>91.311794943865138</v>
      </c>
      <c r="Q165" s="136">
        <f t="shared" si="208"/>
        <v>89.398973282363997</v>
      </c>
      <c r="R165" s="136">
        <f t="shared" si="208"/>
        <v>88.504983549540356</v>
      </c>
      <c r="S165" s="136">
        <f t="shared" si="208"/>
        <v>87.610993816716714</v>
      </c>
      <c r="T165" s="136">
        <f t="shared" si="208"/>
        <v>86.717004083893073</v>
      </c>
      <c r="U165" s="136">
        <f t="shared" si="208"/>
        <v>86.544512767345978</v>
      </c>
      <c r="V165" s="136">
        <f t="shared" si="208"/>
        <v>86.356990233793113</v>
      </c>
      <c r="W165" s="136">
        <f t="shared" si="208"/>
        <v>86.154436483234505</v>
      </c>
      <c r="X165" s="136">
        <f t="shared" si="208"/>
        <v>85.936851515670128</v>
      </c>
      <c r="Y165" s="136">
        <f t="shared" si="208"/>
        <v>85.70423533109998</v>
      </c>
      <c r="Z165" s="136">
        <f t="shared" si="208"/>
        <v>85.456587929524076</v>
      </c>
      <c r="AA165" s="136">
        <f t="shared" si="208"/>
        <v>85.193909310942416</v>
      </c>
      <c r="AB165" s="136">
        <f t="shared" si="208"/>
        <v>84.916199475354986</v>
      </c>
      <c r="AC165" s="136">
        <f t="shared" si="208"/>
        <v>84.6234584227618</v>
      </c>
      <c r="AD165" s="136">
        <f t="shared" si="208"/>
        <v>84.315686153162815</v>
      </c>
      <c r="AE165" s="136">
        <f t="shared" si="208"/>
        <v>83.346540335310365</v>
      </c>
      <c r="AF165" s="136">
        <f t="shared" si="208"/>
        <v>82.377394517457915</v>
      </c>
      <c r="AG165" s="136">
        <f t="shared" si="208"/>
        <v>81.408248699605466</v>
      </c>
      <c r="AH165" s="136">
        <f t="shared" si="208"/>
        <v>80.439102881753016</v>
      </c>
      <c r="AI165" s="136">
        <f t="shared" si="208"/>
        <v>79.469957063900566</v>
      </c>
      <c r="AJ165" s="136">
        <f t="shared" si="208"/>
        <v>78.500811246048116</v>
      </c>
      <c r="AK165" s="136">
        <f t="shared" si="208"/>
        <v>77.531665428195666</v>
      </c>
      <c r="AL165" s="136">
        <f t="shared" si="208"/>
        <v>76.56251961034323</v>
      </c>
      <c r="AM165" s="136">
        <f t="shared" si="208"/>
        <v>75.59337379249078</v>
      </c>
      <c r="AN165" s="136">
        <f t="shared" si="208"/>
        <v>74.62422797463833</v>
      </c>
      <c r="AO165" s="136">
        <f t="shared" si="208"/>
        <v>73.65508215678588</v>
      </c>
      <c r="AP165" s="136">
        <f t="shared" si="208"/>
        <v>72.685936338933431</v>
      </c>
      <c r="AQ165" s="136">
        <f t="shared" si="208"/>
        <v>71.716790521080981</v>
      </c>
      <c r="AR165" s="136">
        <f t="shared" si="208"/>
        <v>70.747644703228545</v>
      </c>
      <c r="AS165" s="136">
        <f t="shared" si="208"/>
        <v>69.778498885376081</v>
      </c>
      <c r="AT165" s="136">
        <f t="shared" si="208"/>
        <v>68.809353067523659</v>
      </c>
      <c r="AU165" s="136">
        <f t="shared" si="208"/>
        <v>67.840207249671195</v>
      </c>
      <c r="AV165" s="136">
        <f t="shared" si="208"/>
        <v>66.87106143181876</v>
      </c>
      <c r="AW165" s="136">
        <f t="shared" si="208"/>
        <v>65.90191561396631</v>
      </c>
      <c r="AX165" s="136">
        <f t="shared" si="208"/>
        <v>64.93276979611386</v>
      </c>
      <c r="AY165" s="136">
        <f t="shared" si="209"/>
        <v>63.963623978261417</v>
      </c>
      <c r="AZ165" s="136">
        <f t="shared" si="209"/>
        <v>62.994478160408967</v>
      </c>
      <c r="BA165" s="136">
        <f t="shared" si="209"/>
        <v>62.025332342556517</v>
      </c>
      <c r="BB165" s="136">
        <f t="shared" si="209"/>
        <v>61.056186524704081</v>
      </c>
      <c r="BC165" s="136">
        <f t="shared" si="209"/>
        <v>60.087040706851624</v>
      </c>
      <c r="BD165" s="136">
        <f t="shared" si="209"/>
        <v>59.117894888999189</v>
      </c>
      <c r="BE165" s="136">
        <f t="shared" si="209"/>
        <v>58.148749071146739</v>
      </c>
      <c r="BF165" s="136">
        <f t="shared" si="209"/>
        <v>57.179603253294289</v>
      </c>
      <c r="BG165" s="136">
        <f t="shared" si="209"/>
        <v>56.210457435441846</v>
      </c>
      <c r="BH165" s="136">
        <f t="shared" si="209"/>
        <v>55.241311617589389</v>
      </c>
      <c r="BI165" s="136">
        <f t="shared" si="209"/>
        <v>54.272165799736946</v>
      </c>
      <c r="BJ165" s="136">
        <f t="shared" si="209"/>
        <v>53.303019981884496</v>
      </c>
      <c r="BK165" s="136">
        <f t="shared" si="209"/>
        <v>52.333874164032053</v>
      </c>
      <c r="BL165" s="136">
        <f t="shared" si="209"/>
        <v>51.364728346179604</v>
      </c>
      <c r="BM165" s="136">
        <f t="shared" si="209"/>
        <v>50.395582528327154</v>
      </c>
      <c r="BN165" s="136">
        <f t="shared" si="209"/>
        <v>49.426436710474711</v>
      </c>
      <c r="BO165" s="136">
        <f t="shared" si="209"/>
        <v>48.457290892622275</v>
      </c>
      <c r="BP165" s="136">
        <f t="shared" si="209"/>
        <v>47.488145074769818</v>
      </c>
      <c r="BQ165" s="136">
        <f t="shared" si="209"/>
        <v>46.518999256917375</v>
      </c>
      <c r="BR165" s="136">
        <f t="shared" si="209"/>
        <v>45.549853439064925</v>
      </c>
    </row>
    <row r="166" spans="1:70">
      <c r="A166" t="s">
        <v>16</v>
      </c>
      <c r="B166" s="71" t="str">
        <f t="shared" si="206"/>
        <v>CER</v>
      </c>
      <c r="C166" s="71" t="str">
        <f t="shared" si="207"/>
        <v>Commercial - Refrigeration</v>
      </c>
      <c r="E166" s="90"/>
      <c r="F166" s="90"/>
      <c r="I166" s="131"/>
      <c r="L166" s="136">
        <f t="shared" si="208"/>
        <v>23.65311229899768</v>
      </c>
      <c r="M166" s="136">
        <f t="shared" si="208"/>
        <v>23.278877592066362</v>
      </c>
      <c r="N166" s="136">
        <f t="shared" si="208"/>
        <v>22.961699747841056</v>
      </c>
      <c r="O166" s="136">
        <f t="shared" si="208"/>
        <v>22.598326041962327</v>
      </c>
      <c r="P166" s="136">
        <f t="shared" si="208"/>
        <v>22.21288575965001</v>
      </c>
      <c r="Q166" s="136">
        <f t="shared" si="208"/>
        <v>21.747564832910722</v>
      </c>
      <c r="R166" s="136">
        <f t="shared" si="208"/>
        <v>21.530089184581612</v>
      </c>
      <c r="S166" s="136">
        <f t="shared" si="208"/>
        <v>21.312613536252506</v>
      </c>
      <c r="T166" s="136">
        <f t="shared" si="208"/>
        <v>21.095137887923396</v>
      </c>
      <c r="U166" s="136">
        <f t="shared" si="208"/>
        <v>21.053176935219007</v>
      </c>
      <c r="V166" s="136">
        <f t="shared" si="208"/>
        <v>21.007559426355765</v>
      </c>
      <c r="W166" s="136">
        <f t="shared" si="208"/>
        <v>20.958285361333676</v>
      </c>
      <c r="X166" s="136">
        <f t="shared" si="208"/>
        <v>20.905354740152738</v>
      </c>
      <c r="Y166" s="136">
        <f t="shared" si="208"/>
        <v>20.848767562812956</v>
      </c>
      <c r="Z166" s="136">
        <f t="shared" si="208"/>
        <v>20.788523829314322</v>
      </c>
      <c r="AA166" s="136">
        <f t="shared" si="208"/>
        <v>20.724623539656839</v>
      </c>
      <c r="AB166" s="136">
        <f t="shared" si="208"/>
        <v>20.657066693840513</v>
      </c>
      <c r="AC166" s="136">
        <f t="shared" si="208"/>
        <v>20.585853291865334</v>
      </c>
      <c r="AD166" s="136">
        <f t="shared" si="208"/>
        <v>20.510983333731296</v>
      </c>
      <c r="AE166" s="136">
        <f t="shared" si="208"/>
        <v>20.275224904607946</v>
      </c>
      <c r="AF166" s="136">
        <f t="shared" si="208"/>
        <v>20.039466475484598</v>
      </c>
      <c r="AG166" s="136">
        <f t="shared" si="208"/>
        <v>19.803708046361251</v>
      </c>
      <c r="AH166" s="136">
        <f t="shared" si="208"/>
        <v>19.5679496172379</v>
      </c>
      <c r="AI166" s="136">
        <f t="shared" si="208"/>
        <v>19.33219118811455</v>
      </c>
      <c r="AJ166" s="136">
        <f t="shared" si="208"/>
        <v>19.096432758991206</v>
      </c>
      <c r="AK166" s="136">
        <f t="shared" si="208"/>
        <v>18.860674329867855</v>
      </c>
      <c r="AL166" s="136">
        <f t="shared" si="208"/>
        <v>18.624915900744508</v>
      </c>
      <c r="AM166" s="136">
        <f t="shared" si="208"/>
        <v>18.389157471621157</v>
      </c>
      <c r="AN166" s="136">
        <f t="shared" si="208"/>
        <v>18.15339904249781</v>
      </c>
      <c r="AO166" s="136">
        <f t="shared" si="208"/>
        <v>17.917640613374459</v>
      </c>
      <c r="AP166" s="136">
        <f t="shared" si="208"/>
        <v>17.681882184251112</v>
      </c>
      <c r="AQ166" s="136">
        <f t="shared" si="208"/>
        <v>17.446123755127761</v>
      </c>
      <c r="AR166" s="136">
        <f t="shared" si="208"/>
        <v>17.210365326004418</v>
      </c>
      <c r="AS166" s="136">
        <f t="shared" si="208"/>
        <v>16.97460689688107</v>
      </c>
      <c r="AT166" s="136">
        <f t="shared" si="208"/>
        <v>16.738848467757723</v>
      </c>
      <c r="AU166" s="136">
        <f t="shared" si="208"/>
        <v>16.503090038634372</v>
      </c>
      <c r="AV166" s="136">
        <f t="shared" si="208"/>
        <v>16.267331609511025</v>
      </c>
      <c r="AW166" s="136">
        <f t="shared" si="208"/>
        <v>16.031573180387674</v>
      </c>
      <c r="AX166" s="136">
        <f t="shared" si="208"/>
        <v>15.795814751264327</v>
      </c>
      <c r="AY166" s="136">
        <f t="shared" si="209"/>
        <v>15.560056322140978</v>
      </c>
      <c r="AZ166" s="136">
        <f t="shared" si="209"/>
        <v>15.324297893017629</v>
      </c>
      <c r="BA166" s="136">
        <f t="shared" si="209"/>
        <v>15.08853946389428</v>
      </c>
      <c r="BB166" s="136">
        <f t="shared" si="209"/>
        <v>14.852781034770935</v>
      </c>
      <c r="BC166" s="136">
        <f t="shared" si="209"/>
        <v>14.617022605647582</v>
      </c>
      <c r="BD166" s="136">
        <f t="shared" si="209"/>
        <v>14.381264176524237</v>
      </c>
      <c r="BE166" s="136">
        <f t="shared" si="209"/>
        <v>14.145505747400888</v>
      </c>
      <c r="BF166" s="136">
        <f t="shared" si="209"/>
        <v>13.909747318277539</v>
      </c>
      <c r="BG166" s="136">
        <f t="shared" si="209"/>
        <v>13.67398888915419</v>
      </c>
      <c r="BH166" s="136">
        <f t="shared" si="209"/>
        <v>13.438230460030839</v>
      </c>
      <c r="BI166" s="136">
        <f t="shared" si="209"/>
        <v>13.202472030907494</v>
      </c>
      <c r="BJ166" s="136">
        <f t="shared" si="209"/>
        <v>12.966713601784145</v>
      </c>
      <c r="BK166" s="136">
        <f t="shared" si="209"/>
        <v>12.730955172660796</v>
      </c>
      <c r="BL166" s="136">
        <f t="shared" si="209"/>
        <v>12.495196743537447</v>
      </c>
      <c r="BM166" s="136">
        <f t="shared" si="209"/>
        <v>12.259438314414098</v>
      </c>
      <c r="BN166" s="136">
        <f t="shared" si="209"/>
        <v>12.02367988529075</v>
      </c>
      <c r="BO166" s="136">
        <f t="shared" si="209"/>
        <v>11.787921456167403</v>
      </c>
      <c r="BP166" s="136">
        <f t="shared" si="209"/>
        <v>11.552163027044053</v>
      </c>
      <c r="BQ166" s="136">
        <f t="shared" si="209"/>
        <v>11.316404597920705</v>
      </c>
      <c r="BR166" s="136">
        <f t="shared" si="209"/>
        <v>11.080646168797355</v>
      </c>
    </row>
    <row r="167" spans="1:70">
      <c r="A167" t="s">
        <v>16</v>
      </c>
      <c r="B167" s="71" t="str">
        <f t="shared" si="206"/>
        <v>CEW</v>
      </c>
      <c r="C167" s="71" t="str">
        <f t="shared" si="207"/>
        <v>Commercial - Water Heating</v>
      </c>
      <c r="E167" s="90"/>
      <c r="F167" s="90"/>
      <c r="I167" s="131"/>
      <c r="L167" s="136">
        <f t="shared" si="208"/>
        <v>7.7464872184600244</v>
      </c>
      <c r="M167" s="136">
        <f t="shared" si="208"/>
        <v>8.4692681971353831</v>
      </c>
      <c r="N167" s="136">
        <f t="shared" si="208"/>
        <v>9.2308078133375027</v>
      </c>
      <c r="O167" s="136">
        <f t="shared" si="208"/>
        <v>9.9935885524186734</v>
      </c>
      <c r="P167" s="136">
        <f t="shared" si="208"/>
        <v>10.765198898839666</v>
      </c>
      <c r="Q167" s="136">
        <f t="shared" si="208"/>
        <v>11.51370704778744</v>
      </c>
      <c r="R167" s="136">
        <f t="shared" si="208"/>
        <v>11.398569977309565</v>
      </c>
      <c r="S167" s="136">
        <f t="shared" si="208"/>
        <v>11.283432906831692</v>
      </c>
      <c r="T167" s="136">
        <f t="shared" si="208"/>
        <v>11.168295836353817</v>
      </c>
      <c r="U167" s="136">
        <f t="shared" si="208"/>
        <v>10.857701977496282</v>
      </c>
      <c r="V167" s="136">
        <f t="shared" si="208"/>
        <v>10.551180135063321</v>
      </c>
      <c r="W167" s="136">
        <f t="shared" si="208"/>
        <v>10.24873030905494</v>
      </c>
      <c r="X167" s="136">
        <f t="shared" si="208"/>
        <v>9.9503524994711317</v>
      </c>
      <c r="Y167" s="136">
        <f t="shared" si="208"/>
        <v>9.6560467063118995</v>
      </c>
      <c r="Z167" s="136">
        <f t="shared" si="208"/>
        <v>9.3658129295772454</v>
      </c>
      <c r="AA167" s="136">
        <f t="shared" si="208"/>
        <v>9.0796511692671675</v>
      </c>
      <c r="AB167" s="136">
        <f t="shared" si="208"/>
        <v>8.7975614253816659</v>
      </c>
      <c r="AC167" s="136">
        <f t="shared" si="208"/>
        <v>8.5195436979207404</v>
      </c>
      <c r="AD167" s="136">
        <f t="shared" si="208"/>
        <v>8.2455979868843929</v>
      </c>
      <c r="AE167" s="136">
        <f t="shared" si="208"/>
        <v>8.1508209985293991</v>
      </c>
      <c r="AF167" s="136">
        <f t="shared" si="208"/>
        <v>8.0560440101744071</v>
      </c>
      <c r="AG167" s="136">
        <f t="shared" si="208"/>
        <v>7.9612670218194141</v>
      </c>
      <c r="AH167" s="136">
        <f t="shared" si="208"/>
        <v>7.8664900334644212</v>
      </c>
      <c r="AI167" s="136">
        <f t="shared" si="208"/>
        <v>7.7717130451094274</v>
      </c>
      <c r="AJ167" s="136">
        <f t="shared" si="208"/>
        <v>7.6769360567544354</v>
      </c>
      <c r="AK167" s="136">
        <f t="shared" si="208"/>
        <v>7.5821590683994415</v>
      </c>
      <c r="AL167" s="136">
        <f t="shared" si="208"/>
        <v>7.4873820800444486</v>
      </c>
      <c r="AM167" s="136">
        <f t="shared" si="208"/>
        <v>7.3926050916894557</v>
      </c>
      <c r="AN167" s="136">
        <f t="shared" si="208"/>
        <v>7.2978281033344619</v>
      </c>
      <c r="AO167" s="136">
        <f t="shared" si="208"/>
        <v>7.2030511149794689</v>
      </c>
      <c r="AP167" s="136">
        <f t="shared" si="208"/>
        <v>7.108274126624476</v>
      </c>
      <c r="AQ167" s="136">
        <f t="shared" si="208"/>
        <v>7.0134971382694822</v>
      </c>
      <c r="AR167" s="136">
        <f t="shared" si="208"/>
        <v>6.9187201499144901</v>
      </c>
      <c r="AS167" s="136">
        <f t="shared" si="208"/>
        <v>6.8239431615594954</v>
      </c>
      <c r="AT167" s="136">
        <f t="shared" si="208"/>
        <v>6.7291661732045043</v>
      </c>
      <c r="AU167" s="136">
        <f t="shared" si="208"/>
        <v>6.6343891848495096</v>
      </c>
      <c r="AV167" s="136">
        <f t="shared" si="208"/>
        <v>6.5396121964945175</v>
      </c>
      <c r="AW167" s="136">
        <f t="shared" si="208"/>
        <v>6.4448352081395246</v>
      </c>
      <c r="AX167" s="136">
        <f t="shared" si="208"/>
        <v>6.3500582197845308</v>
      </c>
      <c r="AY167" s="136">
        <f t="shared" si="209"/>
        <v>6.2552812314295378</v>
      </c>
      <c r="AZ167" s="136">
        <f t="shared" si="209"/>
        <v>6.160504243074544</v>
      </c>
      <c r="BA167" s="136">
        <f t="shared" si="209"/>
        <v>6.065727254719552</v>
      </c>
      <c r="BB167" s="136">
        <f t="shared" si="209"/>
        <v>5.9709502663645591</v>
      </c>
      <c r="BC167" s="136">
        <f t="shared" si="209"/>
        <v>5.8761732780095643</v>
      </c>
      <c r="BD167" s="136">
        <f t="shared" si="209"/>
        <v>5.7813962896545723</v>
      </c>
      <c r="BE167" s="136">
        <f t="shared" si="209"/>
        <v>5.6866193012995803</v>
      </c>
      <c r="BF167" s="136">
        <f t="shared" si="209"/>
        <v>5.5918423129445864</v>
      </c>
      <c r="BG167" s="136">
        <f t="shared" si="209"/>
        <v>5.4970653245895926</v>
      </c>
      <c r="BH167" s="136">
        <f t="shared" si="209"/>
        <v>5.4022883362345988</v>
      </c>
      <c r="BI167" s="136">
        <f t="shared" si="209"/>
        <v>5.3075113478796068</v>
      </c>
      <c r="BJ167" s="136">
        <f t="shared" si="209"/>
        <v>5.2127343595246129</v>
      </c>
      <c r="BK167" s="136">
        <f t="shared" si="209"/>
        <v>5.11795737116962</v>
      </c>
      <c r="BL167" s="136">
        <f t="shared" si="209"/>
        <v>5.0231803828146271</v>
      </c>
      <c r="BM167" s="136">
        <f t="shared" si="209"/>
        <v>4.9284033944596342</v>
      </c>
      <c r="BN167" s="136">
        <f t="shared" si="209"/>
        <v>4.8336264061046412</v>
      </c>
      <c r="BO167" s="136">
        <f t="shared" si="209"/>
        <v>4.7388494177496483</v>
      </c>
      <c r="BP167" s="136">
        <f t="shared" si="209"/>
        <v>4.6440724293946545</v>
      </c>
      <c r="BQ167" s="136">
        <f t="shared" si="209"/>
        <v>4.5492954410396624</v>
      </c>
      <c r="BR167" s="136">
        <f t="shared" si="209"/>
        <v>4.4545184526846677</v>
      </c>
    </row>
    <row r="168" spans="1:70">
      <c r="A168" t="s">
        <v>16</v>
      </c>
      <c r="B168" s="71" t="str">
        <f t="shared" si="206"/>
        <v>CEG</v>
      </c>
      <c r="C168" s="71" t="str">
        <f t="shared" si="207"/>
        <v>Commercial - Public lights</v>
      </c>
      <c r="E168" s="90"/>
      <c r="F168" s="90"/>
      <c r="I168" s="131"/>
      <c r="L168" s="136">
        <f t="shared" si="208"/>
        <v>0</v>
      </c>
      <c r="M168" s="136">
        <f t="shared" si="208"/>
        <v>0</v>
      </c>
      <c r="N168" s="136">
        <f t="shared" si="208"/>
        <v>0</v>
      </c>
      <c r="O168" s="136">
        <f t="shared" si="208"/>
        <v>0</v>
      </c>
      <c r="P168" s="136">
        <f t="shared" si="208"/>
        <v>0</v>
      </c>
      <c r="Q168" s="136">
        <f t="shared" si="208"/>
        <v>0</v>
      </c>
      <c r="R168" s="136">
        <f t="shared" si="208"/>
        <v>0</v>
      </c>
      <c r="S168" s="136">
        <f t="shared" si="208"/>
        <v>0</v>
      </c>
      <c r="T168" s="136">
        <f t="shared" si="208"/>
        <v>0</v>
      </c>
      <c r="U168" s="136">
        <f t="shared" si="208"/>
        <v>0</v>
      </c>
      <c r="V168" s="136">
        <f t="shared" si="208"/>
        <v>0</v>
      </c>
      <c r="W168" s="136">
        <f t="shared" si="208"/>
        <v>0</v>
      </c>
      <c r="X168" s="136">
        <f t="shared" si="208"/>
        <v>0</v>
      </c>
      <c r="Y168" s="136">
        <f t="shared" si="208"/>
        <v>0</v>
      </c>
      <c r="Z168" s="136">
        <f t="shared" si="208"/>
        <v>0</v>
      </c>
      <c r="AA168" s="136">
        <f t="shared" si="208"/>
        <v>0</v>
      </c>
      <c r="AB168" s="136">
        <f t="shared" si="208"/>
        <v>0</v>
      </c>
      <c r="AC168" s="136">
        <f t="shared" si="208"/>
        <v>0</v>
      </c>
      <c r="AD168" s="136">
        <f t="shared" si="208"/>
        <v>0</v>
      </c>
      <c r="AE168" s="136">
        <f t="shared" si="208"/>
        <v>0</v>
      </c>
      <c r="AF168" s="136">
        <f t="shared" si="208"/>
        <v>0</v>
      </c>
      <c r="AG168" s="136">
        <f t="shared" si="208"/>
        <v>0</v>
      </c>
      <c r="AH168" s="136">
        <f t="shared" ref="AH168:AX168" si="210">AH$35*AH76/1000</f>
        <v>0</v>
      </c>
      <c r="AI168" s="136">
        <f t="shared" si="210"/>
        <v>0</v>
      </c>
      <c r="AJ168" s="136">
        <f t="shared" si="210"/>
        <v>0</v>
      </c>
      <c r="AK168" s="136">
        <f t="shared" si="210"/>
        <v>0</v>
      </c>
      <c r="AL168" s="136">
        <f t="shared" si="210"/>
        <v>0</v>
      </c>
      <c r="AM168" s="136">
        <f t="shared" si="210"/>
        <v>0</v>
      </c>
      <c r="AN168" s="136">
        <f t="shared" si="210"/>
        <v>0</v>
      </c>
      <c r="AO168" s="136">
        <f t="shared" si="210"/>
        <v>0</v>
      </c>
      <c r="AP168" s="136">
        <f t="shared" si="210"/>
        <v>0</v>
      </c>
      <c r="AQ168" s="136">
        <f t="shared" si="210"/>
        <v>0</v>
      </c>
      <c r="AR168" s="136">
        <f t="shared" si="210"/>
        <v>0</v>
      </c>
      <c r="AS168" s="136">
        <f t="shared" si="210"/>
        <v>0</v>
      </c>
      <c r="AT168" s="136">
        <f t="shared" si="210"/>
        <v>0</v>
      </c>
      <c r="AU168" s="136">
        <f t="shared" si="210"/>
        <v>0</v>
      </c>
      <c r="AV168" s="136">
        <f t="shared" si="210"/>
        <v>0</v>
      </c>
      <c r="AW168" s="136">
        <f t="shared" si="210"/>
        <v>0</v>
      </c>
      <c r="AX168" s="136">
        <f t="shared" si="210"/>
        <v>0</v>
      </c>
      <c r="AY168" s="136">
        <f t="shared" ref="AY168:BR168" si="211">AY$35*AY76/1000</f>
        <v>0</v>
      </c>
      <c r="AZ168" s="136">
        <f t="shared" si="211"/>
        <v>0</v>
      </c>
      <c r="BA168" s="136">
        <f t="shared" si="211"/>
        <v>0</v>
      </c>
      <c r="BB168" s="136">
        <f t="shared" si="211"/>
        <v>0</v>
      </c>
      <c r="BC168" s="136">
        <f t="shared" si="211"/>
        <v>0</v>
      </c>
      <c r="BD168" s="136">
        <f t="shared" si="211"/>
        <v>0</v>
      </c>
      <c r="BE168" s="136">
        <f t="shared" si="211"/>
        <v>0</v>
      </c>
      <c r="BF168" s="136">
        <f t="shared" si="211"/>
        <v>0</v>
      </c>
      <c r="BG168" s="136">
        <f t="shared" si="211"/>
        <v>0</v>
      </c>
      <c r="BH168" s="136">
        <f t="shared" si="211"/>
        <v>0</v>
      </c>
      <c r="BI168" s="136">
        <f t="shared" si="211"/>
        <v>0</v>
      </c>
      <c r="BJ168" s="136">
        <f t="shared" si="211"/>
        <v>0</v>
      </c>
      <c r="BK168" s="136">
        <f t="shared" si="211"/>
        <v>0</v>
      </c>
      <c r="BL168" s="136">
        <f t="shared" si="211"/>
        <v>0</v>
      </c>
      <c r="BM168" s="136">
        <f t="shared" si="211"/>
        <v>0</v>
      </c>
      <c r="BN168" s="136">
        <f t="shared" si="211"/>
        <v>0</v>
      </c>
      <c r="BO168" s="136">
        <f t="shared" si="211"/>
        <v>0</v>
      </c>
      <c r="BP168" s="136">
        <f t="shared" si="211"/>
        <v>0</v>
      </c>
      <c r="BQ168" s="136">
        <f t="shared" si="211"/>
        <v>0</v>
      </c>
      <c r="BR168" s="136">
        <f t="shared" si="211"/>
        <v>0</v>
      </c>
    </row>
    <row r="169" spans="1:70">
      <c r="A169" t="s">
        <v>16</v>
      </c>
      <c r="B169" s="71" t="str">
        <f t="shared" si="206"/>
        <v>CET</v>
      </c>
      <c r="C169" s="71" t="str">
        <f t="shared" si="207"/>
        <v>Commercial - Public Water</v>
      </c>
      <c r="E169" s="90"/>
      <c r="F169" s="90"/>
      <c r="I169" s="131"/>
      <c r="L169" s="136">
        <f t="shared" ref="L169:AX170" si="212">L$35*L77/1000</f>
        <v>0</v>
      </c>
      <c r="M169" s="136">
        <f t="shared" si="212"/>
        <v>0</v>
      </c>
      <c r="N169" s="136">
        <f t="shared" si="212"/>
        <v>0</v>
      </c>
      <c r="O169" s="136">
        <f t="shared" si="212"/>
        <v>0</v>
      </c>
      <c r="P169" s="136">
        <f t="shared" si="212"/>
        <v>0</v>
      </c>
      <c r="Q169" s="136">
        <f t="shared" si="212"/>
        <v>0</v>
      </c>
      <c r="R169" s="136">
        <f t="shared" si="212"/>
        <v>0</v>
      </c>
      <c r="S169" s="136">
        <f t="shared" si="212"/>
        <v>0</v>
      </c>
      <c r="T169" s="136">
        <f t="shared" si="212"/>
        <v>0</v>
      </c>
      <c r="U169" s="136">
        <f t="shared" si="212"/>
        <v>0</v>
      </c>
      <c r="V169" s="136">
        <f t="shared" si="212"/>
        <v>0</v>
      </c>
      <c r="W169" s="136">
        <f t="shared" si="212"/>
        <v>0</v>
      </c>
      <c r="X169" s="136">
        <f t="shared" si="212"/>
        <v>0</v>
      </c>
      <c r="Y169" s="136">
        <f t="shared" si="212"/>
        <v>0</v>
      </c>
      <c r="Z169" s="136">
        <f t="shared" si="212"/>
        <v>0</v>
      </c>
      <c r="AA169" s="136">
        <f t="shared" si="212"/>
        <v>0</v>
      </c>
      <c r="AB169" s="136">
        <f t="shared" si="212"/>
        <v>0</v>
      </c>
      <c r="AC169" s="136">
        <f t="shared" si="212"/>
        <v>0</v>
      </c>
      <c r="AD169" s="136">
        <f t="shared" si="212"/>
        <v>0</v>
      </c>
      <c r="AE169" s="136">
        <f t="shared" si="212"/>
        <v>0</v>
      </c>
      <c r="AF169" s="136">
        <f t="shared" si="212"/>
        <v>0</v>
      </c>
      <c r="AG169" s="136">
        <f t="shared" si="212"/>
        <v>0</v>
      </c>
      <c r="AH169" s="136">
        <f t="shared" si="212"/>
        <v>0</v>
      </c>
      <c r="AI169" s="136">
        <f t="shared" si="212"/>
        <v>0</v>
      </c>
      <c r="AJ169" s="136">
        <f t="shared" si="212"/>
        <v>0</v>
      </c>
      <c r="AK169" s="136">
        <f t="shared" si="212"/>
        <v>0</v>
      </c>
      <c r="AL169" s="136">
        <f t="shared" si="212"/>
        <v>0</v>
      </c>
      <c r="AM169" s="136">
        <f t="shared" si="212"/>
        <v>0</v>
      </c>
      <c r="AN169" s="136">
        <f t="shared" si="212"/>
        <v>0</v>
      </c>
      <c r="AO169" s="136">
        <f t="shared" si="212"/>
        <v>0</v>
      </c>
      <c r="AP169" s="136">
        <f t="shared" si="212"/>
        <v>0</v>
      </c>
      <c r="AQ169" s="136">
        <f t="shared" si="212"/>
        <v>0</v>
      </c>
      <c r="AR169" s="136">
        <f t="shared" si="212"/>
        <v>0</v>
      </c>
      <c r="AS169" s="136">
        <f t="shared" si="212"/>
        <v>0</v>
      </c>
      <c r="AT169" s="136">
        <f t="shared" si="212"/>
        <v>0</v>
      </c>
      <c r="AU169" s="136">
        <f t="shared" si="212"/>
        <v>0</v>
      </c>
      <c r="AV169" s="136">
        <f t="shared" si="212"/>
        <v>0</v>
      </c>
      <c r="AW169" s="136">
        <f t="shared" si="212"/>
        <v>0</v>
      </c>
      <c r="AX169" s="136">
        <f t="shared" si="212"/>
        <v>0</v>
      </c>
      <c r="AY169" s="136">
        <f t="shared" ref="AY169:BR169" si="213">AY$35*AY77/1000</f>
        <v>0</v>
      </c>
      <c r="AZ169" s="136">
        <f t="shared" si="213"/>
        <v>0</v>
      </c>
      <c r="BA169" s="136">
        <f t="shared" si="213"/>
        <v>0</v>
      </c>
      <c r="BB169" s="136">
        <f t="shared" si="213"/>
        <v>0</v>
      </c>
      <c r="BC169" s="136">
        <f t="shared" si="213"/>
        <v>0</v>
      </c>
      <c r="BD169" s="136">
        <f t="shared" si="213"/>
        <v>0</v>
      </c>
      <c r="BE169" s="136">
        <f t="shared" si="213"/>
        <v>0</v>
      </c>
      <c r="BF169" s="136">
        <f t="shared" si="213"/>
        <v>0</v>
      </c>
      <c r="BG169" s="136">
        <f t="shared" si="213"/>
        <v>0</v>
      </c>
      <c r="BH169" s="136">
        <f t="shared" si="213"/>
        <v>0</v>
      </c>
      <c r="BI169" s="136">
        <f t="shared" si="213"/>
        <v>0</v>
      </c>
      <c r="BJ169" s="136">
        <f t="shared" si="213"/>
        <v>0</v>
      </c>
      <c r="BK169" s="136">
        <f t="shared" si="213"/>
        <v>0</v>
      </c>
      <c r="BL169" s="136">
        <f t="shared" si="213"/>
        <v>0</v>
      </c>
      <c r="BM169" s="136">
        <f t="shared" si="213"/>
        <v>0</v>
      </c>
      <c r="BN169" s="136">
        <f t="shared" si="213"/>
        <v>0</v>
      </c>
      <c r="BO169" s="136">
        <f t="shared" si="213"/>
        <v>0</v>
      </c>
      <c r="BP169" s="136">
        <f t="shared" si="213"/>
        <v>0</v>
      </c>
      <c r="BQ169" s="136">
        <f t="shared" si="213"/>
        <v>0</v>
      </c>
      <c r="BR169" s="136">
        <f t="shared" si="213"/>
        <v>0</v>
      </c>
    </row>
    <row r="170" spans="1:70">
      <c r="A170" t="s">
        <v>16</v>
      </c>
      <c r="B170" s="71" t="str">
        <f t="shared" si="206"/>
        <v>CEO</v>
      </c>
      <c r="C170" s="71" t="str">
        <f t="shared" si="207"/>
        <v>Commercial - Other</v>
      </c>
      <c r="E170" s="90"/>
      <c r="F170" s="90"/>
      <c r="I170" s="131"/>
      <c r="L170" s="136">
        <f t="shared" si="212"/>
        <v>15.00814748566312</v>
      </c>
      <c r="M170" s="136">
        <f t="shared" si="212"/>
        <v>15.225023835481913</v>
      </c>
      <c r="N170" s="136">
        <f t="shared" si="212"/>
        <v>15.488891259804461</v>
      </c>
      <c r="O170" s="136">
        <f t="shared" si="212"/>
        <v>15.732245260507124</v>
      </c>
      <c r="P170" s="136">
        <f t="shared" si="212"/>
        <v>15.970227387974861</v>
      </c>
      <c r="Q170" s="136">
        <f t="shared" si="212"/>
        <v>16.159168491058402</v>
      </c>
      <c r="R170" s="136">
        <f t="shared" si="212"/>
        <v>15.997576806147817</v>
      </c>
      <c r="S170" s="136">
        <f t="shared" si="212"/>
        <v>15.835985121237234</v>
      </c>
      <c r="T170" s="136">
        <f t="shared" si="212"/>
        <v>15.67439343632665</v>
      </c>
      <c r="U170" s="136">
        <f t="shared" si="212"/>
        <v>15.488225280216284</v>
      </c>
      <c r="V170" s="136">
        <f t="shared" si="212"/>
        <v>15.30256913392258</v>
      </c>
      <c r="W170" s="136">
        <f t="shared" si="212"/>
        <v>15.117424997445541</v>
      </c>
      <c r="X170" s="136">
        <f t="shared" si="212"/>
        <v>14.932792870785162</v>
      </c>
      <c r="Y170" s="136">
        <f t="shared" si="212"/>
        <v>14.748672753941442</v>
      </c>
      <c r="Z170" s="136">
        <f t="shared" si="212"/>
        <v>14.56506464691439</v>
      </c>
      <c r="AA170" s="136">
        <f t="shared" si="212"/>
        <v>14.381968549703997</v>
      </c>
      <c r="AB170" s="136">
        <f t="shared" si="212"/>
        <v>14.199384462310265</v>
      </c>
      <c r="AC170" s="136">
        <f t="shared" si="212"/>
        <v>14.017312384733197</v>
      </c>
      <c r="AD170" s="136">
        <f t="shared" si="212"/>
        <v>13.835752316972796</v>
      </c>
      <c r="AE170" s="136">
        <f t="shared" si="212"/>
        <v>13.676720681145522</v>
      </c>
      <c r="AF170" s="136">
        <f t="shared" si="212"/>
        <v>13.517689045318248</v>
      </c>
      <c r="AG170" s="136">
        <f t="shared" si="212"/>
        <v>13.358657409490975</v>
      </c>
      <c r="AH170" s="136">
        <f t="shared" si="212"/>
        <v>13.199625773663699</v>
      </c>
      <c r="AI170" s="136">
        <f t="shared" si="212"/>
        <v>13.040594137836425</v>
      </c>
      <c r="AJ170" s="136">
        <f t="shared" si="212"/>
        <v>12.881562502009153</v>
      </c>
      <c r="AK170" s="136">
        <f t="shared" si="212"/>
        <v>12.722530866181883</v>
      </c>
      <c r="AL170" s="136">
        <f t="shared" si="212"/>
        <v>12.563499230354608</v>
      </c>
      <c r="AM170" s="136">
        <f t="shared" si="212"/>
        <v>12.404467594527334</v>
      </c>
      <c r="AN170" s="136">
        <f t="shared" si="212"/>
        <v>12.24543595870006</v>
      </c>
      <c r="AO170" s="136">
        <f t="shared" si="212"/>
        <v>12.086404322872786</v>
      </c>
      <c r="AP170" s="136">
        <f t="shared" si="212"/>
        <v>11.927372687045512</v>
      </c>
      <c r="AQ170" s="136">
        <f t="shared" si="212"/>
        <v>11.768341051218238</v>
      </c>
      <c r="AR170" s="136">
        <f t="shared" si="212"/>
        <v>11.609309415390966</v>
      </c>
      <c r="AS170" s="136">
        <f t="shared" si="212"/>
        <v>11.45027777956369</v>
      </c>
      <c r="AT170" s="136">
        <f t="shared" si="212"/>
        <v>11.291246143736418</v>
      </c>
      <c r="AU170" s="136">
        <f t="shared" si="212"/>
        <v>11.132214507909142</v>
      </c>
      <c r="AV170" s="136">
        <f t="shared" si="212"/>
        <v>10.973182872081871</v>
      </c>
      <c r="AW170" s="136">
        <f t="shared" si="212"/>
        <v>10.814151236254597</v>
      </c>
      <c r="AX170" s="136">
        <f t="shared" si="212"/>
        <v>10.655119600427323</v>
      </c>
      <c r="AY170" s="136">
        <f t="shared" ref="AY170:BR170" si="214">AY$35*AY78/1000</f>
        <v>10.496087964600049</v>
      </c>
      <c r="AZ170" s="136">
        <f t="shared" si="214"/>
        <v>10.337056328772775</v>
      </c>
      <c r="BA170" s="136">
        <f t="shared" si="214"/>
        <v>10.178024692945501</v>
      </c>
      <c r="BB170" s="136">
        <f t="shared" si="214"/>
        <v>10.018993057118228</v>
      </c>
      <c r="BC170" s="136">
        <f t="shared" si="214"/>
        <v>9.8599614212909525</v>
      </c>
      <c r="BD170" s="136">
        <f t="shared" si="214"/>
        <v>9.7009297854636802</v>
      </c>
      <c r="BE170" s="136">
        <f t="shared" si="214"/>
        <v>9.5418981496364061</v>
      </c>
      <c r="BF170" s="136">
        <f t="shared" si="214"/>
        <v>9.3828665138091321</v>
      </c>
      <c r="BG170" s="136">
        <f t="shared" si="214"/>
        <v>9.2238348779818615</v>
      </c>
      <c r="BH170" s="136">
        <f t="shared" si="214"/>
        <v>9.0648032421545857</v>
      </c>
      <c r="BI170" s="136">
        <f t="shared" si="214"/>
        <v>8.9057716063273133</v>
      </c>
      <c r="BJ170" s="136">
        <f t="shared" si="214"/>
        <v>8.7467399705000393</v>
      </c>
      <c r="BK170" s="136">
        <f t="shared" si="214"/>
        <v>8.5877083346727652</v>
      </c>
      <c r="BL170" s="136">
        <f t="shared" si="214"/>
        <v>8.4286766988454911</v>
      </c>
      <c r="BM170" s="136">
        <f t="shared" si="214"/>
        <v>8.269645063018217</v>
      </c>
      <c r="BN170" s="136">
        <f t="shared" si="214"/>
        <v>8.1106134271909447</v>
      </c>
      <c r="BO170" s="136">
        <f t="shared" si="214"/>
        <v>7.9515817913636715</v>
      </c>
      <c r="BP170" s="136">
        <f t="shared" si="214"/>
        <v>7.7925501555363965</v>
      </c>
      <c r="BQ170" s="136">
        <f t="shared" si="214"/>
        <v>7.6335185197091233</v>
      </c>
      <c r="BR170" s="136">
        <f t="shared" si="214"/>
        <v>7.4744868838818483</v>
      </c>
    </row>
    <row r="171" spans="1:70">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75" thickBot="1">
      <c r="A173" t="s">
        <v>16</v>
      </c>
      <c r="B173" s="135" t="s">
        <v>466</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c r="A174" t="s">
        <v>16</v>
      </c>
      <c r="B174" s="71" t="str">
        <f t="shared" ref="B174:B182" si="215">B105</f>
        <v>CNC</v>
      </c>
      <c r="C174" s="71" t="str">
        <f t="shared" ref="C174:C182" si="216">C162</f>
        <v>Commercial - Cooling</v>
      </c>
      <c r="E174" s="90"/>
      <c r="F174" s="90"/>
      <c r="I174" s="134"/>
      <c r="J174" s="91"/>
      <c r="K174" s="91"/>
      <c r="L174" s="136">
        <f t="shared" ref="L174:AA182" si="217">INDEX(L$49:L$52,MATCH($I$173,$B$49:$B$52,0),1)*INDEX(L$81:L$89,MATCH($B174,$B$81:$B$89,0))*INDEX(L$105:L$113,MATCH($B174,$B$105:$B$113,0))/1000</f>
        <v>0</v>
      </c>
      <c r="M174" s="136">
        <f t="shared" si="217"/>
        <v>0</v>
      </c>
      <c r="N174" s="136">
        <f t="shared" si="217"/>
        <v>0</v>
      </c>
      <c r="O174" s="136">
        <f t="shared" si="217"/>
        <v>0</v>
      </c>
      <c r="P174" s="136">
        <f t="shared" si="217"/>
        <v>0</v>
      </c>
      <c r="Q174" s="136">
        <f t="shared" si="217"/>
        <v>0</v>
      </c>
      <c r="R174" s="136">
        <f t="shared" si="217"/>
        <v>0</v>
      </c>
      <c r="S174" s="136">
        <f t="shared" si="217"/>
        <v>0</v>
      </c>
      <c r="T174" s="136">
        <f t="shared" si="217"/>
        <v>0</v>
      </c>
      <c r="U174" s="136">
        <f t="shared" si="217"/>
        <v>0</v>
      </c>
      <c r="V174" s="136">
        <f t="shared" si="217"/>
        <v>0</v>
      </c>
      <c r="W174" s="136">
        <f t="shared" si="217"/>
        <v>0</v>
      </c>
      <c r="X174" s="136">
        <f t="shared" si="217"/>
        <v>0</v>
      </c>
      <c r="Y174" s="136">
        <f t="shared" si="217"/>
        <v>0</v>
      </c>
      <c r="Z174" s="136">
        <f t="shared" si="217"/>
        <v>0</v>
      </c>
      <c r="AA174" s="136">
        <f t="shared" si="217"/>
        <v>0</v>
      </c>
      <c r="AB174" s="136">
        <f t="shared" ref="AB174:AQ182" si="218">INDEX(AB$49:AB$52,MATCH($I$173,$B$49:$B$52,0),1)*INDEX(AB$81:AB$89,MATCH($B174,$B$81:$B$89,0))*INDEX(AB$105:AB$113,MATCH($B174,$B$105:$B$113,0))/1000</f>
        <v>0</v>
      </c>
      <c r="AC174" s="136">
        <f t="shared" si="218"/>
        <v>0</v>
      </c>
      <c r="AD174" s="136">
        <f t="shared" si="218"/>
        <v>0</v>
      </c>
      <c r="AE174" s="136">
        <f t="shared" si="218"/>
        <v>0</v>
      </c>
      <c r="AF174" s="136">
        <f t="shared" si="218"/>
        <v>0</v>
      </c>
      <c r="AG174" s="136">
        <f t="shared" si="218"/>
        <v>0</v>
      </c>
      <c r="AH174" s="136">
        <f t="shared" si="218"/>
        <v>0</v>
      </c>
      <c r="AI174" s="136">
        <f t="shared" si="218"/>
        <v>0</v>
      </c>
      <c r="AJ174" s="136">
        <f t="shared" si="218"/>
        <v>0</v>
      </c>
      <c r="AK174" s="136">
        <f t="shared" si="218"/>
        <v>0</v>
      </c>
      <c r="AL174" s="136">
        <f t="shared" si="218"/>
        <v>0</v>
      </c>
      <c r="AM174" s="136">
        <f t="shared" si="218"/>
        <v>0</v>
      </c>
      <c r="AN174" s="136">
        <f t="shared" si="218"/>
        <v>0</v>
      </c>
      <c r="AO174" s="136">
        <f t="shared" si="218"/>
        <v>0</v>
      </c>
      <c r="AP174" s="136">
        <f t="shared" si="218"/>
        <v>0</v>
      </c>
      <c r="AQ174" s="136">
        <f t="shared" si="218"/>
        <v>0</v>
      </c>
      <c r="AR174" s="136">
        <f t="shared" ref="AP174:BE182" si="219">INDEX(AR$49:AR$52,MATCH($I$173,$B$49:$B$52,0),1)*INDEX(AR$81:AR$89,MATCH($B174,$B$81:$B$89,0))*INDEX(AR$105:AR$113,MATCH($B174,$B$105:$B$113,0))/1000</f>
        <v>0</v>
      </c>
      <c r="AS174" s="136">
        <f t="shared" si="219"/>
        <v>0</v>
      </c>
      <c r="AT174" s="136">
        <f t="shared" si="219"/>
        <v>0</v>
      </c>
      <c r="AU174" s="136">
        <f t="shared" si="219"/>
        <v>0</v>
      </c>
      <c r="AV174" s="136">
        <f t="shared" si="219"/>
        <v>0</v>
      </c>
      <c r="AW174" s="136">
        <f t="shared" si="219"/>
        <v>0</v>
      </c>
      <c r="AX174" s="136">
        <f t="shared" si="219"/>
        <v>0</v>
      </c>
      <c r="AY174" s="136">
        <f t="shared" si="219"/>
        <v>0</v>
      </c>
      <c r="AZ174" s="136">
        <f t="shared" si="219"/>
        <v>0</v>
      </c>
      <c r="BA174" s="136">
        <f t="shared" si="219"/>
        <v>0</v>
      </c>
      <c r="BB174" s="136">
        <f t="shared" si="219"/>
        <v>0</v>
      </c>
      <c r="BC174" s="136">
        <f t="shared" si="219"/>
        <v>0</v>
      </c>
      <c r="BD174" s="136">
        <f t="shared" si="219"/>
        <v>0</v>
      </c>
      <c r="BE174" s="136">
        <f t="shared" si="219"/>
        <v>0</v>
      </c>
      <c r="BF174" s="136">
        <f t="shared" ref="AY174:BR180" si="220">INDEX(BF$49:BF$52,MATCH($I$173,$B$49:$B$52,0),1)*INDEX(BF$81:BF$89,MATCH($B174,$B$81:$B$89,0))*INDEX(BF$105:BF$113,MATCH($B174,$B$105:$B$113,0))/1000</f>
        <v>0</v>
      </c>
      <c r="BG174" s="136">
        <f t="shared" si="220"/>
        <v>0</v>
      </c>
      <c r="BH174" s="136">
        <f t="shared" si="220"/>
        <v>0</v>
      </c>
      <c r="BI174" s="136">
        <f t="shared" si="220"/>
        <v>0</v>
      </c>
      <c r="BJ174" s="136">
        <f t="shared" si="220"/>
        <v>0</v>
      </c>
      <c r="BK174" s="136">
        <f t="shared" si="220"/>
        <v>0</v>
      </c>
      <c r="BL174" s="136">
        <f t="shared" si="220"/>
        <v>0</v>
      </c>
      <c r="BM174" s="136">
        <f t="shared" si="220"/>
        <v>0</v>
      </c>
      <c r="BN174" s="136">
        <f t="shared" si="220"/>
        <v>0</v>
      </c>
      <c r="BO174" s="136">
        <f t="shared" si="220"/>
        <v>0</v>
      </c>
      <c r="BP174" s="136">
        <f t="shared" si="220"/>
        <v>0</v>
      </c>
      <c r="BQ174" s="136">
        <f t="shared" si="220"/>
        <v>0</v>
      </c>
      <c r="BR174" s="136">
        <f t="shared" si="220"/>
        <v>0</v>
      </c>
    </row>
    <row r="175" spans="1:70">
      <c r="A175" t="s">
        <v>16</v>
      </c>
      <c r="B175" s="71" t="str">
        <f t="shared" si="215"/>
        <v>CNH</v>
      </c>
      <c r="C175" s="71" t="str">
        <f t="shared" si="216"/>
        <v>Commercial - Space Heating</v>
      </c>
      <c r="E175" s="90"/>
      <c r="F175" s="90"/>
      <c r="I175" s="134"/>
      <c r="J175" s="91"/>
      <c r="K175" s="91"/>
      <c r="L175" s="136">
        <f t="shared" si="217"/>
        <v>0</v>
      </c>
      <c r="M175" s="136">
        <f t="shared" si="217"/>
        <v>0</v>
      </c>
      <c r="N175" s="136">
        <f t="shared" si="217"/>
        <v>0</v>
      </c>
      <c r="O175" s="136">
        <f t="shared" si="217"/>
        <v>0</v>
      </c>
      <c r="P175" s="136">
        <f t="shared" si="217"/>
        <v>0</v>
      </c>
      <c r="Q175" s="136">
        <f t="shared" si="217"/>
        <v>0</v>
      </c>
      <c r="R175" s="136">
        <f t="shared" si="217"/>
        <v>0</v>
      </c>
      <c r="S175" s="136">
        <f t="shared" si="217"/>
        <v>0</v>
      </c>
      <c r="T175" s="136">
        <f t="shared" si="217"/>
        <v>0</v>
      </c>
      <c r="U175" s="136">
        <f t="shared" si="217"/>
        <v>0</v>
      </c>
      <c r="V175" s="136">
        <f t="shared" si="217"/>
        <v>0</v>
      </c>
      <c r="W175" s="136">
        <f t="shared" si="217"/>
        <v>0</v>
      </c>
      <c r="X175" s="136">
        <f t="shared" si="217"/>
        <v>0</v>
      </c>
      <c r="Y175" s="136">
        <f t="shared" si="217"/>
        <v>0</v>
      </c>
      <c r="Z175" s="136">
        <f t="shared" si="217"/>
        <v>0</v>
      </c>
      <c r="AA175" s="136">
        <f t="shared" si="217"/>
        <v>0</v>
      </c>
      <c r="AB175" s="136">
        <f t="shared" si="218"/>
        <v>0</v>
      </c>
      <c r="AC175" s="136">
        <f t="shared" si="218"/>
        <v>0</v>
      </c>
      <c r="AD175" s="136">
        <f t="shared" si="218"/>
        <v>0</v>
      </c>
      <c r="AE175" s="136">
        <f t="shared" si="218"/>
        <v>0</v>
      </c>
      <c r="AF175" s="136">
        <f t="shared" si="218"/>
        <v>0</v>
      </c>
      <c r="AG175" s="136">
        <f t="shared" si="218"/>
        <v>0</v>
      </c>
      <c r="AH175" s="136">
        <f t="shared" si="218"/>
        <v>0</v>
      </c>
      <c r="AI175" s="136">
        <f t="shared" si="218"/>
        <v>0</v>
      </c>
      <c r="AJ175" s="136">
        <f t="shared" si="218"/>
        <v>0</v>
      </c>
      <c r="AK175" s="136">
        <f t="shared" si="218"/>
        <v>0</v>
      </c>
      <c r="AL175" s="136">
        <f t="shared" si="218"/>
        <v>0</v>
      </c>
      <c r="AM175" s="136">
        <f t="shared" si="218"/>
        <v>0</v>
      </c>
      <c r="AN175" s="136">
        <f t="shared" si="218"/>
        <v>0</v>
      </c>
      <c r="AO175" s="136">
        <f t="shared" si="218"/>
        <v>0</v>
      </c>
      <c r="AP175" s="136">
        <f t="shared" si="219"/>
        <v>0</v>
      </c>
      <c r="AQ175" s="136">
        <f t="shared" si="219"/>
        <v>0</v>
      </c>
      <c r="AR175" s="136">
        <f t="shared" si="219"/>
        <v>0</v>
      </c>
      <c r="AS175" s="136">
        <f t="shared" si="219"/>
        <v>0</v>
      </c>
      <c r="AT175" s="136">
        <f t="shared" si="219"/>
        <v>0</v>
      </c>
      <c r="AU175" s="136">
        <f t="shared" si="219"/>
        <v>0</v>
      </c>
      <c r="AV175" s="136">
        <f t="shared" si="219"/>
        <v>0</v>
      </c>
      <c r="AW175" s="136">
        <f t="shared" si="219"/>
        <v>0</v>
      </c>
      <c r="AX175" s="136">
        <f t="shared" si="219"/>
        <v>0</v>
      </c>
      <c r="AY175" s="136">
        <f t="shared" si="220"/>
        <v>0</v>
      </c>
      <c r="AZ175" s="136">
        <f t="shared" si="220"/>
        <v>0</v>
      </c>
      <c r="BA175" s="136">
        <f t="shared" si="220"/>
        <v>0</v>
      </c>
      <c r="BB175" s="136">
        <f t="shared" si="220"/>
        <v>0</v>
      </c>
      <c r="BC175" s="136">
        <f t="shared" si="220"/>
        <v>0</v>
      </c>
      <c r="BD175" s="136">
        <f t="shared" si="220"/>
        <v>0</v>
      </c>
      <c r="BE175" s="136">
        <f t="shared" si="220"/>
        <v>0</v>
      </c>
      <c r="BF175" s="136">
        <f t="shared" si="220"/>
        <v>0</v>
      </c>
      <c r="BG175" s="136">
        <f t="shared" si="220"/>
        <v>0</v>
      </c>
      <c r="BH175" s="136">
        <f t="shared" si="220"/>
        <v>0</v>
      </c>
      <c r="BI175" s="136">
        <f t="shared" si="220"/>
        <v>0</v>
      </c>
      <c r="BJ175" s="136">
        <f t="shared" si="220"/>
        <v>0</v>
      </c>
      <c r="BK175" s="136">
        <f t="shared" si="220"/>
        <v>0</v>
      </c>
      <c r="BL175" s="136">
        <f t="shared" si="220"/>
        <v>0</v>
      </c>
      <c r="BM175" s="136">
        <f t="shared" si="220"/>
        <v>0</v>
      </c>
      <c r="BN175" s="136">
        <f t="shared" si="220"/>
        <v>0</v>
      </c>
      <c r="BO175" s="136">
        <f t="shared" si="220"/>
        <v>0</v>
      </c>
      <c r="BP175" s="136">
        <f t="shared" si="220"/>
        <v>0</v>
      </c>
      <c r="BQ175" s="136">
        <f t="shared" si="220"/>
        <v>0</v>
      </c>
      <c r="BR175" s="136">
        <f t="shared" si="220"/>
        <v>0</v>
      </c>
    </row>
    <row r="176" spans="1:70">
      <c r="A176" t="s">
        <v>16</v>
      </c>
      <c r="B176" s="71" t="str">
        <f t="shared" si="215"/>
        <v>CNK</v>
      </c>
      <c r="C176" s="71" t="str">
        <f t="shared" si="216"/>
        <v>Commercial - Cooking</v>
      </c>
      <c r="E176" s="90"/>
      <c r="F176" s="90"/>
      <c r="I176" s="134"/>
      <c r="J176" s="91"/>
      <c r="K176" s="91"/>
      <c r="L176" s="136">
        <f t="shared" si="217"/>
        <v>0</v>
      </c>
      <c r="M176" s="136">
        <f t="shared" si="217"/>
        <v>0</v>
      </c>
      <c r="N176" s="136">
        <f t="shared" si="217"/>
        <v>0</v>
      </c>
      <c r="O176" s="136">
        <f t="shared" si="217"/>
        <v>0</v>
      </c>
      <c r="P176" s="136">
        <f t="shared" si="217"/>
        <v>0</v>
      </c>
      <c r="Q176" s="136">
        <f t="shared" si="217"/>
        <v>0</v>
      </c>
      <c r="R176" s="136">
        <f t="shared" si="217"/>
        <v>0</v>
      </c>
      <c r="S176" s="136">
        <f t="shared" si="217"/>
        <v>0</v>
      </c>
      <c r="T176" s="136">
        <f t="shared" si="217"/>
        <v>0</v>
      </c>
      <c r="U176" s="136">
        <f t="shared" si="217"/>
        <v>0</v>
      </c>
      <c r="V176" s="136">
        <f t="shared" si="217"/>
        <v>0</v>
      </c>
      <c r="W176" s="136">
        <f t="shared" si="217"/>
        <v>0</v>
      </c>
      <c r="X176" s="136">
        <f t="shared" si="217"/>
        <v>0</v>
      </c>
      <c r="Y176" s="136">
        <f t="shared" si="217"/>
        <v>0</v>
      </c>
      <c r="Z176" s="136">
        <f t="shared" si="217"/>
        <v>0</v>
      </c>
      <c r="AA176" s="136">
        <f t="shared" si="217"/>
        <v>0</v>
      </c>
      <c r="AB176" s="136">
        <f t="shared" si="218"/>
        <v>0</v>
      </c>
      <c r="AC176" s="136">
        <f t="shared" si="218"/>
        <v>0</v>
      </c>
      <c r="AD176" s="136">
        <f t="shared" si="218"/>
        <v>0</v>
      </c>
      <c r="AE176" s="136">
        <f t="shared" si="218"/>
        <v>0</v>
      </c>
      <c r="AF176" s="136">
        <f t="shared" si="218"/>
        <v>0</v>
      </c>
      <c r="AG176" s="136">
        <f t="shared" si="218"/>
        <v>0</v>
      </c>
      <c r="AH176" s="136">
        <f t="shared" si="218"/>
        <v>0</v>
      </c>
      <c r="AI176" s="136">
        <f t="shared" si="218"/>
        <v>0</v>
      </c>
      <c r="AJ176" s="136">
        <f t="shared" si="218"/>
        <v>0</v>
      </c>
      <c r="AK176" s="136">
        <f t="shared" si="218"/>
        <v>0</v>
      </c>
      <c r="AL176" s="136">
        <f t="shared" si="218"/>
        <v>0</v>
      </c>
      <c r="AM176" s="136">
        <f t="shared" si="218"/>
        <v>0</v>
      </c>
      <c r="AN176" s="136">
        <f t="shared" si="218"/>
        <v>0</v>
      </c>
      <c r="AO176" s="136">
        <f t="shared" si="218"/>
        <v>0</v>
      </c>
      <c r="AP176" s="136">
        <f t="shared" si="219"/>
        <v>0</v>
      </c>
      <c r="AQ176" s="136">
        <f t="shared" si="219"/>
        <v>0</v>
      </c>
      <c r="AR176" s="136">
        <f t="shared" si="219"/>
        <v>0</v>
      </c>
      <c r="AS176" s="136">
        <f t="shared" si="219"/>
        <v>0</v>
      </c>
      <c r="AT176" s="136">
        <f t="shared" si="219"/>
        <v>0</v>
      </c>
      <c r="AU176" s="136">
        <f t="shared" si="219"/>
        <v>0</v>
      </c>
      <c r="AV176" s="136">
        <f t="shared" si="219"/>
        <v>0</v>
      </c>
      <c r="AW176" s="136">
        <f t="shared" si="219"/>
        <v>0</v>
      </c>
      <c r="AX176" s="136">
        <f t="shared" si="219"/>
        <v>0</v>
      </c>
      <c r="AY176" s="136">
        <f t="shared" si="220"/>
        <v>0</v>
      </c>
      <c r="AZ176" s="136">
        <f t="shared" si="220"/>
        <v>0</v>
      </c>
      <c r="BA176" s="136">
        <f t="shared" si="220"/>
        <v>0</v>
      </c>
      <c r="BB176" s="136">
        <f t="shared" si="220"/>
        <v>0</v>
      </c>
      <c r="BC176" s="136">
        <f t="shared" si="220"/>
        <v>0</v>
      </c>
      <c r="BD176" s="136">
        <f t="shared" si="220"/>
        <v>0</v>
      </c>
      <c r="BE176" s="136">
        <f t="shared" si="220"/>
        <v>0</v>
      </c>
      <c r="BF176" s="136">
        <f t="shared" si="220"/>
        <v>0</v>
      </c>
      <c r="BG176" s="136">
        <f t="shared" si="220"/>
        <v>0</v>
      </c>
      <c r="BH176" s="136">
        <f t="shared" si="220"/>
        <v>0</v>
      </c>
      <c r="BI176" s="136">
        <f t="shared" si="220"/>
        <v>0</v>
      </c>
      <c r="BJ176" s="136">
        <f t="shared" si="220"/>
        <v>0</v>
      </c>
      <c r="BK176" s="136">
        <f t="shared" si="220"/>
        <v>0</v>
      </c>
      <c r="BL176" s="136">
        <f t="shared" si="220"/>
        <v>0</v>
      </c>
      <c r="BM176" s="136">
        <f t="shared" si="220"/>
        <v>0</v>
      </c>
      <c r="BN176" s="136">
        <f t="shared" si="220"/>
        <v>0</v>
      </c>
      <c r="BO176" s="136">
        <f t="shared" si="220"/>
        <v>0</v>
      </c>
      <c r="BP176" s="136">
        <f t="shared" si="220"/>
        <v>0</v>
      </c>
      <c r="BQ176" s="136">
        <f t="shared" si="220"/>
        <v>0</v>
      </c>
      <c r="BR176" s="136">
        <f t="shared" si="220"/>
        <v>0</v>
      </c>
    </row>
    <row r="177" spans="1:70">
      <c r="A177" t="s">
        <v>16</v>
      </c>
      <c r="B177" s="71" t="str">
        <f t="shared" si="215"/>
        <v>CNL</v>
      </c>
      <c r="C177" s="71" t="str">
        <f t="shared" si="216"/>
        <v>Commercial - Lighting</v>
      </c>
      <c r="E177" s="90"/>
      <c r="F177" s="90"/>
      <c r="I177" s="134"/>
      <c r="J177" s="91"/>
      <c r="K177" s="91"/>
      <c r="L177" s="136">
        <f t="shared" si="217"/>
        <v>0</v>
      </c>
      <c r="M177" s="136">
        <f t="shared" si="217"/>
        <v>0</v>
      </c>
      <c r="N177" s="136">
        <f t="shared" si="217"/>
        <v>0</v>
      </c>
      <c r="O177" s="136">
        <f t="shared" si="217"/>
        <v>0</v>
      </c>
      <c r="P177" s="136">
        <f t="shared" si="217"/>
        <v>0</v>
      </c>
      <c r="Q177" s="136">
        <f t="shared" si="217"/>
        <v>0</v>
      </c>
      <c r="R177" s="136">
        <f t="shared" si="217"/>
        <v>0</v>
      </c>
      <c r="S177" s="136">
        <f t="shared" si="217"/>
        <v>0</v>
      </c>
      <c r="T177" s="136">
        <f t="shared" si="217"/>
        <v>0</v>
      </c>
      <c r="U177" s="136">
        <f t="shared" si="217"/>
        <v>0</v>
      </c>
      <c r="V177" s="136">
        <f t="shared" si="217"/>
        <v>0</v>
      </c>
      <c r="W177" s="136">
        <f t="shared" si="217"/>
        <v>0</v>
      </c>
      <c r="X177" s="136">
        <f t="shared" si="217"/>
        <v>0</v>
      </c>
      <c r="Y177" s="136">
        <f t="shared" si="217"/>
        <v>0</v>
      </c>
      <c r="Z177" s="136">
        <f t="shared" si="217"/>
        <v>0</v>
      </c>
      <c r="AA177" s="136">
        <f t="shared" si="217"/>
        <v>0</v>
      </c>
      <c r="AB177" s="136">
        <f t="shared" si="218"/>
        <v>0</v>
      </c>
      <c r="AC177" s="136">
        <f t="shared" si="218"/>
        <v>0</v>
      </c>
      <c r="AD177" s="136">
        <f t="shared" si="218"/>
        <v>0</v>
      </c>
      <c r="AE177" s="136">
        <f t="shared" si="218"/>
        <v>0</v>
      </c>
      <c r="AF177" s="136">
        <f t="shared" si="218"/>
        <v>0</v>
      </c>
      <c r="AG177" s="136">
        <f t="shared" si="218"/>
        <v>0</v>
      </c>
      <c r="AH177" s="136">
        <f t="shared" si="218"/>
        <v>0</v>
      </c>
      <c r="AI177" s="136">
        <f t="shared" si="218"/>
        <v>0</v>
      </c>
      <c r="AJ177" s="136">
        <f t="shared" si="218"/>
        <v>0</v>
      </c>
      <c r="AK177" s="136">
        <f t="shared" si="218"/>
        <v>0</v>
      </c>
      <c r="AL177" s="136">
        <f t="shared" si="218"/>
        <v>0</v>
      </c>
      <c r="AM177" s="136">
        <f t="shared" si="218"/>
        <v>0</v>
      </c>
      <c r="AN177" s="136">
        <f t="shared" si="218"/>
        <v>0</v>
      </c>
      <c r="AO177" s="136">
        <f t="shared" si="218"/>
        <v>0</v>
      </c>
      <c r="AP177" s="136">
        <f t="shared" si="219"/>
        <v>0</v>
      </c>
      <c r="AQ177" s="136">
        <f t="shared" si="219"/>
        <v>0</v>
      </c>
      <c r="AR177" s="136">
        <f t="shared" si="219"/>
        <v>0</v>
      </c>
      <c r="AS177" s="136">
        <f t="shared" si="219"/>
        <v>0</v>
      </c>
      <c r="AT177" s="136">
        <f t="shared" si="219"/>
        <v>0</v>
      </c>
      <c r="AU177" s="136">
        <f t="shared" si="219"/>
        <v>0</v>
      </c>
      <c r="AV177" s="136">
        <f t="shared" si="219"/>
        <v>0</v>
      </c>
      <c r="AW177" s="136">
        <f t="shared" si="219"/>
        <v>0</v>
      </c>
      <c r="AX177" s="136">
        <f t="shared" si="219"/>
        <v>0</v>
      </c>
      <c r="AY177" s="136">
        <f t="shared" si="220"/>
        <v>0</v>
      </c>
      <c r="AZ177" s="136">
        <f t="shared" si="220"/>
        <v>0</v>
      </c>
      <c r="BA177" s="136">
        <f t="shared" si="220"/>
        <v>0</v>
      </c>
      <c r="BB177" s="136">
        <f t="shared" si="220"/>
        <v>0</v>
      </c>
      <c r="BC177" s="136">
        <f t="shared" si="220"/>
        <v>0</v>
      </c>
      <c r="BD177" s="136">
        <f t="shared" si="220"/>
        <v>0</v>
      </c>
      <c r="BE177" s="136">
        <f t="shared" si="220"/>
        <v>0</v>
      </c>
      <c r="BF177" s="136">
        <f t="shared" si="220"/>
        <v>0</v>
      </c>
      <c r="BG177" s="136">
        <f t="shared" si="220"/>
        <v>0</v>
      </c>
      <c r="BH177" s="136">
        <f t="shared" si="220"/>
        <v>0</v>
      </c>
      <c r="BI177" s="136">
        <f t="shared" si="220"/>
        <v>0</v>
      </c>
      <c r="BJ177" s="136">
        <f t="shared" si="220"/>
        <v>0</v>
      </c>
      <c r="BK177" s="136">
        <f t="shared" si="220"/>
        <v>0</v>
      </c>
      <c r="BL177" s="136">
        <f t="shared" si="220"/>
        <v>0</v>
      </c>
      <c r="BM177" s="136">
        <f t="shared" si="220"/>
        <v>0</v>
      </c>
      <c r="BN177" s="136">
        <f t="shared" si="220"/>
        <v>0</v>
      </c>
      <c r="BO177" s="136">
        <f t="shared" si="220"/>
        <v>0</v>
      </c>
      <c r="BP177" s="136">
        <f t="shared" si="220"/>
        <v>0</v>
      </c>
      <c r="BQ177" s="136">
        <f t="shared" si="220"/>
        <v>0</v>
      </c>
      <c r="BR177" s="136">
        <f t="shared" si="220"/>
        <v>0</v>
      </c>
    </row>
    <row r="178" spans="1:70">
      <c r="A178" t="s">
        <v>16</v>
      </c>
      <c r="B178" s="71" t="str">
        <f t="shared" si="215"/>
        <v>CNR</v>
      </c>
      <c r="C178" s="71" t="str">
        <f t="shared" si="216"/>
        <v>Commercial - Refrigeration</v>
      </c>
      <c r="E178" s="90"/>
      <c r="F178" s="90"/>
      <c r="I178" s="134"/>
      <c r="J178" s="91"/>
      <c r="K178" s="91"/>
      <c r="L178" s="136">
        <f t="shared" si="217"/>
        <v>0</v>
      </c>
      <c r="M178" s="136">
        <f t="shared" si="217"/>
        <v>0</v>
      </c>
      <c r="N178" s="136">
        <f t="shared" si="217"/>
        <v>0</v>
      </c>
      <c r="O178" s="136">
        <f t="shared" si="217"/>
        <v>0</v>
      </c>
      <c r="P178" s="136">
        <f t="shared" si="217"/>
        <v>0</v>
      </c>
      <c r="Q178" s="136">
        <f t="shared" si="217"/>
        <v>0</v>
      </c>
      <c r="R178" s="136">
        <f t="shared" si="217"/>
        <v>0</v>
      </c>
      <c r="S178" s="136">
        <f t="shared" si="217"/>
        <v>0</v>
      </c>
      <c r="T178" s="136">
        <f t="shared" si="217"/>
        <v>0</v>
      </c>
      <c r="U178" s="136">
        <f t="shared" si="217"/>
        <v>0</v>
      </c>
      <c r="V178" s="136">
        <f t="shared" si="217"/>
        <v>0</v>
      </c>
      <c r="W178" s="136">
        <f t="shared" si="217"/>
        <v>0</v>
      </c>
      <c r="X178" s="136">
        <f t="shared" si="217"/>
        <v>0</v>
      </c>
      <c r="Y178" s="136">
        <f t="shared" si="217"/>
        <v>0</v>
      </c>
      <c r="Z178" s="136">
        <f t="shared" si="217"/>
        <v>0</v>
      </c>
      <c r="AA178" s="136">
        <f t="shared" si="217"/>
        <v>0</v>
      </c>
      <c r="AB178" s="136">
        <f t="shared" si="218"/>
        <v>0</v>
      </c>
      <c r="AC178" s="136">
        <f t="shared" si="218"/>
        <v>0</v>
      </c>
      <c r="AD178" s="136">
        <f t="shared" si="218"/>
        <v>0</v>
      </c>
      <c r="AE178" s="136">
        <f t="shared" si="218"/>
        <v>0</v>
      </c>
      <c r="AF178" s="136">
        <f t="shared" si="218"/>
        <v>0</v>
      </c>
      <c r="AG178" s="136">
        <f t="shared" si="218"/>
        <v>0</v>
      </c>
      <c r="AH178" s="136">
        <f t="shared" si="218"/>
        <v>0</v>
      </c>
      <c r="AI178" s="136">
        <f t="shared" si="218"/>
        <v>0</v>
      </c>
      <c r="AJ178" s="136">
        <f t="shared" si="218"/>
        <v>0</v>
      </c>
      <c r="AK178" s="136">
        <f t="shared" si="218"/>
        <v>0</v>
      </c>
      <c r="AL178" s="136">
        <f t="shared" si="218"/>
        <v>0</v>
      </c>
      <c r="AM178" s="136">
        <f t="shared" si="218"/>
        <v>0</v>
      </c>
      <c r="AN178" s="136">
        <f t="shared" si="218"/>
        <v>0</v>
      </c>
      <c r="AO178" s="136">
        <f t="shared" si="218"/>
        <v>0</v>
      </c>
      <c r="AP178" s="136">
        <f t="shared" si="219"/>
        <v>0</v>
      </c>
      <c r="AQ178" s="136">
        <f t="shared" si="219"/>
        <v>0</v>
      </c>
      <c r="AR178" s="136">
        <f t="shared" si="219"/>
        <v>0</v>
      </c>
      <c r="AS178" s="136">
        <f t="shared" si="219"/>
        <v>0</v>
      </c>
      <c r="AT178" s="136">
        <f t="shared" si="219"/>
        <v>0</v>
      </c>
      <c r="AU178" s="136">
        <f t="shared" si="219"/>
        <v>0</v>
      </c>
      <c r="AV178" s="136">
        <f t="shared" si="219"/>
        <v>0</v>
      </c>
      <c r="AW178" s="136">
        <f t="shared" si="219"/>
        <v>0</v>
      </c>
      <c r="AX178" s="136">
        <f t="shared" si="219"/>
        <v>0</v>
      </c>
      <c r="AY178" s="136">
        <f t="shared" si="220"/>
        <v>0</v>
      </c>
      <c r="AZ178" s="136">
        <f t="shared" si="220"/>
        <v>0</v>
      </c>
      <c r="BA178" s="136">
        <f t="shared" si="220"/>
        <v>0</v>
      </c>
      <c r="BB178" s="136">
        <f t="shared" si="220"/>
        <v>0</v>
      </c>
      <c r="BC178" s="136">
        <f t="shared" si="220"/>
        <v>0</v>
      </c>
      <c r="BD178" s="136">
        <f t="shared" si="220"/>
        <v>0</v>
      </c>
      <c r="BE178" s="136">
        <f t="shared" si="220"/>
        <v>0</v>
      </c>
      <c r="BF178" s="136">
        <f t="shared" si="220"/>
        <v>0</v>
      </c>
      <c r="BG178" s="136">
        <f t="shared" si="220"/>
        <v>0</v>
      </c>
      <c r="BH178" s="136">
        <f t="shared" si="220"/>
        <v>0</v>
      </c>
      <c r="BI178" s="136">
        <f t="shared" si="220"/>
        <v>0</v>
      </c>
      <c r="BJ178" s="136">
        <f t="shared" si="220"/>
        <v>0</v>
      </c>
      <c r="BK178" s="136">
        <f t="shared" si="220"/>
        <v>0</v>
      </c>
      <c r="BL178" s="136">
        <f t="shared" si="220"/>
        <v>0</v>
      </c>
      <c r="BM178" s="136">
        <f t="shared" si="220"/>
        <v>0</v>
      </c>
      <c r="BN178" s="136">
        <f t="shared" si="220"/>
        <v>0</v>
      </c>
      <c r="BO178" s="136">
        <f t="shared" si="220"/>
        <v>0</v>
      </c>
      <c r="BP178" s="136">
        <f t="shared" si="220"/>
        <v>0</v>
      </c>
      <c r="BQ178" s="136">
        <f t="shared" si="220"/>
        <v>0</v>
      </c>
      <c r="BR178" s="136">
        <f t="shared" si="220"/>
        <v>0</v>
      </c>
    </row>
    <row r="179" spans="1:70">
      <c r="A179" t="s">
        <v>16</v>
      </c>
      <c r="B179" s="71" t="str">
        <f t="shared" si="215"/>
        <v>CNW</v>
      </c>
      <c r="C179" s="71" t="str">
        <f t="shared" si="216"/>
        <v>Commercial - Water Heating</v>
      </c>
      <c r="E179" s="90"/>
      <c r="F179" s="90"/>
      <c r="I179" s="134"/>
      <c r="J179" s="91"/>
      <c r="K179" s="91"/>
      <c r="L179" s="136">
        <f t="shared" si="217"/>
        <v>0</v>
      </c>
      <c r="M179" s="136">
        <f t="shared" si="217"/>
        <v>0</v>
      </c>
      <c r="N179" s="136">
        <f t="shared" si="217"/>
        <v>0</v>
      </c>
      <c r="O179" s="136">
        <f t="shared" si="217"/>
        <v>0</v>
      </c>
      <c r="P179" s="136">
        <f t="shared" si="217"/>
        <v>0</v>
      </c>
      <c r="Q179" s="136">
        <f t="shared" si="217"/>
        <v>0</v>
      </c>
      <c r="R179" s="136">
        <f t="shared" si="217"/>
        <v>0</v>
      </c>
      <c r="S179" s="136">
        <f t="shared" si="217"/>
        <v>0</v>
      </c>
      <c r="T179" s="136">
        <f t="shared" si="217"/>
        <v>0</v>
      </c>
      <c r="U179" s="136">
        <f t="shared" si="217"/>
        <v>0</v>
      </c>
      <c r="V179" s="136">
        <f t="shared" si="217"/>
        <v>0</v>
      </c>
      <c r="W179" s="136">
        <f t="shared" si="217"/>
        <v>0</v>
      </c>
      <c r="X179" s="136">
        <f t="shared" si="217"/>
        <v>0</v>
      </c>
      <c r="Y179" s="136">
        <f t="shared" si="217"/>
        <v>0</v>
      </c>
      <c r="Z179" s="136">
        <f t="shared" si="217"/>
        <v>0</v>
      </c>
      <c r="AA179" s="136">
        <f t="shared" si="217"/>
        <v>0</v>
      </c>
      <c r="AB179" s="136">
        <f t="shared" si="218"/>
        <v>0</v>
      </c>
      <c r="AC179" s="136">
        <f t="shared" si="218"/>
        <v>0</v>
      </c>
      <c r="AD179" s="136">
        <f t="shared" si="218"/>
        <v>0</v>
      </c>
      <c r="AE179" s="136">
        <f t="shared" si="218"/>
        <v>0</v>
      </c>
      <c r="AF179" s="136">
        <f t="shared" si="218"/>
        <v>0</v>
      </c>
      <c r="AG179" s="136">
        <f t="shared" si="218"/>
        <v>0</v>
      </c>
      <c r="AH179" s="136">
        <f t="shared" si="218"/>
        <v>0</v>
      </c>
      <c r="AI179" s="136">
        <f t="shared" si="218"/>
        <v>0</v>
      </c>
      <c r="AJ179" s="136">
        <f t="shared" si="218"/>
        <v>0</v>
      </c>
      <c r="AK179" s="136">
        <f t="shared" si="218"/>
        <v>0</v>
      </c>
      <c r="AL179" s="136">
        <f t="shared" si="218"/>
        <v>0</v>
      </c>
      <c r="AM179" s="136">
        <f t="shared" si="218"/>
        <v>0</v>
      </c>
      <c r="AN179" s="136">
        <f t="shared" si="218"/>
        <v>0</v>
      </c>
      <c r="AO179" s="136">
        <f t="shared" si="218"/>
        <v>0</v>
      </c>
      <c r="AP179" s="136">
        <f t="shared" si="219"/>
        <v>0</v>
      </c>
      <c r="AQ179" s="136">
        <f t="shared" si="219"/>
        <v>0</v>
      </c>
      <c r="AR179" s="136">
        <f t="shared" si="219"/>
        <v>0</v>
      </c>
      <c r="AS179" s="136">
        <f t="shared" si="219"/>
        <v>0</v>
      </c>
      <c r="AT179" s="136">
        <f t="shared" si="219"/>
        <v>0</v>
      </c>
      <c r="AU179" s="136">
        <f t="shared" si="219"/>
        <v>0</v>
      </c>
      <c r="AV179" s="136">
        <f t="shared" si="219"/>
        <v>0</v>
      </c>
      <c r="AW179" s="136">
        <f t="shared" si="219"/>
        <v>0</v>
      </c>
      <c r="AX179" s="136">
        <f t="shared" si="219"/>
        <v>0</v>
      </c>
      <c r="AY179" s="136">
        <f t="shared" si="220"/>
        <v>0</v>
      </c>
      <c r="AZ179" s="136">
        <f t="shared" si="220"/>
        <v>0</v>
      </c>
      <c r="BA179" s="136">
        <f t="shared" si="220"/>
        <v>0</v>
      </c>
      <c r="BB179" s="136">
        <f t="shared" si="220"/>
        <v>0</v>
      </c>
      <c r="BC179" s="136">
        <f t="shared" si="220"/>
        <v>0</v>
      </c>
      <c r="BD179" s="136">
        <f t="shared" si="220"/>
        <v>0</v>
      </c>
      <c r="BE179" s="136">
        <f t="shared" si="220"/>
        <v>0</v>
      </c>
      <c r="BF179" s="136">
        <f t="shared" si="220"/>
        <v>0</v>
      </c>
      <c r="BG179" s="136">
        <f t="shared" si="220"/>
        <v>0</v>
      </c>
      <c r="BH179" s="136">
        <f t="shared" si="220"/>
        <v>0</v>
      </c>
      <c r="BI179" s="136">
        <f t="shared" si="220"/>
        <v>0</v>
      </c>
      <c r="BJ179" s="136">
        <f t="shared" si="220"/>
        <v>0</v>
      </c>
      <c r="BK179" s="136">
        <f t="shared" si="220"/>
        <v>0</v>
      </c>
      <c r="BL179" s="136">
        <f t="shared" si="220"/>
        <v>0</v>
      </c>
      <c r="BM179" s="136">
        <f t="shared" si="220"/>
        <v>0</v>
      </c>
      <c r="BN179" s="136">
        <f t="shared" si="220"/>
        <v>0</v>
      </c>
      <c r="BO179" s="136">
        <f t="shared" si="220"/>
        <v>0</v>
      </c>
      <c r="BP179" s="136">
        <f t="shared" si="220"/>
        <v>0</v>
      </c>
      <c r="BQ179" s="136">
        <f t="shared" si="220"/>
        <v>0</v>
      </c>
      <c r="BR179" s="136">
        <f t="shared" si="220"/>
        <v>0</v>
      </c>
    </row>
    <row r="180" spans="1:70">
      <c r="A180" t="s">
        <v>16</v>
      </c>
      <c r="B180" s="71" t="str">
        <f t="shared" si="215"/>
        <v>CNG</v>
      </c>
      <c r="C180" s="71" t="str">
        <f t="shared" si="216"/>
        <v>Commercial - Public lights</v>
      </c>
      <c r="E180" s="90"/>
      <c r="F180" s="90"/>
      <c r="I180" s="134"/>
      <c r="J180" s="91"/>
      <c r="K180" s="91"/>
      <c r="L180" s="136">
        <f t="shared" si="217"/>
        <v>0</v>
      </c>
      <c r="M180" s="136">
        <f t="shared" si="217"/>
        <v>0</v>
      </c>
      <c r="N180" s="136">
        <f t="shared" si="217"/>
        <v>0</v>
      </c>
      <c r="O180" s="136">
        <f t="shared" si="217"/>
        <v>0</v>
      </c>
      <c r="P180" s="136">
        <f t="shared" si="217"/>
        <v>0</v>
      </c>
      <c r="Q180" s="136">
        <f t="shared" si="217"/>
        <v>0</v>
      </c>
      <c r="R180" s="136">
        <f t="shared" si="217"/>
        <v>0</v>
      </c>
      <c r="S180" s="136">
        <f t="shared" si="217"/>
        <v>0</v>
      </c>
      <c r="T180" s="136">
        <f t="shared" si="217"/>
        <v>0</v>
      </c>
      <c r="U180" s="136">
        <f t="shared" si="217"/>
        <v>0</v>
      </c>
      <c r="V180" s="136">
        <f t="shared" si="217"/>
        <v>0</v>
      </c>
      <c r="W180" s="136">
        <f t="shared" si="217"/>
        <v>0</v>
      </c>
      <c r="X180" s="136">
        <f t="shared" si="217"/>
        <v>0</v>
      </c>
      <c r="Y180" s="136">
        <f t="shared" si="217"/>
        <v>0</v>
      </c>
      <c r="Z180" s="136">
        <f t="shared" si="217"/>
        <v>0</v>
      </c>
      <c r="AA180" s="136">
        <f t="shared" si="217"/>
        <v>0</v>
      </c>
      <c r="AB180" s="136">
        <f t="shared" si="218"/>
        <v>0</v>
      </c>
      <c r="AC180" s="136">
        <f t="shared" si="218"/>
        <v>0</v>
      </c>
      <c r="AD180" s="136">
        <f t="shared" si="218"/>
        <v>0</v>
      </c>
      <c r="AE180" s="136">
        <f t="shared" si="218"/>
        <v>0</v>
      </c>
      <c r="AF180" s="136">
        <f t="shared" si="218"/>
        <v>0</v>
      </c>
      <c r="AG180" s="136">
        <f t="shared" si="218"/>
        <v>0</v>
      </c>
      <c r="AH180" s="136">
        <f t="shared" si="218"/>
        <v>0</v>
      </c>
      <c r="AI180" s="136">
        <f t="shared" si="218"/>
        <v>0</v>
      </c>
      <c r="AJ180" s="136">
        <f t="shared" si="218"/>
        <v>0</v>
      </c>
      <c r="AK180" s="136">
        <f t="shared" si="218"/>
        <v>0</v>
      </c>
      <c r="AL180" s="136">
        <f t="shared" si="218"/>
        <v>0</v>
      </c>
      <c r="AM180" s="136">
        <f t="shared" si="218"/>
        <v>0</v>
      </c>
      <c r="AN180" s="136">
        <f t="shared" si="218"/>
        <v>0</v>
      </c>
      <c r="AO180" s="136">
        <f t="shared" si="218"/>
        <v>0</v>
      </c>
      <c r="AP180" s="136">
        <f t="shared" si="219"/>
        <v>0</v>
      </c>
      <c r="AQ180" s="136">
        <f t="shared" si="219"/>
        <v>0</v>
      </c>
      <c r="AR180" s="136">
        <f t="shared" si="219"/>
        <v>0</v>
      </c>
      <c r="AS180" s="136">
        <f t="shared" si="219"/>
        <v>0</v>
      </c>
      <c r="AT180" s="136">
        <f t="shared" si="219"/>
        <v>0</v>
      </c>
      <c r="AU180" s="136">
        <f t="shared" si="219"/>
        <v>0</v>
      </c>
      <c r="AV180" s="136">
        <f t="shared" si="219"/>
        <v>0</v>
      </c>
      <c r="AW180" s="136">
        <f t="shared" si="219"/>
        <v>0</v>
      </c>
      <c r="AX180" s="136">
        <f t="shared" si="219"/>
        <v>0</v>
      </c>
      <c r="AY180" s="136">
        <f t="shared" si="220"/>
        <v>0</v>
      </c>
      <c r="AZ180" s="136">
        <f t="shared" si="220"/>
        <v>0</v>
      </c>
      <c r="BA180" s="136">
        <f t="shared" si="220"/>
        <v>0</v>
      </c>
      <c r="BB180" s="136">
        <f t="shared" si="220"/>
        <v>0</v>
      </c>
      <c r="BC180" s="136">
        <f t="shared" si="220"/>
        <v>0</v>
      </c>
      <c r="BD180" s="136">
        <f t="shared" si="220"/>
        <v>0</v>
      </c>
      <c r="BE180" s="136">
        <f t="shared" si="220"/>
        <v>0</v>
      </c>
      <c r="BF180" s="136">
        <f t="shared" si="220"/>
        <v>0</v>
      </c>
      <c r="BG180" s="136">
        <f t="shared" si="220"/>
        <v>0</v>
      </c>
      <c r="BH180" s="136">
        <f t="shared" si="220"/>
        <v>0</v>
      </c>
      <c r="BI180" s="136">
        <f t="shared" si="220"/>
        <v>0</v>
      </c>
      <c r="BJ180" s="136">
        <f t="shared" si="220"/>
        <v>0</v>
      </c>
      <c r="BK180" s="136">
        <f t="shared" si="220"/>
        <v>0</v>
      </c>
      <c r="BL180" s="136">
        <f t="shared" si="220"/>
        <v>0</v>
      </c>
      <c r="BM180" s="136">
        <f t="shared" si="220"/>
        <v>0</v>
      </c>
      <c r="BN180" s="136">
        <f t="shared" si="220"/>
        <v>0</v>
      </c>
      <c r="BO180" s="136">
        <f t="shared" si="220"/>
        <v>0</v>
      </c>
      <c r="BP180" s="136">
        <f t="shared" si="220"/>
        <v>0</v>
      </c>
      <c r="BQ180" s="136">
        <f t="shared" si="220"/>
        <v>0</v>
      </c>
      <c r="BR180" s="136">
        <f t="shared" si="220"/>
        <v>0</v>
      </c>
    </row>
    <row r="181" spans="1:70">
      <c r="A181" t="s">
        <v>16</v>
      </c>
      <c r="B181" s="71" t="str">
        <f t="shared" si="215"/>
        <v>CNT</v>
      </c>
      <c r="C181" s="71" t="str">
        <f t="shared" si="216"/>
        <v>Commercial - Public Water</v>
      </c>
      <c r="E181" s="90"/>
      <c r="F181" s="90"/>
      <c r="I181" s="134"/>
      <c r="J181" s="91"/>
      <c r="K181" s="91"/>
      <c r="L181" s="136">
        <f t="shared" si="217"/>
        <v>0</v>
      </c>
      <c r="M181" s="136">
        <f t="shared" si="217"/>
        <v>0</v>
      </c>
      <c r="N181" s="136">
        <f t="shared" si="217"/>
        <v>0</v>
      </c>
      <c r="O181" s="136">
        <f t="shared" si="217"/>
        <v>0</v>
      </c>
      <c r="P181" s="136">
        <f t="shared" si="217"/>
        <v>0</v>
      </c>
      <c r="Q181" s="136">
        <f t="shared" si="217"/>
        <v>0</v>
      </c>
      <c r="R181" s="136">
        <f t="shared" si="217"/>
        <v>0</v>
      </c>
      <c r="S181" s="136">
        <f t="shared" si="217"/>
        <v>0</v>
      </c>
      <c r="T181" s="136">
        <f t="shared" si="217"/>
        <v>0</v>
      </c>
      <c r="U181" s="136">
        <f t="shared" si="217"/>
        <v>0</v>
      </c>
      <c r="V181" s="136">
        <f t="shared" si="217"/>
        <v>0</v>
      </c>
      <c r="W181" s="136">
        <f t="shared" si="217"/>
        <v>0</v>
      </c>
      <c r="X181" s="136">
        <f t="shared" si="217"/>
        <v>0</v>
      </c>
      <c r="Y181" s="136">
        <f t="shared" si="217"/>
        <v>0</v>
      </c>
      <c r="Z181" s="136">
        <f t="shared" si="217"/>
        <v>0</v>
      </c>
      <c r="AA181" s="136">
        <f t="shared" si="217"/>
        <v>0</v>
      </c>
      <c r="AB181" s="136">
        <f t="shared" si="218"/>
        <v>0</v>
      </c>
      <c r="AC181" s="136">
        <f t="shared" si="218"/>
        <v>0</v>
      </c>
      <c r="AD181" s="136">
        <f t="shared" si="218"/>
        <v>0</v>
      </c>
      <c r="AE181" s="136">
        <f t="shared" si="218"/>
        <v>0</v>
      </c>
      <c r="AF181" s="136">
        <f t="shared" si="218"/>
        <v>0</v>
      </c>
      <c r="AG181" s="136">
        <f t="shared" si="218"/>
        <v>0</v>
      </c>
      <c r="AH181" s="136">
        <f t="shared" si="218"/>
        <v>0</v>
      </c>
      <c r="AI181" s="136">
        <f t="shared" si="218"/>
        <v>0</v>
      </c>
      <c r="AJ181" s="136">
        <f t="shared" si="218"/>
        <v>0</v>
      </c>
      <c r="AK181" s="136">
        <f t="shared" si="218"/>
        <v>0</v>
      </c>
      <c r="AL181" s="136">
        <f t="shared" si="218"/>
        <v>0</v>
      </c>
      <c r="AM181" s="136">
        <f t="shared" si="218"/>
        <v>0</v>
      </c>
      <c r="AN181" s="136">
        <f t="shared" si="218"/>
        <v>0</v>
      </c>
      <c r="AO181" s="136">
        <f t="shared" si="218"/>
        <v>0</v>
      </c>
      <c r="AP181" s="136">
        <f t="shared" si="219"/>
        <v>0</v>
      </c>
      <c r="AQ181" s="136">
        <f t="shared" si="219"/>
        <v>0</v>
      </c>
      <c r="AR181" s="136">
        <f t="shared" si="219"/>
        <v>0</v>
      </c>
      <c r="AS181" s="136">
        <f t="shared" si="219"/>
        <v>0</v>
      </c>
      <c r="AT181" s="136">
        <f t="shared" si="219"/>
        <v>0</v>
      </c>
      <c r="AU181" s="136">
        <f t="shared" si="219"/>
        <v>0</v>
      </c>
      <c r="AV181" s="136">
        <f t="shared" si="219"/>
        <v>0</v>
      </c>
      <c r="AW181" s="136">
        <f t="shared" si="219"/>
        <v>0</v>
      </c>
      <c r="AX181" s="136">
        <f t="shared" si="219"/>
        <v>0</v>
      </c>
      <c r="AY181" s="136">
        <f t="shared" ref="AY181:BR182" si="221">INDEX(AY$49:AY$52,MATCH($I$173,$B$49:$B$52,0),1)*INDEX(AY$81:AY$89,MATCH($B181,$B$81:$B$89,0))*INDEX(AY$105:AY$113,MATCH($B181,$B$105:$B$113,0))/1000</f>
        <v>0</v>
      </c>
      <c r="AZ181" s="136">
        <f t="shared" si="221"/>
        <v>0</v>
      </c>
      <c r="BA181" s="136">
        <f t="shared" si="221"/>
        <v>0</v>
      </c>
      <c r="BB181" s="136">
        <f t="shared" si="221"/>
        <v>0</v>
      </c>
      <c r="BC181" s="136">
        <f t="shared" si="221"/>
        <v>0</v>
      </c>
      <c r="BD181" s="136">
        <f t="shared" si="221"/>
        <v>0</v>
      </c>
      <c r="BE181" s="136">
        <f t="shared" si="221"/>
        <v>0</v>
      </c>
      <c r="BF181" s="136">
        <f t="shared" si="221"/>
        <v>0</v>
      </c>
      <c r="BG181" s="136">
        <f t="shared" si="221"/>
        <v>0</v>
      </c>
      <c r="BH181" s="136">
        <f t="shared" si="221"/>
        <v>0</v>
      </c>
      <c r="BI181" s="136">
        <f t="shared" si="221"/>
        <v>0</v>
      </c>
      <c r="BJ181" s="136">
        <f t="shared" si="221"/>
        <v>0</v>
      </c>
      <c r="BK181" s="136">
        <f t="shared" si="221"/>
        <v>0</v>
      </c>
      <c r="BL181" s="136">
        <f t="shared" si="221"/>
        <v>0</v>
      </c>
      <c r="BM181" s="136">
        <f t="shared" si="221"/>
        <v>0</v>
      </c>
      <c r="BN181" s="136">
        <f t="shared" si="221"/>
        <v>0</v>
      </c>
      <c r="BO181" s="136">
        <f t="shared" si="221"/>
        <v>0</v>
      </c>
      <c r="BP181" s="136">
        <f t="shared" si="221"/>
        <v>0</v>
      </c>
      <c r="BQ181" s="136">
        <f t="shared" si="221"/>
        <v>0</v>
      </c>
      <c r="BR181" s="136">
        <f t="shared" si="221"/>
        <v>0</v>
      </c>
    </row>
    <row r="182" spans="1:70">
      <c r="A182" t="s">
        <v>16</v>
      </c>
      <c r="B182" s="71" t="str">
        <f t="shared" si="215"/>
        <v>CNO</v>
      </c>
      <c r="C182" s="71" t="str">
        <f t="shared" si="216"/>
        <v>Commercial - Other</v>
      </c>
      <c r="E182" s="90"/>
      <c r="F182" s="90"/>
      <c r="I182" s="134"/>
      <c r="J182" s="91"/>
      <c r="K182" s="91"/>
      <c r="L182" s="136">
        <f t="shared" si="217"/>
        <v>0</v>
      </c>
      <c r="M182" s="136">
        <f t="shared" si="217"/>
        <v>0</v>
      </c>
      <c r="N182" s="136">
        <f t="shared" si="217"/>
        <v>0</v>
      </c>
      <c r="O182" s="136">
        <f t="shared" si="217"/>
        <v>0</v>
      </c>
      <c r="P182" s="136">
        <f t="shared" si="217"/>
        <v>0</v>
      </c>
      <c r="Q182" s="136">
        <f t="shared" si="217"/>
        <v>0</v>
      </c>
      <c r="R182" s="136">
        <f t="shared" si="217"/>
        <v>0</v>
      </c>
      <c r="S182" s="136">
        <f t="shared" si="217"/>
        <v>0</v>
      </c>
      <c r="T182" s="136">
        <f t="shared" si="217"/>
        <v>0</v>
      </c>
      <c r="U182" s="136">
        <f t="shared" si="217"/>
        <v>0</v>
      </c>
      <c r="V182" s="136">
        <f t="shared" si="217"/>
        <v>0</v>
      </c>
      <c r="W182" s="136">
        <f t="shared" si="217"/>
        <v>0</v>
      </c>
      <c r="X182" s="136">
        <f t="shared" si="217"/>
        <v>0</v>
      </c>
      <c r="Y182" s="136">
        <f t="shared" si="217"/>
        <v>0</v>
      </c>
      <c r="Z182" s="136">
        <f t="shared" si="217"/>
        <v>0</v>
      </c>
      <c r="AA182" s="136">
        <f t="shared" si="217"/>
        <v>0</v>
      </c>
      <c r="AB182" s="136">
        <f t="shared" si="218"/>
        <v>0</v>
      </c>
      <c r="AC182" s="136">
        <f t="shared" si="218"/>
        <v>0</v>
      </c>
      <c r="AD182" s="136">
        <f t="shared" si="218"/>
        <v>0</v>
      </c>
      <c r="AE182" s="136">
        <f t="shared" si="218"/>
        <v>0</v>
      </c>
      <c r="AF182" s="136">
        <f t="shared" si="218"/>
        <v>0</v>
      </c>
      <c r="AG182" s="136">
        <f t="shared" si="218"/>
        <v>0</v>
      </c>
      <c r="AH182" s="136">
        <f t="shared" si="218"/>
        <v>0</v>
      </c>
      <c r="AI182" s="136">
        <f t="shared" si="218"/>
        <v>0</v>
      </c>
      <c r="AJ182" s="136">
        <f t="shared" si="218"/>
        <v>0</v>
      </c>
      <c r="AK182" s="136">
        <f t="shared" si="218"/>
        <v>0</v>
      </c>
      <c r="AL182" s="136">
        <f t="shared" si="218"/>
        <v>0</v>
      </c>
      <c r="AM182" s="136">
        <f t="shared" si="218"/>
        <v>0</v>
      </c>
      <c r="AN182" s="136">
        <f t="shared" si="218"/>
        <v>0</v>
      </c>
      <c r="AO182" s="136">
        <f t="shared" si="218"/>
        <v>0</v>
      </c>
      <c r="AP182" s="136">
        <f t="shared" si="219"/>
        <v>0</v>
      </c>
      <c r="AQ182" s="136">
        <f t="shared" si="219"/>
        <v>0</v>
      </c>
      <c r="AR182" s="136">
        <f t="shared" si="219"/>
        <v>0</v>
      </c>
      <c r="AS182" s="136">
        <f t="shared" si="219"/>
        <v>0</v>
      </c>
      <c r="AT182" s="136">
        <f t="shared" si="219"/>
        <v>0</v>
      </c>
      <c r="AU182" s="136">
        <f t="shared" si="219"/>
        <v>0</v>
      </c>
      <c r="AV182" s="136">
        <f t="shared" si="219"/>
        <v>0</v>
      </c>
      <c r="AW182" s="136">
        <f t="shared" si="219"/>
        <v>0</v>
      </c>
      <c r="AX182" s="136">
        <f t="shared" si="219"/>
        <v>0</v>
      </c>
      <c r="AY182" s="136">
        <f t="shared" si="221"/>
        <v>0</v>
      </c>
      <c r="AZ182" s="136">
        <f t="shared" si="221"/>
        <v>0</v>
      </c>
      <c r="BA182" s="136">
        <f t="shared" si="221"/>
        <v>0</v>
      </c>
      <c r="BB182" s="136">
        <f t="shared" si="221"/>
        <v>0</v>
      </c>
      <c r="BC182" s="136">
        <f t="shared" si="221"/>
        <v>0</v>
      </c>
      <c r="BD182" s="136">
        <f t="shared" si="221"/>
        <v>0</v>
      </c>
      <c r="BE182" s="136">
        <f t="shared" si="221"/>
        <v>0</v>
      </c>
      <c r="BF182" s="136">
        <f t="shared" si="221"/>
        <v>0</v>
      </c>
      <c r="BG182" s="136">
        <f t="shared" si="221"/>
        <v>0</v>
      </c>
      <c r="BH182" s="136">
        <f t="shared" si="221"/>
        <v>0</v>
      </c>
      <c r="BI182" s="136">
        <f t="shared" si="221"/>
        <v>0</v>
      </c>
      <c r="BJ182" s="136">
        <f t="shared" si="221"/>
        <v>0</v>
      </c>
      <c r="BK182" s="136">
        <f t="shared" si="221"/>
        <v>0</v>
      </c>
      <c r="BL182" s="136">
        <f t="shared" si="221"/>
        <v>0</v>
      </c>
      <c r="BM182" s="136">
        <f t="shared" si="221"/>
        <v>0</v>
      </c>
      <c r="BN182" s="136">
        <f t="shared" si="221"/>
        <v>0</v>
      </c>
      <c r="BO182" s="136">
        <f t="shared" si="221"/>
        <v>0</v>
      </c>
      <c r="BP182" s="136">
        <f t="shared" si="221"/>
        <v>0</v>
      </c>
      <c r="BQ182" s="136">
        <f t="shared" si="221"/>
        <v>0</v>
      </c>
      <c r="BR182" s="136">
        <f t="shared" si="221"/>
        <v>0</v>
      </c>
    </row>
    <row r="183" spans="1:70">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75" thickBot="1">
      <c r="A185" t="s">
        <v>16</v>
      </c>
      <c r="B185" s="69" t="s">
        <v>467</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c r="A186" t="s">
        <v>16</v>
      </c>
      <c r="B186" s="71" t="str">
        <f t="shared" ref="B186:C194" si="222">B174</f>
        <v>CNC</v>
      </c>
      <c r="C186" s="71" t="str">
        <f t="shared" si="222"/>
        <v>Commercial - Cooling</v>
      </c>
      <c r="E186" s="90"/>
      <c r="F186" s="90"/>
      <c r="I186" s="134"/>
      <c r="J186" s="91"/>
      <c r="K186" s="91"/>
      <c r="L186" s="136">
        <f t="shared" ref="L186:AA194" si="223">INDEX(L$49:L$52,MATCH($I$185,$B$49:$B$52,0),1)*INDEX(L$81:L$89,MATCH($B186,$B$81:$B$89,0))*INDEX(L$116:L$124,MATCH($B186,$B$116:$B$124,0))/1000</f>
        <v>0</v>
      </c>
      <c r="M186" s="136">
        <f t="shared" si="223"/>
        <v>0</v>
      </c>
      <c r="N186" s="136">
        <f t="shared" si="223"/>
        <v>0</v>
      </c>
      <c r="O186" s="136">
        <f t="shared" si="223"/>
        <v>0</v>
      </c>
      <c r="P186" s="136">
        <f t="shared" si="223"/>
        <v>0</v>
      </c>
      <c r="Q186" s="136">
        <f t="shared" si="223"/>
        <v>0</v>
      </c>
      <c r="R186" s="136">
        <f>INDEX(R$49:R$52,MATCH($I$185,$B$49:$B$52,0),1)*INDEX(R$81:R$89,MATCH($B186,$B$81:$B$89,0))*INDEX(R$116:R$124,MATCH($B186,$B$116:$B$124,0))/1000</f>
        <v>1.7663141176431716</v>
      </c>
      <c r="S186" s="136">
        <f t="shared" si="223"/>
        <v>3.4029475996970713</v>
      </c>
      <c r="T186" s="136">
        <f t="shared" si="223"/>
        <v>4.4302493543804173</v>
      </c>
      <c r="U186" s="136">
        <f t="shared" si="223"/>
        <v>7.1917286123115618</v>
      </c>
      <c r="V186" s="136">
        <f t="shared" si="223"/>
        <v>10.205459457953769</v>
      </c>
      <c r="W186" s="136">
        <f t="shared" si="223"/>
        <v>12.104276183044473</v>
      </c>
      <c r="X186" s="136">
        <f>INDEX(X$49:X$52,MATCH($I$185,$B$49:$B$52,0),1)*INDEX(X$81:X$89,MATCH($B186,$B$81:$B$89,0))*INDEX(X$116:X$124,MATCH($B186,$B$116:$B$124,0))/1000</f>
        <v>14.293119281054754</v>
      </c>
      <c r="Y186" s="136">
        <f t="shared" si="223"/>
        <v>16.526817125544348</v>
      </c>
      <c r="Z186" s="136">
        <f t="shared" si="223"/>
        <v>18.955059480624989</v>
      </c>
      <c r="AA186" s="136">
        <f t="shared" si="223"/>
        <v>21.769747920407127</v>
      </c>
      <c r="AB186" s="136">
        <f t="shared" ref="AB186:AQ194" si="224">INDEX(AB$49:AB$52,MATCH($I$185,$B$49:$B$52,0),1)*INDEX(AB$81:AB$89,MATCH($B186,$B$81:$B$89,0))*INDEX(AB$116:AB$124,MATCH($B186,$B$116:$B$124,0))/1000</f>
        <v>24.803557394929335</v>
      </c>
      <c r="AC186" s="136">
        <f t="shared" si="224"/>
        <v>28.046857149372503</v>
      </c>
      <c r="AD186" s="136">
        <f t="shared" si="224"/>
        <v>31.621656240192273</v>
      </c>
      <c r="AE186" s="136">
        <f t="shared" si="224"/>
        <v>31.37643412383359</v>
      </c>
      <c r="AF186" s="136">
        <f t="shared" si="224"/>
        <v>31.131212007474907</v>
      </c>
      <c r="AG186" s="136">
        <f t="shared" si="224"/>
        <v>30.885989891116225</v>
      </c>
      <c r="AH186" s="136">
        <f t="shared" si="224"/>
        <v>30.640767774757538</v>
      </c>
      <c r="AI186" s="136">
        <f t="shared" si="224"/>
        <v>30.395545658398852</v>
      </c>
      <c r="AJ186" s="136">
        <f t="shared" si="224"/>
        <v>30.150323542040169</v>
      </c>
      <c r="AK186" s="136">
        <f t="shared" si="224"/>
        <v>29.905101425681487</v>
      </c>
      <c r="AL186" s="136">
        <f t="shared" si="224"/>
        <v>29.6598793093228</v>
      </c>
      <c r="AM186" s="136">
        <f t="shared" si="224"/>
        <v>29.414657192964118</v>
      </c>
      <c r="AN186" s="136">
        <f t="shared" si="224"/>
        <v>29.169435076605421</v>
      </c>
      <c r="AO186" s="136">
        <f t="shared" si="224"/>
        <v>29.295983413765065</v>
      </c>
      <c r="AP186" s="136">
        <f t="shared" si="224"/>
        <v>29.422531750924716</v>
      </c>
      <c r="AQ186" s="136">
        <f t="shared" si="224"/>
        <v>29.549080088084359</v>
      </c>
      <c r="AR186" s="136">
        <f t="shared" ref="AP186:BE194" si="225">INDEX(AR$49:AR$52,MATCH($I$185,$B$49:$B$52,0),1)*INDEX(AR$81:AR$89,MATCH($B186,$B$81:$B$89,0))*INDEX(AR$116:AR$124,MATCH($B186,$B$116:$B$124,0))/1000</f>
        <v>29.675628425244007</v>
      </c>
      <c r="AS186" s="136">
        <f t="shared" si="225"/>
        <v>29.802176762403651</v>
      </c>
      <c r="AT186" s="136">
        <f t="shared" si="225"/>
        <v>29.928725099563302</v>
      </c>
      <c r="AU186" s="136">
        <f t="shared" si="225"/>
        <v>30.055273436722945</v>
      </c>
      <c r="AV186" s="136">
        <f t="shared" si="225"/>
        <v>30.181821773882593</v>
      </c>
      <c r="AW186" s="136">
        <f t="shared" si="225"/>
        <v>30.308370111042237</v>
      </c>
      <c r="AX186" s="136">
        <f t="shared" si="225"/>
        <v>30.434918448201888</v>
      </c>
      <c r="AY186" s="136">
        <f t="shared" si="225"/>
        <v>30.561466785361532</v>
      </c>
      <c r="AZ186" s="136">
        <f t="shared" si="225"/>
        <v>30.688015122521179</v>
      </c>
      <c r="BA186" s="136">
        <f t="shared" si="225"/>
        <v>30.814563459680826</v>
      </c>
      <c r="BB186" s="136">
        <f t="shared" si="225"/>
        <v>30.941111796840474</v>
      </c>
      <c r="BC186" s="136">
        <f t="shared" si="225"/>
        <v>31.067660134000118</v>
      </c>
      <c r="BD186" s="136">
        <f t="shared" si="225"/>
        <v>31.194208471159765</v>
      </c>
      <c r="BE186" s="136">
        <f t="shared" si="225"/>
        <v>31.320756808319413</v>
      </c>
      <c r="BF186" s="136">
        <f t="shared" ref="AY186:BR192" si="226">INDEX(BF$49:BF$52,MATCH($I$185,$B$49:$B$52,0),1)*INDEX(BF$81:BF$89,MATCH($B186,$B$81:$B$89,0))*INDEX(BF$116:BF$124,MATCH($B186,$B$116:$B$124,0))/1000</f>
        <v>31.44730514547906</v>
      </c>
      <c r="BG186" s="136">
        <f t="shared" si="226"/>
        <v>31.573853482638704</v>
      </c>
      <c r="BH186" s="136">
        <f t="shared" si="226"/>
        <v>31.700401819798355</v>
      </c>
      <c r="BI186" s="136">
        <f t="shared" si="226"/>
        <v>31.826950156958002</v>
      </c>
      <c r="BJ186" s="136">
        <f t="shared" si="226"/>
        <v>31.953498494117653</v>
      </c>
      <c r="BK186" s="136">
        <f t="shared" si="226"/>
        <v>32.080046831277301</v>
      </c>
      <c r="BL186" s="136">
        <f t="shared" si="226"/>
        <v>32.206595168436955</v>
      </c>
      <c r="BM186" s="136">
        <f t="shared" si="226"/>
        <v>32.333143505596603</v>
      </c>
      <c r="BN186" s="136">
        <f t="shared" si="226"/>
        <v>32.45969184275625</v>
      </c>
      <c r="BO186" s="136">
        <f t="shared" si="226"/>
        <v>32.586240179915904</v>
      </c>
      <c r="BP186" s="136">
        <f t="shared" si="226"/>
        <v>32.712788517075552</v>
      </c>
      <c r="BQ186" s="136">
        <f t="shared" si="226"/>
        <v>32.839336854235206</v>
      </c>
      <c r="BR186" s="136">
        <f t="shared" si="226"/>
        <v>32.965885191394854</v>
      </c>
    </row>
    <row r="187" spans="1:70">
      <c r="A187" t="s">
        <v>16</v>
      </c>
      <c r="B187" s="71" t="str">
        <f t="shared" si="222"/>
        <v>CNH</v>
      </c>
      <c r="C187" s="71" t="str">
        <f t="shared" si="222"/>
        <v>Commercial - Space Heating</v>
      </c>
      <c r="E187" s="90"/>
      <c r="F187" s="90"/>
      <c r="I187" s="134"/>
      <c r="J187" s="91"/>
      <c r="K187" s="91"/>
      <c r="L187" s="136">
        <f t="shared" si="223"/>
        <v>0</v>
      </c>
      <c r="M187" s="136">
        <f t="shared" si="223"/>
        <v>0</v>
      </c>
      <c r="N187" s="136">
        <f t="shared" si="223"/>
        <v>0</v>
      </c>
      <c r="O187" s="136">
        <f t="shared" si="223"/>
        <v>0</v>
      </c>
      <c r="P187" s="136">
        <f t="shared" si="223"/>
        <v>0</v>
      </c>
      <c r="Q187" s="136">
        <f t="shared" si="223"/>
        <v>0</v>
      </c>
      <c r="R187" s="136">
        <f t="shared" si="223"/>
        <v>0.16496217879515399</v>
      </c>
      <c r="S187" s="136">
        <f t="shared" si="223"/>
        <v>0.31781303493220059</v>
      </c>
      <c r="T187" s="136">
        <f t="shared" si="223"/>
        <v>0.4137562955560648</v>
      </c>
      <c r="U187" s="136">
        <f t="shared" si="223"/>
        <v>0.65316093726803881</v>
      </c>
      <c r="V187" s="136">
        <f t="shared" si="223"/>
        <v>0.90117700952821456</v>
      </c>
      <c r="W187" s="136">
        <f t="shared" si="223"/>
        <v>1.0390142142263863</v>
      </c>
      <c r="X187" s="136">
        <f t="shared" si="223"/>
        <v>1.1924039793403594</v>
      </c>
      <c r="Y187" s="136">
        <f t="shared" si="223"/>
        <v>1.3396823836969087</v>
      </c>
      <c r="Z187" s="136">
        <f t="shared" si="223"/>
        <v>1.4926229619715241</v>
      </c>
      <c r="AA187" s="136">
        <f t="shared" si="223"/>
        <v>1.6648693787524804</v>
      </c>
      <c r="AB187" s="136">
        <f t="shared" si="224"/>
        <v>1.8417260407143445</v>
      </c>
      <c r="AC187" s="136">
        <f t="shared" si="224"/>
        <v>2.0214115416406555</v>
      </c>
      <c r="AD187" s="136">
        <f t="shared" si="224"/>
        <v>2.2114756545018097</v>
      </c>
      <c r="AE187" s="136">
        <f t="shared" si="224"/>
        <v>2.262751522482664</v>
      </c>
      <c r="AF187" s="136">
        <f t="shared" si="224"/>
        <v>2.3140273904635182</v>
      </c>
      <c r="AG187" s="136">
        <f t="shared" si="224"/>
        <v>2.3653032584443721</v>
      </c>
      <c r="AH187" s="136">
        <f t="shared" si="224"/>
        <v>2.4165791264252263</v>
      </c>
      <c r="AI187" s="136">
        <f t="shared" si="224"/>
        <v>2.4678549944060806</v>
      </c>
      <c r="AJ187" s="136">
        <f t="shared" si="224"/>
        <v>2.5191308623869344</v>
      </c>
      <c r="AK187" s="136">
        <f t="shared" si="224"/>
        <v>2.5704067303677891</v>
      </c>
      <c r="AL187" s="136">
        <f t="shared" si="224"/>
        <v>2.6216825983486429</v>
      </c>
      <c r="AM187" s="136">
        <f t="shared" si="224"/>
        <v>2.6729584663294967</v>
      </c>
      <c r="AN187" s="136">
        <f t="shared" si="224"/>
        <v>2.7242343343103501</v>
      </c>
      <c r="AO187" s="136">
        <f t="shared" si="224"/>
        <v>2.7057143152070604</v>
      </c>
      <c r="AP187" s="136">
        <f t="shared" si="225"/>
        <v>2.6871942961037703</v>
      </c>
      <c r="AQ187" s="136">
        <f t="shared" si="225"/>
        <v>2.6686742770004801</v>
      </c>
      <c r="AR187" s="136">
        <f t="shared" si="225"/>
        <v>2.6501542578971908</v>
      </c>
      <c r="AS187" s="136">
        <f t="shared" si="225"/>
        <v>2.6316342387939007</v>
      </c>
      <c r="AT187" s="136">
        <f t="shared" si="225"/>
        <v>2.613114219690611</v>
      </c>
      <c r="AU187" s="136">
        <f t="shared" si="225"/>
        <v>2.5945942005873208</v>
      </c>
      <c r="AV187" s="136">
        <f t="shared" si="225"/>
        <v>2.5760741814840307</v>
      </c>
      <c r="AW187" s="136">
        <f t="shared" si="225"/>
        <v>2.5575541623807414</v>
      </c>
      <c r="AX187" s="136">
        <f t="shared" si="225"/>
        <v>2.5390341432774512</v>
      </c>
      <c r="AY187" s="136">
        <f t="shared" si="226"/>
        <v>2.5205141241741611</v>
      </c>
      <c r="AZ187" s="136">
        <f t="shared" si="226"/>
        <v>2.5019941050708714</v>
      </c>
      <c r="BA187" s="136">
        <f t="shared" si="226"/>
        <v>2.4834740859675812</v>
      </c>
      <c r="BB187" s="136">
        <f t="shared" si="226"/>
        <v>2.4649540668642911</v>
      </c>
      <c r="BC187" s="136">
        <f t="shared" si="226"/>
        <v>2.4464340477610018</v>
      </c>
      <c r="BD187" s="136">
        <f t="shared" si="226"/>
        <v>2.4279140286577117</v>
      </c>
      <c r="BE187" s="136">
        <f t="shared" si="226"/>
        <v>2.4093940095544215</v>
      </c>
      <c r="BF187" s="136">
        <f t="shared" si="226"/>
        <v>2.3908739904511318</v>
      </c>
      <c r="BG187" s="136">
        <f t="shared" si="226"/>
        <v>2.3723539713478417</v>
      </c>
      <c r="BH187" s="136">
        <f t="shared" si="226"/>
        <v>2.3538339522445524</v>
      </c>
      <c r="BI187" s="136">
        <f t="shared" si="226"/>
        <v>2.3353139331412622</v>
      </c>
      <c r="BJ187" s="136">
        <f t="shared" si="226"/>
        <v>2.3167939140379721</v>
      </c>
      <c r="BK187" s="136">
        <f t="shared" si="226"/>
        <v>2.2982738949346824</v>
      </c>
      <c r="BL187" s="136">
        <f t="shared" si="226"/>
        <v>2.2797538758313922</v>
      </c>
      <c r="BM187" s="136">
        <f t="shared" si="226"/>
        <v>2.2612338567281021</v>
      </c>
      <c r="BN187" s="136">
        <f t="shared" si="226"/>
        <v>2.2427138376248128</v>
      </c>
      <c r="BO187" s="136">
        <f t="shared" si="226"/>
        <v>2.2241938185215226</v>
      </c>
      <c r="BP187" s="136">
        <f t="shared" si="226"/>
        <v>2.2056737994182325</v>
      </c>
      <c r="BQ187" s="136">
        <f t="shared" si="226"/>
        <v>2.1871537803149428</v>
      </c>
      <c r="BR187" s="136">
        <f t="shared" si="226"/>
        <v>2.1686337612116526</v>
      </c>
    </row>
    <row r="188" spans="1:70">
      <c r="A188" t="s">
        <v>16</v>
      </c>
      <c r="B188" s="71" t="str">
        <f t="shared" si="222"/>
        <v>CNK</v>
      </c>
      <c r="C188" s="71" t="str">
        <f t="shared" si="222"/>
        <v>Commercial - Cooking</v>
      </c>
      <c r="E188" s="90"/>
      <c r="F188" s="90"/>
      <c r="I188" s="134"/>
      <c r="J188" s="91"/>
      <c r="K188" s="91"/>
      <c r="L188" s="136">
        <f t="shared" si="223"/>
        <v>0</v>
      </c>
      <c r="M188" s="136">
        <f t="shared" si="223"/>
        <v>0</v>
      </c>
      <c r="N188" s="136">
        <f t="shared" si="223"/>
        <v>0</v>
      </c>
      <c r="O188" s="136">
        <f t="shared" si="223"/>
        <v>0</v>
      </c>
      <c r="P188" s="136">
        <f t="shared" si="223"/>
        <v>0</v>
      </c>
      <c r="Q188" s="136">
        <f t="shared" si="223"/>
        <v>0</v>
      </c>
      <c r="R188" s="136">
        <f t="shared" si="223"/>
        <v>0.12328571728297376</v>
      </c>
      <c r="S188" s="136">
        <f t="shared" si="223"/>
        <v>0.23751994705495594</v>
      </c>
      <c r="T188" s="136">
        <f t="shared" si="223"/>
        <v>0.3092238599813768</v>
      </c>
      <c r="U188" s="136">
        <f t="shared" si="223"/>
        <v>0.50126849336187362</v>
      </c>
      <c r="V188" s="136">
        <f t="shared" si="223"/>
        <v>0.71035272273862615</v>
      </c>
      <c r="W188" s="136">
        <f t="shared" si="223"/>
        <v>0.84138817209163819</v>
      </c>
      <c r="X188" s="136">
        <f t="shared" si="223"/>
        <v>0.99222933902116983</v>
      </c>
      <c r="Y188" s="136">
        <f t="shared" si="223"/>
        <v>1.1458104638122655</v>
      </c>
      <c r="Z188" s="136">
        <f t="shared" si="223"/>
        <v>1.3124959165115861</v>
      </c>
      <c r="AA188" s="136">
        <f t="shared" si="223"/>
        <v>1.5055177559806767</v>
      </c>
      <c r="AB188" s="136">
        <f t="shared" si="224"/>
        <v>1.7132323210726008</v>
      </c>
      <c r="AC188" s="136">
        <f t="shared" si="224"/>
        <v>1.9349339378321841</v>
      </c>
      <c r="AD188" s="136">
        <f t="shared" si="224"/>
        <v>2.1789927387601393</v>
      </c>
      <c r="AE188" s="136">
        <f>INDEX(AE$49:AE$52,MATCH($I$185,$B$49:$B$52,0),1)*INDEX(AE$81:AE$89,MATCH($B188,$B$81:$B$89,0))*INDEX(AE$116:AE$124,MATCH($B188,$B$116:$B$124,0))/1000</f>
        <v>2.1602110092577909</v>
      </c>
      <c r="AF188" s="136">
        <f t="shared" si="224"/>
        <v>2.1414292797554428</v>
      </c>
      <c r="AG188" s="136">
        <f t="shared" si="224"/>
        <v>2.1226475502530944</v>
      </c>
      <c r="AH188" s="136">
        <f t="shared" si="224"/>
        <v>2.1038658207507459</v>
      </c>
      <c r="AI188" s="136">
        <f t="shared" si="224"/>
        <v>2.0850840912483974</v>
      </c>
      <c r="AJ188" s="136">
        <f t="shared" si="224"/>
        <v>2.066302361746049</v>
      </c>
      <c r="AK188" s="136">
        <f t="shared" si="224"/>
        <v>2.047520632243701</v>
      </c>
      <c r="AL188" s="136">
        <f t="shared" si="224"/>
        <v>2.0287389027413525</v>
      </c>
      <c r="AM188" s="136">
        <f t="shared" si="224"/>
        <v>2.0099571732390045</v>
      </c>
      <c r="AN188" s="136">
        <f t="shared" si="224"/>
        <v>1.9911754437366567</v>
      </c>
      <c r="AO188" s="136">
        <f t="shared" si="224"/>
        <v>1.9986881355375963</v>
      </c>
      <c r="AP188" s="136">
        <f t="shared" si="225"/>
        <v>2.0062008273385357</v>
      </c>
      <c r="AQ188" s="136">
        <f t="shared" si="225"/>
        <v>2.013713519139475</v>
      </c>
      <c r="AR188" s="136">
        <f t="shared" si="225"/>
        <v>2.0212262109404149</v>
      </c>
      <c r="AS188" s="136">
        <f t="shared" si="225"/>
        <v>2.0287389027413543</v>
      </c>
      <c r="AT188" s="136">
        <f t="shared" si="225"/>
        <v>2.0362515945422937</v>
      </c>
      <c r="AU188" s="136">
        <f t="shared" si="225"/>
        <v>2.0437642863432335</v>
      </c>
      <c r="AV188" s="136">
        <f t="shared" si="225"/>
        <v>2.0512769781441729</v>
      </c>
      <c r="AW188" s="136">
        <f t="shared" si="225"/>
        <v>2.0587896699451123</v>
      </c>
      <c r="AX188" s="136">
        <f t="shared" si="225"/>
        <v>2.0663023617460516</v>
      </c>
      <c r="AY188" s="136">
        <f t="shared" si="226"/>
        <v>2.0738150535469915</v>
      </c>
      <c r="AZ188" s="136">
        <f t="shared" si="226"/>
        <v>2.0813277453479309</v>
      </c>
      <c r="BA188" s="136">
        <f t="shared" si="226"/>
        <v>2.0888404371488707</v>
      </c>
      <c r="BB188" s="136">
        <f t="shared" si="226"/>
        <v>2.0963531289498096</v>
      </c>
      <c r="BC188" s="136">
        <f t="shared" si="226"/>
        <v>2.103865820750749</v>
      </c>
      <c r="BD188" s="136">
        <f t="shared" si="226"/>
        <v>2.1113785125516888</v>
      </c>
      <c r="BE188" s="136">
        <f t="shared" si="226"/>
        <v>2.1188912043526282</v>
      </c>
      <c r="BF188" s="136">
        <f t="shared" si="226"/>
        <v>2.1264038961535681</v>
      </c>
      <c r="BG188" s="136">
        <f t="shared" si="226"/>
        <v>2.1339165879545074</v>
      </c>
      <c r="BH188" s="136">
        <f t="shared" si="226"/>
        <v>2.1414292797554468</v>
      </c>
      <c r="BI188" s="136">
        <f t="shared" si="226"/>
        <v>2.1489419715563862</v>
      </c>
      <c r="BJ188" s="136">
        <f t="shared" si="226"/>
        <v>2.1564546633573261</v>
      </c>
      <c r="BK188" s="136">
        <f t="shared" si="226"/>
        <v>2.1639673551582654</v>
      </c>
      <c r="BL188" s="136">
        <f t="shared" si="226"/>
        <v>2.1714800469592053</v>
      </c>
      <c r="BM188" s="136">
        <f t="shared" si="226"/>
        <v>2.1789927387601442</v>
      </c>
      <c r="BN188" s="136">
        <f t="shared" si="226"/>
        <v>2.1865054305610836</v>
      </c>
      <c r="BO188" s="136">
        <f t="shared" si="226"/>
        <v>2.1940181223620234</v>
      </c>
      <c r="BP188" s="136">
        <f t="shared" si="226"/>
        <v>2.2015308141629628</v>
      </c>
      <c r="BQ188" s="136">
        <f t="shared" si="226"/>
        <v>2.2090435059639026</v>
      </c>
      <c r="BR188" s="136">
        <f t="shared" si="226"/>
        <v>2.2165561977648416</v>
      </c>
    </row>
    <row r="189" spans="1:70">
      <c r="A189" t="s">
        <v>16</v>
      </c>
      <c r="B189" s="71" t="str">
        <f t="shared" si="222"/>
        <v>CNL</v>
      </c>
      <c r="C189" s="71" t="str">
        <f t="shared" si="222"/>
        <v>Commercial - Lighting</v>
      </c>
      <c r="E189" s="90"/>
      <c r="F189" s="90"/>
      <c r="I189" s="134"/>
      <c r="J189" s="91"/>
      <c r="K189" s="91"/>
      <c r="L189" s="136">
        <f t="shared" si="223"/>
        <v>0</v>
      </c>
      <c r="M189" s="136">
        <f t="shared" si="223"/>
        <v>0</v>
      </c>
      <c r="N189" s="136">
        <f t="shared" si="223"/>
        <v>0</v>
      </c>
      <c r="O189" s="136">
        <f t="shared" si="223"/>
        <v>0</v>
      </c>
      <c r="P189" s="136">
        <f t="shared" si="223"/>
        <v>0</v>
      </c>
      <c r="Q189" s="136">
        <f t="shared" si="223"/>
        <v>0</v>
      </c>
      <c r="R189" s="136">
        <f t="shared" si="223"/>
        <v>1.5371011281891316</v>
      </c>
      <c r="S189" s="136">
        <f t="shared" si="223"/>
        <v>2.9613501598697858</v>
      </c>
      <c r="T189" s="136">
        <f t="shared" si="223"/>
        <v>3.8553398926934275</v>
      </c>
      <c r="U189" s="136">
        <f t="shared" si="223"/>
        <v>6.2467188180737221</v>
      </c>
      <c r="V189" s="136">
        <f t="shared" si="223"/>
        <v>8.848124590542696</v>
      </c>
      <c r="W189" s="136">
        <f t="shared" si="223"/>
        <v>10.475454356489587</v>
      </c>
      <c r="X189" s="136">
        <f t="shared" si="223"/>
        <v>12.347850869938128</v>
      </c>
      <c r="Y189" s="136">
        <f t="shared" si="223"/>
        <v>14.252741381095079</v>
      </c>
      <c r="Z189" s="136">
        <f t="shared" si="223"/>
        <v>16.318989592409707</v>
      </c>
      <c r="AA189" s="136">
        <f t="shared" si="223"/>
        <v>18.710877562290896</v>
      </c>
      <c r="AB189" s="136">
        <f t="shared" si="224"/>
        <v>21.283385270832824</v>
      </c>
      <c r="AC189" s="136">
        <f t="shared" si="224"/>
        <v>24.027571766031677</v>
      </c>
      <c r="AD189" s="136">
        <f t="shared" si="224"/>
        <v>27.047171786392191</v>
      </c>
      <c r="AE189" s="136">
        <f t="shared" si="224"/>
        <v>26.837424243233901</v>
      </c>
      <c r="AF189" s="136">
        <f t="shared" si="224"/>
        <v>26.627676700075614</v>
      </c>
      <c r="AG189" s="136">
        <f t="shared" si="224"/>
        <v>26.417929156917324</v>
      </c>
      <c r="AH189" s="136">
        <f t="shared" si="224"/>
        <v>26.208181613759034</v>
      </c>
      <c r="AI189" s="136">
        <f t="shared" si="224"/>
        <v>25.998434070600748</v>
      </c>
      <c r="AJ189" s="136">
        <f t="shared" si="224"/>
        <v>25.788686527442461</v>
      </c>
      <c r="AK189" s="136">
        <f t="shared" si="224"/>
        <v>25.578938984284171</v>
      </c>
      <c r="AL189" s="136">
        <f t="shared" si="224"/>
        <v>25.369191441125885</v>
      </c>
      <c r="AM189" s="136">
        <f t="shared" si="224"/>
        <v>25.159443897967595</v>
      </c>
      <c r="AN189" s="136">
        <f t="shared" si="224"/>
        <v>24.949696354809294</v>
      </c>
      <c r="AO189" s="136">
        <f t="shared" si="224"/>
        <v>25.03900480642989</v>
      </c>
      <c r="AP189" s="136">
        <f t="shared" si="225"/>
        <v>25.128313258050483</v>
      </c>
      <c r="AQ189" s="136">
        <f t="shared" si="225"/>
        <v>25.217621709671079</v>
      </c>
      <c r="AR189" s="136">
        <f t="shared" si="225"/>
        <v>25.306930161291671</v>
      </c>
      <c r="AS189" s="136">
        <f t="shared" si="225"/>
        <v>25.396238612912267</v>
      </c>
      <c r="AT189" s="136">
        <f t="shared" si="225"/>
        <v>25.485547064532859</v>
      </c>
      <c r="AU189" s="136">
        <f t="shared" si="225"/>
        <v>25.574855516153455</v>
      </c>
      <c r="AV189" s="136">
        <f t="shared" si="225"/>
        <v>25.664163967774048</v>
      </c>
      <c r="AW189" s="136">
        <f t="shared" si="225"/>
        <v>25.753472419394647</v>
      </c>
      <c r="AX189" s="136">
        <f t="shared" si="225"/>
        <v>25.84278087101524</v>
      </c>
      <c r="AY189" s="136">
        <f t="shared" si="226"/>
        <v>25.932089322635832</v>
      </c>
      <c r="AZ189" s="136">
        <f t="shared" si="226"/>
        <v>26.021397774256428</v>
      </c>
      <c r="BA189" s="136">
        <f t="shared" si="226"/>
        <v>26.110706225877021</v>
      </c>
      <c r="BB189" s="136">
        <f t="shared" si="226"/>
        <v>26.200014677497617</v>
      </c>
      <c r="BC189" s="136">
        <f t="shared" si="226"/>
        <v>26.289323129118209</v>
      </c>
      <c r="BD189" s="136">
        <f t="shared" si="226"/>
        <v>26.378631580738805</v>
      </c>
      <c r="BE189" s="136">
        <f t="shared" si="226"/>
        <v>26.467940032359397</v>
      </c>
      <c r="BF189" s="136">
        <f t="shared" si="226"/>
        <v>26.557248483979993</v>
      </c>
      <c r="BG189" s="136">
        <f t="shared" si="226"/>
        <v>26.646556935600586</v>
      </c>
      <c r="BH189" s="136">
        <f t="shared" si="226"/>
        <v>26.735865387221182</v>
      </c>
      <c r="BI189" s="136">
        <f t="shared" si="226"/>
        <v>26.825173838841778</v>
      </c>
      <c r="BJ189" s="136">
        <f t="shared" si="226"/>
        <v>26.914482290462374</v>
      </c>
      <c r="BK189" s="136">
        <f t="shared" si="226"/>
        <v>27.003790742082966</v>
      </c>
      <c r="BL189" s="136">
        <f t="shared" si="226"/>
        <v>27.093099193703562</v>
      </c>
      <c r="BM189" s="136">
        <f t="shared" si="226"/>
        <v>27.182407645324155</v>
      </c>
      <c r="BN189" s="136">
        <f t="shared" si="226"/>
        <v>27.271716096944751</v>
      </c>
      <c r="BO189" s="136">
        <f t="shared" si="226"/>
        <v>27.361024548565343</v>
      </c>
      <c r="BP189" s="136">
        <f t="shared" si="226"/>
        <v>27.450333000185939</v>
      </c>
      <c r="BQ189" s="136">
        <f t="shared" si="226"/>
        <v>27.539641451806531</v>
      </c>
      <c r="BR189" s="136">
        <f t="shared" si="226"/>
        <v>27.628949903427127</v>
      </c>
    </row>
    <row r="190" spans="1:70">
      <c r="A190" t="s">
        <v>16</v>
      </c>
      <c r="B190" s="71" t="str">
        <f t="shared" si="222"/>
        <v>CNR</v>
      </c>
      <c r="C190" s="71" t="str">
        <f t="shared" si="222"/>
        <v>Commercial - Refrigeration</v>
      </c>
      <c r="E190" s="90"/>
      <c r="F190" s="90"/>
      <c r="I190" s="134"/>
      <c r="J190" s="91"/>
      <c r="K190" s="91"/>
      <c r="L190" s="136">
        <f t="shared" si="223"/>
        <v>0</v>
      </c>
      <c r="M190" s="136">
        <f t="shared" si="223"/>
        <v>0</v>
      </c>
      <c r="N190" s="136">
        <f t="shared" si="223"/>
        <v>0</v>
      </c>
      <c r="O190" s="136">
        <f t="shared" si="223"/>
        <v>0</v>
      </c>
      <c r="P190" s="136">
        <f t="shared" si="223"/>
        <v>0</v>
      </c>
      <c r="Q190" s="136">
        <f t="shared" si="223"/>
        <v>0</v>
      </c>
      <c r="R190" s="136">
        <f t="shared" si="223"/>
        <v>0.37392159230343008</v>
      </c>
      <c r="S190" s="136">
        <f t="shared" si="223"/>
        <v>0.72039031579598123</v>
      </c>
      <c r="T190" s="136">
        <f t="shared" si="223"/>
        <v>0.93786596412508894</v>
      </c>
      <c r="U190" s="136">
        <f t="shared" si="223"/>
        <v>1.5187863437861393</v>
      </c>
      <c r="V190" s="136">
        <f t="shared" si="223"/>
        <v>2.1501391121175994</v>
      </c>
      <c r="W190" s="136">
        <f t="shared" si="223"/>
        <v>2.5442669893171557</v>
      </c>
      <c r="X190" s="136">
        <f t="shared" si="223"/>
        <v>2.9975018298660734</v>
      </c>
      <c r="Y190" s="136">
        <f t="shared" si="223"/>
        <v>3.4581867393449137</v>
      </c>
      <c r="Z190" s="136">
        <f t="shared" si="223"/>
        <v>3.9575722640940083</v>
      </c>
      <c r="AA190" s="136">
        <f t="shared" si="223"/>
        <v>4.5354335224744728</v>
      </c>
      <c r="AB190" s="136">
        <f t="shared" si="224"/>
        <v>5.1565334486172025</v>
      </c>
      <c r="AC190" s="136">
        <f t="shared" si="224"/>
        <v>5.8186581091883864</v>
      </c>
      <c r="AD190" s="136">
        <f t="shared" si="224"/>
        <v>6.546872765591667</v>
      </c>
      <c r="AE190" s="136">
        <f t="shared" si="224"/>
        <v>6.4961025597898319</v>
      </c>
      <c r="AF190" s="136">
        <f t="shared" si="224"/>
        <v>6.4453323539879959</v>
      </c>
      <c r="AG190" s="136">
        <f t="shared" si="224"/>
        <v>6.394562148186159</v>
      </c>
      <c r="AH190" s="136">
        <f t="shared" si="224"/>
        <v>6.343791942384323</v>
      </c>
      <c r="AI190" s="136">
        <f t="shared" si="224"/>
        <v>6.2930217365824861</v>
      </c>
      <c r="AJ190" s="136">
        <f t="shared" si="224"/>
        <v>6.242251530780651</v>
      </c>
      <c r="AK190" s="136">
        <f t="shared" si="224"/>
        <v>6.1914813249788141</v>
      </c>
      <c r="AL190" s="136">
        <f t="shared" si="224"/>
        <v>6.1407111191769781</v>
      </c>
      <c r="AM190" s="136">
        <f t="shared" si="224"/>
        <v>6.0899409133751421</v>
      </c>
      <c r="AN190" s="136">
        <f t="shared" si="224"/>
        <v>6.0391707075733096</v>
      </c>
      <c r="AO190" s="136">
        <f t="shared" si="224"/>
        <v>6.0594787898940439</v>
      </c>
      <c r="AP190" s="136">
        <f t="shared" si="225"/>
        <v>6.079786872214779</v>
      </c>
      <c r="AQ190" s="136">
        <f t="shared" si="225"/>
        <v>6.1000949545355123</v>
      </c>
      <c r="AR190" s="136">
        <f t="shared" si="225"/>
        <v>6.1204030368562474</v>
      </c>
      <c r="AS190" s="136">
        <f t="shared" si="225"/>
        <v>6.1407111191769816</v>
      </c>
      <c r="AT190" s="136">
        <f t="shared" si="225"/>
        <v>6.1610192014977168</v>
      </c>
      <c r="AU190" s="136">
        <f t="shared" si="225"/>
        <v>6.1813272838184501</v>
      </c>
      <c r="AV190" s="136">
        <f t="shared" si="225"/>
        <v>6.2016353661391852</v>
      </c>
      <c r="AW190" s="136">
        <f t="shared" si="225"/>
        <v>6.2219434484599194</v>
      </c>
      <c r="AX190" s="136">
        <f t="shared" si="225"/>
        <v>6.2422515307806545</v>
      </c>
      <c r="AY190" s="136">
        <f t="shared" si="226"/>
        <v>6.2625596131013888</v>
      </c>
      <c r="AZ190" s="136">
        <f t="shared" si="226"/>
        <v>6.282867695422123</v>
      </c>
      <c r="BA190" s="136">
        <f t="shared" si="226"/>
        <v>6.3031757777428572</v>
      </c>
      <c r="BB190" s="136">
        <f t="shared" si="226"/>
        <v>6.3234838600635923</v>
      </c>
      <c r="BC190" s="136">
        <f t="shared" si="226"/>
        <v>6.3437919423843265</v>
      </c>
      <c r="BD190" s="136">
        <f t="shared" si="226"/>
        <v>6.3641000247050608</v>
      </c>
      <c r="BE190" s="136">
        <f t="shared" si="226"/>
        <v>6.384408107025795</v>
      </c>
      <c r="BF190" s="136">
        <f t="shared" si="226"/>
        <v>6.4047161893465301</v>
      </c>
      <c r="BG190" s="136">
        <f t="shared" si="226"/>
        <v>6.4250242716672643</v>
      </c>
      <c r="BH190" s="136">
        <f t="shared" si="226"/>
        <v>6.4453323539879985</v>
      </c>
      <c r="BI190" s="136">
        <f t="shared" si="226"/>
        <v>6.4656404363087328</v>
      </c>
      <c r="BJ190" s="136">
        <f t="shared" si="226"/>
        <v>6.4859485186294679</v>
      </c>
      <c r="BK190" s="136">
        <f t="shared" si="226"/>
        <v>6.5062566009502021</v>
      </c>
      <c r="BL190" s="136">
        <f t="shared" si="226"/>
        <v>6.5265646832709372</v>
      </c>
      <c r="BM190" s="136">
        <f t="shared" si="226"/>
        <v>6.5468727655916705</v>
      </c>
      <c r="BN190" s="136">
        <f t="shared" si="226"/>
        <v>6.5671808479124056</v>
      </c>
      <c r="BO190" s="136">
        <f t="shared" si="226"/>
        <v>6.5874889302331407</v>
      </c>
      <c r="BP190" s="136">
        <f t="shared" si="226"/>
        <v>6.607797012553875</v>
      </c>
      <c r="BQ190" s="136">
        <f t="shared" si="226"/>
        <v>6.6281050948746092</v>
      </c>
      <c r="BR190" s="136">
        <f t="shared" si="226"/>
        <v>6.6484131771953434</v>
      </c>
    </row>
    <row r="191" spans="1:70">
      <c r="A191" t="s">
        <v>16</v>
      </c>
      <c r="B191" s="71" t="str">
        <f t="shared" si="222"/>
        <v>CNW</v>
      </c>
      <c r="C191" s="71" t="str">
        <f t="shared" si="222"/>
        <v>Commercial - Water Heating</v>
      </c>
      <c r="E191" s="90"/>
      <c r="F191" s="90"/>
      <c r="I191" s="134"/>
      <c r="J191" s="91"/>
      <c r="K191" s="91"/>
      <c r="L191" s="136">
        <f t="shared" si="223"/>
        <v>0</v>
      </c>
      <c r="M191" s="136">
        <f t="shared" si="223"/>
        <v>0</v>
      </c>
      <c r="N191" s="136">
        <f t="shared" si="223"/>
        <v>0</v>
      </c>
      <c r="O191" s="136">
        <f t="shared" si="223"/>
        <v>0</v>
      </c>
      <c r="P191" s="136">
        <f t="shared" si="223"/>
        <v>0</v>
      </c>
      <c r="Q191" s="136">
        <f t="shared" si="223"/>
        <v>0</v>
      </c>
      <c r="R191" s="136">
        <f t="shared" si="223"/>
        <v>0.19796348261065</v>
      </c>
      <c r="S191" s="136">
        <f t="shared" si="223"/>
        <v>0.38139272694964443</v>
      </c>
      <c r="T191" s="136">
        <f t="shared" si="223"/>
        <v>0.49652979742751913</v>
      </c>
      <c r="U191" s="136">
        <f t="shared" si="223"/>
        <v>0.78327986028250074</v>
      </c>
      <c r="V191" s="136">
        <f t="shared" si="223"/>
        <v>1.0799210239974737</v>
      </c>
      <c r="W191" s="136">
        <f t="shared" si="223"/>
        <v>1.2441621897108941</v>
      </c>
      <c r="X191" s="136">
        <f t="shared" si="223"/>
        <v>1.4267253627459495</v>
      </c>
      <c r="Y191" s="136">
        <f t="shared" si="223"/>
        <v>1.6016492377143454</v>
      </c>
      <c r="Z191" s="136">
        <f t="shared" si="223"/>
        <v>1.7829972818233779</v>
      </c>
      <c r="AA191" s="136">
        <f t="shared" si="223"/>
        <v>1.9870157933952377</v>
      </c>
      <c r="AB191" s="136">
        <f t="shared" si="224"/>
        <v>2.1960968819339595</v>
      </c>
      <c r="AC191" s="136">
        <f t="shared" si="224"/>
        <v>2.4080766204663582</v>
      </c>
      <c r="AD191" s="136">
        <f t="shared" si="224"/>
        <v>2.6319011632939842</v>
      </c>
      <c r="AE191" s="136">
        <f t="shared" si="224"/>
        <v>2.6884399125769471</v>
      </c>
      <c r="AF191" s="136">
        <f t="shared" si="224"/>
        <v>2.7449786618599101</v>
      </c>
      <c r="AG191" s="136">
        <f t="shared" si="224"/>
        <v>2.8015174111428731</v>
      </c>
      <c r="AH191" s="136">
        <f t="shared" si="224"/>
        <v>2.8580561604258365</v>
      </c>
      <c r="AI191" s="136">
        <f t="shared" si="224"/>
        <v>2.9145949097087991</v>
      </c>
      <c r="AJ191" s="136">
        <f t="shared" si="224"/>
        <v>2.9711336589917625</v>
      </c>
      <c r="AK191" s="136">
        <f t="shared" si="224"/>
        <v>3.0276724082747255</v>
      </c>
      <c r="AL191" s="136">
        <f t="shared" si="224"/>
        <v>3.084211157557688</v>
      </c>
      <c r="AM191" s="136">
        <f t="shared" si="224"/>
        <v>3.1407499068406515</v>
      </c>
      <c r="AN191" s="136">
        <f t="shared" si="224"/>
        <v>3.1972886561236136</v>
      </c>
      <c r="AO191" s="136">
        <f t="shared" si="224"/>
        <v>3.1746731564104285</v>
      </c>
      <c r="AP191" s="136">
        <f t="shared" si="225"/>
        <v>3.1520576566972434</v>
      </c>
      <c r="AQ191" s="136">
        <f t="shared" si="225"/>
        <v>3.1294421569840578</v>
      </c>
      <c r="AR191" s="136">
        <f t="shared" si="225"/>
        <v>3.1068266572708723</v>
      </c>
      <c r="AS191" s="136">
        <f t="shared" si="225"/>
        <v>3.0842111575576867</v>
      </c>
      <c r="AT191" s="136">
        <f t="shared" si="225"/>
        <v>3.0615956578445016</v>
      </c>
      <c r="AU191" s="136">
        <f t="shared" si="225"/>
        <v>3.0389801581313165</v>
      </c>
      <c r="AV191" s="136">
        <f t="shared" si="225"/>
        <v>3.016364658418131</v>
      </c>
      <c r="AW191" s="136">
        <f t="shared" si="225"/>
        <v>2.9937491587049458</v>
      </c>
      <c r="AX191" s="136">
        <f t="shared" si="225"/>
        <v>2.9711336589917603</v>
      </c>
      <c r="AY191" s="136">
        <f t="shared" si="226"/>
        <v>2.9485181592785752</v>
      </c>
      <c r="AZ191" s="136">
        <f t="shared" si="226"/>
        <v>2.9259026595653901</v>
      </c>
      <c r="BA191" s="136">
        <f t="shared" si="226"/>
        <v>2.9032871598522045</v>
      </c>
      <c r="BB191" s="136">
        <f t="shared" si="226"/>
        <v>2.8806716601390194</v>
      </c>
      <c r="BC191" s="136">
        <f t="shared" si="226"/>
        <v>2.8580561604258343</v>
      </c>
      <c r="BD191" s="136">
        <f t="shared" si="226"/>
        <v>2.8354406607126488</v>
      </c>
      <c r="BE191" s="136">
        <f t="shared" si="226"/>
        <v>2.8128251609994637</v>
      </c>
      <c r="BF191" s="136">
        <f t="shared" si="226"/>
        <v>2.7902096612862781</v>
      </c>
      <c r="BG191" s="136">
        <f t="shared" si="226"/>
        <v>2.767594161573093</v>
      </c>
      <c r="BH191" s="136">
        <f t="shared" si="226"/>
        <v>2.7449786618599075</v>
      </c>
      <c r="BI191" s="136">
        <f t="shared" si="226"/>
        <v>2.7223631621467219</v>
      </c>
      <c r="BJ191" s="136">
        <f t="shared" si="226"/>
        <v>2.6997476624335368</v>
      </c>
      <c r="BK191" s="136">
        <f t="shared" si="226"/>
        <v>2.6771321627203517</v>
      </c>
      <c r="BL191" s="136">
        <f t="shared" si="226"/>
        <v>2.6545166630071662</v>
      </c>
      <c r="BM191" s="136">
        <f t="shared" si="226"/>
        <v>2.631901163293981</v>
      </c>
      <c r="BN191" s="136">
        <f t="shared" si="226"/>
        <v>2.6092856635807955</v>
      </c>
      <c r="BO191" s="136">
        <f t="shared" si="226"/>
        <v>2.5866701638676104</v>
      </c>
      <c r="BP191" s="136">
        <f t="shared" si="226"/>
        <v>2.5640546641544253</v>
      </c>
      <c r="BQ191" s="136">
        <f t="shared" si="226"/>
        <v>2.5414391644412397</v>
      </c>
      <c r="BR191" s="136">
        <f t="shared" si="226"/>
        <v>2.5188236647280546</v>
      </c>
    </row>
    <row r="192" spans="1:70">
      <c r="A192" t="s">
        <v>16</v>
      </c>
      <c r="B192" s="71" t="str">
        <f t="shared" si="222"/>
        <v>CNG</v>
      </c>
      <c r="C192" s="71" t="str">
        <f t="shared" si="222"/>
        <v>Commercial - Public lights</v>
      </c>
      <c r="E192" s="90"/>
      <c r="F192" s="90"/>
      <c r="I192" s="134"/>
      <c r="J192" s="91"/>
      <c r="K192" s="91"/>
      <c r="L192" s="136">
        <f t="shared" si="223"/>
        <v>0</v>
      </c>
      <c r="M192" s="136">
        <f t="shared" si="223"/>
        <v>0</v>
      </c>
      <c r="N192" s="136">
        <f t="shared" si="223"/>
        <v>0</v>
      </c>
      <c r="O192" s="136">
        <f t="shared" si="223"/>
        <v>0</v>
      </c>
      <c r="P192" s="136">
        <f t="shared" si="223"/>
        <v>0</v>
      </c>
      <c r="Q192" s="136">
        <f t="shared" si="223"/>
        <v>0</v>
      </c>
      <c r="R192" s="136">
        <f t="shared" si="223"/>
        <v>0</v>
      </c>
      <c r="S192" s="136">
        <f t="shared" si="223"/>
        <v>0</v>
      </c>
      <c r="T192" s="136">
        <f t="shared" si="223"/>
        <v>0</v>
      </c>
      <c r="U192" s="136">
        <f t="shared" si="223"/>
        <v>0</v>
      </c>
      <c r="V192" s="136">
        <f t="shared" si="223"/>
        <v>0</v>
      </c>
      <c r="W192" s="136">
        <f t="shared" si="223"/>
        <v>0</v>
      </c>
      <c r="X192" s="136">
        <f t="shared" si="223"/>
        <v>0</v>
      </c>
      <c r="Y192" s="136">
        <f t="shared" si="223"/>
        <v>0</v>
      </c>
      <c r="Z192" s="136">
        <f t="shared" si="223"/>
        <v>0</v>
      </c>
      <c r="AA192" s="136">
        <f t="shared" si="223"/>
        <v>0</v>
      </c>
      <c r="AB192" s="136">
        <f t="shared" si="224"/>
        <v>0</v>
      </c>
      <c r="AC192" s="136">
        <f t="shared" si="224"/>
        <v>0</v>
      </c>
      <c r="AD192" s="136">
        <f t="shared" si="224"/>
        <v>0</v>
      </c>
      <c r="AE192" s="136">
        <f t="shared" si="224"/>
        <v>0</v>
      </c>
      <c r="AF192" s="136">
        <f t="shared" si="224"/>
        <v>0</v>
      </c>
      <c r="AG192" s="136">
        <f t="shared" si="224"/>
        <v>0</v>
      </c>
      <c r="AH192" s="136">
        <f t="shared" si="224"/>
        <v>0</v>
      </c>
      <c r="AI192" s="136">
        <f t="shared" si="224"/>
        <v>0</v>
      </c>
      <c r="AJ192" s="136">
        <f t="shared" si="224"/>
        <v>0</v>
      </c>
      <c r="AK192" s="136">
        <f t="shared" si="224"/>
        <v>0</v>
      </c>
      <c r="AL192" s="136">
        <f t="shared" si="224"/>
        <v>0</v>
      </c>
      <c r="AM192" s="136">
        <f t="shared" si="224"/>
        <v>0</v>
      </c>
      <c r="AN192" s="136">
        <f t="shared" si="224"/>
        <v>0</v>
      </c>
      <c r="AO192" s="136">
        <f t="shared" si="224"/>
        <v>0</v>
      </c>
      <c r="AP192" s="136">
        <f t="shared" si="225"/>
        <v>0</v>
      </c>
      <c r="AQ192" s="136">
        <f t="shared" si="225"/>
        <v>0</v>
      </c>
      <c r="AR192" s="136">
        <f t="shared" si="225"/>
        <v>0</v>
      </c>
      <c r="AS192" s="136">
        <f t="shared" si="225"/>
        <v>0</v>
      </c>
      <c r="AT192" s="136">
        <f t="shared" si="225"/>
        <v>0</v>
      </c>
      <c r="AU192" s="136">
        <f t="shared" si="225"/>
        <v>0</v>
      </c>
      <c r="AV192" s="136">
        <f t="shared" si="225"/>
        <v>0</v>
      </c>
      <c r="AW192" s="136">
        <f t="shared" si="225"/>
        <v>0</v>
      </c>
      <c r="AX192" s="136">
        <f t="shared" si="225"/>
        <v>0</v>
      </c>
      <c r="AY192" s="136">
        <f t="shared" si="226"/>
        <v>0</v>
      </c>
      <c r="AZ192" s="136">
        <f t="shared" si="226"/>
        <v>0</v>
      </c>
      <c r="BA192" s="136">
        <f t="shared" si="226"/>
        <v>0</v>
      </c>
      <c r="BB192" s="136">
        <f t="shared" si="226"/>
        <v>0</v>
      </c>
      <c r="BC192" s="136">
        <f t="shared" si="226"/>
        <v>0</v>
      </c>
      <c r="BD192" s="136">
        <f t="shared" si="226"/>
        <v>0</v>
      </c>
      <c r="BE192" s="136">
        <f t="shared" si="226"/>
        <v>0</v>
      </c>
      <c r="BF192" s="136">
        <f t="shared" si="226"/>
        <v>0</v>
      </c>
      <c r="BG192" s="136">
        <f t="shared" si="226"/>
        <v>0</v>
      </c>
      <c r="BH192" s="136">
        <f t="shared" si="226"/>
        <v>0</v>
      </c>
      <c r="BI192" s="136">
        <f t="shared" si="226"/>
        <v>0</v>
      </c>
      <c r="BJ192" s="136">
        <f t="shared" si="226"/>
        <v>0</v>
      </c>
      <c r="BK192" s="136">
        <f t="shared" si="226"/>
        <v>0</v>
      </c>
      <c r="BL192" s="136">
        <f t="shared" si="226"/>
        <v>0</v>
      </c>
      <c r="BM192" s="136">
        <f t="shared" si="226"/>
        <v>0</v>
      </c>
      <c r="BN192" s="136">
        <f t="shared" si="226"/>
        <v>0</v>
      </c>
      <c r="BO192" s="136">
        <f t="shared" si="226"/>
        <v>0</v>
      </c>
      <c r="BP192" s="136">
        <f t="shared" si="226"/>
        <v>0</v>
      </c>
      <c r="BQ192" s="136">
        <f t="shared" si="226"/>
        <v>0</v>
      </c>
      <c r="BR192" s="136">
        <f t="shared" si="226"/>
        <v>0</v>
      </c>
    </row>
    <row r="193" spans="1:70">
      <c r="A193" t="s">
        <v>16</v>
      </c>
      <c r="B193" s="71" t="str">
        <f t="shared" si="222"/>
        <v>CNT</v>
      </c>
      <c r="C193" s="71" t="str">
        <f t="shared" si="222"/>
        <v>Commercial - Public Water</v>
      </c>
      <c r="E193" s="90"/>
      <c r="F193" s="90"/>
      <c r="I193" s="134"/>
      <c r="J193" s="91"/>
      <c r="K193" s="91"/>
      <c r="L193" s="136">
        <f t="shared" si="223"/>
        <v>0</v>
      </c>
      <c r="M193" s="136">
        <f t="shared" si="223"/>
        <v>0</v>
      </c>
      <c r="N193" s="136">
        <f t="shared" si="223"/>
        <v>0</v>
      </c>
      <c r="O193" s="136">
        <f t="shared" si="223"/>
        <v>0</v>
      </c>
      <c r="P193" s="136">
        <f t="shared" si="223"/>
        <v>0</v>
      </c>
      <c r="Q193" s="136">
        <f t="shared" si="223"/>
        <v>0</v>
      </c>
      <c r="R193" s="136">
        <f t="shared" si="223"/>
        <v>0</v>
      </c>
      <c r="S193" s="136">
        <f t="shared" si="223"/>
        <v>0</v>
      </c>
      <c r="T193" s="136">
        <f t="shared" si="223"/>
        <v>0</v>
      </c>
      <c r="U193" s="136">
        <f t="shared" si="223"/>
        <v>0</v>
      </c>
      <c r="V193" s="136">
        <f t="shared" si="223"/>
        <v>0</v>
      </c>
      <c r="W193" s="136">
        <f t="shared" si="223"/>
        <v>0</v>
      </c>
      <c r="X193" s="136">
        <f t="shared" si="223"/>
        <v>0</v>
      </c>
      <c r="Y193" s="136">
        <f t="shared" si="223"/>
        <v>0</v>
      </c>
      <c r="Z193" s="136">
        <f t="shared" si="223"/>
        <v>0</v>
      </c>
      <c r="AA193" s="136">
        <f t="shared" si="223"/>
        <v>0</v>
      </c>
      <c r="AB193" s="136">
        <f t="shared" si="224"/>
        <v>0</v>
      </c>
      <c r="AC193" s="136">
        <f t="shared" si="224"/>
        <v>0</v>
      </c>
      <c r="AD193" s="136">
        <f t="shared" si="224"/>
        <v>0</v>
      </c>
      <c r="AE193" s="136">
        <f t="shared" si="224"/>
        <v>0</v>
      </c>
      <c r="AF193" s="136">
        <f t="shared" si="224"/>
        <v>0</v>
      </c>
      <c r="AG193" s="136">
        <f t="shared" si="224"/>
        <v>0</v>
      </c>
      <c r="AH193" s="136">
        <f t="shared" si="224"/>
        <v>0</v>
      </c>
      <c r="AI193" s="136">
        <f t="shared" si="224"/>
        <v>0</v>
      </c>
      <c r="AJ193" s="136">
        <f t="shared" si="224"/>
        <v>0</v>
      </c>
      <c r="AK193" s="136">
        <f t="shared" si="224"/>
        <v>0</v>
      </c>
      <c r="AL193" s="136">
        <f t="shared" si="224"/>
        <v>0</v>
      </c>
      <c r="AM193" s="136">
        <f t="shared" si="224"/>
        <v>0</v>
      </c>
      <c r="AN193" s="136">
        <f t="shared" si="224"/>
        <v>0</v>
      </c>
      <c r="AO193" s="136">
        <f t="shared" si="224"/>
        <v>0</v>
      </c>
      <c r="AP193" s="136">
        <f t="shared" si="225"/>
        <v>0</v>
      </c>
      <c r="AQ193" s="136">
        <f t="shared" si="225"/>
        <v>0</v>
      </c>
      <c r="AR193" s="136">
        <f t="shared" si="225"/>
        <v>0</v>
      </c>
      <c r="AS193" s="136">
        <f t="shared" si="225"/>
        <v>0</v>
      </c>
      <c r="AT193" s="136">
        <f t="shared" si="225"/>
        <v>0</v>
      </c>
      <c r="AU193" s="136">
        <f t="shared" si="225"/>
        <v>0</v>
      </c>
      <c r="AV193" s="136">
        <f t="shared" si="225"/>
        <v>0</v>
      </c>
      <c r="AW193" s="136">
        <f t="shared" si="225"/>
        <v>0</v>
      </c>
      <c r="AX193" s="136">
        <f t="shared" si="225"/>
        <v>0</v>
      </c>
      <c r="AY193" s="136">
        <f t="shared" ref="AY193:BR194" si="227">INDEX(AY$49:AY$52,MATCH($I$185,$B$49:$B$52,0),1)*INDEX(AY$81:AY$89,MATCH($B193,$B$81:$B$89,0))*INDEX(AY$116:AY$124,MATCH($B193,$B$116:$B$124,0))/1000</f>
        <v>0</v>
      </c>
      <c r="AZ193" s="136">
        <f t="shared" si="227"/>
        <v>0</v>
      </c>
      <c r="BA193" s="136">
        <f t="shared" si="227"/>
        <v>0</v>
      </c>
      <c r="BB193" s="136">
        <f t="shared" si="227"/>
        <v>0</v>
      </c>
      <c r="BC193" s="136">
        <f t="shared" si="227"/>
        <v>0</v>
      </c>
      <c r="BD193" s="136">
        <f t="shared" si="227"/>
        <v>0</v>
      </c>
      <c r="BE193" s="136">
        <f t="shared" si="227"/>
        <v>0</v>
      </c>
      <c r="BF193" s="136">
        <f t="shared" si="227"/>
        <v>0</v>
      </c>
      <c r="BG193" s="136">
        <f t="shared" si="227"/>
        <v>0</v>
      </c>
      <c r="BH193" s="136">
        <f t="shared" si="227"/>
        <v>0</v>
      </c>
      <c r="BI193" s="136">
        <f t="shared" si="227"/>
        <v>0</v>
      </c>
      <c r="BJ193" s="136">
        <f t="shared" si="227"/>
        <v>0</v>
      </c>
      <c r="BK193" s="136">
        <f t="shared" si="227"/>
        <v>0</v>
      </c>
      <c r="BL193" s="136">
        <f t="shared" si="227"/>
        <v>0</v>
      </c>
      <c r="BM193" s="136">
        <f t="shared" si="227"/>
        <v>0</v>
      </c>
      <c r="BN193" s="136">
        <f t="shared" si="227"/>
        <v>0</v>
      </c>
      <c r="BO193" s="136">
        <f t="shared" si="227"/>
        <v>0</v>
      </c>
      <c r="BP193" s="136">
        <f t="shared" si="227"/>
        <v>0</v>
      </c>
      <c r="BQ193" s="136">
        <f t="shared" si="227"/>
        <v>0</v>
      </c>
      <c r="BR193" s="136">
        <f t="shared" si="227"/>
        <v>0</v>
      </c>
    </row>
    <row r="194" spans="1:70">
      <c r="A194" t="s">
        <v>16</v>
      </c>
      <c r="B194" s="71" t="str">
        <f t="shared" si="222"/>
        <v>CNO</v>
      </c>
      <c r="C194" s="71" t="str">
        <f t="shared" si="222"/>
        <v>Commercial - Other</v>
      </c>
      <c r="E194" s="90"/>
      <c r="F194" s="90"/>
      <c r="I194" s="134"/>
      <c r="J194" s="91"/>
      <c r="K194" s="91"/>
      <c r="L194" s="136">
        <f t="shared" si="223"/>
        <v>0</v>
      </c>
      <c r="M194" s="136">
        <f t="shared" si="223"/>
        <v>0</v>
      </c>
      <c r="N194" s="136">
        <f t="shared" si="223"/>
        <v>0</v>
      </c>
      <c r="O194" s="136">
        <f t="shared" si="223"/>
        <v>0</v>
      </c>
      <c r="P194" s="136">
        <f t="shared" si="223"/>
        <v>0</v>
      </c>
      <c r="Q194" s="136">
        <f t="shared" si="223"/>
        <v>0</v>
      </c>
      <c r="R194" s="136">
        <f t="shared" si="223"/>
        <v>0.27783625702001274</v>
      </c>
      <c r="S194" s="136">
        <f t="shared" si="223"/>
        <v>0.53527411375538358</v>
      </c>
      <c r="T194" s="136">
        <f t="shared" si="223"/>
        <v>0.69686579866596787</v>
      </c>
      <c r="U194" s="136">
        <f t="shared" si="223"/>
        <v>1.1173280459028756</v>
      </c>
      <c r="V194" s="136">
        <f t="shared" si="223"/>
        <v>1.5662291722212769</v>
      </c>
      <c r="W194" s="136">
        <f t="shared" si="223"/>
        <v>1.8352057299228939</v>
      </c>
      <c r="X194" s="136">
        <f t="shared" si="223"/>
        <v>2.1411296058620501</v>
      </c>
      <c r="Y194" s="136">
        <f t="shared" si="223"/>
        <v>2.4463635266187609</v>
      </c>
      <c r="Z194" s="136">
        <f t="shared" si="223"/>
        <v>2.7727940831509161</v>
      </c>
      <c r="AA194" s="136">
        <f t="shared" si="223"/>
        <v>3.1473894883873554</v>
      </c>
      <c r="AB194" s="136">
        <f t="shared" si="224"/>
        <v>3.5445304028335625</v>
      </c>
      <c r="AC194" s="136">
        <f t="shared" si="224"/>
        <v>3.9620387467098332</v>
      </c>
      <c r="AD194" s="136">
        <f t="shared" si="224"/>
        <v>4.4162148913892567</v>
      </c>
      <c r="AE194" s="136">
        <f t="shared" si="224"/>
        <v>4.4233239969616118</v>
      </c>
      <c r="AF194" s="136">
        <f t="shared" si="224"/>
        <v>4.430433102533966</v>
      </c>
      <c r="AG194" s="136">
        <f t="shared" si="224"/>
        <v>4.4375422081063203</v>
      </c>
      <c r="AH194" s="136">
        <f t="shared" si="224"/>
        <v>4.4446513136786754</v>
      </c>
      <c r="AI194" s="136">
        <f t="shared" si="224"/>
        <v>4.4517604192510296</v>
      </c>
      <c r="AJ194" s="136">
        <f t="shared" si="224"/>
        <v>4.4588695248233856</v>
      </c>
      <c r="AK194" s="136">
        <f t="shared" si="224"/>
        <v>4.4659786303957398</v>
      </c>
      <c r="AL194" s="136">
        <f t="shared" si="224"/>
        <v>4.4730877359680941</v>
      </c>
      <c r="AM194" s="136">
        <f t="shared" si="224"/>
        <v>4.4801968415404492</v>
      </c>
      <c r="AN194" s="136">
        <f t="shared" si="224"/>
        <v>4.4873059471128016</v>
      </c>
      <c r="AO194" s="136">
        <f t="shared" si="224"/>
        <v>4.4844623048838601</v>
      </c>
      <c r="AP194" s="136">
        <f t="shared" si="225"/>
        <v>4.4816186626549177</v>
      </c>
      <c r="AQ194" s="136">
        <f t="shared" si="225"/>
        <v>4.4787750204259762</v>
      </c>
      <c r="AR194" s="136">
        <f t="shared" si="225"/>
        <v>4.4759313781970338</v>
      </c>
      <c r="AS194" s="136">
        <f t="shared" si="225"/>
        <v>4.4730877359680923</v>
      </c>
      <c r="AT194" s="136">
        <f t="shared" si="225"/>
        <v>4.4702440937391499</v>
      </c>
      <c r="AU194" s="136">
        <f t="shared" si="225"/>
        <v>4.4674004515102084</v>
      </c>
      <c r="AV194" s="136">
        <f t="shared" si="225"/>
        <v>4.4645568092812677</v>
      </c>
      <c r="AW194" s="136">
        <f t="shared" si="225"/>
        <v>4.4617131670523253</v>
      </c>
      <c r="AX194" s="136">
        <f t="shared" si="225"/>
        <v>4.4588695248233838</v>
      </c>
      <c r="AY194" s="136">
        <f t="shared" si="227"/>
        <v>4.4560258825944414</v>
      </c>
      <c r="AZ194" s="136">
        <f t="shared" si="227"/>
        <v>4.4531822403654999</v>
      </c>
      <c r="BA194" s="136">
        <f t="shared" si="227"/>
        <v>4.4503385981365575</v>
      </c>
      <c r="BB194" s="136">
        <f t="shared" si="227"/>
        <v>4.447494955907616</v>
      </c>
      <c r="BC194" s="136">
        <f t="shared" si="227"/>
        <v>4.4446513136786736</v>
      </c>
      <c r="BD194" s="136">
        <f t="shared" si="227"/>
        <v>4.4418076714497321</v>
      </c>
      <c r="BE194" s="136">
        <f t="shared" si="227"/>
        <v>4.4389640292207906</v>
      </c>
      <c r="BF194" s="136">
        <f t="shared" si="227"/>
        <v>4.4361203869918482</v>
      </c>
      <c r="BG194" s="136">
        <f t="shared" si="227"/>
        <v>4.4332767447629067</v>
      </c>
      <c r="BH194" s="136">
        <f t="shared" si="227"/>
        <v>4.4304331025339643</v>
      </c>
      <c r="BI194" s="136">
        <f t="shared" si="227"/>
        <v>4.4275894603050228</v>
      </c>
      <c r="BJ194" s="136">
        <f t="shared" si="227"/>
        <v>4.4247458180760804</v>
      </c>
      <c r="BK194" s="136">
        <f t="shared" si="227"/>
        <v>4.4219021758471388</v>
      </c>
      <c r="BL194" s="136">
        <f t="shared" si="227"/>
        <v>4.4190585336181973</v>
      </c>
      <c r="BM194" s="136">
        <f t="shared" si="227"/>
        <v>4.4162148913892549</v>
      </c>
      <c r="BN194" s="136">
        <f t="shared" si="227"/>
        <v>4.4133712491603134</v>
      </c>
      <c r="BO194" s="136">
        <f t="shared" si="227"/>
        <v>4.410527606931371</v>
      </c>
      <c r="BP194" s="136">
        <f t="shared" si="227"/>
        <v>4.4076839647024295</v>
      </c>
      <c r="BQ194" s="136">
        <f t="shared" si="227"/>
        <v>4.4048403224734871</v>
      </c>
      <c r="BR194" s="136">
        <f t="shared" si="227"/>
        <v>4.4019966802445456</v>
      </c>
    </row>
    <row r="195" spans="1:70">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c r="A197" t="s">
        <v>16</v>
      </c>
      <c r="B197" s="71" t="str">
        <f t="shared" ref="B197:C205" si="228">B186</f>
        <v>CNC</v>
      </c>
      <c r="C197" s="71" t="str">
        <f t="shared" si="228"/>
        <v>Commercial - Cooling</v>
      </c>
      <c r="E197" s="90"/>
      <c r="F197" s="90"/>
      <c r="I197" s="134"/>
      <c r="J197" s="91"/>
      <c r="K197" s="91"/>
      <c r="L197" s="136">
        <f t="shared" ref="L197:AA205" si="229">INDEX(L$49:L$52,MATCH($I$196,$B$49:$B$52,0),1)*INDEX(L$81:L$89,MATCH($B197,$B$81:$B$89,0))*INDEX(L$127:L$135,MATCH($B197,$B$127:$B$135,0))/1000</f>
        <v>0</v>
      </c>
      <c r="M197" s="136">
        <f t="shared" si="229"/>
        <v>0</v>
      </c>
      <c r="N197" s="136">
        <f t="shared" si="229"/>
        <v>0</v>
      </c>
      <c r="O197" s="136">
        <f t="shared" si="229"/>
        <v>0</v>
      </c>
      <c r="P197" s="136">
        <f t="shared" si="229"/>
        <v>0</v>
      </c>
      <c r="Q197" s="136">
        <f t="shared" si="229"/>
        <v>0</v>
      </c>
      <c r="R197" s="136">
        <f t="shared" si="229"/>
        <v>0</v>
      </c>
      <c r="S197" s="136">
        <f t="shared" si="229"/>
        <v>0</v>
      </c>
      <c r="T197" s="136">
        <f t="shared" si="229"/>
        <v>0</v>
      </c>
      <c r="U197" s="136">
        <f t="shared" si="229"/>
        <v>0</v>
      </c>
      <c r="V197" s="136">
        <f t="shared" si="229"/>
        <v>0</v>
      </c>
      <c r="W197" s="136">
        <f t="shared" si="229"/>
        <v>0</v>
      </c>
      <c r="X197" s="136">
        <f t="shared" si="229"/>
        <v>0</v>
      </c>
      <c r="Y197" s="136">
        <f t="shared" si="229"/>
        <v>0</v>
      </c>
      <c r="Z197" s="136">
        <f t="shared" si="229"/>
        <v>0</v>
      </c>
      <c r="AA197" s="136">
        <f t="shared" si="229"/>
        <v>0</v>
      </c>
      <c r="AB197" s="136">
        <f t="shared" ref="AB197:AQ205" si="230">INDEX(AB$49:AB$52,MATCH($I$196,$B$49:$B$52,0),1)*INDEX(AB$81:AB$89,MATCH($B197,$B$81:$B$89,0))*INDEX(AB$127:AB$135,MATCH($B197,$B$127:$B$135,0))/1000</f>
        <v>0</v>
      </c>
      <c r="AC197" s="136">
        <f t="shared" si="230"/>
        <v>0</v>
      </c>
      <c r="AD197" s="136">
        <f t="shared" si="230"/>
        <v>0</v>
      </c>
      <c r="AE197" s="136">
        <f t="shared" si="230"/>
        <v>3.3480338499140068</v>
      </c>
      <c r="AF197" s="136">
        <f t="shared" si="230"/>
        <v>6.7337885917165829</v>
      </c>
      <c r="AG197" s="136">
        <f t="shared" si="230"/>
        <v>10.074611017434718</v>
      </c>
      <c r="AH197" s="136">
        <f t="shared" si="230"/>
        <v>13.434248169744825</v>
      </c>
      <c r="AI197" s="136">
        <f t="shared" si="230"/>
        <v>16.853601851230508</v>
      </c>
      <c r="AJ197" s="136">
        <f t="shared" si="230"/>
        <v>20.216868628708621</v>
      </c>
      <c r="AK197" s="136">
        <f t="shared" si="230"/>
        <v>23.578550324128479</v>
      </c>
      <c r="AL197" s="136">
        <f t="shared" si="230"/>
        <v>26.959480189167426</v>
      </c>
      <c r="AM197" s="136">
        <f t="shared" si="230"/>
        <v>30.328924371335827</v>
      </c>
      <c r="AN197" s="136">
        <f t="shared" si="230"/>
        <v>33.647940557454646</v>
      </c>
      <c r="AO197" s="136">
        <f t="shared" si="230"/>
        <v>33.793918390594364</v>
      </c>
      <c r="AP197" s="136">
        <f t="shared" si="230"/>
        <v>33.939896223734081</v>
      </c>
      <c r="AQ197" s="136">
        <f t="shared" si="230"/>
        <v>34.085874056873799</v>
      </c>
      <c r="AR197" s="136">
        <f t="shared" ref="AP197:BE205" si="231">INDEX(AR$49:AR$52,MATCH($I$196,$B$49:$B$52,0),1)*INDEX(AR$81:AR$89,MATCH($B197,$B$81:$B$89,0))*INDEX(AR$127:AR$135,MATCH($B197,$B$127:$B$135,0))/1000</f>
        <v>34.231851890013516</v>
      </c>
      <c r="AS197" s="136">
        <f t="shared" si="231"/>
        <v>34.377829723153233</v>
      </c>
      <c r="AT197" s="136">
        <f t="shared" si="231"/>
        <v>34.523807556292951</v>
      </c>
      <c r="AU197" s="136">
        <f t="shared" si="231"/>
        <v>34.669785389432668</v>
      </c>
      <c r="AV197" s="136">
        <f t="shared" si="231"/>
        <v>34.815763222572386</v>
      </c>
      <c r="AW197" s="136">
        <f t="shared" si="231"/>
        <v>34.961741055712103</v>
      </c>
      <c r="AX197" s="136">
        <f t="shared" si="231"/>
        <v>35.107718888851821</v>
      </c>
      <c r="AY197" s="136">
        <f t="shared" si="231"/>
        <v>35.253696721991538</v>
      </c>
      <c r="AZ197" s="136">
        <f t="shared" si="231"/>
        <v>35.399674555131256</v>
      </c>
      <c r="BA197" s="136">
        <f t="shared" si="231"/>
        <v>35.545652388270973</v>
      </c>
      <c r="BB197" s="136">
        <f t="shared" si="231"/>
        <v>35.691630221410691</v>
      </c>
      <c r="BC197" s="136">
        <f t="shared" si="231"/>
        <v>35.837608054550408</v>
      </c>
      <c r="BD197" s="136">
        <f t="shared" si="231"/>
        <v>35.983585887690126</v>
      </c>
      <c r="BE197" s="136">
        <f t="shared" si="231"/>
        <v>36.129563720829843</v>
      </c>
      <c r="BF197" s="136">
        <f t="shared" ref="AY197:BR203" si="232">INDEX(BF$49:BF$52,MATCH($I$196,$B$49:$B$52,0),1)*INDEX(BF$81:BF$89,MATCH($B197,$B$81:$B$89,0))*INDEX(BF$127:BF$135,MATCH($B197,$B$127:$B$135,0))/1000</f>
        <v>36.27554155396956</v>
      </c>
      <c r="BG197" s="136">
        <f t="shared" si="232"/>
        <v>36.421519387109278</v>
      </c>
      <c r="BH197" s="136">
        <f t="shared" si="232"/>
        <v>36.567497220248995</v>
      </c>
      <c r="BI197" s="136">
        <f t="shared" si="232"/>
        <v>36.713475053388713</v>
      </c>
      <c r="BJ197" s="136">
        <f t="shared" si="232"/>
        <v>36.859452886528437</v>
      </c>
      <c r="BK197" s="136">
        <f t="shared" si="232"/>
        <v>37.005430719668155</v>
      </c>
      <c r="BL197" s="136">
        <f t="shared" si="232"/>
        <v>37.151408552807879</v>
      </c>
      <c r="BM197" s="136">
        <f t="shared" si="232"/>
        <v>37.297386385947597</v>
      </c>
      <c r="BN197" s="136">
        <f t="shared" si="232"/>
        <v>37.443364219087321</v>
      </c>
      <c r="BO197" s="136">
        <f t="shared" si="232"/>
        <v>37.589342052227039</v>
      </c>
      <c r="BP197" s="136">
        <f t="shared" si="232"/>
        <v>37.735319885366764</v>
      </c>
      <c r="BQ197" s="136">
        <f t="shared" si="232"/>
        <v>37.881297718506481</v>
      </c>
      <c r="BR197" s="136">
        <f t="shared" si="232"/>
        <v>38.027275551646206</v>
      </c>
    </row>
    <row r="198" spans="1:70">
      <c r="A198" t="s">
        <v>16</v>
      </c>
      <c r="B198" s="71" t="str">
        <f t="shared" si="228"/>
        <v>CNH</v>
      </c>
      <c r="C198" s="71" t="str">
        <f t="shared" si="228"/>
        <v>Commercial - Space Heating</v>
      </c>
      <c r="E198" s="90"/>
      <c r="F198" s="90"/>
      <c r="I198" s="134"/>
      <c r="J198" s="91"/>
      <c r="K198" s="91"/>
      <c r="L198" s="136">
        <f t="shared" si="229"/>
        <v>0</v>
      </c>
      <c r="M198" s="136">
        <f t="shared" si="229"/>
        <v>0</v>
      </c>
      <c r="N198" s="136">
        <f t="shared" si="229"/>
        <v>0</v>
      </c>
      <c r="O198" s="136">
        <f t="shared" si="229"/>
        <v>0</v>
      </c>
      <c r="P198" s="136">
        <f t="shared" si="229"/>
        <v>0</v>
      </c>
      <c r="Q198" s="136">
        <f t="shared" si="229"/>
        <v>0</v>
      </c>
      <c r="R198" s="136">
        <f t="shared" si="229"/>
        <v>0</v>
      </c>
      <c r="S198" s="136">
        <f t="shared" si="229"/>
        <v>0</v>
      </c>
      <c r="T198" s="136">
        <f t="shared" si="229"/>
        <v>0</v>
      </c>
      <c r="U198" s="136">
        <f t="shared" si="229"/>
        <v>0</v>
      </c>
      <c r="V198" s="136">
        <f t="shared" si="229"/>
        <v>0</v>
      </c>
      <c r="W198" s="136">
        <f t="shared" si="229"/>
        <v>0</v>
      </c>
      <c r="X198" s="136">
        <f t="shared" si="229"/>
        <v>0</v>
      </c>
      <c r="Y198" s="136">
        <f t="shared" si="229"/>
        <v>0</v>
      </c>
      <c r="Z198" s="136">
        <f t="shared" si="229"/>
        <v>0</v>
      </c>
      <c r="AA198" s="136">
        <f t="shared" si="229"/>
        <v>0</v>
      </c>
      <c r="AB198" s="136">
        <f t="shared" si="230"/>
        <v>0</v>
      </c>
      <c r="AC198" s="136">
        <f t="shared" si="230"/>
        <v>0</v>
      </c>
      <c r="AD198" s="136">
        <f t="shared" si="230"/>
        <v>0</v>
      </c>
      <c r="AE198" s="136">
        <f t="shared" si="230"/>
        <v>0.24144772670205522</v>
      </c>
      <c r="AF198" s="136">
        <f t="shared" si="230"/>
        <v>0.50053211031685829</v>
      </c>
      <c r="AG198" s="136">
        <f t="shared" si="230"/>
        <v>0.77153137558825735</v>
      </c>
      <c r="AH198" s="136">
        <f t="shared" si="230"/>
        <v>1.0595336234677146</v>
      </c>
      <c r="AI198" s="136">
        <f t="shared" si="230"/>
        <v>1.3683664695388704</v>
      </c>
      <c r="AJ198" s="136">
        <f t="shared" si="230"/>
        <v>1.6891672035422516</v>
      </c>
      <c r="AK198" s="136">
        <f t="shared" si="230"/>
        <v>2.0266262796690824</v>
      </c>
      <c r="AL198" s="136">
        <f t="shared" si="230"/>
        <v>2.3829901442063206</v>
      </c>
      <c r="AM198" s="136">
        <f t="shared" si="230"/>
        <v>2.7560394343953223</v>
      </c>
      <c r="AN198" s="136">
        <f t="shared" si="230"/>
        <v>3.1424974362622851</v>
      </c>
      <c r="AO198" s="136">
        <f t="shared" si="230"/>
        <v>3.1211339610947384</v>
      </c>
      <c r="AP198" s="136">
        <f t="shared" si="231"/>
        <v>3.0997704859271917</v>
      </c>
      <c r="AQ198" s="136">
        <f t="shared" si="231"/>
        <v>3.0784070107596455</v>
      </c>
      <c r="AR198" s="136">
        <f t="shared" si="231"/>
        <v>3.0570435355920984</v>
      </c>
      <c r="AS198" s="136">
        <f t="shared" si="231"/>
        <v>3.0356800604245517</v>
      </c>
      <c r="AT198" s="136">
        <f t="shared" si="231"/>
        <v>3.0143165852570055</v>
      </c>
      <c r="AU198" s="136">
        <f t="shared" si="231"/>
        <v>2.9929531100894589</v>
      </c>
      <c r="AV198" s="136">
        <f t="shared" si="231"/>
        <v>2.9715896349219117</v>
      </c>
      <c r="AW198" s="136">
        <f t="shared" si="231"/>
        <v>2.9502261597543651</v>
      </c>
      <c r="AX198" s="136">
        <f t="shared" si="231"/>
        <v>2.9288626845868189</v>
      </c>
      <c r="AY198" s="136">
        <f t="shared" si="232"/>
        <v>2.9074992094192722</v>
      </c>
      <c r="AZ198" s="136">
        <f t="shared" si="232"/>
        <v>2.8861357342517255</v>
      </c>
      <c r="BA198" s="136">
        <f t="shared" si="232"/>
        <v>2.8647722590841789</v>
      </c>
      <c r="BB198" s="136">
        <f t="shared" si="232"/>
        <v>2.8434087839166322</v>
      </c>
      <c r="BC198" s="136">
        <f t="shared" si="232"/>
        <v>2.8220453087490855</v>
      </c>
      <c r="BD198" s="136">
        <f t="shared" si="232"/>
        <v>2.8006818335815393</v>
      </c>
      <c r="BE198" s="136">
        <f t="shared" si="232"/>
        <v>2.7793183584139922</v>
      </c>
      <c r="BF198" s="136">
        <f t="shared" si="232"/>
        <v>2.7579548832464456</v>
      </c>
      <c r="BG198" s="136">
        <f t="shared" si="232"/>
        <v>2.7365914080788989</v>
      </c>
      <c r="BH198" s="136">
        <f t="shared" si="232"/>
        <v>2.7152279329113527</v>
      </c>
      <c r="BI198" s="136">
        <f t="shared" si="232"/>
        <v>2.693864457743806</v>
      </c>
      <c r="BJ198" s="136">
        <f t="shared" si="232"/>
        <v>2.6725009825762589</v>
      </c>
      <c r="BK198" s="136">
        <f t="shared" si="232"/>
        <v>2.6511375074087127</v>
      </c>
      <c r="BL198" s="136">
        <f t="shared" si="232"/>
        <v>2.629774032241166</v>
      </c>
      <c r="BM198" s="136">
        <f t="shared" si="232"/>
        <v>2.6084105570736194</v>
      </c>
      <c r="BN198" s="136">
        <f t="shared" si="232"/>
        <v>2.5870470819060727</v>
      </c>
      <c r="BO198" s="136">
        <f t="shared" si="232"/>
        <v>2.565683606738526</v>
      </c>
      <c r="BP198" s="136">
        <f t="shared" si="232"/>
        <v>2.5443201315709794</v>
      </c>
      <c r="BQ198" s="136">
        <f t="shared" si="232"/>
        <v>2.5229566564034327</v>
      </c>
      <c r="BR198" s="136">
        <f t="shared" si="232"/>
        <v>2.5015931812358865</v>
      </c>
    </row>
    <row r="199" spans="1:70">
      <c r="A199" t="s">
        <v>16</v>
      </c>
      <c r="B199" s="71" t="str">
        <f t="shared" si="228"/>
        <v>CNK</v>
      </c>
      <c r="C199" s="71" t="str">
        <f t="shared" si="228"/>
        <v>Commercial - Cooking</v>
      </c>
      <c r="E199" s="90"/>
      <c r="F199" s="90"/>
      <c r="I199" s="134"/>
      <c r="J199" s="91"/>
      <c r="K199" s="91"/>
      <c r="L199" s="136">
        <f t="shared" si="229"/>
        <v>0</v>
      </c>
      <c r="M199" s="136">
        <f t="shared" si="229"/>
        <v>0</v>
      </c>
      <c r="N199" s="136">
        <f t="shared" si="229"/>
        <v>0</v>
      </c>
      <c r="O199" s="136">
        <f t="shared" si="229"/>
        <v>0</v>
      </c>
      <c r="P199" s="136">
        <f t="shared" si="229"/>
        <v>0</v>
      </c>
      <c r="Q199" s="136">
        <f t="shared" si="229"/>
        <v>0</v>
      </c>
      <c r="R199" s="136">
        <f t="shared" si="229"/>
        <v>0</v>
      </c>
      <c r="S199" s="136">
        <f t="shared" si="229"/>
        <v>0</v>
      </c>
      <c r="T199" s="136">
        <f t="shared" si="229"/>
        <v>0</v>
      </c>
      <c r="U199" s="136">
        <f t="shared" si="229"/>
        <v>0</v>
      </c>
      <c r="V199" s="136">
        <f t="shared" si="229"/>
        <v>0</v>
      </c>
      <c r="W199" s="136">
        <f t="shared" si="229"/>
        <v>0</v>
      </c>
      <c r="X199" s="136">
        <f t="shared" si="229"/>
        <v>0</v>
      </c>
      <c r="Y199" s="136">
        <f t="shared" si="229"/>
        <v>0</v>
      </c>
      <c r="Z199" s="136">
        <f t="shared" si="229"/>
        <v>0</v>
      </c>
      <c r="AA199" s="136">
        <f t="shared" si="229"/>
        <v>0</v>
      </c>
      <c r="AB199" s="136">
        <f t="shared" si="230"/>
        <v>0</v>
      </c>
      <c r="AC199" s="136">
        <f t="shared" si="230"/>
        <v>0</v>
      </c>
      <c r="AD199" s="136">
        <f t="shared" si="230"/>
        <v>0</v>
      </c>
      <c r="AE199" s="136">
        <f t="shared" si="230"/>
        <v>0.23050610382963163</v>
      </c>
      <c r="AF199" s="136">
        <f t="shared" si="230"/>
        <v>0.46319854333081195</v>
      </c>
      <c r="AG199" s="136">
        <f t="shared" si="230"/>
        <v>0.69238021741571543</v>
      </c>
      <c r="AH199" s="136">
        <f t="shared" si="230"/>
        <v>0.92242647963585667</v>
      </c>
      <c r="AI199" s="136">
        <f t="shared" si="230"/>
        <v>1.1561291741615805</v>
      </c>
      <c r="AJ199" s="136">
        <f t="shared" si="230"/>
        <v>1.3855295229705358</v>
      </c>
      <c r="AK199" s="136">
        <f t="shared" si="230"/>
        <v>1.6143589543418275</v>
      </c>
      <c r="AL199" s="136">
        <f t="shared" si="230"/>
        <v>1.8440313154024606</v>
      </c>
      <c r="AM199" s="136">
        <f t="shared" si="230"/>
        <v>2.0724307170022396</v>
      </c>
      <c r="AN199" s="136">
        <f t="shared" si="230"/>
        <v>2.2968889453758798</v>
      </c>
      <c r="AO199" s="136">
        <f t="shared" si="230"/>
        <v>2.3055550921997936</v>
      </c>
      <c r="AP199" s="136">
        <f t="shared" si="231"/>
        <v>2.3142212390237078</v>
      </c>
      <c r="AQ199" s="136">
        <f t="shared" si="231"/>
        <v>2.3228873858476216</v>
      </c>
      <c r="AR199" s="136">
        <f t="shared" si="231"/>
        <v>2.3315535326715358</v>
      </c>
      <c r="AS199" s="136">
        <f t="shared" si="231"/>
        <v>2.3402196794954495</v>
      </c>
      <c r="AT199" s="136">
        <f t="shared" si="231"/>
        <v>2.3488858263193633</v>
      </c>
      <c r="AU199" s="136">
        <f t="shared" si="231"/>
        <v>2.3575519731432775</v>
      </c>
      <c r="AV199" s="136">
        <f t="shared" si="231"/>
        <v>2.3662181199671912</v>
      </c>
      <c r="AW199" s="136">
        <f t="shared" si="231"/>
        <v>2.3748842667911054</v>
      </c>
      <c r="AX199" s="136">
        <f t="shared" si="231"/>
        <v>2.3835504136150192</v>
      </c>
      <c r="AY199" s="136">
        <f t="shared" si="232"/>
        <v>2.3922165604389334</v>
      </c>
      <c r="AZ199" s="136">
        <f t="shared" si="232"/>
        <v>2.4008827072628476</v>
      </c>
      <c r="BA199" s="136">
        <f t="shared" si="232"/>
        <v>2.4095488540867613</v>
      </c>
      <c r="BB199" s="136">
        <f t="shared" si="232"/>
        <v>2.4182150009106755</v>
      </c>
      <c r="BC199" s="136">
        <f t="shared" si="232"/>
        <v>2.4268811477345893</v>
      </c>
      <c r="BD199" s="136">
        <f t="shared" si="232"/>
        <v>2.4355472945585035</v>
      </c>
      <c r="BE199" s="136">
        <f t="shared" si="232"/>
        <v>2.4442134413824173</v>
      </c>
      <c r="BF199" s="136">
        <f t="shared" si="232"/>
        <v>2.4528795882063315</v>
      </c>
      <c r="BG199" s="136">
        <f t="shared" si="232"/>
        <v>2.4615457350302452</v>
      </c>
      <c r="BH199" s="136">
        <f t="shared" si="232"/>
        <v>2.4702118818541594</v>
      </c>
      <c r="BI199" s="136">
        <f t="shared" si="232"/>
        <v>2.4788780286780736</v>
      </c>
      <c r="BJ199" s="136">
        <f t="shared" si="232"/>
        <v>2.4875441755019874</v>
      </c>
      <c r="BK199" s="136">
        <f t="shared" si="232"/>
        <v>2.4962103223259016</v>
      </c>
      <c r="BL199" s="136">
        <f t="shared" si="232"/>
        <v>2.5048764691498153</v>
      </c>
      <c r="BM199" s="136">
        <f t="shared" si="232"/>
        <v>2.5135426159737295</v>
      </c>
      <c r="BN199" s="136">
        <f t="shared" si="232"/>
        <v>2.5222087627976433</v>
      </c>
      <c r="BO199" s="136">
        <f t="shared" si="232"/>
        <v>2.5308749096215575</v>
      </c>
      <c r="BP199" s="136">
        <f t="shared" si="232"/>
        <v>2.5395410564454712</v>
      </c>
      <c r="BQ199" s="136">
        <f t="shared" si="232"/>
        <v>2.5482072032693854</v>
      </c>
      <c r="BR199" s="136">
        <f t="shared" si="232"/>
        <v>2.5568733500932996</v>
      </c>
    </row>
    <row r="200" spans="1:70">
      <c r="A200" t="s">
        <v>16</v>
      </c>
      <c r="B200" s="71" t="str">
        <f t="shared" si="228"/>
        <v>CNL</v>
      </c>
      <c r="C200" s="71" t="str">
        <f t="shared" si="228"/>
        <v>Commercial - Lighting</v>
      </c>
      <c r="E200" s="90"/>
      <c r="F200" s="90"/>
      <c r="I200" s="134"/>
      <c r="J200" s="91"/>
      <c r="K200" s="91"/>
      <c r="L200" s="136">
        <f t="shared" si="229"/>
        <v>0</v>
      </c>
      <c r="M200" s="136">
        <f t="shared" si="229"/>
        <v>0</v>
      </c>
      <c r="N200" s="136">
        <f t="shared" si="229"/>
        <v>0</v>
      </c>
      <c r="O200" s="136">
        <f t="shared" si="229"/>
        <v>0</v>
      </c>
      <c r="P200" s="136">
        <f t="shared" si="229"/>
        <v>0</v>
      </c>
      <c r="Q200" s="136">
        <f t="shared" si="229"/>
        <v>0</v>
      </c>
      <c r="R200" s="136">
        <f t="shared" si="229"/>
        <v>0</v>
      </c>
      <c r="S200" s="136">
        <f t="shared" si="229"/>
        <v>0</v>
      </c>
      <c r="T200" s="136">
        <f t="shared" si="229"/>
        <v>0</v>
      </c>
      <c r="U200" s="136">
        <f t="shared" si="229"/>
        <v>0</v>
      </c>
      <c r="V200" s="136">
        <f t="shared" si="229"/>
        <v>0</v>
      </c>
      <c r="W200" s="136">
        <f t="shared" si="229"/>
        <v>0</v>
      </c>
      <c r="X200" s="136">
        <f t="shared" si="229"/>
        <v>0</v>
      </c>
      <c r="Y200" s="136">
        <f t="shared" si="229"/>
        <v>0</v>
      </c>
      <c r="Z200" s="136">
        <f t="shared" si="229"/>
        <v>0</v>
      </c>
      <c r="AA200" s="136">
        <f t="shared" si="229"/>
        <v>0</v>
      </c>
      <c r="AB200" s="136">
        <f t="shared" si="230"/>
        <v>0</v>
      </c>
      <c r="AC200" s="136">
        <f t="shared" si="230"/>
        <v>0</v>
      </c>
      <c r="AD200" s="136">
        <f t="shared" si="230"/>
        <v>0</v>
      </c>
      <c r="AE200" s="136">
        <f t="shared" si="230"/>
        <v>2.8636971446859767</v>
      </c>
      <c r="AF200" s="136">
        <f t="shared" si="230"/>
        <v>5.7596583629263698</v>
      </c>
      <c r="AG200" s="136">
        <f t="shared" si="230"/>
        <v>8.6171873098567051</v>
      </c>
      <c r="AH200" s="136">
        <f t="shared" si="230"/>
        <v>11.490809188111749</v>
      </c>
      <c r="AI200" s="136">
        <f t="shared" si="230"/>
        <v>14.415508821776896</v>
      </c>
      <c r="AJ200" s="136">
        <f t="shared" si="230"/>
        <v>17.292235252642765</v>
      </c>
      <c r="AK200" s="136">
        <f t="shared" si="230"/>
        <v>20.167605904216128</v>
      </c>
      <c r="AL200" s="136">
        <f t="shared" si="230"/>
        <v>23.059440226961762</v>
      </c>
      <c r="AM200" s="136">
        <f t="shared" si="230"/>
        <v>25.941450420467483</v>
      </c>
      <c r="AN200" s="136">
        <f t="shared" si="230"/>
        <v>28.780327684387338</v>
      </c>
      <c r="AO200" s="136">
        <f t="shared" si="230"/>
        <v>28.883348036461907</v>
      </c>
      <c r="AP200" s="136">
        <f t="shared" si="231"/>
        <v>28.986368388536469</v>
      </c>
      <c r="AQ200" s="136">
        <f t="shared" si="231"/>
        <v>29.089388740611039</v>
      </c>
      <c r="AR200" s="136">
        <f t="shared" si="231"/>
        <v>29.192409092685601</v>
      </c>
      <c r="AS200" s="136">
        <f t="shared" si="231"/>
        <v>29.295429444760167</v>
      </c>
      <c r="AT200" s="136">
        <f t="shared" si="231"/>
        <v>29.398449796834736</v>
      </c>
      <c r="AU200" s="136">
        <f t="shared" si="231"/>
        <v>29.501470148909299</v>
      </c>
      <c r="AV200" s="136">
        <f t="shared" si="231"/>
        <v>29.604490500983864</v>
      </c>
      <c r="AW200" s="136">
        <f t="shared" si="231"/>
        <v>29.70751085305843</v>
      </c>
      <c r="AX200" s="136">
        <f t="shared" si="231"/>
        <v>29.810531205132996</v>
      </c>
      <c r="AY200" s="136">
        <f t="shared" si="232"/>
        <v>29.913551557207562</v>
      </c>
      <c r="AZ200" s="136">
        <f t="shared" si="232"/>
        <v>30.016571909282128</v>
      </c>
      <c r="BA200" s="136">
        <f t="shared" si="232"/>
        <v>30.119592261356694</v>
      </c>
      <c r="BB200" s="136">
        <f t="shared" si="232"/>
        <v>30.222612613431259</v>
      </c>
      <c r="BC200" s="136">
        <f t="shared" si="232"/>
        <v>30.325632965505825</v>
      </c>
      <c r="BD200" s="136">
        <f t="shared" si="232"/>
        <v>30.428653317580387</v>
      </c>
      <c r="BE200" s="136">
        <f t="shared" si="232"/>
        <v>30.531673669654957</v>
      </c>
      <c r="BF200" s="136">
        <f t="shared" si="232"/>
        <v>30.634694021729519</v>
      </c>
      <c r="BG200" s="136">
        <f t="shared" si="232"/>
        <v>30.737714373804089</v>
      </c>
      <c r="BH200" s="136">
        <f t="shared" si="232"/>
        <v>30.840734725878654</v>
      </c>
      <c r="BI200" s="136">
        <f t="shared" si="232"/>
        <v>30.943755077953217</v>
      </c>
      <c r="BJ200" s="136">
        <f t="shared" si="232"/>
        <v>31.046775430027786</v>
      </c>
      <c r="BK200" s="136">
        <f t="shared" si="232"/>
        <v>31.149795782102348</v>
      </c>
      <c r="BL200" s="136">
        <f t="shared" si="232"/>
        <v>31.252816134176914</v>
      </c>
      <c r="BM200" s="136">
        <f t="shared" si="232"/>
        <v>31.35583648625148</v>
      </c>
      <c r="BN200" s="136">
        <f t="shared" si="232"/>
        <v>31.458856838326046</v>
      </c>
      <c r="BO200" s="136">
        <f t="shared" si="232"/>
        <v>31.561877190400615</v>
      </c>
      <c r="BP200" s="136">
        <f t="shared" si="232"/>
        <v>31.664897542475178</v>
      </c>
      <c r="BQ200" s="136">
        <f t="shared" si="232"/>
        <v>31.767917894549743</v>
      </c>
      <c r="BR200" s="136">
        <f t="shared" si="232"/>
        <v>31.870938246624309</v>
      </c>
    </row>
    <row r="201" spans="1:70">
      <c r="A201" t="s">
        <v>16</v>
      </c>
      <c r="B201" s="71" t="str">
        <f t="shared" si="228"/>
        <v>CNR</v>
      </c>
      <c r="C201" s="71" t="str">
        <f t="shared" si="228"/>
        <v>Commercial - Refrigeration</v>
      </c>
      <c r="E201" s="90"/>
      <c r="F201" s="90"/>
      <c r="I201" s="134"/>
      <c r="J201" s="91"/>
      <c r="K201" s="91"/>
      <c r="L201" s="136">
        <f t="shared" si="229"/>
        <v>0</v>
      </c>
      <c r="M201" s="136">
        <f t="shared" si="229"/>
        <v>0</v>
      </c>
      <c r="N201" s="136">
        <f t="shared" si="229"/>
        <v>0</v>
      </c>
      <c r="O201" s="136">
        <f t="shared" si="229"/>
        <v>0</v>
      </c>
      <c r="P201" s="136">
        <f t="shared" si="229"/>
        <v>0</v>
      </c>
      <c r="Q201" s="136">
        <f t="shared" si="229"/>
        <v>0</v>
      </c>
      <c r="R201" s="136">
        <f t="shared" si="229"/>
        <v>0</v>
      </c>
      <c r="S201" s="136">
        <f t="shared" si="229"/>
        <v>0</v>
      </c>
      <c r="T201" s="136">
        <f t="shared" si="229"/>
        <v>0</v>
      </c>
      <c r="U201" s="136">
        <f t="shared" si="229"/>
        <v>0</v>
      </c>
      <c r="V201" s="136">
        <f t="shared" si="229"/>
        <v>0</v>
      </c>
      <c r="W201" s="136">
        <f t="shared" si="229"/>
        <v>0</v>
      </c>
      <c r="X201" s="136">
        <f t="shared" si="229"/>
        <v>0</v>
      </c>
      <c r="Y201" s="136">
        <f t="shared" si="229"/>
        <v>0</v>
      </c>
      <c r="Z201" s="136">
        <f t="shared" si="229"/>
        <v>0</v>
      </c>
      <c r="AA201" s="136">
        <f t="shared" si="229"/>
        <v>0</v>
      </c>
      <c r="AB201" s="136">
        <f t="shared" si="230"/>
        <v>0</v>
      </c>
      <c r="AC201" s="136">
        <f t="shared" si="230"/>
        <v>0</v>
      </c>
      <c r="AD201" s="136">
        <f t="shared" si="230"/>
        <v>0</v>
      </c>
      <c r="AE201" s="136">
        <f t="shared" si="230"/>
        <v>0.6931689935462958</v>
      </c>
      <c r="AF201" s="136">
        <f t="shared" si="230"/>
        <v>1.3941476311518175</v>
      </c>
      <c r="AG201" s="136">
        <f t="shared" si="230"/>
        <v>2.0858235885234584</v>
      </c>
      <c r="AH201" s="136">
        <f t="shared" si="230"/>
        <v>2.7813949022983624</v>
      </c>
      <c r="AI201" s="136">
        <f t="shared" si="230"/>
        <v>3.4893297847473934</v>
      </c>
      <c r="AJ201" s="136">
        <f t="shared" si="230"/>
        <v>4.1856525675149765</v>
      </c>
      <c r="AK201" s="136">
        <f t="shared" si="230"/>
        <v>4.8816471786498168</v>
      </c>
      <c r="AL201" s="136">
        <f t="shared" si="230"/>
        <v>5.581626885205007</v>
      </c>
      <c r="AM201" s="136">
        <f t="shared" si="230"/>
        <v>6.2792286231994039</v>
      </c>
      <c r="AN201" s="136">
        <f t="shared" si="230"/>
        <v>6.9663898684045416</v>
      </c>
      <c r="AO201" s="136">
        <f t="shared" si="230"/>
        <v>6.9898159356207694</v>
      </c>
      <c r="AP201" s="136">
        <f t="shared" si="231"/>
        <v>7.0132420028369991</v>
      </c>
      <c r="AQ201" s="136">
        <f t="shared" si="231"/>
        <v>7.0366680700532269</v>
      </c>
      <c r="AR201" s="136">
        <f t="shared" si="231"/>
        <v>7.0600941372694548</v>
      </c>
      <c r="AS201" s="136">
        <f t="shared" si="231"/>
        <v>7.0835202044856835</v>
      </c>
      <c r="AT201" s="136">
        <f t="shared" si="231"/>
        <v>7.1069462717019123</v>
      </c>
      <c r="AU201" s="136">
        <f t="shared" si="231"/>
        <v>7.1303723389181402</v>
      </c>
      <c r="AV201" s="136">
        <f t="shared" si="231"/>
        <v>7.1537984061343689</v>
      </c>
      <c r="AW201" s="136">
        <f t="shared" si="231"/>
        <v>7.1772244733505977</v>
      </c>
      <c r="AX201" s="136">
        <f t="shared" si="231"/>
        <v>7.2006505405668255</v>
      </c>
      <c r="AY201" s="136">
        <f t="shared" si="232"/>
        <v>7.2240766077830543</v>
      </c>
      <c r="AZ201" s="136">
        <f t="shared" si="232"/>
        <v>7.247502674999283</v>
      </c>
      <c r="BA201" s="136">
        <f t="shared" si="232"/>
        <v>7.2709287422155109</v>
      </c>
      <c r="BB201" s="136">
        <f t="shared" si="232"/>
        <v>7.2943548094317396</v>
      </c>
      <c r="BC201" s="136">
        <f t="shared" si="232"/>
        <v>7.3177808766479675</v>
      </c>
      <c r="BD201" s="136">
        <f t="shared" si="232"/>
        <v>7.3412069438641963</v>
      </c>
      <c r="BE201" s="136">
        <f t="shared" si="232"/>
        <v>7.364633011080425</v>
      </c>
      <c r="BF201" s="136">
        <f t="shared" si="232"/>
        <v>7.3880590782966529</v>
      </c>
      <c r="BG201" s="136">
        <f t="shared" si="232"/>
        <v>7.4114851455128816</v>
      </c>
      <c r="BH201" s="136">
        <f t="shared" si="232"/>
        <v>7.4349112127291104</v>
      </c>
      <c r="BI201" s="136">
        <f t="shared" si="232"/>
        <v>7.4583372799453382</v>
      </c>
      <c r="BJ201" s="136">
        <f t="shared" si="232"/>
        <v>7.4817633471615661</v>
      </c>
      <c r="BK201" s="136">
        <f t="shared" si="232"/>
        <v>7.5051894143777957</v>
      </c>
      <c r="BL201" s="136">
        <f t="shared" si="232"/>
        <v>7.5286154815940236</v>
      </c>
      <c r="BM201" s="136">
        <f t="shared" si="232"/>
        <v>7.5520415488102515</v>
      </c>
      <c r="BN201" s="136">
        <f t="shared" si="232"/>
        <v>7.5754676160264811</v>
      </c>
      <c r="BO201" s="136">
        <f t="shared" si="232"/>
        <v>7.598893683242709</v>
      </c>
      <c r="BP201" s="136">
        <f t="shared" si="232"/>
        <v>7.6223197504589368</v>
      </c>
      <c r="BQ201" s="136">
        <f t="shared" si="232"/>
        <v>7.6457458176751656</v>
      </c>
      <c r="BR201" s="136">
        <f t="shared" si="232"/>
        <v>7.6691718848913943</v>
      </c>
    </row>
    <row r="202" spans="1:70">
      <c r="A202" t="s">
        <v>16</v>
      </c>
      <c r="B202" s="71" t="str">
        <f t="shared" si="228"/>
        <v>CNW</v>
      </c>
      <c r="C202" s="71" t="str">
        <f t="shared" si="228"/>
        <v>Commercial - Water Heating</v>
      </c>
      <c r="E202" s="90"/>
      <c r="F202" s="90"/>
      <c r="I202" s="134"/>
      <c r="J202" s="91"/>
      <c r="K202" s="91"/>
      <c r="L202" s="136">
        <f t="shared" si="229"/>
        <v>0</v>
      </c>
      <c r="M202" s="136">
        <f t="shared" si="229"/>
        <v>0</v>
      </c>
      <c r="N202" s="136">
        <f t="shared" si="229"/>
        <v>0</v>
      </c>
      <c r="O202" s="136">
        <f t="shared" si="229"/>
        <v>0</v>
      </c>
      <c r="P202" s="136">
        <f t="shared" si="229"/>
        <v>0</v>
      </c>
      <c r="Q202" s="136">
        <f t="shared" si="229"/>
        <v>0</v>
      </c>
      <c r="R202" s="136">
        <f t="shared" si="229"/>
        <v>0</v>
      </c>
      <c r="S202" s="136">
        <f t="shared" si="229"/>
        <v>0</v>
      </c>
      <c r="T202" s="136">
        <f t="shared" si="229"/>
        <v>0</v>
      </c>
      <c r="U202" s="136">
        <f t="shared" si="229"/>
        <v>0</v>
      </c>
      <c r="V202" s="136">
        <f t="shared" si="229"/>
        <v>0</v>
      </c>
      <c r="W202" s="136">
        <f t="shared" si="229"/>
        <v>0</v>
      </c>
      <c r="X202" s="136">
        <f t="shared" si="229"/>
        <v>0</v>
      </c>
      <c r="Y202" s="136">
        <f t="shared" si="229"/>
        <v>0</v>
      </c>
      <c r="Z202" s="136">
        <f t="shared" si="229"/>
        <v>0</v>
      </c>
      <c r="AA202" s="136">
        <f t="shared" si="229"/>
        <v>0</v>
      </c>
      <c r="AB202" s="136">
        <f t="shared" si="230"/>
        <v>0</v>
      </c>
      <c r="AC202" s="136">
        <f t="shared" si="230"/>
        <v>0</v>
      </c>
      <c r="AD202" s="136">
        <f t="shared" si="230"/>
        <v>0</v>
      </c>
      <c r="AE202" s="136">
        <f t="shared" si="230"/>
        <v>0.28687096166642806</v>
      </c>
      <c r="AF202" s="136">
        <f t="shared" si="230"/>
        <v>0.59374835754224742</v>
      </c>
      <c r="AG202" s="136">
        <f t="shared" si="230"/>
        <v>0.91381879859882176</v>
      </c>
      <c r="AH202" s="136">
        <f t="shared" si="230"/>
        <v>1.2530963983826784</v>
      </c>
      <c r="AI202" s="136">
        <f t="shared" si="230"/>
        <v>1.6160730495812659</v>
      </c>
      <c r="AJ202" s="136">
        <f t="shared" si="230"/>
        <v>1.9922512200711953</v>
      </c>
      <c r="AK202" s="136">
        <f t="shared" si="230"/>
        <v>2.387155463120255</v>
      </c>
      <c r="AL202" s="136">
        <f t="shared" si="230"/>
        <v>2.8034075504565528</v>
      </c>
      <c r="AM202" s="136">
        <f t="shared" si="230"/>
        <v>3.2383707812387819</v>
      </c>
      <c r="AN202" s="136">
        <f t="shared" si="230"/>
        <v>3.6881817684756903</v>
      </c>
      <c r="AO202" s="136">
        <f t="shared" si="230"/>
        <v>3.6620940164150855</v>
      </c>
      <c r="AP202" s="136">
        <f t="shared" si="231"/>
        <v>3.6360062643544806</v>
      </c>
      <c r="AQ202" s="136">
        <f t="shared" si="231"/>
        <v>3.6099185122938757</v>
      </c>
      <c r="AR202" s="136">
        <f t="shared" si="231"/>
        <v>3.5838307602332713</v>
      </c>
      <c r="AS202" s="136">
        <f t="shared" si="231"/>
        <v>3.557743008172666</v>
      </c>
      <c r="AT202" s="136">
        <f t="shared" si="231"/>
        <v>3.5316552561120615</v>
      </c>
      <c r="AU202" s="136">
        <f t="shared" si="231"/>
        <v>3.5055675040514567</v>
      </c>
      <c r="AV202" s="136">
        <f t="shared" si="231"/>
        <v>3.4794797519908518</v>
      </c>
      <c r="AW202" s="136">
        <f t="shared" si="231"/>
        <v>3.4533919999302469</v>
      </c>
      <c r="AX202" s="136">
        <f t="shared" si="231"/>
        <v>3.4273042478696421</v>
      </c>
      <c r="AY202" s="136">
        <f t="shared" si="232"/>
        <v>3.4012164958090372</v>
      </c>
      <c r="AZ202" s="136">
        <f t="shared" si="232"/>
        <v>3.3751287437484323</v>
      </c>
      <c r="BA202" s="136">
        <f t="shared" si="232"/>
        <v>3.3490409916878274</v>
      </c>
      <c r="BB202" s="136">
        <f t="shared" si="232"/>
        <v>3.322953239627223</v>
      </c>
      <c r="BC202" s="136">
        <f t="shared" si="232"/>
        <v>3.2968654875666181</v>
      </c>
      <c r="BD202" s="136">
        <f t="shared" si="232"/>
        <v>3.2707777355060128</v>
      </c>
      <c r="BE202" s="136">
        <f t="shared" si="232"/>
        <v>3.2446899834454084</v>
      </c>
      <c r="BF202" s="136">
        <f t="shared" si="232"/>
        <v>3.2186022313848035</v>
      </c>
      <c r="BG202" s="136">
        <f t="shared" si="232"/>
        <v>3.1925144793241986</v>
      </c>
      <c r="BH202" s="136">
        <f t="shared" si="232"/>
        <v>3.1664267272635938</v>
      </c>
      <c r="BI202" s="136">
        <f t="shared" si="232"/>
        <v>3.1403389752029889</v>
      </c>
      <c r="BJ202" s="136">
        <f t="shared" si="232"/>
        <v>3.1142512231423845</v>
      </c>
      <c r="BK202" s="136">
        <f t="shared" si="232"/>
        <v>3.0881634710817791</v>
      </c>
      <c r="BL202" s="136">
        <f t="shared" si="232"/>
        <v>3.0620757190211743</v>
      </c>
      <c r="BM202" s="136">
        <f t="shared" si="232"/>
        <v>3.0359879669605698</v>
      </c>
      <c r="BN202" s="136">
        <f t="shared" si="232"/>
        <v>3.009900214899965</v>
      </c>
      <c r="BO202" s="136">
        <f t="shared" si="232"/>
        <v>2.9838124628393601</v>
      </c>
      <c r="BP202" s="136">
        <f t="shared" si="232"/>
        <v>2.9577247107787552</v>
      </c>
      <c r="BQ202" s="136">
        <f t="shared" si="232"/>
        <v>2.9316369587181503</v>
      </c>
      <c r="BR202" s="136">
        <f t="shared" si="232"/>
        <v>2.9055492066575459</v>
      </c>
    </row>
    <row r="203" spans="1:70">
      <c r="A203" t="s">
        <v>16</v>
      </c>
      <c r="B203" s="71" t="str">
        <f t="shared" si="228"/>
        <v>CNG</v>
      </c>
      <c r="C203" s="71" t="str">
        <f t="shared" si="228"/>
        <v>Commercial - Public lights</v>
      </c>
      <c r="E203" s="90"/>
      <c r="F203" s="90"/>
      <c r="I203" s="134"/>
      <c r="J203" s="91"/>
      <c r="K203" s="91"/>
      <c r="L203" s="136">
        <f t="shared" si="229"/>
        <v>0</v>
      </c>
      <c r="M203" s="136">
        <f t="shared" si="229"/>
        <v>0</v>
      </c>
      <c r="N203" s="136">
        <f t="shared" si="229"/>
        <v>0</v>
      </c>
      <c r="O203" s="136">
        <f t="shared" si="229"/>
        <v>0</v>
      </c>
      <c r="P203" s="136">
        <f t="shared" si="229"/>
        <v>0</v>
      </c>
      <c r="Q203" s="136">
        <f t="shared" si="229"/>
        <v>0</v>
      </c>
      <c r="R203" s="136">
        <f t="shared" si="229"/>
        <v>0</v>
      </c>
      <c r="S203" s="136">
        <f t="shared" si="229"/>
        <v>0</v>
      </c>
      <c r="T203" s="136">
        <f t="shared" si="229"/>
        <v>0</v>
      </c>
      <c r="U203" s="136">
        <f t="shared" si="229"/>
        <v>0</v>
      </c>
      <c r="V203" s="136">
        <f t="shared" si="229"/>
        <v>0</v>
      </c>
      <c r="W203" s="136">
        <f t="shared" si="229"/>
        <v>0</v>
      </c>
      <c r="X203" s="136">
        <f t="shared" si="229"/>
        <v>0</v>
      </c>
      <c r="Y203" s="136">
        <f t="shared" si="229"/>
        <v>0</v>
      </c>
      <c r="Z203" s="136">
        <f t="shared" si="229"/>
        <v>0</v>
      </c>
      <c r="AA203" s="136">
        <f t="shared" si="229"/>
        <v>0</v>
      </c>
      <c r="AB203" s="136">
        <f t="shared" si="230"/>
        <v>0</v>
      </c>
      <c r="AC203" s="136">
        <f t="shared" si="230"/>
        <v>0</v>
      </c>
      <c r="AD203" s="136">
        <f t="shared" si="230"/>
        <v>0</v>
      </c>
      <c r="AE203" s="136">
        <f t="shared" si="230"/>
        <v>0</v>
      </c>
      <c r="AF203" s="136">
        <f t="shared" si="230"/>
        <v>0</v>
      </c>
      <c r="AG203" s="136">
        <f t="shared" si="230"/>
        <v>0</v>
      </c>
      <c r="AH203" s="136">
        <f t="shared" si="230"/>
        <v>0</v>
      </c>
      <c r="AI203" s="136">
        <f t="shared" si="230"/>
        <v>0</v>
      </c>
      <c r="AJ203" s="136">
        <f t="shared" si="230"/>
        <v>0</v>
      </c>
      <c r="AK203" s="136">
        <f t="shared" si="230"/>
        <v>0</v>
      </c>
      <c r="AL203" s="136">
        <f t="shared" si="230"/>
        <v>0</v>
      </c>
      <c r="AM203" s="136">
        <f t="shared" si="230"/>
        <v>0</v>
      </c>
      <c r="AN203" s="136">
        <f t="shared" si="230"/>
        <v>0</v>
      </c>
      <c r="AO203" s="136">
        <f t="shared" si="230"/>
        <v>0</v>
      </c>
      <c r="AP203" s="136">
        <f t="shared" si="231"/>
        <v>0</v>
      </c>
      <c r="AQ203" s="136">
        <f t="shared" si="231"/>
        <v>0</v>
      </c>
      <c r="AR203" s="136">
        <f t="shared" si="231"/>
        <v>0</v>
      </c>
      <c r="AS203" s="136">
        <f t="shared" si="231"/>
        <v>0</v>
      </c>
      <c r="AT203" s="136">
        <f t="shared" si="231"/>
        <v>0</v>
      </c>
      <c r="AU203" s="136">
        <f t="shared" si="231"/>
        <v>0</v>
      </c>
      <c r="AV203" s="136">
        <f t="shared" si="231"/>
        <v>0</v>
      </c>
      <c r="AW203" s="136">
        <f t="shared" si="231"/>
        <v>0</v>
      </c>
      <c r="AX203" s="136">
        <f t="shared" si="231"/>
        <v>0</v>
      </c>
      <c r="AY203" s="136">
        <f t="shared" si="232"/>
        <v>0</v>
      </c>
      <c r="AZ203" s="136">
        <f t="shared" si="232"/>
        <v>0</v>
      </c>
      <c r="BA203" s="136">
        <f t="shared" si="232"/>
        <v>0</v>
      </c>
      <c r="BB203" s="136">
        <f t="shared" si="232"/>
        <v>0</v>
      </c>
      <c r="BC203" s="136">
        <f t="shared" si="232"/>
        <v>0</v>
      </c>
      <c r="BD203" s="136">
        <f t="shared" si="232"/>
        <v>0</v>
      </c>
      <c r="BE203" s="136">
        <f t="shared" si="232"/>
        <v>0</v>
      </c>
      <c r="BF203" s="136">
        <f t="shared" si="232"/>
        <v>0</v>
      </c>
      <c r="BG203" s="136">
        <f t="shared" si="232"/>
        <v>0</v>
      </c>
      <c r="BH203" s="136">
        <f t="shared" si="232"/>
        <v>0</v>
      </c>
      <c r="BI203" s="136">
        <f t="shared" si="232"/>
        <v>0</v>
      </c>
      <c r="BJ203" s="136">
        <f t="shared" si="232"/>
        <v>0</v>
      </c>
      <c r="BK203" s="136">
        <f t="shared" si="232"/>
        <v>0</v>
      </c>
      <c r="BL203" s="136">
        <f t="shared" si="232"/>
        <v>0</v>
      </c>
      <c r="BM203" s="136">
        <f t="shared" si="232"/>
        <v>0</v>
      </c>
      <c r="BN203" s="136">
        <f t="shared" si="232"/>
        <v>0</v>
      </c>
      <c r="BO203" s="136">
        <f t="shared" si="232"/>
        <v>0</v>
      </c>
      <c r="BP203" s="136">
        <f t="shared" si="232"/>
        <v>0</v>
      </c>
      <c r="BQ203" s="136">
        <f t="shared" si="232"/>
        <v>0</v>
      </c>
      <c r="BR203" s="136">
        <f t="shared" si="232"/>
        <v>0</v>
      </c>
    </row>
    <row r="204" spans="1:70">
      <c r="A204" t="s">
        <v>16</v>
      </c>
      <c r="B204" s="71" t="str">
        <f t="shared" si="228"/>
        <v>CNT</v>
      </c>
      <c r="C204" s="71" t="str">
        <f t="shared" si="228"/>
        <v>Commercial - Public Water</v>
      </c>
      <c r="E204" s="90"/>
      <c r="F204" s="90"/>
      <c r="I204" s="134"/>
      <c r="J204" s="91"/>
      <c r="K204" s="91"/>
      <c r="L204" s="136">
        <f t="shared" si="229"/>
        <v>0</v>
      </c>
      <c r="M204" s="136">
        <f t="shared" si="229"/>
        <v>0</v>
      </c>
      <c r="N204" s="136">
        <f t="shared" si="229"/>
        <v>0</v>
      </c>
      <c r="O204" s="136">
        <f t="shared" si="229"/>
        <v>0</v>
      </c>
      <c r="P204" s="136">
        <f t="shared" si="229"/>
        <v>0</v>
      </c>
      <c r="Q204" s="136">
        <f t="shared" si="229"/>
        <v>0</v>
      </c>
      <c r="R204" s="136">
        <f t="shared" si="229"/>
        <v>0</v>
      </c>
      <c r="S204" s="136">
        <f t="shared" si="229"/>
        <v>0</v>
      </c>
      <c r="T204" s="136">
        <f t="shared" si="229"/>
        <v>0</v>
      </c>
      <c r="U204" s="136">
        <f t="shared" si="229"/>
        <v>0</v>
      </c>
      <c r="V204" s="136">
        <f t="shared" si="229"/>
        <v>0</v>
      </c>
      <c r="W204" s="136">
        <f t="shared" si="229"/>
        <v>0</v>
      </c>
      <c r="X204" s="136">
        <f t="shared" si="229"/>
        <v>0</v>
      </c>
      <c r="Y204" s="136">
        <f t="shared" si="229"/>
        <v>0</v>
      </c>
      <c r="Z204" s="136">
        <f t="shared" si="229"/>
        <v>0</v>
      </c>
      <c r="AA204" s="136">
        <f t="shared" si="229"/>
        <v>0</v>
      </c>
      <c r="AB204" s="136">
        <f t="shared" si="230"/>
        <v>0</v>
      </c>
      <c r="AC204" s="136">
        <f t="shared" si="230"/>
        <v>0</v>
      </c>
      <c r="AD204" s="136">
        <f t="shared" si="230"/>
        <v>0</v>
      </c>
      <c r="AE204" s="136">
        <f t="shared" si="230"/>
        <v>0</v>
      </c>
      <c r="AF204" s="136">
        <f t="shared" si="230"/>
        <v>0</v>
      </c>
      <c r="AG204" s="136">
        <f t="shared" si="230"/>
        <v>0</v>
      </c>
      <c r="AH204" s="136">
        <f t="shared" si="230"/>
        <v>0</v>
      </c>
      <c r="AI204" s="136">
        <f t="shared" si="230"/>
        <v>0</v>
      </c>
      <c r="AJ204" s="136">
        <f t="shared" si="230"/>
        <v>0</v>
      </c>
      <c r="AK204" s="136">
        <f t="shared" si="230"/>
        <v>0</v>
      </c>
      <c r="AL204" s="136">
        <f t="shared" si="230"/>
        <v>0</v>
      </c>
      <c r="AM204" s="136">
        <f t="shared" si="230"/>
        <v>0</v>
      </c>
      <c r="AN204" s="136">
        <f t="shared" si="230"/>
        <v>0</v>
      </c>
      <c r="AO204" s="136">
        <f t="shared" si="230"/>
        <v>0</v>
      </c>
      <c r="AP204" s="136">
        <f t="shared" si="231"/>
        <v>0</v>
      </c>
      <c r="AQ204" s="136">
        <f t="shared" si="231"/>
        <v>0</v>
      </c>
      <c r="AR204" s="136">
        <f t="shared" si="231"/>
        <v>0</v>
      </c>
      <c r="AS204" s="136">
        <f t="shared" si="231"/>
        <v>0</v>
      </c>
      <c r="AT204" s="136">
        <f t="shared" si="231"/>
        <v>0</v>
      </c>
      <c r="AU204" s="136">
        <f t="shared" si="231"/>
        <v>0</v>
      </c>
      <c r="AV204" s="136">
        <f t="shared" si="231"/>
        <v>0</v>
      </c>
      <c r="AW204" s="136">
        <f t="shared" si="231"/>
        <v>0</v>
      </c>
      <c r="AX204" s="136">
        <f t="shared" si="231"/>
        <v>0</v>
      </c>
      <c r="AY204" s="136">
        <f t="shared" ref="AY204:BR205" si="233">INDEX(AY$49:AY$52,MATCH($I$196,$B$49:$B$52,0),1)*INDEX(AY$81:AY$89,MATCH($B204,$B$81:$B$89,0))*INDEX(AY$127:AY$135,MATCH($B204,$B$127:$B$135,0))/1000</f>
        <v>0</v>
      </c>
      <c r="AZ204" s="136">
        <f t="shared" si="233"/>
        <v>0</v>
      </c>
      <c r="BA204" s="136">
        <f t="shared" si="233"/>
        <v>0</v>
      </c>
      <c r="BB204" s="136">
        <f t="shared" si="233"/>
        <v>0</v>
      </c>
      <c r="BC204" s="136">
        <f t="shared" si="233"/>
        <v>0</v>
      </c>
      <c r="BD204" s="136">
        <f t="shared" si="233"/>
        <v>0</v>
      </c>
      <c r="BE204" s="136">
        <f t="shared" si="233"/>
        <v>0</v>
      </c>
      <c r="BF204" s="136">
        <f t="shared" si="233"/>
        <v>0</v>
      </c>
      <c r="BG204" s="136">
        <f t="shared" si="233"/>
        <v>0</v>
      </c>
      <c r="BH204" s="136">
        <f t="shared" si="233"/>
        <v>0</v>
      </c>
      <c r="BI204" s="136">
        <f t="shared" si="233"/>
        <v>0</v>
      </c>
      <c r="BJ204" s="136">
        <f t="shared" si="233"/>
        <v>0</v>
      </c>
      <c r="BK204" s="136">
        <f t="shared" si="233"/>
        <v>0</v>
      </c>
      <c r="BL204" s="136">
        <f t="shared" si="233"/>
        <v>0</v>
      </c>
      <c r="BM204" s="136">
        <f t="shared" si="233"/>
        <v>0</v>
      </c>
      <c r="BN204" s="136">
        <f t="shared" si="233"/>
        <v>0</v>
      </c>
      <c r="BO204" s="136">
        <f t="shared" si="233"/>
        <v>0</v>
      </c>
      <c r="BP204" s="136">
        <f t="shared" si="233"/>
        <v>0</v>
      </c>
      <c r="BQ204" s="136">
        <f t="shared" si="233"/>
        <v>0</v>
      </c>
      <c r="BR204" s="136">
        <f t="shared" si="233"/>
        <v>0</v>
      </c>
    </row>
    <row r="205" spans="1:70">
      <c r="A205" t="s">
        <v>16</v>
      </c>
      <c r="B205" s="71" t="str">
        <f t="shared" si="228"/>
        <v>CNO</v>
      </c>
      <c r="C205" s="71" t="str">
        <f t="shared" si="228"/>
        <v>Commercial - Other</v>
      </c>
      <c r="E205" s="90"/>
      <c r="F205" s="90"/>
      <c r="I205" s="134"/>
      <c r="J205" s="91"/>
      <c r="K205" s="91"/>
      <c r="L205" s="136">
        <f t="shared" si="229"/>
        <v>0</v>
      </c>
      <c r="M205" s="136">
        <f t="shared" si="229"/>
        <v>0</v>
      </c>
      <c r="N205" s="136">
        <f t="shared" si="229"/>
        <v>0</v>
      </c>
      <c r="O205" s="136">
        <f t="shared" si="229"/>
        <v>0</v>
      </c>
      <c r="P205" s="136">
        <f t="shared" si="229"/>
        <v>0</v>
      </c>
      <c r="Q205" s="136">
        <f t="shared" si="229"/>
        <v>0</v>
      </c>
      <c r="R205" s="136">
        <f t="shared" si="229"/>
        <v>0</v>
      </c>
      <c r="S205" s="136">
        <f t="shared" si="229"/>
        <v>0</v>
      </c>
      <c r="T205" s="136">
        <f t="shared" si="229"/>
        <v>0</v>
      </c>
      <c r="U205" s="136">
        <f t="shared" si="229"/>
        <v>0</v>
      </c>
      <c r="V205" s="136">
        <f t="shared" si="229"/>
        <v>0</v>
      </c>
      <c r="W205" s="136">
        <f t="shared" si="229"/>
        <v>0</v>
      </c>
      <c r="X205" s="136">
        <f t="shared" si="229"/>
        <v>0</v>
      </c>
      <c r="Y205" s="136">
        <f t="shared" si="229"/>
        <v>0</v>
      </c>
      <c r="Z205" s="136">
        <f t="shared" si="229"/>
        <v>0</v>
      </c>
      <c r="AA205" s="136">
        <f t="shared" si="229"/>
        <v>0</v>
      </c>
      <c r="AB205" s="136">
        <f t="shared" si="230"/>
        <v>0</v>
      </c>
      <c r="AC205" s="136">
        <f t="shared" si="230"/>
        <v>0</v>
      </c>
      <c r="AD205" s="136">
        <f t="shared" si="230"/>
        <v>0</v>
      </c>
      <c r="AE205" s="136">
        <f t="shared" si="230"/>
        <v>0.47199240080997995</v>
      </c>
      <c r="AF205" s="136">
        <f t="shared" si="230"/>
        <v>0.95831796960052162</v>
      </c>
      <c r="AG205" s="136">
        <f t="shared" si="230"/>
        <v>1.4474689585059575</v>
      </c>
      <c r="AH205" s="136">
        <f t="shared" si="230"/>
        <v>1.9487288704668946</v>
      </c>
      <c r="AI205" s="136">
        <f t="shared" si="230"/>
        <v>2.4683944972177918</v>
      </c>
      <c r="AJ205" s="136">
        <f t="shared" si="230"/>
        <v>2.9898312464280452</v>
      </c>
      <c r="AK205" s="136">
        <f t="shared" si="230"/>
        <v>3.5211819008525125</v>
      </c>
      <c r="AL205" s="136">
        <f t="shared" si="230"/>
        <v>4.0658331392580767</v>
      </c>
      <c r="AM205" s="136">
        <f t="shared" si="230"/>
        <v>4.6194504421516713</v>
      </c>
      <c r="AN205" s="136">
        <f t="shared" si="230"/>
        <v>5.1762608146175833</v>
      </c>
      <c r="AO205" s="136">
        <f t="shared" si="230"/>
        <v>5.1729805760927441</v>
      </c>
      <c r="AP205" s="136">
        <f t="shared" si="231"/>
        <v>5.1697003375679031</v>
      </c>
      <c r="AQ205" s="136">
        <f t="shared" si="231"/>
        <v>5.166420099043064</v>
      </c>
      <c r="AR205" s="136">
        <f t="shared" si="231"/>
        <v>5.163139860518223</v>
      </c>
      <c r="AS205" s="136">
        <f t="shared" si="231"/>
        <v>5.159859621993383</v>
      </c>
      <c r="AT205" s="136">
        <f t="shared" si="231"/>
        <v>5.1565793834685429</v>
      </c>
      <c r="AU205" s="136">
        <f t="shared" si="231"/>
        <v>5.1532991449437029</v>
      </c>
      <c r="AV205" s="136">
        <f t="shared" si="231"/>
        <v>5.1500189064188628</v>
      </c>
      <c r="AW205" s="136">
        <f t="shared" si="231"/>
        <v>5.1467386678940228</v>
      </c>
      <c r="AX205" s="136">
        <f t="shared" si="231"/>
        <v>5.1434584293691827</v>
      </c>
      <c r="AY205" s="136">
        <f t="shared" si="233"/>
        <v>5.1401781908443427</v>
      </c>
      <c r="AZ205" s="136">
        <f t="shared" si="233"/>
        <v>5.1368979523195017</v>
      </c>
      <c r="BA205" s="136">
        <f t="shared" si="233"/>
        <v>5.1336177137946626</v>
      </c>
      <c r="BB205" s="136">
        <f t="shared" si="233"/>
        <v>5.1303374752698216</v>
      </c>
      <c r="BC205" s="136">
        <f t="shared" si="233"/>
        <v>5.1270572367449825</v>
      </c>
      <c r="BD205" s="136">
        <f t="shared" si="233"/>
        <v>5.1237769982201415</v>
      </c>
      <c r="BE205" s="136">
        <f t="shared" si="233"/>
        <v>5.1204967596953024</v>
      </c>
      <c r="BF205" s="136">
        <f t="shared" si="233"/>
        <v>5.1172165211704614</v>
      </c>
      <c r="BG205" s="136">
        <f t="shared" si="233"/>
        <v>5.1139362826456214</v>
      </c>
      <c r="BH205" s="136">
        <f t="shared" si="233"/>
        <v>5.1106560441207813</v>
      </c>
      <c r="BI205" s="136">
        <f t="shared" si="233"/>
        <v>5.1073758055959413</v>
      </c>
      <c r="BJ205" s="136">
        <f t="shared" si="233"/>
        <v>5.1040955670711012</v>
      </c>
      <c r="BK205" s="136">
        <f t="shared" si="233"/>
        <v>5.1008153285462612</v>
      </c>
      <c r="BL205" s="136">
        <f t="shared" si="233"/>
        <v>5.0975350900214211</v>
      </c>
      <c r="BM205" s="136">
        <f t="shared" si="233"/>
        <v>5.0942548514965811</v>
      </c>
      <c r="BN205" s="136">
        <f t="shared" si="233"/>
        <v>5.0909746129717401</v>
      </c>
      <c r="BO205" s="136">
        <f t="shared" si="233"/>
        <v>5.087694374446901</v>
      </c>
      <c r="BP205" s="136">
        <f t="shared" si="233"/>
        <v>5.0844141359220609</v>
      </c>
      <c r="BQ205" s="136">
        <f t="shared" si="233"/>
        <v>5.0811338973972209</v>
      </c>
      <c r="BR205" s="136">
        <f t="shared" si="233"/>
        <v>5.0778536588723808</v>
      </c>
    </row>
    <row r="206" spans="1:70">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c r="A208" t="s">
        <v>16</v>
      </c>
      <c r="B208" s="71" t="str">
        <f t="shared" ref="B208:C216" si="234">B197</f>
        <v>CNC</v>
      </c>
      <c r="C208" s="71" t="str">
        <f t="shared" si="234"/>
        <v>Commercial - Cooling</v>
      </c>
      <c r="E208" s="73"/>
      <c r="F208" s="90"/>
      <c r="I208" s="134"/>
      <c r="J208" s="91"/>
      <c r="K208" s="91"/>
      <c r="L208" s="136">
        <f t="shared" ref="L208:AA216" si="235">INDEX(L$49:L$52,MATCH($I$207,$B$49:$B$52,0),1)*INDEX(L$81:L$89,MATCH($B208,$B$81:$B$89,0))*INDEX(L$138:L$146,MATCH($B208,$B$138:$B$146,0))/1000</f>
        <v>0</v>
      </c>
      <c r="M208" s="136">
        <f t="shared" si="235"/>
        <v>0</v>
      </c>
      <c r="N208" s="136">
        <f t="shared" si="235"/>
        <v>0</v>
      </c>
      <c r="O208" s="136">
        <f t="shared" si="235"/>
        <v>0</v>
      </c>
      <c r="P208" s="136">
        <f t="shared" si="235"/>
        <v>0</v>
      </c>
      <c r="Q208" s="136">
        <f t="shared" si="235"/>
        <v>0</v>
      </c>
      <c r="R208" s="136">
        <f t="shared" si="235"/>
        <v>0</v>
      </c>
      <c r="S208" s="136">
        <f t="shared" si="235"/>
        <v>0</v>
      </c>
      <c r="T208" s="136">
        <f t="shared" si="235"/>
        <v>0</v>
      </c>
      <c r="U208" s="136">
        <f t="shared" si="235"/>
        <v>0</v>
      </c>
      <c r="V208" s="136">
        <f t="shared" si="235"/>
        <v>0</v>
      </c>
      <c r="W208" s="136">
        <f t="shared" si="235"/>
        <v>0</v>
      </c>
      <c r="X208" s="136">
        <f t="shared" si="235"/>
        <v>0</v>
      </c>
      <c r="Y208" s="136">
        <f t="shared" si="235"/>
        <v>0</v>
      </c>
      <c r="Z208" s="136">
        <f t="shared" si="235"/>
        <v>0</v>
      </c>
      <c r="AA208" s="136">
        <f t="shared" si="235"/>
        <v>0</v>
      </c>
      <c r="AB208" s="136">
        <f t="shared" ref="AB208:AQ216" si="236">INDEX(AB$49:AB$52,MATCH($I$207,$B$49:$B$52,0),1)*INDEX(AB$81:AB$89,MATCH($B208,$B$81:$B$89,0))*INDEX(AB$138:AB$146,MATCH($B208,$B$138:$B$146,0))/1000</f>
        <v>0</v>
      </c>
      <c r="AC208" s="136">
        <f t="shared" si="236"/>
        <v>0</v>
      </c>
      <c r="AD208" s="136">
        <f t="shared" si="236"/>
        <v>0</v>
      </c>
      <c r="AE208" s="136">
        <f t="shared" si="236"/>
        <v>0</v>
      </c>
      <c r="AF208" s="136">
        <f t="shared" si="236"/>
        <v>0</v>
      </c>
      <c r="AG208" s="136">
        <f t="shared" si="236"/>
        <v>0</v>
      </c>
      <c r="AH208" s="136">
        <f t="shared" si="236"/>
        <v>0</v>
      </c>
      <c r="AI208" s="136">
        <f t="shared" si="236"/>
        <v>0</v>
      </c>
      <c r="AJ208" s="136">
        <f t="shared" si="236"/>
        <v>0</v>
      </c>
      <c r="AK208" s="136">
        <f t="shared" si="236"/>
        <v>0</v>
      </c>
      <c r="AL208" s="136">
        <f t="shared" si="236"/>
        <v>0</v>
      </c>
      <c r="AM208" s="136">
        <f t="shared" si="236"/>
        <v>0</v>
      </c>
      <c r="AN208" s="136">
        <f t="shared" si="236"/>
        <v>0</v>
      </c>
      <c r="AO208" s="136">
        <f t="shared" si="236"/>
        <v>3.6554231401152162</v>
      </c>
      <c r="AP208" s="136">
        <f t="shared" si="236"/>
        <v>7.2856121177705413</v>
      </c>
      <c r="AQ208" s="136">
        <f t="shared" si="236"/>
        <v>10.893173803528351</v>
      </c>
      <c r="AR208" s="136">
        <f t="shared" ref="AP208:BE216" si="237">INDEX(AR$49:AR$52,MATCH($I$207,$B$49:$B$52,0),1)*INDEX(AR$81:AR$89,MATCH($B208,$B$81:$B$89,0))*INDEX(AR$138:AR$146,MATCH($B208,$B$138:$B$146,0))/1000</f>
        <v>14.480461507231539</v>
      </c>
      <c r="AS208" s="136">
        <f t="shared" si="237"/>
        <v>18.049607171092276</v>
      </c>
      <c r="AT208" s="136">
        <f t="shared" si="237"/>
        <v>21.660427165203725</v>
      </c>
      <c r="AU208" s="136">
        <f t="shared" si="237"/>
        <v>25.255194123014014</v>
      </c>
      <c r="AV208" s="136">
        <f t="shared" si="237"/>
        <v>28.835652166174782</v>
      </c>
      <c r="AW208" s="136">
        <f t="shared" si="237"/>
        <v>32.403397307665372</v>
      </c>
      <c r="AX208" s="136">
        <f t="shared" si="237"/>
        <v>35.959893857641369</v>
      </c>
      <c r="AY208" s="136">
        <f t="shared" si="237"/>
        <v>39.514417401704925</v>
      </c>
      <c r="AZ208" s="136">
        <f t="shared" si="237"/>
        <v>43.060095503122213</v>
      </c>
      <c r="BA208" s="136">
        <f t="shared" si="237"/>
        <v>46.598088254811451</v>
      </c>
      <c r="BB208" s="136">
        <f t="shared" si="237"/>
        <v>50.129469376020566</v>
      </c>
      <c r="BC208" s="136">
        <f t="shared" si="237"/>
        <v>53.655234579770614</v>
      </c>
      <c r="BD208" s="136">
        <f t="shared" si="237"/>
        <v>57.176308941569872</v>
      </c>
      <c r="BE208" s="136">
        <f t="shared" si="237"/>
        <v>60.693553410295792</v>
      </c>
      <c r="BF208" s="136">
        <f t="shared" ref="AY208:BR214" si="238">INDEX(BF$49:BF$52,MATCH($I$207,$B$49:$B$52,0),1)*INDEX(BF$81:BF$89,MATCH($B208,$B$81:$B$89,0))*INDEX(BF$138:BF$146,MATCH($B208,$B$138:$B$146,0))/1000</f>
        <v>64.207770579331608</v>
      </c>
      <c r="BG208" s="136">
        <f t="shared" si="238"/>
        <v>67.719709817382679</v>
      </c>
      <c r="BH208" s="136">
        <f t="shared" si="238"/>
        <v>71.230071843048762</v>
      </c>
      <c r="BI208" s="136">
        <f t="shared" si="238"/>
        <v>73.476085675691493</v>
      </c>
      <c r="BJ208" s="136">
        <f t="shared" si="238"/>
        <v>75.733650498716514</v>
      </c>
      <c r="BK208" s="136">
        <f t="shared" si="238"/>
        <v>78.002773909284628</v>
      </c>
      <c r="BL208" s="136">
        <f t="shared" si="238"/>
        <v>80.283463135928088</v>
      </c>
      <c r="BM208" s="136">
        <f t="shared" si="238"/>
        <v>82.575725052573517</v>
      </c>
      <c r="BN208" s="136">
        <f t="shared" si="238"/>
        <v>84.879566191958276</v>
      </c>
      <c r="BO208" s="136">
        <f t="shared" si="238"/>
        <v>87.194992758469994</v>
      </c>
      <c r="BP208" s="136">
        <f t="shared" si="238"/>
        <v>89.522010640439063</v>
      </c>
      <c r="BQ208" s="136">
        <f t="shared" si="238"/>
        <v>91.86062542190983</v>
      </c>
      <c r="BR208" s="136">
        <f t="shared" si="238"/>
        <v>94.210842393917474</v>
      </c>
    </row>
    <row r="209" spans="1:70">
      <c r="A209" t="s">
        <v>16</v>
      </c>
      <c r="B209" s="71" t="str">
        <f t="shared" si="234"/>
        <v>CNH</v>
      </c>
      <c r="C209" s="71" t="str">
        <f t="shared" si="234"/>
        <v>Commercial - Space Heating</v>
      </c>
      <c r="E209" s="90"/>
      <c r="F209" s="90"/>
      <c r="I209" s="134"/>
      <c r="J209" s="91"/>
      <c r="K209" s="91"/>
      <c r="L209" s="136">
        <f t="shared" si="235"/>
        <v>0</v>
      </c>
      <c r="M209" s="136">
        <f t="shared" si="235"/>
        <v>0</v>
      </c>
      <c r="N209" s="136">
        <f t="shared" si="235"/>
        <v>0</v>
      </c>
      <c r="O209" s="136">
        <f t="shared" si="235"/>
        <v>0</v>
      </c>
      <c r="P209" s="136">
        <f t="shared" si="235"/>
        <v>0</v>
      </c>
      <c r="Q209" s="136">
        <f t="shared" si="235"/>
        <v>0</v>
      </c>
      <c r="R209" s="136">
        <f t="shared" si="235"/>
        <v>0</v>
      </c>
      <c r="S209" s="136">
        <f t="shared" si="235"/>
        <v>0</v>
      </c>
      <c r="T209" s="136">
        <f t="shared" si="235"/>
        <v>0</v>
      </c>
      <c r="U209" s="136">
        <f t="shared" si="235"/>
        <v>0</v>
      </c>
      <c r="V209" s="136">
        <f t="shared" si="235"/>
        <v>0</v>
      </c>
      <c r="W209" s="136">
        <f t="shared" si="235"/>
        <v>0</v>
      </c>
      <c r="X209" s="136">
        <f t="shared" si="235"/>
        <v>0</v>
      </c>
      <c r="Y209" s="136">
        <f t="shared" si="235"/>
        <v>0</v>
      </c>
      <c r="Z209" s="136">
        <f t="shared" si="235"/>
        <v>0</v>
      </c>
      <c r="AA209" s="136">
        <f t="shared" si="235"/>
        <v>0</v>
      </c>
      <c r="AB209" s="136">
        <f t="shared" si="236"/>
        <v>0</v>
      </c>
      <c r="AC209" s="136">
        <f t="shared" si="236"/>
        <v>0</v>
      </c>
      <c r="AD209" s="136">
        <f t="shared" si="236"/>
        <v>0</v>
      </c>
      <c r="AE209" s="136">
        <f t="shared" si="236"/>
        <v>0</v>
      </c>
      <c r="AF209" s="136">
        <f t="shared" si="236"/>
        <v>0</v>
      </c>
      <c r="AG209" s="136">
        <f t="shared" si="236"/>
        <v>0</v>
      </c>
      <c r="AH209" s="136">
        <f t="shared" si="236"/>
        <v>0</v>
      </c>
      <c r="AI209" s="136">
        <f t="shared" si="236"/>
        <v>0</v>
      </c>
      <c r="AJ209" s="136">
        <f t="shared" si="236"/>
        <v>0</v>
      </c>
      <c r="AK209" s="136">
        <f t="shared" si="236"/>
        <v>0</v>
      </c>
      <c r="AL209" s="136">
        <f t="shared" si="236"/>
        <v>0</v>
      </c>
      <c r="AM209" s="136">
        <f t="shared" si="236"/>
        <v>0</v>
      </c>
      <c r="AN209" s="136">
        <f t="shared" si="236"/>
        <v>0</v>
      </c>
      <c r="AO209" s="136">
        <f t="shared" si="236"/>
        <v>0.33760705618442222</v>
      </c>
      <c r="AP209" s="136">
        <f t="shared" si="237"/>
        <v>0.66540349050289327</v>
      </c>
      <c r="AQ209" s="136">
        <f t="shared" si="237"/>
        <v>0.9837982312043001</v>
      </c>
      <c r="AR209" s="136">
        <f t="shared" si="237"/>
        <v>1.2931640796210198</v>
      </c>
      <c r="AS209" s="136">
        <f t="shared" si="237"/>
        <v>1.5938421078070042</v>
      </c>
      <c r="AT209" s="136">
        <f t="shared" si="237"/>
        <v>1.8911988413028835</v>
      </c>
      <c r="AU209" s="136">
        <f t="shared" si="237"/>
        <v>2.1802157396517043</v>
      </c>
      <c r="AV209" s="136">
        <f t="shared" si="237"/>
        <v>2.4611761214432879</v>
      </c>
      <c r="AW209" s="136">
        <f t="shared" si="237"/>
        <v>2.7343418123729197</v>
      </c>
      <c r="AX209" s="136">
        <f t="shared" si="237"/>
        <v>2.9999554113666038</v>
      </c>
      <c r="AY209" s="136">
        <f t="shared" si="238"/>
        <v>3.2588961737011837</v>
      </c>
      <c r="AZ209" s="136">
        <f t="shared" si="238"/>
        <v>3.5106899120867427</v>
      </c>
      <c r="BA209" s="136">
        <f t="shared" si="238"/>
        <v>3.755534125540172</v>
      </c>
      <c r="BB209" s="136">
        <f t="shared" si="238"/>
        <v>3.9936134234448799</v>
      </c>
      <c r="BC209" s="136">
        <f t="shared" si="238"/>
        <v>4.2251007044106412</v>
      </c>
      <c r="BD209" s="136">
        <f t="shared" si="238"/>
        <v>4.4501581988992749</v>
      </c>
      <c r="BE209" s="136">
        <f t="shared" si="238"/>
        <v>4.6689383944418363</v>
      </c>
      <c r="BF209" s="136">
        <f t="shared" si="238"/>
        <v>4.8815848592688305</v>
      </c>
      <c r="BG209" s="136">
        <f t="shared" si="238"/>
        <v>5.0882329777114341</v>
      </c>
      <c r="BH209" s="136">
        <f t="shared" si="238"/>
        <v>5.2890106087006492</v>
      </c>
      <c r="BI209" s="136">
        <f t="shared" si="238"/>
        <v>5.3913342555573296</v>
      </c>
      <c r="BJ209" s="136">
        <f t="shared" si="238"/>
        <v>5.4910813786354478</v>
      </c>
      <c r="BK209" s="136">
        <f t="shared" si="238"/>
        <v>5.5882630081891032</v>
      </c>
      <c r="BL209" s="136">
        <f t="shared" si="238"/>
        <v>5.6828899575409979</v>
      </c>
      <c r="BM209" s="136">
        <f t="shared" si="238"/>
        <v>5.774972829364085</v>
      </c>
      <c r="BN209" s="136">
        <f t="shared" si="238"/>
        <v>5.8645220217263754</v>
      </c>
      <c r="BO209" s="136">
        <f t="shared" si="238"/>
        <v>5.9515477339097673</v>
      </c>
      <c r="BP209" s="136">
        <f t="shared" si="238"/>
        <v>6.0360599720133186</v>
      </c>
      <c r="BQ209" s="136">
        <f t="shared" si="238"/>
        <v>6.118068554350657</v>
      </c>
      <c r="BR209" s="136">
        <f t="shared" si="238"/>
        <v>6.1975831166508639</v>
      </c>
    </row>
    <row r="210" spans="1:70">
      <c r="A210" t="s">
        <v>16</v>
      </c>
      <c r="B210" s="71" t="str">
        <f t="shared" si="234"/>
        <v>CNK</v>
      </c>
      <c r="C210" s="71" t="str">
        <f t="shared" si="234"/>
        <v>Commercial - Cooking</v>
      </c>
      <c r="E210" s="90"/>
      <c r="F210" s="90"/>
      <c r="I210" s="134"/>
      <c r="J210" s="91"/>
      <c r="K210" s="91"/>
      <c r="L210" s="136">
        <f t="shared" si="235"/>
        <v>0</v>
      </c>
      <c r="M210" s="136">
        <f t="shared" si="235"/>
        <v>0</v>
      </c>
      <c r="N210" s="136">
        <f t="shared" si="235"/>
        <v>0</v>
      </c>
      <c r="O210" s="136">
        <f t="shared" si="235"/>
        <v>0</v>
      </c>
      <c r="P210" s="136">
        <f t="shared" si="235"/>
        <v>0</v>
      </c>
      <c r="Q210" s="136">
        <f t="shared" si="235"/>
        <v>0</v>
      </c>
      <c r="R210" s="136">
        <f t="shared" si="235"/>
        <v>0</v>
      </c>
      <c r="S210" s="136">
        <f t="shared" si="235"/>
        <v>0</v>
      </c>
      <c r="T210" s="136">
        <f t="shared" si="235"/>
        <v>0</v>
      </c>
      <c r="U210" s="136">
        <f t="shared" si="235"/>
        <v>0</v>
      </c>
      <c r="V210" s="136">
        <f t="shared" si="235"/>
        <v>0</v>
      </c>
      <c r="W210" s="136">
        <f t="shared" si="235"/>
        <v>0</v>
      </c>
      <c r="X210" s="136">
        <f t="shared" si="235"/>
        <v>0</v>
      </c>
      <c r="Y210" s="136">
        <f t="shared" si="235"/>
        <v>0</v>
      </c>
      <c r="Z210" s="136">
        <f t="shared" si="235"/>
        <v>0</v>
      </c>
      <c r="AA210" s="136">
        <f t="shared" si="235"/>
        <v>0</v>
      </c>
      <c r="AB210" s="136">
        <f t="shared" si="236"/>
        <v>0</v>
      </c>
      <c r="AC210" s="136">
        <f t="shared" si="236"/>
        <v>0</v>
      </c>
      <c r="AD210" s="136">
        <f t="shared" si="236"/>
        <v>0</v>
      </c>
      <c r="AE210" s="136">
        <f t="shared" si="236"/>
        <v>0</v>
      </c>
      <c r="AF210" s="136">
        <f t="shared" si="236"/>
        <v>0</v>
      </c>
      <c r="AG210" s="136">
        <f t="shared" si="236"/>
        <v>0</v>
      </c>
      <c r="AH210" s="136">
        <f t="shared" si="236"/>
        <v>0</v>
      </c>
      <c r="AI210" s="136">
        <f t="shared" si="236"/>
        <v>0</v>
      </c>
      <c r="AJ210" s="136">
        <f t="shared" si="236"/>
        <v>0</v>
      </c>
      <c r="AK210" s="136">
        <f t="shared" si="236"/>
        <v>0</v>
      </c>
      <c r="AL210" s="136">
        <f t="shared" si="236"/>
        <v>0</v>
      </c>
      <c r="AM210" s="136">
        <f t="shared" si="236"/>
        <v>0</v>
      </c>
      <c r="AN210" s="136">
        <f t="shared" si="236"/>
        <v>0</v>
      </c>
      <c r="AO210" s="136">
        <f t="shared" si="236"/>
        <v>0.24938745893353531</v>
      </c>
      <c r="AP210" s="136">
        <f t="shared" si="237"/>
        <v>0.49677577654001664</v>
      </c>
      <c r="AQ210" s="136">
        <f t="shared" si="237"/>
        <v>0.74234904400108837</v>
      </c>
      <c r="AR210" s="136">
        <f t="shared" si="237"/>
        <v>0.98627358199540716</v>
      </c>
      <c r="AS210" s="136">
        <f t="shared" si="237"/>
        <v>1.2287001898931378</v>
      </c>
      <c r="AT210" s="136">
        <f t="shared" si="237"/>
        <v>1.4737039151145421</v>
      </c>
      <c r="AU210" s="136">
        <f t="shared" si="237"/>
        <v>1.71735798384769</v>
      </c>
      <c r="AV210" s="136">
        <f t="shared" si="237"/>
        <v>1.9597859228441938</v>
      </c>
      <c r="AW210" s="136">
        <f t="shared" si="237"/>
        <v>2.2011008643399022</v>
      </c>
      <c r="AX210" s="136">
        <f t="shared" si="237"/>
        <v>2.4414066931916367</v>
      </c>
      <c r="AY210" s="136">
        <f t="shared" si="238"/>
        <v>2.6813370645889787</v>
      </c>
      <c r="AZ210" s="136">
        <f t="shared" si="238"/>
        <v>2.9204290707680349</v>
      </c>
      <c r="BA210" s="136">
        <f t="shared" si="238"/>
        <v>3.1587652107368256</v>
      </c>
      <c r="BB210" s="136">
        <f t="shared" si="238"/>
        <v>3.3964219084637248</v>
      </c>
      <c r="BC210" s="136">
        <f t="shared" si="238"/>
        <v>3.6334700988055637</v>
      </c>
      <c r="BD210" s="136">
        <f t="shared" si="238"/>
        <v>3.8699757436659636</v>
      </c>
      <c r="BE210" s="136">
        <f t="shared" si="238"/>
        <v>4.1060002882121518</v>
      </c>
      <c r="BF210" s="136">
        <f t="shared" si="238"/>
        <v>4.3416010653890096</v>
      </c>
      <c r="BG210" s="136">
        <f t="shared" si="238"/>
        <v>4.5768316556684585</v>
      </c>
      <c r="BH210" s="136">
        <f t="shared" si="238"/>
        <v>4.8117422079023644</v>
      </c>
      <c r="BI210" s="136">
        <f t="shared" si="238"/>
        <v>4.9610736698139846</v>
      </c>
      <c r="BJ210" s="136">
        <f t="shared" si="238"/>
        <v>5.1110579901320072</v>
      </c>
      <c r="BK210" s="136">
        <f t="shared" si="238"/>
        <v>5.2616960704343843</v>
      </c>
      <c r="BL210" s="136">
        <f t="shared" si="238"/>
        <v>5.4129887803633201</v>
      </c>
      <c r="BM210" s="136">
        <f t="shared" si="238"/>
        <v>5.5649369587670039</v>
      </c>
      <c r="BN210" s="136">
        <f t="shared" si="238"/>
        <v>5.7175414147932582</v>
      </c>
      <c r="BO210" s="136">
        <f t="shared" si="238"/>
        <v>5.8708029289374215</v>
      </c>
      <c r="BP210" s="136">
        <f t="shared" si="238"/>
        <v>6.0247222540467869</v>
      </c>
      <c r="BQ210" s="136">
        <f t="shared" si="238"/>
        <v>6.179300116283617</v>
      </c>
      <c r="BR210" s="136">
        <f t="shared" si="238"/>
        <v>6.3345372160488544</v>
      </c>
    </row>
    <row r="211" spans="1:70">
      <c r="A211" t="s">
        <v>16</v>
      </c>
      <c r="B211" s="71" t="str">
        <f t="shared" si="234"/>
        <v>CNL</v>
      </c>
      <c r="C211" s="71" t="str">
        <f t="shared" si="234"/>
        <v>Commercial - Lighting</v>
      </c>
      <c r="E211" s="90"/>
      <c r="F211" s="90"/>
      <c r="I211" s="134"/>
      <c r="J211" s="91"/>
      <c r="K211" s="91"/>
      <c r="L211" s="136">
        <f t="shared" si="235"/>
        <v>0</v>
      </c>
      <c r="M211" s="136">
        <f t="shared" si="235"/>
        <v>0</v>
      </c>
      <c r="N211" s="136">
        <f t="shared" si="235"/>
        <v>0</v>
      </c>
      <c r="O211" s="136">
        <f t="shared" si="235"/>
        <v>0</v>
      </c>
      <c r="P211" s="136">
        <f t="shared" si="235"/>
        <v>0</v>
      </c>
      <c r="Q211" s="136">
        <f t="shared" si="235"/>
        <v>0</v>
      </c>
      <c r="R211" s="136">
        <f t="shared" si="235"/>
        <v>0</v>
      </c>
      <c r="S211" s="136">
        <f t="shared" si="235"/>
        <v>0</v>
      </c>
      <c r="T211" s="136">
        <f t="shared" si="235"/>
        <v>0</v>
      </c>
      <c r="U211" s="136">
        <f t="shared" si="235"/>
        <v>0</v>
      </c>
      <c r="V211" s="136">
        <f t="shared" si="235"/>
        <v>0</v>
      </c>
      <c r="W211" s="136">
        <f t="shared" si="235"/>
        <v>0</v>
      </c>
      <c r="X211" s="136">
        <f t="shared" si="235"/>
        <v>0</v>
      </c>
      <c r="Y211" s="136">
        <f t="shared" si="235"/>
        <v>0</v>
      </c>
      <c r="Z211" s="136">
        <f t="shared" si="235"/>
        <v>0</v>
      </c>
      <c r="AA211" s="136">
        <f t="shared" si="235"/>
        <v>0</v>
      </c>
      <c r="AB211" s="136">
        <f t="shared" si="236"/>
        <v>0</v>
      </c>
      <c r="AC211" s="136">
        <f t="shared" si="236"/>
        <v>0</v>
      </c>
      <c r="AD211" s="136">
        <f t="shared" si="236"/>
        <v>0</v>
      </c>
      <c r="AE211" s="136">
        <f t="shared" si="236"/>
        <v>0</v>
      </c>
      <c r="AF211" s="136">
        <f t="shared" si="236"/>
        <v>0</v>
      </c>
      <c r="AG211" s="136">
        <f t="shared" si="236"/>
        <v>0</v>
      </c>
      <c r="AH211" s="136">
        <f t="shared" si="236"/>
        <v>0</v>
      </c>
      <c r="AI211" s="136">
        <f t="shared" si="236"/>
        <v>0</v>
      </c>
      <c r="AJ211" s="136">
        <f t="shared" si="236"/>
        <v>0</v>
      </c>
      <c r="AK211" s="136">
        <f t="shared" si="236"/>
        <v>0</v>
      </c>
      <c r="AL211" s="136">
        <f t="shared" si="236"/>
        <v>0</v>
      </c>
      <c r="AM211" s="136">
        <f t="shared" si="236"/>
        <v>0</v>
      </c>
      <c r="AN211" s="136">
        <f t="shared" si="236"/>
        <v>0</v>
      </c>
      <c r="AO211" s="136">
        <f t="shared" si="236"/>
        <v>3.1242561917847871</v>
      </c>
      <c r="AP211" s="136">
        <f t="shared" si="237"/>
        <v>6.2222770331867485</v>
      </c>
      <c r="AQ211" s="136">
        <f t="shared" si="237"/>
        <v>9.2963955350288323</v>
      </c>
      <c r="AR211" s="136">
        <f t="shared" si="237"/>
        <v>12.348720061309628</v>
      </c>
      <c r="AS211" s="136">
        <f t="shared" si="237"/>
        <v>15.381162733209052</v>
      </c>
      <c r="AT211" s="136">
        <f t="shared" si="237"/>
        <v>18.444749454588042</v>
      </c>
      <c r="AU211" s="136">
        <f t="shared" si="237"/>
        <v>21.490336532400431</v>
      </c>
      <c r="AV211" s="136">
        <f t="shared" si="237"/>
        <v>24.519490932478906</v>
      </c>
      <c r="AW211" s="136">
        <f t="shared" si="237"/>
        <v>27.53364815726642</v>
      </c>
      <c r="AX211" s="136">
        <f t="shared" si="237"/>
        <v>30.534126736353937</v>
      </c>
      <c r="AY211" s="136">
        <f t="shared" si="238"/>
        <v>33.528868518959271</v>
      </c>
      <c r="AZ211" s="136">
        <f t="shared" si="238"/>
        <v>36.512099880383531</v>
      </c>
      <c r="BA211" s="136">
        <f t="shared" si="238"/>
        <v>39.484868727764706</v>
      </c>
      <c r="BB211" s="136">
        <f t="shared" si="238"/>
        <v>42.448146079903374</v>
      </c>
      <c r="BC211" s="136">
        <f t="shared" si="238"/>
        <v>45.40283347224225</v>
      </c>
      <c r="BD211" s="136">
        <f t="shared" si="238"/>
        <v>48.349769480786541</v>
      </c>
      <c r="BE211" s="136">
        <f t="shared" si="238"/>
        <v>51.28973548901638</v>
      </c>
      <c r="BF211" s="136">
        <f t="shared" si="238"/>
        <v>54.223460801786089</v>
      </c>
      <c r="BG211" s="136">
        <f t="shared" si="238"/>
        <v>57.151627193793878</v>
      </c>
      <c r="BH211" s="136">
        <f t="shared" si="238"/>
        <v>60.074872966703595</v>
      </c>
      <c r="BI211" s="136">
        <f t="shared" si="238"/>
        <v>61.928923806013962</v>
      </c>
      <c r="BJ211" s="136">
        <f t="shared" si="238"/>
        <v>63.790573527183909</v>
      </c>
      <c r="BK211" s="136">
        <f t="shared" si="238"/>
        <v>65.659835069027025</v>
      </c>
      <c r="BL211" s="136">
        <f t="shared" si="238"/>
        <v>67.536720941163239</v>
      </c>
      <c r="BM211" s="136">
        <f t="shared" si="238"/>
        <v>69.421243239115825</v>
      </c>
      <c r="BN211" s="136">
        <f t="shared" si="238"/>
        <v>71.313413658777293</v>
      </c>
      <c r="BO211" s="136">
        <f t="shared" si="238"/>
        <v>73.213243510274523</v>
      </c>
      <c r="BP211" s="136">
        <f t="shared" si="238"/>
        <v>75.120743731263161</v>
      </c>
      <c r="BQ211" s="136">
        <f t="shared" si="238"/>
        <v>77.035924899678292</v>
      </c>
      <c r="BR211" s="136">
        <f t="shared" si="238"/>
        <v>78.958797245968285</v>
      </c>
    </row>
    <row r="212" spans="1:70">
      <c r="A212" t="s">
        <v>16</v>
      </c>
      <c r="B212" s="71" t="str">
        <f t="shared" si="234"/>
        <v>CNR</v>
      </c>
      <c r="C212" s="71" t="str">
        <f t="shared" si="234"/>
        <v>Commercial - Refrigeration</v>
      </c>
      <c r="E212" s="90"/>
      <c r="F212" s="90"/>
      <c r="I212" s="134"/>
      <c r="J212" s="91"/>
      <c r="K212" s="91"/>
      <c r="L212" s="136">
        <f t="shared" si="235"/>
        <v>0</v>
      </c>
      <c r="M212" s="136">
        <f t="shared" si="235"/>
        <v>0</v>
      </c>
      <c r="N212" s="136">
        <f t="shared" si="235"/>
        <v>0</v>
      </c>
      <c r="O212" s="136">
        <f t="shared" si="235"/>
        <v>0</v>
      </c>
      <c r="P212" s="136">
        <f t="shared" si="235"/>
        <v>0</v>
      </c>
      <c r="Q212" s="136">
        <f t="shared" si="235"/>
        <v>0</v>
      </c>
      <c r="R212" s="136">
        <f t="shared" si="235"/>
        <v>0</v>
      </c>
      <c r="S212" s="136">
        <f t="shared" si="235"/>
        <v>0</v>
      </c>
      <c r="T212" s="136">
        <f t="shared" si="235"/>
        <v>0</v>
      </c>
      <c r="U212" s="136">
        <f t="shared" si="235"/>
        <v>0</v>
      </c>
      <c r="V212" s="136">
        <f t="shared" si="235"/>
        <v>0</v>
      </c>
      <c r="W212" s="136">
        <f t="shared" si="235"/>
        <v>0</v>
      </c>
      <c r="X212" s="136">
        <f t="shared" si="235"/>
        <v>0</v>
      </c>
      <c r="Y212" s="136">
        <f t="shared" si="235"/>
        <v>0</v>
      </c>
      <c r="Z212" s="136">
        <f t="shared" si="235"/>
        <v>0</v>
      </c>
      <c r="AA212" s="136">
        <f t="shared" si="235"/>
        <v>0</v>
      </c>
      <c r="AB212" s="136">
        <f t="shared" si="236"/>
        <v>0</v>
      </c>
      <c r="AC212" s="136">
        <f t="shared" si="236"/>
        <v>0</v>
      </c>
      <c r="AD212" s="136">
        <f t="shared" si="236"/>
        <v>0</v>
      </c>
      <c r="AE212" s="136">
        <f t="shared" si="236"/>
        <v>0</v>
      </c>
      <c r="AF212" s="136">
        <f t="shared" si="236"/>
        <v>0</v>
      </c>
      <c r="AG212" s="136">
        <f t="shared" si="236"/>
        <v>0</v>
      </c>
      <c r="AH212" s="136">
        <f t="shared" si="236"/>
        <v>0</v>
      </c>
      <c r="AI212" s="136">
        <f t="shared" si="236"/>
        <v>0</v>
      </c>
      <c r="AJ212" s="136">
        <f t="shared" si="236"/>
        <v>0</v>
      </c>
      <c r="AK212" s="136">
        <f t="shared" si="236"/>
        <v>0</v>
      </c>
      <c r="AL212" s="136">
        <f t="shared" si="236"/>
        <v>0</v>
      </c>
      <c r="AM212" s="136">
        <f t="shared" si="236"/>
        <v>0</v>
      </c>
      <c r="AN212" s="136">
        <f t="shared" si="236"/>
        <v>0</v>
      </c>
      <c r="AO212" s="136">
        <f t="shared" si="236"/>
        <v>0.75607494286089105</v>
      </c>
      <c r="AP212" s="136">
        <f t="shared" si="237"/>
        <v>1.5054778183144661</v>
      </c>
      <c r="AQ212" s="136">
        <f t="shared" si="237"/>
        <v>2.2487804818187005</v>
      </c>
      <c r="AR212" s="136">
        <f t="shared" si="237"/>
        <v>2.9864998750472522</v>
      </c>
      <c r="AS212" s="136">
        <f t="shared" si="237"/>
        <v>3.7191049612230911</v>
      </c>
      <c r="AT212" s="136">
        <f t="shared" si="237"/>
        <v>4.4589372662389186</v>
      </c>
      <c r="AU212" s="136">
        <f t="shared" si="237"/>
        <v>5.1941174589339987</v>
      </c>
      <c r="AV212" s="136">
        <f t="shared" si="237"/>
        <v>5.9250300269874359</v>
      </c>
      <c r="AW212" s="136">
        <f t="shared" si="237"/>
        <v>6.6520273062397077</v>
      </c>
      <c r="AX212" s="136">
        <f t="shared" si="237"/>
        <v>7.3754330198585949</v>
      </c>
      <c r="AY212" s="136">
        <f t="shared" si="238"/>
        <v>8.0971700832657056</v>
      </c>
      <c r="AZ212" s="136">
        <f t="shared" si="238"/>
        <v>8.815848203874701</v>
      </c>
      <c r="BA212" s="136">
        <f t="shared" si="238"/>
        <v>9.5317248794117351</v>
      </c>
      <c r="BB212" s="136">
        <f t="shared" si="238"/>
        <v>10.245038788334284</v>
      </c>
      <c r="BC212" s="136">
        <f t="shared" si="238"/>
        <v>10.956011599386077</v>
      </c>
      <c r="BD212" s="136">
        <f t="shared" si="238"/>
        <v>11.664849566034221</v>
      </c>
      <c r="BE212" s="136">
        <f t="shared" si="238"/>
        <v>12.3717449360601</v>
      </c>
      <c r="BF212" s="136">
        <f t="shared" si="238"/>
        <v>13.076877201683299</v>
      </c>
      <c r="BG212" s="136">
        <f t="shared" si="238"/>
        <v>13.780414211594209</v>
      </c>
      <c r="BH212" s="136">
        <f t="shared" si="238"/>
        <v>14.482513162977066</v>
      </c>
      <c r="BI212" s="136">
        <f t="shared" si="238"/>
        <v>14.926656443786715</v>
      </c>
      <c r="BJ212" s="136">
        <f t="shared" si="238"/>
        <v>15.372481306013441</v>
      </c>
      <c r="BK212" s="136">
        <f t="shared" si="238"/>
        <v>15.819991326973458</v>
      </c>
      <c r="BL212" s="136">
        <f t="shared" si="238"/>
        <v>16.269189972218413</v>
      </c>
      <c r="BM212" s="136">
        <f t="shared" si="238"/>
        <v>16.720080599404255</v>
      </c>
      <c r="BN212" s="136">
        <f t="shared" si="238"/>
        <v>17.172666461999583</v>
      </c>
      <c r="BO212" s="136">
        <f t="shared" si="238"/>
        <v>17.626950712841097</v>
      </c>
      <c r="BP212" s="136">
        <f t="shared" si="238"/>
        <v>18.082936407543897</v>
      </c>
      <c r="BQ212" s="136">
        <f t="shared" si="238"/>
        <v>18.540626507773261</v>
      </c>
      <c r="BR212" s="136">
        <f t="shared" si="238"/>
        <v>19.000023884384959</v>
      </c>
    </row>
    <row r="213" spans="1:70">
      <c r="A213" t="s">
        <v>16</v>
      </c>
      <c r="B213" s="71" t="str">
        <f t="shared" si="234"/>
        <v>CNW</v>
      </c>
      <c r="C213" s="71" t="str">
        <f t="shared" si="234"/>
        <v>Commercial - Water Heating</v>
      </c>
      <c r="E213" s="90"/>
      <c r="F213" s="90"/>
      <c r="I213" s="131"/>
      <c r="L213" s="136">
        <f t="shared" si="235"/>
        <v>0</v>
      </c>
      <c r="M213" s="136">
        <f t="shared" si="235"/>
        <v>0</v>
      </c>
      <c r="N213" s="136">
        <f t="shared" si="235"/>
        <v>0</v>
      </c>
      <c r="O213" s="136">
        <f t="shared" si="235"/>
        <v>0</v>
      </c>
      <c r="P213" s="136">
        <f t="shared" si="235"/>
        <v>0</v>
      </c>
      <c r="Q213" s="136">
        <f t="shared" si="235"/>
        <v>0</v>
      </c>
      <c r="R213" s="136">
        <f t="shared" si="235"/>
        <v>0</v>
      </c>
      <c r="S213" s="136">
        <f t="shared" si="235"/>
        <v>0</v>
      </c>
      <c r="T213" s="136">
        <f t="shared" si="235"/>
        <v>0</v>
      </c>
      <c r="U213" s="136">
        <f t="shared" si="235"/>
        <v>0</v>
      </c>
      <c r="V213" s="136">
        <f t="shared" si="235"/>
        <v>0</v>
      </c>
      <c r="W213" s="136">
        <f t="shared" si="235"/>
        <v>0</v>
      </c>
      <c r="X213" s="136">
        <f t="shared" si="235"/>
        <v>0</v>
      </c>
      <c r="Y213" s="136">
        <f t="shared" si="235"/>
        <v>0</v>
      </c>
      <c r="Z213" s="136">
        <f t="shared" si="235"/>
        <v>0</v>
      </c>
      <c r="AA213" s="136">
        <f t="shared" si="235"/>
        <v>0</v>
      </c>
      <c r="AB213" s="136">
        <f t="shared" si="236"/>
        <v>0</v>
      </c>
      <c r="AC213" s="136">
        <f t="shared" si="236"/>
        <v>0</v>
      </c>
      <c r="AD213" s="136">
        <f t="shared" si="236"/>
        <v>0</v>
      </c>
      <c r="AE213" s="136">
        <f t="shared" si="236"/>
        <v>0</v>
      </c>
      <c r="AF213" s="136">
        <f t="shared" si="236"/>
        <v>0</v>
      </c>
      <c r="AG213" s="136">
        <f t="shared" si="236"/>
        <v>0</v>
      </c>
      <c r="AH213" s="136">
        <f t="shared" si="236"/>
        <v>0</v>
      </c>
      <c r="AI213" s="136">
        <f t="shared" si="236"/>
        <v>0</v>
      </c>
      <c r="AJ213" s="136">
        <f t="shared" si="236"/>
        <v>0</v>
      </c>
      <c r="AK213" s="136">
        <f t="shared" si="236"/>
        <v>0</v>
      </c>
      <c r="AL213" s="136">
        <f t="shared" si="236"/>
        <v>0</v>
      </c>
      <c r="AM213" s="136">
        <f t="shared" si="236"/>
        <v>0</v>
      </c>
      <c r="AN213" s="136">
        <f t="shared" si="236"/>
        <v>0</v>
      </c>
      <c r="AO213" s="136">
        <f t="shared" si="236"/>
        <v>0.39612166467819104</v>
      </c>
      <c r="AP213" s="136">
        <f t="shared" si="237"/>
        <v>0.78051303177956799</v>
      </c>
      <c r="AQ213" s="136">
        <f t="shared" si="237"/>
        <v>1.1536588354864752</v>
      </c>
      <c r="AR213" s="136">
        <f t="shared" si="237"/>
        <v>1.5160010489274682</v>
      </c>
      <c r="AS213" s="136">
        <f t="shared" si="237"/>
        <v>1.8679440857771139</v>
      </c>
      <c r="AT213" s="136">
        <f t="shared" si="237"/>
        <v>2.215779975105336</v>
      </c>
      <c r="AU213" s="136">
        <f t="shared" si="237"/>
        <v>2.5536295316421049</v>
      </c>
      <c r="AV213" s="136">
        <f t="shared" si="237"/>
        <v>2.881828762628031</v>
      </c>
      <c r="AW213" s="136">
        <f t="shared" si="237"/>
        <v>3.2006882281559097</v>
      </c>
      <c r="AX213" s="136">
        <f t="shared" si="237"/>
        <v>3.5104957220781259</v>
      </c>
      <c r="AY213" s="136">
        <f t="shared" si="238"/>
        <v>3.812283555645513</v>
      </c>
      <c r="AZ213" s="136">
        <f t="shared" si="238"/>
        <v>4.1055000608776506</v>
      </c>
      <c r="BA213" s="136">
        <f t="shared" si="238"/>
        <v>4.3903796164716207</v>
      </c>
      <c r="BB213" s="136">
        <f t="shared" si="238"/>
        <v>4.667141333429889</v>
      </c>
      <c r="BC213" s="136">
        <f t="shared" si="238"/>
        <v>4.9359904501460141</v>
      </c>
      <c r="BD213" s="136">
        <f t="shared" si="238"/>
        <v>5.1971195663541696</v>
      </c>
      <c r="BE213" s="136">
        <f t="shared" si="238"/>
        <v>5.4507097382014118</v>
      </c>
      <c r="BF213" s="136">
        <f t="shared" si="238"/>
        <v>5.6969314531505857</v>
      </c>
      <c r="BG213" s="136">
        <f t="shared" si="238"/>
        <v>5.9359455005094031</v>
      </c>
      <c r="BH213" s="136">
        <f t="shared" si="238"/>
        <v>6.1679037509803027</v>
      </c>
      <c r="BI213" s="136">
        <f t="shared" si="238"/>
        <v>6.2848808307354815</v>
      </c>
      <c r="BJ213" s="136">
        <f t="shared" si="238"/>
        <v>6.3987280121801966</v>
      </c>
      <c r="BK213" s="136">
        <f t="shared" si="238"/>
        <v>6.5094585401400185</v>
      </c>
      <c r="BL213" s="136">
        <f t="shared" si="238"/>
        <v>6.6170853995487882</v>
      </c>
      <c r="BM213" s="136">
        <f t="shared" si="238"/>
        <v>6.7216213229652082</v>
      </c>
      <c r="BN213" s="136">
        <f t="shared" si="238"/>
        <v>6.8230787978062271</v>
      </c>
      <c r="BO213" s="136">
        <f t="shared" si="238"/>
        <v>6.9214700733102115</v>
      </c>
      <c r="BP213" s="136">
        <f t="shared" si="238"/>
        <v>7.0168071672423764</v>
      </c>
      <c r="BQ213" s="136">
        <f t="shared" si="238"/>
        <v>7.1091018723540316</v>
      </c>
      <c r="BR213" s="136">
        <f t="shared" si="238"/>
        <v>7.1983657626068345</v>
      </c>
    </row>
    <row r="214" spans="1:70">
      <c r="A214" t="s">
        <v>16</v>
      </c>
      <c r="B214" s="71" t="str">
        <f t="shared" si="234"/>
        <v>CNG</v>
      </c>
      <c r="C214" s="71" t="str">
        <f t="shared" si="234"/>
        <v>Commercial - Public lights</v>
      </c>
      <c r="E214" s="90"/>
      <c r="F214" s="90"/>
      <c r="I214" s="131"/>
      <c r="L214" s="136">
        <f t="shared" si="235"/>
        <v>0</v>
      </c>
      <c r="M214" s="136">
        <f t="shared" si="235"/>
        <v>0</v>
      </c>
      <c r="N214" s="136">
        <f t="shared" si="235"/>
        <v>0</v>
      </c>
      <c r="O214" s="136">
        <f t="shared" si="235"/>
        <v>0</v>
      </c>
      <c r="P214" s="136">
        <f t="shared" si="235"/>
        <v>0</v>
      </c>
      <c r="Q214" s="136">
        <f t="shared" si="235"/>
        <v>0</v>
      </c>
      <c r="R214" s="136">
        <f t="shared" si="235"/>
        <v>0</v>
      </c>
      <c r="S214" s="136">
        <f t="shared" si="235"/>
        <v>0</v>
      </c>
      <c r="T214" s="136">
        <f t="shared" si="235"/>
        <v>0</v>
      </c>
      <c r="U214" s="136">
        <f t="shared" si="235"/>
        <v>0</v>
      </c>
      <c r="V214" s="136">
        <f t="shared" si="235"/>
        <v>0</v>
      </c>
      <c r="W214" s="136">
        <f t="shared" si="235"/>
        <v>0</v>
      </c>
      <c r="X214" s="136">
        <f t="shared" si="235"/>
        <v>0</v>
      </c>
      <c r="Y214" s="136">
        <f t="shared" si="235"/>
        <v>0</v>
      </c>
      <c r="Z214" s="136">
        <f t="shared" si="235"/>
        <v>0</v>
      </c>
      <c r="AA214" s="136">
        <f t="shared" si="235"/>
        <v>0</v>
      </c>
      <c r="AB214" s="136">
        <f t="shared" si="236"/>
        <v>0</v>
      </c>
      <c r="AC214" s="136">
        <f t="shared" si="236"/>
        <v>0</v>
      </c>
      <c r="AD214" s="136">
        <f t="shared" si="236"/>
        <v>0</v>
      </c>
      <c r="AE214" s="136">
        <f t="shared" si="236"/>
        <v>0</v>
      </c>
      <c r="AF214" s="136">
        <f t="shared" si="236"/>
        <v>0</v>
      </c>
      <c r="AG214" s="136">
        <f t="shared" si="236"/>
        <v>0</v>
      </c>
      <c r="AH214" s="136">
        <f t="shared" si="236"/>
        <v>0</v>
      </c>
      <c r="AI214" s="136">
        <f t="shared" si="236"/>
        <v>0</v>
      </c>
      <c r="AJ214" s="136">
        <f t="shared" si="236"/>
        <v>0</v>
      </c>
      <c r="AK214" s="136">
        <f t="shared" si="236"/>
        <v>0</v>
      </c>
      <c r="AL214" s="136">
        <f t="shared" si="236"/>
        <v>0</v>
      </c>
      <c r="AM214" s="136">
        <f t="shared" si="236"/>
        <v>0</v>
      </c>
      <c r="AN214" s="136">
        <f t="shared" si="236"/>
        <v>0</v>
      </c>
      <c r="AO214" s="136">
        <f t="shared" si="236"/>
        <v>0</v>
      </c>
      <c r="AP214" s="136">
        <f t="shared" si="237"/>
        <v>0</v>
      </c>
      <c r="AQ214" s="136">
        <f t="shared" si="237"/>
        <v>0</v>
      </c>
      <c r="AR214" s="136">
        <f t="shared" si="237"/>
        <v>0</v>
      </c>
      <c r="AS214" s="136">
        <f t="shared" si="237"/>
        <v>0</v>
      </c>
      <c r="AT214" s="136">
        <f t="shared" si="237"/>
        <v>0</v>
      </c>
      <c r="AU214" s="136">
        <f t="shared" si="237"/>
        <v>0</v>
      </c>
      <c r="AV214" s="136">
        <f t="shared" si="237"/>
        <v>0</v>
      </c>
      <c r="AW214" s="136">
        <f t="shared" si="237"/>
        <v>0</v>
      </c>
      <c r="AX214" s="136">
        <f t="shared" si="237"/>
        <v>0</v>
      </c>
      <c r="AY214" s="136">
        <f t="shared" si="238"/>
        <v>0</v>
      </c>
      <c r="AZ214" s="136">
        <f t="shared" si="238"/>
        <v>0</v>
      </c>
      <c r="BA214" s="136">
        <f t="shared" si="238"/>
        <v>0</v>
      </c>
      <c r="BB214" s="136">
        <f t="shared" si="238"/>
        <v>0</v>
      </c>
      <c r="BC214" s="136">
        <f t="shared" si="238"/>
        <v>0</v>
      </c>
      <c r="BD214" s="136">
        <f t="shared" si="238"/>
        <v>0</v>
      </c>
      <c r="BE214" s="136">
        <f t="shared" si="238"/>
        <v>0</v>
      </c>
      <c r="BF214" s="136">
        <f t="shared" si="238"/>
        <v>0</v>
      </c>
      <c r="BG214" s="136">
        <f t="shared" si="238"/>
        <v>0</v>
      </c>
      <c r="BH214" s="136">
        <f t="shared" si="238"/>
        <v>0</v>
      </c>
      <c r="BI214" s="136">
        <f t="shared" si="238"/>
        <v>0</v>
      </c>
      <c r="BJ214" s="136">
        <f t="shared" si="238"/>
        <v>0</v>
      </c>
      <c r="BK214" s="136">
        <f t="shared" si="238"/>
        <v>0</v>
      </c>
      <c r="BL214" s="136">
        <f t="shared" si="238"/>
        <v>0</v>
      </c>
      <c r="BM214" s="136">
        <f t="shared" si="238"/>
        <v>0</v>
      </c>
      <c r="BN214" s="136">
        <f t="shared" si="238"/>
        <v>0</v>
      </c>
      <c r="BO214" s="136">
        <f t="shared" si="238"/>
        <v>0</v>
      </c>
      <c r="BP214" s="136">
        <f t="shared" si="238"/>
        <v>0</v>
      </c>
      <c r="BQ214" s="136">
        <f t="shared" si="238"/>
        <v>0</v>
      </c>
      <c r="BR214" s="136">
        <f t="shared" si="238"/>
        <v>0</v>
      </c>
    </row>
    <row r="215" spans="1:70">
      <c r="A215" t="s">
        <v>16</v>
      </c>
      <c r="B215" s="71" t="str">
        <f t="shared" si="234"/>
        <v>CNT</v>
      </c>
      <c r="C215" s="71" t="str">
        <f t="shared" si="234"/>
        <v>Commercial - Public Water</v>
      </c>
      <c r="E215" s="90"/>
      <c r="F215" s="90"/>
      <c r="I215" s="131"/>
      <c r="L215" s="136">
        <f t="shared" si="235"/>
        <v>0</v>
      </c>
      <c r="M215" s="136">
        <f t="shared" si="235"/>
        <v>0</v>
      </c>
      <c r="N215" s="136">
        <f t="shared" si="235"/>
        <v>0</v>
      </c>
      <c r="O215" s="136">
        <f t="shared" si="235"/>
        <v>0</v>
      </c>
      <c r="P215" s="136">
        <f t="shared" si="235"/>
        <v>0</v>
      </c>
      <c r="Q215" s="136">
        <f t="shared" si="235"/>
        <v>0</v>
      </c>
      <c r="R215" s="136">
        <f t="shared" si="235"/>
        <v>0</v>
      </c>
      <c r="S215" s="136">
        <f t="shared" si="235"/>
        <v>0</v>
      </c>
      <c r="T215" s="136">
        <f t="shared" si="235"/>
        <v>0</v>
      </c>
      <c r="U215" s="136">
        <f t="shared" si="235"/>
        <v>0</v>
      </c>
      <c r="V215" s="136">
        <f t="shared" si="235"/>
        <v>0</v>
      </c>
      <c r="W215" s="136">
        <f t="shared" si="235"/>
        <v>0</v>
      </c>
      <c r="X215" s="136">
        <f t="shared" si="235"/>
        <v>0</v>
      </c>
      <c r="Y215" s="136">
        <f t="shared" si="235"/>
        <v>0</v>
      </c>
      <c r="Z215" s="136">
        <f t="shared" si="235"/>
        <v>0</v>
      </c>
      <c r="AA215" s="136">
        <f t="shared" si="235"/>
        <v>0</v>
      </c>
      <c r="AB215" s="136">
        <f t="shared" si="236"/>
        <v>0</v>
      </c>
      <c r="AC215" s="136">
        <f t="shared" si="236"/>
        <v>0</v>
      </c>
      <c r="AD215" s="136">
        <f t="shared" si="236"/>
        <v>0</v>
      </c>
      <c r="AE215" s="136">
        <f t="shared" si="236"/>
        <v>0</v>
      </c>
      <c r="AF215" s="136">
        <f t="shared" si="236"/>
        <v>0</v>
      </c>
      <c r="AG215" s="136">
        <f t="shared" si="236"/>
        <v>0</v>
      </c>
      <c r="AH215" s="136">
        <f t="shared" si="236"/>
        <v>0</v>
      </c>
      <c r="AI215" s="136">
        <f t="shared" si="236"/>
        <v>0</v>
      </c>
      <c r="AJ215" s="136">
        <f t="shared" si="236"/>
        <v>0</v>
      </c>
      <c r="AK215" s="136">
        <f t="shared" si="236"/>
        <v>0</v>
      </c>
      <c r="AL215" s="136">
        <f t="shared" si="236"/>
        <v>0</v>
      </c>
      <c r="AM215" s="136">
        <f t="shared" si="236"/>
        <v>0</v>
      </c>
      <c r="AN215" s="136">
        <f t="shared" si="236"/>
        <v>0</v>
      </c>
      <c r="AO215" s="136">
        <f t="shared" si="236"/>
        <v>0</v>
      </c>
      <c r="AP215" s="136">
        <f t="shared" si="237"/>
        <v>0</v>
      </c>
      <c r="AQ215" s="136">
        <f t="shared" si="237"/>
        <v>0</v>
      </c>
      <c r="AR215" s="136">
        <f t="shared" si="237"/>
        <v>0</v>
      </c>
      <c r="AS215" s="136">
        <f t="shared" si="237"/>
        <v>0</v>
      </c>
      <c r="AT215" s="136">
        <f t="shared" si="237"/>
        <v>0</v>
      </c>
      <c r="AU215" s="136">
        <f t="shared" si="237"/>
        <v>0</v>
      </c>
      <c r="AV215" s="136">
        <f t="shared" si="237"/>
        <v>0</v>
      </c>
      <c r="AW215" s="136">
        <f t="shared" si="237"/>
        <v>0</v>
      </c>
      <c r="AX215" s="136">
        <f t="shared" si="237"/>
        <v>0</v>
      </c>
      <c r="AY215" s="136">
        <f t="shared" ref="AY215:BR216" si="239">INDEX(AY$49:AY$52,MATCH($I$207,$B$49:$B$52,0),1)*INDEX(AY$81:AY$89,MATCH($B215,$B$81:$B$89,0))*INDEX(AY$138:AY$146,MATCH($B215,$B$138:$B$146,0))/1000</f>
        <v>0</v>
      </c>
      <c r="AZ215" s="136">
        <f t="shared" si="239"/>
        <v>0</v>
      </c>
      <c r="BA215" s="136">
        <f t="shared" si="239"/>
        <v>0</v>
      </c>
      <c r="BB215" s="136">
        <f t="shared" si="239"/>
        <v>0</v>
      </c>
      <c r="BC215" s="136">
        <f t="shared" si="239"/>
        <v>0</v>
      </c>
      <c r="BD215" s="136">
        <f t="shared" si="239"/>
        <v>0</v>
      </c>
      <c r="BE215" s="136">
        <f t="shared" si="239"/>
        <v>0</v>
      </c>
      <c r="BF215" s="136">
        <f t="shared" si="239"/>
        <v>0</v>
      </c>
      <c r="BG215" s="136">
        <f t="shared" si="239"/>
        <v>0</v>
      </c>
      <c r="BH215" s="136">
        <f t="shared" si="239"/>
        <v>0</v>
      </c>
      <c r="BI215" s="136">
        <f t="shared" si="239"/>
        <v>0</v>
      </c>
      <c r="BJ215" s="136">
        <f t="shared" si="239"/>
        <v>0</v>
      </c>
      <c r="BK215" s="136">
        <f t="shared" si="239"/>
        <v>0</v>
      </c>
      <c r="BL215" s="136">
        <f t="shared" si="239"/>
        <v>0</v>
      </c>
      <c r="BM215" s="136">
        <f t="shared" si="239"/>
        <v>0</v>
      </c>
      <c r="BN215" s="136">
        <f t="shared" si="239"/>
        <v>0</v>
      </c>
      <c r="BO215" s="136">
        <f t="shared" si="239"/>
        <v>0</v>
      </c>
      <c r="BP215" s="136">
        <f t="shared" si="239"/>
        <v>0</v>
      </c>
      <c r="BQ215" s="136">
        <f t="shared" si="239"/>
        <v>0</v>
      </c>
      <c r="BR215" s="136">
        <f t="shared" si="239"/>
        <v>0</v>
      </c>
    </row>
    <row r="216" spans="1:70">
      <c r="A216" t="s">
        <v>16</v>
      </c>
      <c r="B216" s="71" t="str">
        <f t="shared" si="234"/>
        <v>CNO</v>
      </c>
      <c r="C216" s="71" t="str">
        <f t="shared" si="234"/>
        <v>Commercial - Other</v>
      </c>
      <c r="E216" s="90"/>
      <c r="F216" s="90"/>
      <c r="I216" s="131"/>
      <c r="L216" s="136">
        <f t="shared" si="235"/>
        <v>0</v>
      </c>
      <c r="M216" s="136">
        <f t="shared" si="235"/>
        <v>0</v>
      </c>
      <c r="N216" s="136">
        <f t="shared" si="235"/>
        <v>0</v>
      </c>
      <c r="O216" s="136">
        <f t="shared" si="235"/>
        <v>0</v>
      </c>
      <c r="P216" s="136">
        <f t="shared" si="235"/>
        <v>0</v>
      </c>
      <c r="Q216" s="136">
        <f t="shared" si="235"/>
        <v>0</v>
      </c>
      <c r="R216" s="136">
        <f t="shared" si="235"/>
        <v>0</v>
      </c>
      <c r="S216" s="136">
        <f t="shared" si="235"/>
        <v>0</v>
      </c>
      <c r="T216" s="136">
        <f t="shared" si="235"/>
        <v>0</v>
      </c>
      <c r="U216" s="136">
        <f t="shared" si="235"/>
        <v>0</v>
      </c>
      <c r="V216" s="136">
        <f t="shared" si="235"/>
        <v>0</v>
      </c>
      <c r="W216" s="136">
        <f t="shared" si="235"/>
        <v>0</v>
      </c>
      <c r="X216" s="136">
        <f t="shared" si="235"/>
        <v>0</v>
      </c>
      <c r="Y216" s="136">
        <f t="shared" si="235"/>
        <v>0</v>
      </c>
      <c r="Z216" s="136">
        <f t="shared" si="235"/>
        <v>0</v>
      </c>
      <c r="AA216" s="136">
        <f t="shared" si="235"/>
        <v>0</v>
      </c>
      <c r="AB216" s="136">
        <f t="shared" si="236"/>
        <v>0</v>
      </c>
      <c r="AC216" s="136">
        <f t="shared" si="236"/>
        <v>0</v>
      </c>
      <c r="AD216" s="136">
        <f t="shared" si="236"/>
        <v>0</v>
      </c>
      <c r="AE216" s="136">
        <f t="shared" si="236"/>
        <v>0</v>
      </c>
      <c r="AF216" s="136">
        <f t="shared" si="236"/>
        <v>0</v>
      </c>
      <c r="AG216" s="136">
        <f t="shared" si="236"/>
        <v>0</v>
      </c>
      <c r="AH216" s="136">
        <f t="shared" si="236"/>
        <v>0</v>
      </c>
      <c r="AI216" s="136">
        <f t="shared" si="236"/>
        <v>0</v>
      </c>
      <c r="AJ216" s="136">
        <f t="shared" si="236"/>
        <v>0</v>
      </c>
      <c r="AK216" s="136">
        <f t="shared" si="236"/>
        <v>0</v>
      </c>
      <c r="AL216" s="136">
        <f t="shared" si="236"/>
        <v>0</v>
      </c>
      <c r="AM216" s="136">
        <f t="shared" si="236"/>
        <v>0</v>
      </c>
      <c r="AN216" s="136">
        <f t="shared" si="236"/>
        <v>0</v>
      </c>
      <c r="AO216" s="136">
        <f t="shared" si="236"/>
        <v>0.55955135721931826</v>
      </c>
      <c r="AP216" s="136">
        <f t="shared" si="237"/>
        <v>1.1097391452331116</v>
      </c>
      <c r="AQ216" s="136">
        <f t="shared" si="237"/>
        <v>1.6510860770950073</v>
      </c>
      <c r="AR216" s="136">
        <f t="shared" si="237"/>
        <v>2.1840667062624819</v>
      </c>
      <c r="AS216" s="136">
        <f t="shared" si="237"/>
        <v>2.7091134020085192</v>
      </c>
      <c r="AT216" s="136">
        <f t="shared" si="237"/>
        <v>3.2352663296216329</v>
      </c>
      <c r="AU216" s="136">
        <f t="shared" si="237"/>
        <v>3.7539191205718931</v>
      </c>
      <c r="AV216" s="136">
        <f t="shared" si="237"/>
        <v>4.2654286475166883</v>
      </c>
      <c r="AW216" s="136">
        <f t="shared" si="237"/>
        <v>4.7701233651018926</v>
      </c>
      <c r="AX216" s="136">
        <f t="shared" si="237"/>
        <v>5.2683063735034814</v>
      </c>
      <c r="AY216" s="136">
        <f t="shared" si="239"/>
        <v>5.7614141334988407</v>
      </c>
      <c r="AZ216" s="136">
        <f t="shared" si="239"/>
        <v>6.2485127108211795</v>
      </c>
      <c r="BA216" s="136">
        <f t="shared" si="239"/>
        <v>6.7298461336667321</v>
      </c>
      <c r="BB216" s="136">
        <f t="shared" si="239"/>
        <v>7.2056415960768154</v>
      </c>
      <c r="BC216" s="136">
        <f t="shared" si="239"/>
        <v>7.6761110373975727</v>
      </c>
      <c r="BD216" s="136">
        <f t="shared" si="239"/>
        <v>8.1414525365067796</v>
      </c>
      <c r="BE216" s="136">
        <f t="shared" si="239"/>
        <v>8.6018515466500958</v>
      </c>
      <c r="BF216" s="136">
        <f t="shared" si="239"/>
        <v>9.0574819925775643</v>
      </c>
      <c r="BG216" s="136">
        <f t="shared" si="239"/>
        <v>9.5085072482703126</v>
      </c>
      <c r="BH216" s="136">
        <f t="shared" si="239"/>
        <v>9.9550810107467314</v>
      </c>
      <c r="BI216" s="136">
        <f t="shared" si="239"/>
        <v>10.221587080062669</v>
      </c>
      <c r="BJ216" s="136">
        <f t="shared" si="239"/>
        <v>10.487181971436417</v>
      </c>
      <c r="BK216" s="136">
        <f t="shared" si="239"/>
        <v>10.751874443502636</v>
      </c>
      <c r="BL216" s="136">
        <f t="shared" si="239"/>
        <v>11.015673063973344</v>
      </c>
      <c r="BM216" s="136">
        <f t="shared" si="239"/>
        <v>11.278586215451591</v>
      </c>
      <c r="BN216" s="136">
        <f t="shared" si="239"/>
        <v>11.540622101019292</v>
      </c>
      <c r="BO216" s="136">
        <f t="shared" si="239"/>
        <v>11.801788749609758</v>
      </c>
      <c r="BP216" s="136">
        <f t="shared" si="239"/>
        <v>12.062094021175133</v>
      </c>
      <c r="BQ216" s="136">
        <f t="shared" si="239"/>
        <v>12.32154561165803</v>
      </c>
      <c r="BR216" s="136">
        <f t="shared" si="239"/>
        <v>12.580151057776568</v>
      </c>
    </row>
    <row r="217" spans="1:70">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75" thickBot="1">
      <c r="A218" t="s">
        <v>16</v>
      </c>
      <c r="B218" s="69" t="s">
        <v>465</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c r="A220" t="s">
        <v>16</v>
      </c>
      <c r="B220" s="71" t="str">
        <f t="shared" ref="B220:C228" si="240">B208</f>
        <v>CNC</v>
      </c>
      <c r="C220" s="71" t="str">
        <f t="shared" si="240"/>
        <v>Commercial - Cooling</v>
      </c>
      <c r="E220" s="90"/>
      <c r="F220" s="90"/>
      <c r="I220" s="131"/>
      <c r="L220" s="136">
        <f t="shared" ref="L220:AX226" si="241">L186+L197+L208</f>
        <v>0</v>
      </c>
      <c r="M220" s="136">
        <f t="shared" si="241"/>
        <v>0</v>
      </c>
      <c r="N220" s="136">
        <f t="shared" si="241"/>
        <v>0</v>
      </c>
      <c r="O220" s="136">
        <f t="shared" si="241"/>
        <v>0</v>
      </c>
      <c r="P220" s="136">
        <f t="shared" si="241"/>
        <v>0</v>
      </c>
      <c r="Q220" s="136">
        <f t="shared" si="241"/>
        <v>0</v>
      </c>
      <c r="R220" s="136">
        <f t="shared" si="241"/>
        <v>1.7663141176431716</v>
      </c>
      <c r="S220" s="136">
        <f t="shared" si="241"/>
        <v>3.4029475996970713</v>
      </c>
      <c r="T220" s="136">
        <f t="shared" si="241"/>
        <v>4.4302493543804173</v>
      </c>
      <c r="U220" s="136">
        <f t="shared" si="241"/>
        <v>7.1917286123115618</v>
      </c>
      <c r="V220" s="136">
        <f t="shared" si="241"/>
        <v>10.205459457953769</v>
      </c>
      <c r="W220" s="136">
        <f t="shared" si="241"/>
        <v>12.104276183044473</v>
      </c>
      <c r="X220" s="136">
        <f t="shared" si="241"/>
        <v>14.293119281054754</v>
      </c>
      <c r="Y220" s="136">
        <f t="shared" si="241"/>
        <v>16.526817125544348</v>
      </c>
      <c r="Z220" s="136">
        <f t="shared" si="241"/>
        <v>18.955059480624989</v>
      </c>
      <c r="AA220" s="136">
        <f t="shared" si="241"/>
        <v>21.769747920407127</v>
      </c>
      <c r="AB220" s="136">
        <f t="shared" si="241"/>
        <v>24.803557394929335</v>
      </c>
      <c r="AC220" s="136">
        <f t="shared" si="241"/>
        <v>28.046857149372503</v>
      </c>
      <c r="AD220" s="136">
        <f t="shared" si="241"/>
        <v>31.621656240192273</v>
      </c>
      <c r="AE220" s="136">
        <f t="shared" si="241"/>
        <v>34.724467973747593</v>
      </c>
      <c r="AF220" s="136">
        <f t="shared" si="241"/>
        <v>37.86500059919149</v>
      </c>
      <c r="AG220" s="136">
        <f t="shared" si="241"/>
        <v>40.960600908550944</v>
      </c>
      <c r="AH220" s="136">
        <f t="shared" si="241"/>
        <v>44.075015944502361</v>
      </c>
      <c r="AI220" s="136">
        <f t="shared" si="241"/>
        <v>47.24914750962936</v>
      </c>
      <c r="AJ220" s="136">
        <f t="shared" si="241"/>
        <v>50.367192170748794</v>
      </c>
      <c r="AK220" s="136">
        <f t="shared" si="241"/>
        <v>53.483651749809965</v>
      </c>
      <c r="AL220" s="136">
        <f t="shared" si="241"/>
        <v>56.619359498490226</v>
      </c>
      <c r="AM220" s="136">
        <f t="shared" si="241"/>
        <v>59.743581564299944</v>
      </c>
      <c r="AN220" s="136">
        <f t="shared" si="241"/>
        <v>62.81737563406007</v>
      </c>
      <c r="AO220" s="136">
        <f t="shared" si="241"/>
        <v>66.745324944474646</v>
      </c>
      <c r="AP220" s="136">
        <f t="shared" si="241"/>
        <v>70.648040092429341</v>
      </c>
      <c r="AQ220" s="136">
        <f t="shared" si="241"/>
        <v>74.528127948486514</v>
      </c>
      <c r="AR220" s="136">
        <f t="shared" si="241"/>
        <v>78.387941822489068</v>
      </c>
      <c r="AS220" s="136">
        <f t="shared" si="241"/>
        <v>82.229613656649164</v>
      </c>
      <c r="AT220" s="136">
        <f t="shared" si="241"/>
        <v>86.112959821059988</v>
      </c>
      <c r="AU220" s="136">
        <f t="shared" si="241"/>
        <v>89.980252949169625</v>
      </c>
      <c r="AV220" s="136">
        <f t="shared" si="241"/>
        <v>93.833237162629757</v>
      </c>
      <c r="AW220" s="136">
        <f t="shared" si="241"/>
        <v>97.673508474419705</v>
      </c>
      <c r="AX220" s="136">
        <f t="shared" si="241"/>
        <v>101.50253119469508</v>
      </c>
      <c r="AY220" s="136">
        <f t="shared" ref="AY220:BR225" si="242">AY186+AY197+AY208</f>
        <v>105.329580909058</v>
      </c>
      <c r="AZ220" s="136">
        <f t="shared" si="242"/>
        <v>109.14778518077465</v>
      </c>
      <c r="BA220" s="136">
        <f t="shared" si="242"/>
        <v>112.95830410276324</v>
      </c>
      <c r="BB220" s="136">
        <f t="shared" si="242"/>
        <v>116.76221139427173</v>
      </c>
      <c r="BC220" s="136">
        <f t="shared" si="242"/>
        <v>120.56050276832113</v>
      </c>
      <c r="BD220" s="136">
        <f t="shared" si="242"/>
        <v>124.35410330041977</v>
      </c>
      <c r="BE220" s="136">
        <f t="shared" si="242"/>
        <v>128.14387393944503</v>
      </c>
      <c r="BF220" s="136">
        <f t="shared" si="242"/>
        <v>131.93061727878023</v>
      </c>
      <c r="BG220" s="136">
        <f t="shared" si="242"/>
        <v>135.71508268713066</v>
      </c>
      <c r="BH220" s="136">
        <f t="shared" si="242"/>
        <v>139.49797088309612</v>
      </c>
      <c r="BI220" s="136">
        <f t="shared" si="242"/>
        <v>142.01651088603819</v>
      </c>
      <c r="BJ220" s="136">
        <f t="shared" si="242"/>
        <v>144.54660187936261</v>
      </c>
      <c r="BK220" s="136">
        <f t="shared" si="242"/>
        <v>147.08825146023008</v>
      </c>
      <c r="BL220" s="136">
        <f t="shared" si="242"/>
        <v>149.64146685717293</v>
      </c>
      <c r="BM220" s="136">
        <f t="shared" si="242"/>
        <v>152.20625494411772</v>
      </c>
      <c r="BN220" s="136">
        <f t="shared" si="242"/>
        <v>154.78262225380183</v>
      </c>
      <c r="BO220" s="136">
        <f t="shared" si="242"/>
        <v>157.37057499061294</v>
      </c>
      <c r="BP220" s="136">
        <f t="shared" si="242"/>
        <v>159.97011904288138</v>
      </c>
      <c r="BQ220" s="136">
        <f t="shared" si="242"/>
        <v>162.58125999465153</v>
      </c>
      <c r="BR220" s="136">
        <f t="shared" si="242"/>
        <v>165.20400313695853</v>
      </c>
    </row>
    <row r="221" spans="1:70">
      <c r="A221" t="s">
        <v>16</v>
      </c>
      <c r="B221" s="71" t="str">
        <f t="shared" si="240"/>
        <v>CNH</v>
      </c>
      <c r="C221" s="71" t="str">
        <f t="shared" si="240"/>
        <v>Commercial - Space Heating</v>
      </c>
      <c r="E221" s="90"/>
      <c r="F221" s="90"/>
      <c r="I221" s="131"/>
      <c r="L221" s="136">
        <f t="shared" si="241"/>
        <v>0</v>
      </c>
      <c r="M221" s="136">
        <f t="shared" si="241"/>
        <v>0</v>
      </c>
      <c r="N221" s="136">
        <f t="shared" si="241"/>
        <v>0</v>
      </c>
      <c r="O221" s="136">
        <f t="shared" si="241"/>
        <v>0</v>
      </c>
      <c r="P221" s="136">
        <f t="shared" si="241"/>
        <v>0</v>
      </c>
      <c r="Q221" s="136">
        <f t="shared" si="241"/>
        <v>0</v>
      </c>
      <c r="R221" s="136">
        <f t="shared" si="241"/>
        <v>0.16496217879515399</v>
      </c>
      <c r="S221" s="136">
        <f t="shared" si="241"/>
        <v>0.31781303493220059</v>
      </c>
      <c r="T221" s="136">
        <f t="shared" si="241"/>
        <v>0.4137562955560648</v>
      </c>
      <c r="U221" s="136">
        <f t="shared" si="241"/>
        <v>0.65316093726803881</v>
      </c>
      <c r="V221" s="136">
        <f t="shared" si="241"/>
        <v>0.90117700952821456</v>
      </c>
      <c r="W221" s="136">
        <f t="shared" si="241"/>
        <v>1.0390142142263863</v>
      </c>
      <c r="X221" s="136">
        <f t="shared" si="241"/>
        <v>1.1924039793403594</v>
      </c>
      <c r="Y221" s="136">
        <f t="shared" si="241"/>
        <v>1.3396823836969087</v>
      </c>
      <c r="Z221" s="136">
        <f t="shared" si="241"/>
        <v>1.4926229619715241</v>
      </c>
      <c r="AA221" s="136">
        <f t="shared" si="241"/>
        <v>1.6648693787524804</v>
      </c>
      <c r="AB221" s="136">
        <f t="shared" si="241"/>
        <v>1.8417260407143445</v>
      </c>
      <c r="AC221" s="136">
        <f t="shared" si="241"/>
        <v>2.0214115416406555</v>
      </c>
      <c r="AD221" s="136">
        <f t="shared" si="241"/>
        <v>2.2114756545018097</v>
      </c>
      <c r="AE221" s="136">
        <f t="shared" si="241"/>
        <v>2.5041992491847194</v>
      </c>
      <c r="AF221" s="136">
        <f t="shared" si="241"/>
        <v>2.8145595007803763</v>
      </c>
      <c r="AG221" s="136">
        <f t="shared" si="241"/>
        <v>3.1368346340326294</v>
      </c>
      <c r="AH221" s="136">
        <f t="shared" si="241"/>
        <v>3.4761127498929412</v>
      </c>
      <c r="AI221" s="136">
        <f t="shared" si="241"/>
        <v>3.836221463944951</v>
      </c>
      <c r="AJ221" s="136">
        <f t="shared" si="241"/>
        <v>4.2082980659291858</v>
      </c>
      <c r="AK221" s="136">
        <f t="shared" si="241"/>
        <v>4.5970330100368715</v>
      </c>
      <c r="AL221" s="136">
        <f t="shared" si="241"/>
        <v>5.0046727425549635</v>
      </c>
      <c r="AM221" s="136">
        <f t="shared" si="241"/>
        <v>5.428997900724819</v>
      </c>
      <c r="AN221" s="136">
        <f t="shared" si="241"/>
        <v>5.8667317705726347</v>
      </c>
      <c r="AO221" s="136">
        <f t="shared" si="241"/>
        <v>6.1644553324862219</v>
      </c>
      <c r="AP221" s="136">
        <f t="shared" si="241"/>
        <v>6.4523682725338549</v>
      </c>
      <c r="AQ221" s="136">
        <f t="shared" si="241"/>
        <v>6.7308795189644259</v>
      </c>
      <c r="AR221" s="136">
        <f t="shared" si="241"/>
        <v>7.0003618731103092</v>
      </c>
      <c r="AS221" s="136">
        <f t="shared" si="241"/>
        <v>7.2611564070254566</v>
      </c>
      <c r="AT221" s="136">
        <f t="shared" si="241"/>
        <v>7.5186296462505</v>
      </c>
      <c r="AU221" s="136">
        <f t="shared" si="241"/>
        <v>7.7677630503284831</v>
      </c>
      <c r="AV221" s="136">
        <f t="shared" si="241"/>
        <v>8.0088399378492294</v>
      </c>
      <c r="AW221" s="136">
        <f t="shared" si="241"/>
        <v>8.2421221345080262</v>
      </c>
      <c r="AX221" s="136">
        <f t="shared" si="241"/>
        <v>8.4678522392308739</v>
      </c>
      <c r="AY221" s="136">
        <f t="shared" si="242"/>
        <v>8.686909507294617</v>
      </c>
      <c r="AZ221" s="136">
        <f t="shared" si="242"/>
        <v>8.8988197514093397</v>
      </c>
      <c r="BA221" s="136">
        <f t="shared" si="242"/>
        <v>9.1037804705919321</v>
      </c>
      <c r="BB221" s="136">
        <f t="shared" si="242"/>
        <v>9.3019762742258045</v>
      </c>
      <c r="BC221" s="136">
        <f t="shared" si="242"/>
        <v>9.4935800609207277</v>
      </c>
      <c r="BD221" s="136">
        <f t="shared" si="242"/>
        <v>9.6787540611385268</v>
      </c>
      <c r="BE221" s="136">
        <f t="shared" si="242"/>
        <v>9.8576507624102501</v>
      </c>
      <c r="BF221" s="136">
        <f t="shared" si="242"/>
        <v>10.030413732966409</v>
      </c>
      <c r="BG221" s="136">
        <f t="shared" si="242"/>
        <v>10.197178357138174</v>
      </c>
      <c r="BH221" s="136">
        <f t="shared" si="242"/>
        <v>10.358072493856554</v>
      </c>
      <c r="BI221" s="136">
        <f t="shared" si="242"/>
        <v>10.420512646442397</v>
      </c>
      <c r="BJ221" s="136">
        <f t="shared" si="242"/>
        <v>10.480376275249679</v>
      </c>
      <c r="BK221" s="136">
        <f t="shared" si="242"/>
        <v>10.5376744105325</v>
      </c>
      <c r="BL221" s="136">
        <f t="shared" si="242"/>
        <v>10.592417865613555</v>
      </c>
      <c r="BM221" s="136">
        <f t="shared" si="242"/>
        <v>10.644617243165806</v>
      </c>
      <c r="BN221" s="136">
        <f t="shared" si="242"/>
        <v>10.69428294125726</v>
      </c>
      <c r="BO221" s="136">
        <f t="shared" si="242"/>
        <v>10.741425159169815</v>
      </c>
      <c r="BP221" s="136">
        <f t="shared" si="242"/>
        <v>10.78605390300253</v>
      </c>
      <c r="BQ221" s="136">
        <f t="shared" si="242"/>
        <v>10.828178991069032</v>
      </c>
      <c r="BR221" s="136">
        <f t="shared" si="242"/>
        <v>10.867810059098403</v>
      </c>
    </row>
    <row r="222" spans="1:70">
      <c r="A222" t="s">
        <v>16</v>
      </c>
      <c r="B222" s="71" t="str">
        <f t="shared" si="240"/>
        <v>CNK</v>
      </c>
      <c r="C222" s="71" t="str">
        <f t="shared" si="240"/>
        <v>Commercial - Cooking</v>
      </c>
      <c r="E222" s="90"/>
      <c r="F222" s="90"/>
      <c r="I222" s="131"/>
      <c r="L222" s="136">
        <f t="shared" si="241"/>
        <v>0</v>
      </c>
      <c r="M222" s="136">
        <f t="shared" si="241"/>
        <v>0</v>
      </c>
      <c r="N222" s="136">
        <f t="shared" si="241"/>
        <v>0</v>
      </c>
      <c r="O222" s="136">
        <f t="shared" si="241"/>
        <v>0</v>
      </c>
      <c r="P222" s="136">
        <f t="shared" si="241"/>
        <v>0</v>
      </c>
      <c r="Q222" s="136">
        <f t="shared" si="241"/>
        <v>0</v>
      </c>
      <c r="R222" s="136">
        <f t="shared" si="241"/>
        <v>0.12328571728297376</v>
      </c>
      <c r="S222" s="136">
        <f t="shared" si="241"/>
        <v>0.23751994705495594</v>
      </c>
      <c r="T222" s="136">
        <f t="shared" si="241"/>
        <v>0.3092238599813768</v>
      </c>
      <c r="U222" s="136">
        <f t="shared" si="241"/>
        <v>0.50126849336187362</v>
      </c>
      <c r="V222" s="136">
        <f t="shared" si="241"/>
        <v>0.71035272273862615</v>
      </c>
      <c r="W222" s="136">
        <f t="shared" si="241"/>
        <v>0.84138817209163819</v>
      </c>
      <c r="X222" s="136">
        <f t="shared" si="241"/>
        <v>0.99222933902116983</v>
      </c>
      <c r="Y222" s="136">
        <f t="shared" si="241"/>
        <v>1.1458104638122655</v>
      </c>
      <c r="Z222" s="136">
        <f t="shared" si="241"/>
        <v>1.3124959165115861</v>
      </c>
      <c r="AA222" s="136">
        <f t="shared" si="241"/>
        <v>1.5055177559806767</v>
      </c>
      <c r="AB222" s="136">
        <f t="shared" si="241"/>
        <v>1.7132323210726008</v>
      </c>
      <c r="AC222" s="136">
        <f t="shared" si="241"/>
        <v>1.9349339378321841</v>
      </c>
      <c r="AD222" s="136">
        <f t="shared" si="241"/>
        <v>2.1789927387601393</v>
      </c>
      <c r="AE222" s="136">
        <f t="shared" si="241"/>
        <v>2.3907171130874225</v>
      </c>
      <c r="AF222" s="136">
        <f t="shared" si="241"/>
        <v>2.604627823086255</v>
      </c>
      <c r="AG222" s="136">
        <f t="shared" si="241"/>
        <v>2.81502776766881</v>
      </c>
      <c r="AH222" s="136">
        <f t="shared" si="241"/>
        <v>3.0262923003866025</v>
      </c>
      <c r="AI222" s="136">
        <f t="shared" si="241"/>
        <v>3.2412132654099777</v>
      </c>
      <c r="AJ222" s="136">
        <f t="shared" si="241"/>
        <v>3.4518318847165848</v>
      </c>
      <c r="AK222" s="136">
        <f t="shared" si="241"/>
        <v>3.6618795865855285</v>
      </c>
      <c r="AL222" s="136">
        <f t="shared" si="241"/>
        <v>3.8727702181438133</v>
      </c>
      <c r="AM222" s="136">
        <f t="shared" si="241"/>
        <v>4.082387890241244</v>
      </c>
      <c r="AN222" s="136">
        <f t="shared" si="241"/>
        <v>4.2880643891125363</v>
      </c>
      <c r="AO222" s="136">
        <f t="shared" si="241"/>
        <v>4.5536306866709246</v>
      </c>
      <c r="AP222" s="136">
        <f t="shared" si="241"/>
        <v>4.8171978429022602</v>
      </c>
      <c r="AQ222" s="136">
        <f t="shared" si="241"/>
        <v>5.0789499489881846</v>
      </c>
      <c r="AR222" s="136">
        <f t="shared" si="241"/>
        <v>5.3390533256073578</v>
      </c>
      <c r="AS222" s="136">
        <f t="shared" si="241"/>
        <v>5.5976587721299413</v>
      </c>
      <c r="AT222" s="136">
        <f t="shared" si="241"/>
        <v>5.8588413359761988</v>
      </c>
      <c r="AU222" s="136">
        <f t="shared" si="241"/>
        <v>6.1186742433342012</v>
      </c>
      <c r="AV222" s="136">
        <f t="shared" si="241"/>
        <v>6.3772810209555582</v>
      </c>
      <c r="AW222" s="136">
        <f t="shared" si="241"/>
        <v>6.6347748010761203</v>
      </c>
      <c r="AX222" s="136">
        <f t="shared" si="241"/>
        <v>6.8912594685527075</v>
      </c>
      <c r="AY222" s="136">
        <f t="shared" si="242"/>
        <v>7.1473686785749031</v>
      </c>
      <c r="AZ222" s="136">
        <f t="shared" si="242"/>
        <v>7.4026395233788129</v>
      </c>
      <c r="BA222" s="136">
        <f t="shared" si="242"/>
        <v>7.6571545019724585</v>
      </c>
      <c r="BB222" s="136">
        <f t="shared" si="242"/>
        <v>7.9109900383242104</v>
      </c>
      <c r="BC222" s="136">
        <f t="shared" si="242"/>
        <v>8.1642170672909025</v>
      </c>
      <c r="BD222" s="136">
        <f t="shared" si="242"/>
        <v>8.4169015507761564</v>
      </c>
      <c r="BE222" s="136">
        <f t="shared" si="242"/>
        <v>8.6691049339471959</v>
      </c>
      <c r="BF222" s="136">
        <f t="shared" si="242"/>
        <v>8.9208845497489087</v>
      </c>
      <c r="BG222" s="136">
        <f t="shared" si="242"/>
        <v>9.1722939786532116</v>
      </c>
      <c r="BH222" s="136">
        <f t="shared" si="242"/>
        <v>9.4233833695119706</v>
      </c>
      <c r="BI222" s="136">
        <f t="shared" si="242"/>
        <v>9.588893670048444</v>
      </c>
      <c r="BJ222" s="136">
        <f t="shared" si="242"/>
        <v>9.7550568289913215</v>
      </c>
      <c r="BK222" s="136">
        <f t="shared" si="242"/>
        <v>9.9218737479185517</v>
      </c>
      <c r="BL222" s="136">
        <f t="shared" si="242"/>
        <v>10.089345296472342</v>
      </c>
      <c r="BM222" s="136">
        <f t="shared" si="242"/>
        <v>10.257472313500877</v>
      </c>
      <c r="BN222" s="136">
        <f t="shared" si="242"/>
        <v>10.426255608151985</v>
      </c>
      <c r="BO222" s="136">
        <f t="shared" si="242"/>
        <v>10.595695960921002</v>
      </c>
      <c r="BP222" s="136">
        <f t="shared" si="242"/>
        <v>10.765794124655221</v>
      </c>
      <c r="BQ222" s="136">
        <f t="shared" si="242"/>
        <v>10.936550825516905</v>
      </c>
      <c r="BR222" s="136">
        <f t="shared" si="242"/>
        <v>11.107966763906996</v>
      </c>
    </row>
    <row r="223" spans="1:70">
      <c r="A223" t="s">
        <v>16</v>
      </c>
      <c r="B223" s="71" t="str">
        <f t="shared" si="240"/>
        <v>CNL</v>
      </c>
      <c r="C223" s="71" t="str">
        <f t="shared" si="240"/>
        <v>Commercial - Lighting</v>
      </c>
      <c r="E223" s="90"/>
      <c r="F223" s="90"/>
      <c r="I223" s="131"/>
      <c r="L223" s="136">
        <f t="shared" si="241"/>
        <v>0</v>
      </c>
      <c r="M223" s="136">
        <f t="shared" si="241"/>
        <v>0</v>
      </c>
      <c r="N223" s="136">
        <f t="shared" si="241"/>
        <v>0</v>
      </c>
      <c r="O223" s="136">
        <f t="shared" si="241"/>
        <v>0</v>
      </c>
      <c r="P223" s="136">
        <f t="shared" si="241"/>
        <v>0</v>
      </c>
      <c r="Q223" s="136">
        <f t="shared" si="241"/>
        <v>0</v>
      </c>
      <c r="R223" s="136">
        <f t="shared" si="241"/>
        <v>1.5371011281891316</v>
      </c>
      <c r="S223" s="136">
        <f t="shared" si="241"/>
        <v>2.9613501598697858</v>
      </c>
      <c r="T223" s="136">
        <f t="shared" si="241"/>
        <v>3.8553398926934275</v>
      </c>
      <c r="U223" s="136">
        <f t="shared" si="241"/>
        <v>6.2467188180737221</v>
      </c>
      <c r="V223" s="136">
        <f t="shared" si="241"/>
        <v>8.848124590542696</v>
      </c>
      <c r="W223" s="136">
        <f t="shared" si="241"/>
        <v>10.475454356489587</v>
      </c>
      <c r="X223" s="136">
        <f t="shared" si="241"/>
        <v>12.347850869938128</v>
      </c>
      <c r="Y223" s="136">
        <f t="shared" si="241"/>
        <v>14.252741381095079</v>
      </c>
      <c r="Z223" s="136">
        <f t="shared" si="241"/>
        <v>16.318989592409707</v>
      </c>
      <c r="AA223" s="136">
        <f t="shared" si="241"/>
        <v>18.710877562290896</v>
      </c>
      <c r="AB223" s="136">
        <f t="shared" si="241"/>
        <v>21.283385270832824</v>
      </c>
      <c r="AC223" s="136">
        <f t="shared" si="241"/>
        <v>24.027571766031677</v>
      </c>
      <c r="AD223" s="136">
        <f t="shared" si="241"/>
        <v>27.047171786392191</v>
      </c>
      <c r="AE223" s="136">
        <f t="shared" si="241"/>
        <v>29.701121387919876</v>
      </c>
      <c r="AF223" s="136">
        <f t="shared" si="241"/>
        <v>32.387335063001984</v>
      </c>
      <c r="AG223" s="136">
        <f t="shared" si="241"/>
        <v>35.035116466774028</v>
      </c>
      <c r="AH223" s="136">
        <f t="shared" si="241"/>
        <v>37.698990801870785</v>
      </c>
      <c r="AI223" s="136">
        <f t="shared" si="241"/>
        <v>40.413942892377648</v>
      </c>
      <c r="AJ223" s="136">
        <f t="shared" si="241"/>
        <v>43.080921780085227</v>
      </c>
      <c r="AK223" s="136">
        <f t="shared" si="241"/>
        <v>45.746544888500296</v>
      </c>
      <c r="AL223" s="136">
        <f t="shared" si="241"/>
        <v>48.428631668087647</v>
      </c>
      <c r="AM223" s="136">
        <f t="shared" si="241"/>
        <v>51.100894318435081</v>
      </c>
      <c r="AN223" s="136">
        <f t="shared" si="241"/>
        <v>53.730024039196635</v>
      </c>
      <c r="AO223" s="136">
        <f t="shared" si="241"/>
        <v>57.046609034676585</v>
      </c>
      <c r="AP223" s="136">
        <f t="shared" si="241"/>
        <v>60.336958679773701</v>
      </c>
      <c r="AQ223" s="136">
        <f t="shared" si="241"/>
        <v>63.603405985310957</v>
      </c>
      <c r="AR223" s="136">
        <f t="shared" si="241"/>
        <v>66.848059315286889</v>
      </c>
      <c r="AS223" s="136">
        <f t="shared" si="241"/>
        <v>70.072830790881483</v>
      </c>
      <c r="AT223" s="136">
        <f t="shared" si="241"/>
        <v>73.328746315955641</v>
      </c>
      <c r="AU223" s="136">
        <f t="shared" si="241"/>
        <v>76.566662197463188</v>
      </c>
      <c r="AV223" s="136">
        <f t="shared" si="241"/>
        <v>79.788145401236818</v>
      </c>
      <c r="AW223" s="136">
        <f t="shared" si="241"/>
        <v>82.994631429719504</v>
      </c>
      <c r="AX223" s="136">
        <f t="shared" si="241"/>
        <v>86.18743881250218</v>
      </c>
      <c r="AY223" s="136">
        <f t="shared" si="242"/>
        <v>89.374509398802672</v>
      </c>
      <c r="AZ223" s="136">
        <f t="shared" si="242"/>
        <v>92.550069563922079</v>
      </c>
      <c r="BA223" s="136">
        <f t="shared" si="242"/>
        <v>95.715167214998417</v>
      </c>
      <c r="BB223" s="136">
        <f t="shared" si="242"/>
        <v>98.870773370832239</v>
      </c>
      <c r="BC223" s="136">
        <f t="shared" si="242"/>
        <v>102.01778956686628</v>
      </c>
      <c r="BD223" s="136">
        <f t="shared" si="242"/>
        <v>105.15705437910574</v>
      </c>
      <c r="BE223" s="136">
        <f t="shared" si="242"/>
        <v>108.28934919103074</v>
      </c>
      <c r="BF223" s="136">
        <f t="shared" si="242"/>
        <v>111.41540330749561</v>
      </c>
      <c r="BG223" s="136">
        <f t="shared" si="242"/>
        <v>114.53589850319855</v>
      </c>
      <c r="BH223" s="136">
        <f t="shared" si="242"/>
        <v>117.65147307980342</v>
      </c>
      <c r="BI223" s="136">
        <f t="shared" si="242"/>
        <v>119.69785272280896</v>
      </c>
      <c r="BJ223" s="136">
        <f t="shared" si="242"/>
        <v>121.75183124767406</v>
      </c>
      <c r="BK223" s="136">
        <f t="shared" si="242"/>
        <v>123.81342159321234</v>
      </c>
      <c r="BL223" s="136">
        <f t="shared" si="242"/>
        <v>125.88263626904372</v>
      </c>
      <c r="BM223" s="136">
        <f t="shared" si="242"/>
        <v>127.95948737069146</v>
      </c>
      <c r="BN223" s="136">
        <f t="shared" si="242"/>
        <v>130.04398659404808</v>
      </c>
      <c r="BO223" s="136">
        <f t="shared" si="242"/>
        <v>132.13614524924049</v>
      </c>
      <c r="BP223" s="136">
        <f t="shared" si="242"/>
        <v>134.23597427392428</v>
      </c>
      <c r="BQ223" s="136">
        <f t="shared" si="242"/>
        <v>136.34348424603456</v>
      </c>
      <c r="BR223" s="136">
        <f t="shared" si="242"/>
        <v>138.45868539601972</v>
      </c>
    </row>
    <row r="224" spans="1:70">
      <c r="A224" t="s">
        <v>16</v>
      </c>
      <c r="B224" s="71" t="str">
        <f t="shared" si="240"/>
        <v>CNR</v>
      </c>
      <c r="C224" s="71" t="str">
        <f t="shared" si="240"/>
        <v>Commercial - Refrigeration</v>
      </c>
      <c r="E224" s="90"/>
      <c r="F224" s="90"/>
      <c r="I224" s="131"/>
      <c r="L224" s="136">
        <f t="shared" si="241"/>
        <v>0</v>
      </c>
      <c r="M224" s="136">
        <f t="shared" si="241"/>
        <v>0</v>
      </c>
      <c r="N224" s="136">
        <f t="shared" si="241"/>
        <v>0</v>
      </c>
      <c r="O224" s="136">
        <f t="shared" si="241"/>
        <v>0</v>
      </c>
      <c r="P224" s="136">
        <f t="shared" si="241"/>
        <v>0</v>
      </c>
      <c r="Q224" s="136">
        <f t="shared" si="241"/>
        <v>0</v>
      </c>
      <c r="R224" s="136">
        <f t="shared" si="241"/>
        <v>0.37392159230343008</v>
      </c>
      <c r="S224" s="136">
        <f t="shared" si="241"/>
        <v>0.72039031579598123</v>
      </c>
      <c r="T224" s="136">
        <f t="shared" si="241"/>
        <v>0.93786596412508894</v>
      </c>
      <c r="U224" s="136">
        <f t="shared" si="241"/>
        <v>1.5187863437861393</v>
      </c>
      <c r="V224" s="136">
        <f t="shared" si="241"/>
        <v>2.1501391121175994</v>
      </c>
      <c r="W224" s="136">
        <f t="shared" si="241"/>
        <v>2.5442669893171557</v>
      </c>
      <c r="X224" s="136">
        <f t="shared" si="241"/>
        <v>2.9975018298660734</v>
      </c>
      <c r="Y224" s="136">
        <f t="shared" si="241"/>
        <v>3.4581867393449137</v>
      </c>
      <c r="Z224" s="136">
        <f t="shared" si="241"/>
        <v>3.9575722640940083</v>
      </c>
      <c r="AA224" s="136">
        <f t="shared" si="241"/>
        <v>4.5354335224744728</v>
      </c>
      <c r="AB224" s="136">
        <f t="shared" si="241"/>
        <v>5.1565334486172025</v>
      </c>
      <c r="AC224" s="136">
        <f t="shared" si="241"/>
        <v>5.8186581091883864</v>
      </c>
      <c r="AD224" s="136">
        <f t="shared" si="241"/>
        <v>6.546872765591667</v>
      </c>
      <c r="AE224" s="136">
        <f t="shared" si="241"/>
        <v>7.1892715533361278</v>
      </c>
      <c r="AF224" s="136">
        <f t="shared" si="241"/>
        <v>7.8394799851398131</v>
      </c>
      <c r="AG224" s="136">
        <f t="shared" si="241"/>
        <v>8.4803857367096178</v>
      </c>
      <c r="AH224" s="136">
        <f t="shared" si="241"/>
        <v>9.1251868446826858</v>
      </c>
      <c r="AI224" s="136">
        <f t="shared" si="241"/>
        <v>9.7823515213298791</v>
      </c>
      <c r="AJ224" s="136">
        <f t="shared" si="241"/>
        <v>10.427904098295627</v>
      </c>
      <c r="AK224" s="136">
        <f t="shared" si="241"/>
        <v>11.073128503628631</v>
      </c>
      <c r="AL224" s="136">
        <f t="shared" si="241"/>
        <v>11.722338004381985</v>
      </c>
      <c r="AM224" s="136">
        <f t="shared" si="241"/>
        <v>12.369169536574546</v>
      </c>
      <c r="AN224" s="136">
        <f t="shared" si="241"/>
        <v>13.005560575977851</v>
      </c>
      <c r="AO224" s="136">
        <f t="shared" si="241"/>
        <v>13.805369668375704</v>
      </c>
      <c r="AP224" s="136">
        <f t="shared" si="241"/>
        <v>14.598506693366245</v>
      </c>
      <c r="AQ224" s="136">
        <f t="shared" si="241"/>
        <v>15.385543506407439</v>
      </c>
      <c r="AR224" s="136">
        <f t="shared" si="241"/>
        <v>16.166997049172952</v>
      </c>
      <c r="AS224" s="136">
        <f t="shared" si="241"/>
        <v>16.943336284885756</v>
      </c>
      <c r="AT224" s="136">
        <f t="shared" si="241"/>
        <v>17.726902739438547</v>
      </c>
      <c r="AU224" s="136">
        <f t="shared" si="241"/>
        <v>18.505817081670589</v>
      </c>
      <c r="AV224" s="136">
        <f t="shared" si="241"/>
        <v>19.280463799260989</v>
      </c>
      <c r="AW224" s="136">
        <f t="shared" si="241"/>
        <v>20.051195228050226</v>
      </c>
      <c r="AX224" s="136">
        <f t="shared" si="241"/>
        <v>20.818335091206073</v>
      </c>
      <c r="AY224" s="136">
        <f t="shared" si="242"/>
        <v>21.583806304150148</v>
      </c>
      <c r="AZ224" s="136">
        <f t="shared" si="242"/>
        <v>22.346218574296106</v>
      </c>
      <c r="BA224" s="136">
        <f t="shared" si="242"/>
        <v>23.105829399370101</v>
      </c>
      <c r="BB224" s="136">
        <f t="shared" si="242"/>
        <v>23.862877457829615</v>
      </c>
      <c r="BC224" s="136">
        <f t="shared" si="242"/>
        <v>24.617584418418371</v>
      </c>
      <c r="BD224" s="136">
        <f t="shared" si="242"/>
        <v>25.370156534603478</v>
      </c>
      <c r="BE224" s="136">
        <f t="shared" si="242"/>
        <v>26.12078605416632</v>
      </c>
      <c r="BF224" s="136">
        <f t="shared" si="242"/>
        <v>26.869652469326482</v>
      </c>
      <c r="BG224" s="136">
        <f t="shared" si="242"/>
        <v>27.616923628774355</v>
      </c>
      <c r="BH224" s="136">
        <f t="shared" si="242"/>
        <v>28.362756729694176</v>
      </c>
      <c r="BI224" s="136">
        <f t="shared" si="242"/>
        <v>28.850634160040787</v>
      </c>
      <c r="BJ224" s="136">
        <f t="shared" si="242"/>
        <v>29.340193171804476</v>
      </c>
      <c r="BK224" s="136">
        <f t="shared" si="242"/>
        <v>29.831437342301456</v>
      </c>
      <c r="BL224" s="136">
        <f t="shared" si="242"/>
        <v>30.324370137083374</v>
      </c>
      <c r="BM224" s="136">
        <f t="shared" si="242"/>
        <v>30.818994913806179</v>
      </c>
      <c r="BN224" s="136">
        <f t="shared" si="242"/>
        <v>31.31531492593847</v>
      </c>
      <c r="BO224" s="136">
        <f t="shared" si="242"/>
        <v>31.813333326316947</v>
      </c>
      <c r="BP224" s="136">
        <f t="shared" si="242"/>
        <v>32.313053170556714</v>
      </c>
      <c r="BQ224" s="136">
        <f t="shared" si="242"/>
        <v>32.814477420323037</v>
      </c>
      <c r="BR224" s="136">
        <f t="shared" si="242"/>
        <v>33.317608946471694</v>
      </c>
    </row>
    <row r="225" spans="1:70">
      <c r="A225" t="s">
        <v>16</v>
      </c>
      <c r="B225" s="71" t="str">
        <f t="shared" si="240"/>
        <v>CNW</v>
      </c>
      <c r="C225" s="71" t="str">
        <f t="shared" si="240"/>
        <v>Commercial - Water Heating</v>
      </c>
      <c r="E225" s="90"/>
      <c r="F225" s="90"/>
      <c r="I225" s="131"/>
      <c r="L225" s="136">
        <f t="shared" si="241"/>
        <v>0</v>
      </c>
      <c r="M225" s="136">
        <f t="shared" si="241"/>
        <v>0</v>
      </c>
      <c r="N225" s="136">
        <f t="shared" si="241"/>
        <v>0</v>
      </c>
      <c r="O225" s="136">
        <f t="shared" si="241"/>
        <v>0</v>
      </c>
      <c r="P225" s="136">
        <f t="shared" si="241"/>
        <v>0</v>
      </c>
      <c r="Q225" s="136">
        <f t="shared" si="241"/>
        <v>0</v>
      </c>
      <c r="R225" s="136">
        <f t="shared" si="241"/>
        <v>0.19796348261065</v>
      </c>
      <c r="S225" s="136">
        <f t="shared" si="241"/>
        <v>0.38139272694964443</v>
      </c>
      <c r="T225" s="136">
        <f t="shared" si="241"/>
        <v>0.49652979742751913</v>
      </c>
      <c r="U225" s="136">
        <f t="shared" si="241"/>
        <v>0.78327986028250074</v>
      </c>
      <c r="V225" s="136">
        <f t="shared" si="241"/>
        <v>1.0799210239974737</v>
      </c>
      <c r="W225" s="136">
        <f t="shared" si="241"/>
        <v>1.2441621897108941</v>
      </c>
      <c r="X225" s="136">
        <f t="shared" si="241"/>
        <v>1.4267253627459495</v>
      </c>
      <c r="Y225" s="136">
        <f t="shared" si="241"/>
        <v>1.6016492377143454</v>
      </c>
      <c r="Z225" s="136">
        <f t="shared" si="241"/>
        <v>1.7829972818233779</v>
      </c>
      <c r="AA225" s="136">
        <f t="shared" si="241"/>
        <v>1.9870157933952377</v>
      </c>
      <c r="AB225" s="136">
        <f t="shared" si="241"/>
        <v>2.1960968819339595</v>
      </c>
      <c r="AC225" s="136">
        <f t="shared" si="241"/>
        <v>2.4080766204663582</v>
      </c>
      <c r="AD225" s="136">
        <f t="shared" si="241"/>
        <v>2.6319011632939842</v>
      </c>
      <c r="AE225" s="136">
        <f t="shared" si="241"/>
        <v>2.9753108742433754</v>
      </c>
      <c r="AF225" s="136">
        <f t="shared" si="241"/>
        <v>3.3387270194021577</v>
      </c>
      <c r="AG225" s="136">
        <f t="shared" si="241"/>
        <v>3.7153362097416949</v>
      </c>
      <c r="AH225" s="136">
        <f t="shared" si="241"/>
        <v>4.1111525588085147</v>
      </c>
      <c r="AI225" s="136">
        <f t="shared" si="241"/>
        <v>4.5306679592900654</v>
      </c>
      <c r="AJ225" s="136">
        <f t="shared" si="241"/>
        <v>4.963384879062958</v>
      </c>
      <c r="AK225" s="136">
        <f t="shared" si="241"/>
        <v>5.41482787139498</v>
      </c>
      <c r="AL225" s="136">
        <f t="shared" si="241"/>
        <v>5.8876187080142408</v>
      </c>
      <c r="AM225" s="136">
        <f t="shared" si="241"/>
        <v>6.3791206880794338</v>
      </c>
      <c r="AN225" s="136">
        <f t="shared" si="241"/>
        <v>6.8854704245993039</v>
      </c>
      <c r="AO225" s="136">
        <f t="shared" si="241"/>
        <v>7.2328888375037046</v>
      </c>
      <c r="AP225" s="136">
        <f t="shared" si="241"/>
        <v>7.5685769528312923</v>
      </c>
      <c r="AQ225" s="136">
        <f t="shared" si="241"/>
        <v>7.8930195047644087</v>
      </c>
      <c r="AR225" s="136">
        <f t="shared" si="241"/>
        <v>8.2066584664316107</v>
      </c>
      <c r="AS225" s="136">
        <f t="shared" si="241"/>
        <v>8.5098982515074653</v>
      </c>
      <c r="AT225" s="136">
        <f t="shared" si="241"/>
        <v>8.8090308890618996</v>
      </c>
      <c r="AU225" s="136">
        <f t="shared" si="241"/>
        <v>9.0981771938248777</v>
      </c>
      <c r="AV225" s="136">
        <f t="shared" si="241"/>
        <v>9.3776731730370138</v>
      </c>
      <c r="AW225" s="136">
        <f t="shared" si="241"/>
        <v>9.647829386791102</v>
      </c>
      <c r="AX225" s="136">
        <f t="shared" si="241"/>
        <v>9.9089336289395291</v>
      </c>
      <c r="AY225" s="136">
        <f t="shared" si="242"/>
        <v>10.162018210733125</v>
      </c>
      <c r="AZ225" s="136">
        <f t="shared" si="242"/>
        <v>10.406531464191474</v>
      </c>
      <c r="BA225" s="136">
        <f t="shared" si="242"/>
        <v>10.642707768011654</v>
      </c>
      <c r="BB225" s="136">
        <f t="shared" si="242"/>
        <v>10.870766233196132</v>
      </c>
      <c r="BC225" s="136">
        <f t="shared" si="242"/>
        <v>11.090912098138467</v>
      </c>
      <c r="BD225" s="136">
        <f t="shared" si="242"/>
        <v>11.303337962572831</v>
      </c>
      <c r="BE225" s="136">
        <f t="shared" si="242"/>
        <v>11.508224882646285</v>
      </c>
      <c r="BF225" s="136">
        <f t="shared" si="242"/>
        <v>11.705743345821666</v>
      </c>
      <c r="BG225" s="136">
        <f t="shared" si="242"/>
        <v>11.896054141406694</v>
      </c>
      <c r="BH225" s="136">
        <f t="shared" si="242"/>
        <v>12.079309140103804</v>
      </c>
      <c r="BI225" s="136">
        <f t="shared" si="242"/>
        <v>12.147582968085192</v>
      </c>
      <c r="BJ225" s="136">
        <f t="shared" si="242"/>
        <v>12.212726897756118</v>
      </c>
      <c r="BK225" s="136">
        <f t="shared" si="242"/>
        <v>12.274754173942149</v>
      </c>
      <c r="BL225" s="136">
        <f t="shared" si="242"/>
        <v>12.333677781577128</v>
      </c>
      <c r="BM225" s="136">
        <f t="shared" si="242"/>
        <v>12.38951045321976</v>
      </c>
      <c r="BN225" s="136">
        <f t="shared" si="242"/>
        <v>12.442264676286987</v>
      </c>
      <c r="BO225" s="136">
        <f t="shared" si="242"/>
        <v>12.491952700017183</v>
      </c>
      <c r="BP225" s="136">
        <f t="shared" si="242"/>
        <v>12.538586542175556</v>
      </c>
      <c r="BQ225" s="136">
        <f t="shared" si="242"/>
        <v>12.582177995513423</v>
      </c>
      <c r="BR225" s="136">
        <f t="shared" si="242"/>
        <v>12.622738633992434</v>
      </c>
    </row>
    <row r="226" spans="1:70">
      <c r="A226" t="s">
        <v>16</v>
      </c>
      <c r="B226" s="71" t="str">
        <f t="shared" si="240"/>
        <v>CNG</v>
      </c>
      <c r="C226" s="71" t="str">
        <f t="shared" si="240"/>
        <v>Commercial - Public lights</v>
      </c>
      <c r="E226" s="90"/>
      <c r="F226" s="90"/>
      <c r="I226" s="131"/>
      <c r="L226" s="136">
        <f t="shared" si="241"/>
        <v>0</v>
      </c>
      <c r="M226" s="136">
        <f t="shared" si="241"/>
        <v>0</v>
      </c>
      <c r="N226" s="136">
        <f t="shared" si="241"/>
        <v>0</v>
      </c>
      <c r="O226" s="136">
        <f t="shared" si="241"/>
        <v>0</v>
      </c>
      <c r="P226" s="136">
        <f t="shared" si="241"/>
        <v>0</v>
      </c>
      <c r="Q226" s="136">
        <f t="shared" si="241"/>
        <v>0</v>
      </c>
      <c r="R226" s="136">
        <f t="shared" si="241"/>
        <v>0</v>
      </c>
      <c r="S226" s="136">
        <f t="shared" si="241"/>
        <v>0</v>
      </c>
      <c r="T226" s="136">
        <f t="shared" si="241"/>
        <v>0</v>
      </c>
      <c r="U226" s="136">
        <f t="shared" si="241"/>
        <v>0</v>
      </c>
      <c r="V226" s="136">
        <f t="shared" si="241"/>
        <v>0</v>
      </c>
      <c r="W226" s="136">
        <f t="shared" si="241"/>
        <v>0</v>
      </c>
      <c r="X226" s="136">
        <f t="shared" si="241"/>
        <v>0</v>
      </c>
      <c r="Y226" s="136">
        <f t="shared" si="241"/>
        <v>0</v>
      </c>
      <c r="Z226" s="136">
        <f t="shared" si="241"/>
        <v>0</v>
      </c>
      <c r="AA226" s="136">
        <f t="shared" si="241"/>
        <v>0</v>
      </c>
      <c r="AB226" s="136">
        <f t="shared" si="241"/>
        <v>0</v>
      </c>
      <c r="AC226" s="136">
        <f t="shared" si="241"/>
        <v>0</v>
      </c>
      <c r="AD226" s="136">
        <f t="shared" si="241"/>
        <v>0</v>
      </c>
      <c r="AE226" s="136">
        <f t="shared" si="241"/>
        <v>0</v>
      </c>
      <c r="AF226" s="136">
        <f t="shared" si="241"/>
        <v>0</v>
      </c>
      <c r="AG226" s="136">
        <f t="shared" ref="AG226:AX228" si="243">AG192+AG203+AG214</f>
        <v>0</v>
      </c>
      <c r="AH226" s="136">
        <f t="shared" si="243"/>
        <v>0</v>
      </c>
      <c r="AI226" s="136">
        <f t="shared" si="243"/>
        <v>0</v>
      </c>
      <c r="AJ226" s="136">
        <f t="shared" si="243"/>
        <v>0</v>
      </c>
      <c r="AK226" s="136">
        <f t="shared" si="243"/>
        <v>0</v>
      </c>
      <c r="AL226" s="136">
        <f t="shared" si="243"/>
        <v>0</v>
      </c>
      <c r="AM226" s="136">
        <f t="shared" si="243"/>
        <v>0</v>
      </c>
      <c r="AN226" s="136">
        <f t="shared" si="243"/>
        <v>0</v>
      </c>
      <c r="AO226" s="136">
        <f t="shared" si="243"/>
        <v>0</v>
      </c>
      <c r="AP226" s="136">
        <f t="shared" si="243"/>
        <v>0</v>
      </c>
      <c r="AQ226" s="136">
        <f t="shared" si="243"/>
        <v>0</v>
      </c>
      <c r="AR226" s="136">
        <f t="shared" si="243"/>
        <v>0</v>
      </c>
      <c r="AS226" s="136">
        <f t="shared" si="243"/>
        <v>0</v>
      </c>
      <c r="AT226" s="136">
        <f t="shared" si="243"/>
        <v>0</v>
      </c>
      <c r="AU226" s="136">
        <f t="shared" si="243"/>
        <v>0</v>
      </c>
      <c r="AV226" s="136">
        <f t="shared" si="243"/>
        <v>0</v>
      </c>
      <c r="AW226" s="136">
        <f t="shared" si="243"/>
        <v>0</v>
      </c>
      <c r="AX226" s="136">
        <f t="shared" si="243"/>
        <v>0</v>
      </c>
      <c r="AY226" s="136">
        <f t="shared" ref="AY226:BR226" si="244">AY192+AY203+AY214</f>
        <v>0</v>
      </c>
      <c r="AZ226" s="136">
        <f t="shared" si="244"/>
        <v>0</v>
      </c>
      <c r="BA226" s="136">
        <f t="shared" si="244"/>
        <v>0</v>
      </c>
      <c r="BB226" s="136">
        <f t="shared" si="244"/>
        <v>0</v>
      </c>
      <c r="BC226" s="136">
        <f t="shared" si="244"/>
        <v>0</v>
      </c>
      <c r="BD226" s="136">
        <f t="shared" si="244"/>
        <v>0</v>
      </c>
      <c r="BE226" s="136">
        <f t="shared" si="244"/>
        <v>0</v>
      </c>
      <c r="BF226" s="136">
        <f t="shared" si="244"/>
        <v>0</v>
      </c>
      <c r="BG226" s="136">
        <f t="shared" si="244"/>
        <v>0</v>
      </c>
      <c r="BH226" s="136">
        <f t="shared" si="244"/>
        <v>0</v>
      </c>
      <c r="BI226" s="136">
        <f t="shared" si="244"/>
        <v>0</v>
      </c>
      <c r="BJ226" s="136">
        <f t="shared" si="244"/>
        <v>0</v>
      </c>
      <c r="BK226" s="136">
        <f t="shared" si="244"/>
        <v>0</v>
      </c>
      <c r="BL226" s="136">
        <f t="shared" si="244"/>
        <v>0</v>
      </c>
      <c r="BM226" s="136">
        <f t="shared" si="244"/>
        <v>0</v>
      </c>
      <c r="BN226" s="136">
        <f t="shared" si="244"/>
        <v>0</v>
      </c>
      <c r="BO226" s="136">
        <f t="shared" si="244"/>
        <v>0</v>
      </c>
      <c r="BP226" s="136">
        <f t="shared" si="244"/>
        <v>0</v>
      </c>
      <c r="BQ226" s="136">
        <f t="shared" si="244"/>
        <v>0</v>
      </c>
      <c r="BR226" s="136">
        <f t="shared" si="244"/>
        <v>0</v>
      </c>
    </row>
    <row r="227" spans="1:70">
      <c r="A227" t="s">
        <v>16</v>
      </c>
      <c r="B227" s="71" t="str">
        <f t="shared" si="240"/>
        <v>CNT</v>
      </c>
      <c r="C227" s="71" t="str">
        <f t="shared" si="240"/>
        <v>Commercial - Public Water</v>
      </c>
      <c r="E227" s="90"/>
      <c r="F227" s="90"/>
      <c r="I227" s="131"/>
      <c r="L227" s="136">
        <f t="shared" ref="L227:AX228" si="245">L193+L204+L215</f>
        <v>0</v>
      </c>
      <c r="M227" s="136">
        <f t="shared" si="245"/>
        <v>0</v>
      </c>
      <c r="N227" s="136">
        <f t="shared" si="245"/>
        <v>0</v>
      </c>
      <c r="O227" s="136">
        <f t="shared" si="245"/>
        <v>0</v>
      </c>
      <c r="P227" s="136">
        <f t="shared" si="245"/>
        <v>0</v>
      </c>
      <c r="Q227" s="136">
        <f t="shared" si="245"/>
        <v>0</v>
      </c>
      <c r="R227" s="136">
        <f t="shared" si="245"/>
        <v>0</v>
      </c>
      <c r="S227" s="136">
        <f t="shared" si="245"/>
        <v>0</v>
      </c>
      <c r="T227" s="136">
        <f t="shared" si="245"/>
        <v>0</v>
      </c>
      <c r="U227" s="136">
        <f t="shared" si="245"/>
        <v>0</v>
      </c>
      <c r="V227" s="136">
        <f t="shared" si="245"/>
        <v>0</v>
      </c>
      <c r="W227" s="136">
        <f t="shared" si="245"/>
        <v>0</v>
      </c>
      <c r="X227" s="136">
        <f t="shared" si="245"/>
        <v>0</v>
      </c>
      <c r="Y227" s="136">
        <f t="shared" si="245"/>
        <v>0</v>
      </c>
      <c r="Z227" s="136">
        <f t="shared" si="245"/>
        <v>0</v>
      </c>
      <c r="AA227" s="136">
        <f t="shared" si="245"/>
        <v>0</v>
      </c>
      <c r="AB227" s="136">
        <f t="shared" si="245"/>
        <v>0</v>
      </c>
      <c r="AC227" s="136">
        <f t="shared" si="245"/>
        <v>0</v>
      </c>
      <c r="AD227" s="136">
        <f t="shared" si="245"/>
        <v>0</v>
      </c>
      <c r="AE227" s="136">
        <f t="shared" si="245"/>
        <v>0</v>
      </c>
      <c r="AF227" s="136">
        <f t="shared" si="245"/>
        <v>0</v>
      </c>
      <c r="AG227" s="136">
        <f t="shared" si="245"/>
        <v>0</v>
      </c>
      <c r="AH227" s="136">
        <f t="shared" si="245"/>
        <v>0</v>
      </c>
      <c r="AI227" s="136">
        <f t="shared" si="245"/>
        <v>0</v>
      </c>
      <c r="AJ227" s="136">
        <f t="shared" si="245"/>
        <v>0</v>
      </c>
      <c r="AK227" s="136">
        <f t="shared" si="243"/>
        <v>0</v>
      </c>
      <c r="AL227" s="136">
        <f t="shared" si="243"/>
        <v>0</v>
      </c>
      <c r="AM227" s="136">
        <f t="shared" si="243"/>
        <v>0</v>
      </c>
      <c r="AN227" s="136">
        <f t="shared" si="243"/>
        <v>0</v>
      </c>
      <c r="AO227" s="136">
        <f t="shared" si="243"/>
        <v>0</v>
      </c>
      <c r="AP227" s="136">
        <f t="shared" si="243"/>
        <v>0</v>
      </c>
      <c r="AQ227" s="136">
        <f t="shared" si="243"/>
        <v>0</v>
      </c>
      <c r="AR227" s="136">
        <f t="shared" si="243"/>
        <v>0</v>
      </c>
      <c r="AS227" s="136">
        <f t="shared" si="243"/>
        <v>0</v>
      </c>
      <c r="AT227" s="136">
        <f t="shared" si="243"/>
        <v>0</v>
      </c>
      <c r="AU227" s="136">
        <f t="shared" si="245"/>
        <v>0</v>
      </c>
      <c r="AV227" s="136">
        <f t="shared" si="245"/>
        <v>0</v>
      </c>
      <c r="AW227" s="136">
        <f t="shared" si="245"/>
        <v>0</v>
      </c>
      <c r="AX227" s="136">
        <f t="shared" si="245"/>
        <v>0</v>
      </c>
      <c r="AY227" s="136">
        <f t="shared" ref="AY227:BR227" si="246">AY193+AY204+AY215</f>
        <v>0</v>
      </c>
      <c r="AZ227" s="136">
        <f t="shared" si="246"/>
        <v>0</v>
      </c>
      <c r="BA227" s="136">
        <f t="shared" si="246"/>
        <v>0</v>
      </c>
      <c r="BB227" s="136">
        <f t="shared" si="246"/>
        <v>0</v>
      </c>
      <c r="BC227" s="136">
        <f t="shared" si="246"/>
        <v>0</v>
      </c>
      <c r="BD227" s="136">
        <f t="shared" si="246"/>
        <v>0</v>
      </c>
      <c r="BE227" s="136">
        <f t="shared" si="246"/>
        <v>0</v>
      </c>
      <c r="BF227" s="136">
        <f t="shared" si="246"/>
        <v>0</v>
      </c>
      <c r="BG227" s="136">
        <f t="shared" si="246"/>
        <v>0</v>
      </c>
      <c r="BH227" s="136">
        <f t="shared" si="246"/>
        <v>0</v>
      </c>
      <c r="BI227" s="136">
        <f t="shared" si="246"/>
        <v>0</v>
      </c>
      <c r="BJ227" s="136">
        <f t="shared" si="246"/>
        <v>0</v>
      </c>
      <c r="BK227" s="136">
        <f t="shared" si="246"/>
        <v>0</v>
      </c>
      <c r="BL227" s="136">
        <f t="shared" si="246"/>
        <v>0</v>
      </c>
      <c r="BM227" s="136">
        <f t="shared" si="246"/>
        <v>0</v>
      </c>
      <c r="BN227" s="136">
        <f t="shared" si="246"/>
        <v>0</v>
      </c>
      <c r="BO227" s="136">
        <f t="shared" si="246"/>
        <v>0</v>
      </c>
      <c r="BP227" s="136">
        <f t="shared" si="246"/>
        <v>0</v>
      </c>
      <c r="BQ227" s="136">
        <f t="shared" si="246"/>
        <v>0</v>
      </c>
      <c r="BR227" s="136">
        <f t="shared" si="246"/>
        <v>0</v>
      </c>
    </row>
    <row r="228" spans="1:70">
      <c r="A228" t="s">
        <v>16</v>
      </c>
      <c r="B228" s="71" t="str">
        <f t="shared" si="240"/>
        <v>CNO</v>
      </c>
      <c r="C228" s="71" t="str">
        <f t="shared" si="240"/>
        <v>Commercial - Other</v>
      </c>
      <c r="E228" s="90"/>
      <c r="F228" s="90"/>
      <c r="I228" s="131"/>
      <c r="L228" s="136">
        <f t="shared" si="245"/>
        <v>0</v>
      </c>
      <c r="M228" s="136">
        <f t="shared" si="245"/>
        <v>0</v>
      </c>
      <c r="N228" s="136">
        <f t="shared" si="245"/>
        <v>0</v>
      </c>
      <c r="O228" s="136">
        <f t="shared" si="245"/>
        <v>0</v>
      </c>
      <c r="P228" s="136">
        <f t="shared" si="245"/>
        <v>0</v>
      </c>
      <c r="Q228" s="136">
        <f t="shared" si="245"/>
        <v>0</v>
      </c>
      <c r="R228" s="136">
        <f t="shared" si="245"/>
        <v>0.27783625702001274</v>
      </c>
      <c r="S228" s="136">
        <f t="shared" si="245"/>
        <v>0.53527411375538358</v>
      </c>
      <c r="T228" s="136">
        <f t="shared" si="245"/>
        <v>0.69686579866596787</v>
      </c>
      <c r="U228" s="136">
        <f t="shared" si="245"/>
        <v>1.1173280459028756</v>
      </c>
      <c r="V228" s="136">
        <f t="shared" si="245"/>
        <v>1.5662291722212769</v>
      </c>
      <c r="W228" s="136">
        <f t="shared" si="245"/>
        <v>1.8352057299228939</v>
      </c>
      <c r="X228" s="136">
        <f t="shared" si="245"/>
        <v>2.1411296058620501</v>
      </c>
      <c r="Y228" s="136">
        <f t="shared" si="245"/>
        <v>2.4463635266187609</v>
      </c>
      <c r="Z228" s="136">
        <f t="shared" si="245"/>
        <v>2.7727940831509161</v>
      </c>
      <c r="AA228" s="136">
        <f t="shared" si="245"/>
        <v>3.1473894883873554</v>
      </c>
      <c r="AB228" s="136">
        <f t="shared" si="245"/>
        <v>3.5445304028335625</v>
      </c>
      <c r="AC228" s="136">
        <f t="shared" si="245"/>
        <v>3.9620387467098332</v>
      </c>
      <c r="AD228" s="136">
        <f t="shared" si="245"/>
        <v>4.4162148913892567</v>
      </c>
      <c r="AE228" s="136">
        <f t="shared" si="245"/>
        <v>4.8953163977715919</v>
      </c>
      <c r="AF228" s="136">
        <f t="shared" si="245"/>
        <v>5.3887510721344878</v>
      </c>
      <c r="AG228" s="136">
        <f t="shared" si="245"/>
        <v>5.8850111666122782</v>
      </c>
      <c r="AH228" s="136">
        <f t="shared" si="245"/>
        <v>6.3933801841455704</v>
      </c>
      <c r="AI228" s="136">
        <f t="shared" si="245"/>
        <v>6.920154916468821</v>
      </c>
      <c r="AJ228" s="136">
        <f t="shared" si="245"/>
        <v>7.4487007712514313</v>
      </c>
      <c r="AK228" s="136">
        <f t="shared" si="243"/>
        <v>7.9871605312482519</v>
      </c>
      <c r="AL228" s="136">
        <f t="shared" si="243"/>
        <v>8.5389208752261716</v>
      </c>
      <c r="AM228" s="136">
        <f t="shared" si="243"/>
        <v>9.0996472836921214</v>
      </c>
      <c r="AN228" s="136">
        <f t="shared" si="243"/>
        <v>9.6635667617303849</v>
      </c>
      <c r="AO228" s="136">
        <f t="shared" si="243"/>
        <v>10.216994238195921</v>
      </c>
      <c r="AP228" s="136">
        <f t="shared" si="243"/>
        <v>10.761058145455932</v>
      </c>
      <c r="AQ228" s="136">
        <f t="shared" si="243"/>
        <v>11.296281196564047</v>
      </c>
      <c r="AR228" s="136">
        <f t="shared" si="243"/>
        <v>11.823137944977738</v>
      </c>
      <c r="AS228" s="136">
        <f t="shared" si="243"/>
        <v>12.342060759969995</v>
      </c>
      <c r="AT228" s="136">
        <f t="shared" si="243"/>
        <v>12.862089806829326</v>
      </c>
      <c r="AU228" s="136">
        <f t="shared" si="245"/>
        <v>13.374618717025804</v>
      </c>
      <c r="AV228" s="136">
        <f t="shared" si="245"/>
        <v>13.88000436321682</v>
      </c>
      <c r="AW228" s="136">
        <f t="shared" si="245"/>
        <v>14.378575200048239</v>
      </c>
      <c r="AX228" s="136">
        <f t="shared" si="245"/>
        <v>14.870634327696049</v>
      </c>
      <c r="AY228" s="136">
        <f t="shared" ref="AY228:BR228" si="247">AY194+AY205+AY216</f>
        <v>15.357618206937625</v>
      </c>
      <c r="AZ228" s="136">
        <f t="shared" si="247"/>
        <v>15.83859290350618</v>
      </c>
      <c r="BA228" s="136">
        <f t="shared" si="247"/>
        <v>16.313802445597954</v>
      </c>
      <c r="BB228" s="136">
        <f t="shared" si="247"/>
        <v>16.783474027254254</v>
      </c>
      <c r="BC228" s="136">
        <f t="shared" si="247"/>
        <v>17.24781958782123</v>
      </c>
      <c r="BD228" s="136">
        <f t="shared" si="247"/>
        <v>17.707037206176654</v>
      </c>
      <c r="BE228" s="136">
        <f t="shared" si="247"/>
        <v>18.161312335566187</v>
      </c>
      <c r="BF228" s="136">
        <f t="shared" si="247"/>
        <v>18.610818900739872</v>
      </c>
      <c r="BG228" s="136">
        <f t="shared" si="247"/>
        <v>19.055720275678841</v>
      </c>
      <c r="BH228" s="136">
        <f t="shared" si="247"/>
        <v>19.496170157401476</v>
      </c>
      <c r="BI228" s="136">
        <f t="shared" si="247"/>
        <v>19.756552345963634</v>
      </c>
      <c r="BJ228" s="136">
        <f t="shared" si="247"/>
        <v>20.016023356583599</v>
      </c>
      <c r="BK228" s="136">
        <f t="shared" si="247"/>
        <v>20.274591947896035</v>
      </c>
      <c r="BL228" s="136">
        <f t="shared" si="247"/>
        <v>20.53226668761296</v>
      </c>
      <c r="BM228" s="136">
        <f t="shared" si="247"/>
        <v>20.789055958337428</v>
      </c>
      <c r="BN228" s="136">
        <f t="shared" si="247"/>
        <v>21.044967963151343</v>
      </c>
      <c r="BO228" s="136">
        <f t="shared" si="247"/>
        <v>21.300010730988028</v>
      </c>
      <c r="BP228" s="136">
        <f t="shared" si="247"/>
        <v>21.554192121799623</v>
      </c>
      <c r="BQ228" s="136">
        <f t="shared" si="247"/>
        <v>21.807519831528737</v>
      </c>
      <c r="BR228" s="136">
        <f t="shared" si="247"/>
        <v>22.060001396893494</v>
      </c>
    </row>
    <row r="229" spans="1:70" ht="15.7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75" thickBot="1">
      <c r="A231" t="s">
        <v>16</v>
      </c>
      <c r="B231" s="69" t="s">
        <v>482</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c r="A233" t="s">
        <v>16</v>
      </c>
      <c r="B233" s="71" t="str">
        <f t="shared" ref="B233:C241" si="248">B162</f>
        <v>CEC</v>
      </c>
      <c r="C233" s="71" t="str">
        <f t="shared" si="248"/>
        <v>Commercial - Cooling</v>
      </c>
      <c r="E233" s="90"/>
      <c r="F233" s="90"/>
      <c r="I233" s="131"/>
      <c r="L233" s="78">
        <f t="shared" ref="L233:AX239" si="249">L162+L174+L151</f>
        <v>139.66439435388401</v>
      </c>
      <c r="M233" s="78">
        <f t="shared" si="249"/>
        <v>137.45465286071149</v>
      </c>
      <c r="N233" s="78">
        <f t="shared" si="249"/>
        <v>135.58181469226156</v>
      </c>
      <c r="O233" s="78">
        <f t="shared" si="249"/>
        <v>133.436204088712</v>
      </c>
      <c r="P233" s="78">
        <f t="shared" si="249"/>
        <v>131.16029709988757</v>
      </c>
      <c r="Q233" s="78">
        <f t="shared" si="249"/>
        <v>128.41271933541799</v>
      </c>
      <c r="R233" s="78">
        <f t="shared" si="249"/>
        <v>127.5701706714746</v>
      </c>
      <c r="S233" s="78">
        <f t="shared" si="249"/>
        <v>126.6952018486339</v>
      </c>
      <c r="T233" s="78">
        <f t="shared" si="249"/>
        <v>125.66790009395055</v>
      </c>
      <c r="U233" s="78">
        <f t="shared" si="249"/>
        <v>125.82446386913696</v>
      </c>
      <c r="V233" s="78">
        <f t="shared" si="249"/>
        <v>126.00915323428573</v>
      </c>
      <c r="W233" s="78">
        <f t="shared" si="249"/>
        <v>125.89137541830218</v>
      </c>
      <c r="X233" s="78">
        <f t="shared" si="249"/>
        <v>125.81546453342236</v>
      </c>
      <c r="Y233" s="78">
        <f t="shared" si="249"/>
        <v>125.72168080325004</v>
      </c>
      <c r="Z233" s="78">
        <f t="shared" si="249"/>
        <v>125.64466840765294</v>
      </c>
      <c r="AA233" s="78">
        <f t="shared" si="249"/>
        <v>125.62701535893945</v>
      </c>
      <c r="AB233" s="78">
        <f t="shared" si="249"/>
        <v>125.62806322903805</v>
      </c>
      <c r="AC233" s="78">
        <f t="shared" si="249"/>
        <v>125.64429383956727</v>
      </c>
      <c r="AD233" s="78">
        <f t="shared" si="249"/>
        <v>125.70136804325334</v>
      </c>
      <c r="AE233" s="78">
        <f t="shared" si="249"/>
        <v>125.01308959182597</v>
      </c>
      <c r="AF233" s="78">
        <f t="shared" si="249"/>
        <v>124.34261585385154</v>
      </c>
      <c r="AG233" s="78">
        <f t="shared" si="249"/>
        <v>123.67175737287899</v>
      </c>
      <c r="AH233" s="78">
        <f t="shared" si="249"/>
        <v>123.0149180210058</v>
      </c>
      <c r="AI233" s="78">
        <f t="shared" si="249"/>
        <v>122.38165247203102</v>
      </c>
      <c r="AJ233" s="78">
        <f t="shared" si="249"/>
        <v>121.74600585639419</v>
      </c>
      <c r="AK233" s="78">
        <f t="shared" si="249"/>
        <v>121.12048210751405</v>
      </c>
      <c r="AL233" s="78">
        <f t="shared" si="249"/>
        <v>120.51011280734417</v>
      </c>
      <c r="AM233" s="78">
        <f t="shared" si="249"/>
        <v>119.90808338340645</v>
      </c>
      <c r="AN233" s="78">
        <f t="shared" si="249"/>
        <v>119.30550109179261</v>
      </c>
      <c r="AO233" s="78">
        <f t="shared" si="249"/>
        <v>118.79640861672519</v>
      </c>
      <c r="AP233" s="78">
        <f t="shared" si="249"/>
        <v>118.27416429272073</v>
      </c>
      <c r="AQ233" s="78">
        <f t="shared" si="249"/>
        <v>117.73953796827408</v>
      </c>
      <c r="AR233" s="78">
        <f t="shared" si="249"/>
        <v>117.19322816455762</v>
      </c>
      <c r="AS233" s="78">
        <f t="shared" si="249"/>
        <v>116.63587094717191</v>
      </c>
      <c r="AT233" s="78">
        <f t="shared" si="249"/>
        <v>116.0812190157594</v>
      </c>
      <c r="AU233" s="78">
        <f t="shared" si="249"/>
        <v>115.51615634896024</v>
      </c>
      <c r="AV233" s="78">
        <f t="shared" si="249"/>
        <v>114.94120748501791</v>
      </c>
      <c r="AW233" s="78">
        <f t="shared" si="249"/>
        <v>114.35685491836321</v>
      </c>
      <c r="AX233" s="78">
        <f t="shared" si="249"/>
        <v>113.76354364512946</v>
      </c>
      <c r="AY233" s="78">
        <f t="shared" ref="AY233:BR238" si="250">AY162+AY174+AY151</f>
        <v>113.16345211883066</v>
      </c>
      <c r="AZ233" s="78">
        <f t="shared" si="250"/>
        <v>112.55513893716218</v>
      </c>
      <c r="BA233" s="78">
        <f t="shared" si="250"/>
        <v>111.93896180930952</v>
      </c>
      <c r="BB233" s="78">
        <f t="shared" si="250"/>
        <v>111.31525357924684</v>
      </c>
      <c r="BC233" s="78">
        <f t="shared" si="250"/>
        <v>110.68432456654853</v>
      </c>
      <c r="BD233" s="78">
        <f t="shared" si="250"/>
        <v>110.04646463216115</v>
      </c>
      <c r="BE233" s="78">
        <f t="shared" si="250"/>
        <v>109.40194500755318</v>
      </c>
      <c r="BF233" s="78">
        <f t="shared" si="250"/>
        <v>108.75101991948401</v>
      </c>
      <c r="BG233" s="78">
        <f t="shared" si="250"/>
        <v>108.09392803757369</v>
      </c>
      <c r="BH233" s="78">
        <f t="shared" si="250"/>
        <v>107.430893767689</v>
      </c>
      <c r="BI233" s="78">
        <f t="shared" si="250"/>
        <v>106.49175544846108</v>
      </c>
      <c r="BJ233" s="78">
        <f t="shared" si="250"/>
        <v>105.55175414208965</v>
      </c>
      <c r="BK233" s="78">
        <f t="shared" si="250"/>
        <v>104.61090167438951</v>
      </c>
      <c r="BL233" s="78">
        <f t="shared" si="250"/>
        <v>103.66920960735186</v>
      </c>
      <c r="BM233" s="78">
        <f t="shared" si="250"/>
        <v>102.72668924726099</v>
      </c>
      <c r="BN233" s="78">
        <f t="shared" si="250"/>
        <v>101.78335165249396</v>
      </c>
      <c r="BO233" s="78">
        <f t="shared" si="250"/>
        <v>100.83920764101809</v>
      </c>
      <c r="BP233" s="78">
        <f t="shared" si="250"/>
        <v>99.894267797600207</v>
      </c>
      <c r="BQ233" s="78">
        <f t="shared" si="250"/>
        <v>98.948542480741509</v>
      </c>
      <c r="BR233" s="78">
        <f t="shared" si="250"/>
        <v>98.002041829350077</v>
      </c>
    </row>
    <row r="234" spans="1:70">
      <c r="A234" t="s">
        <v>16</v>
      </c>
      <c r="B234" s="71" t="str">
        <f t="shared" si="248"/>
        <v>CEH</v>
      </c>
      <c r="C234" s="71" t="str">
        <f t="shared" si="248"/>
        <v>Commercial - Space Heating</v>
      </c>
      <c r="E234" s="90"/>
      <c r="F234" s="90"/>
      <c r="I234" s="131"/>
      <c r="L234" s="78">
        <f t="shared" si="249"/>
        <v>7.8517549075019</v>
      </c>
      <c r="M234" s="78">
        <f t="shared" si="249"/>
        <v>8.6464867087259769</v>
      </c>
      <c r="N234" s="78">
        <f t="shared" si="249"/>
        <v>9.4819790623114137</v>
      </c>
      <c r="O234" s="78">
        <f t="shared" si="249"/>
        <v>10.319932556631571</v>
      </c>
      <c r="P234" s="78">
        <f t="shared" si="249"/>
        <v>11.168015722760602</v>
      </c>
      <c r="Q234" s="78">
        <f t="shared" si="249"/>
        <v>11.992907577983001</v>
      </c>
      <c r="R234" s="78">
        <f t="shared" si="249"/>
        <v>11.914219046901959</v>
      </c>
      <c r="S234" s="78">
        <f t="shared" si="249"/>
        <v>11.832502685156392</v>
      </c>
      <c r="T234" s="78">
        <f t="shared" si="249"/>
        <v>11.736559424532528</v>
      </c>
      <c r="U234" s="78">
        <f t="shared" si="249"/>
        <v>11.500387876034136</v>
      </c>
      <c r="V234" s="78">
        <f t="shared" si="249"/>
        <v>11.272067939827416</v>
      </c>
      <c r="W234" s="78">
        <f t="shared" si="249"/>
        <v>11.020724414684583</v>
      </c>
      <c r="X234" s="78">
        <f t="shared" si="249"/>
        <v>10.778515853164649</v>
      </c>
      <c r="Y234" s="78">
        <f t="shared" si="249"/>
        <v>10.539862951124253</v>
      </c>
      <c r="Z234" s="78">
        <f t="shared" si="249"/>
        <v>10.308001248231252</v>
      </c>
      <c r="AA234" s="78">
        <f t="shared" si="249"/>
        <v>10.086908186114391</v>
      </c>
      <c r="AB234" s="78">
        <f t="shared" si="249"/>
        <v>9.8727865336843283</v>
      </c>
      <c r="AC234" s="78">
        <f t="shared" si="249"/>
        <v>9.6653077161052465</v>
      </c>
      <c r="AD234" s="78">
        <f t="shared" si="249"/>
        <v>9.466868289082143</v>
      </c>
      <c r="AE234" s="78">
        <f t="shared" si="249"/>
        <v>9.428711917513084</v>
      </c>
      <c r="AF234" s="78">
        <f t="shared" si="249"/>
        <v>9.3922183896560654</v>
      </c>
      <c r="AG234" s="78">
        <f t="shared" si="249"/>
        <v>9.3556889293210066</v>
      </c>
      <c r="AH234" s="78">
        <f t="shared" si="249"/>
        <v>9.3204687638944481</v>
      </c>
      <c r="AI234" s="78">
        <f t="shared" si="249"/>
        <v>9.2874502373778487</v>
      </c>
      <c r="AJ234" s="78">
        <f t="shared" si="249"/>
        <v>9.2542093348181034</v>
      </c>
      <c r="AK234" s="78">
        <f t="shared" si="249"/>
        <v>9.2219138417634721</v>
      </c>
      <c r="AL234" s="78">
        <f t="shared" si="249"/>
        <v>9.1910336750388062</v>
      </c>
      <c r="AM234" s="78">
        <f t="shared" si="249"/>
        <v>9.1609323981731912</v>
      </c>
      <c r="AN234" s="78">
        <f t="shared" si="249"/>
        <v>9.1307794870849168</v>
      </c>
      <c r="AO234" s="78">
        <f t="shared" si="249"/>
        <v>9.1093579130100384</v>
      </c>
      <c r="AP234" s="78">
        <f t="shared" si="249"/>
        <v>9.086708042317829</v>
      </c>
      <c r="AQ234" s="78">
        <f t="shared" si="249"/>
        <v>9.0629017738193767</v>
      </c>
      <c r="AR234" s="78">
        <f t="shared" si="249"/>
        <v>9.0380043448206422</v>
      </c>
      <c r="AS234" s="78">
        <f t="shared" si="249"/>
        <v>9.0120751596859385</v>
      </c>
      <c r="AT234" s="78">
        <f t="shared" si="249"/>
        <v>8.9863986305561578</v>
      </c>
      <c r="AU234" s="78">
        <f t="shared" si="249"/>
        <v>8.9597498068752053</v>
      </c>
      <c r="AV234" s="78">
        <f t="shared" si="249"/>
        <v>8.9321776770821373</v>
      </c>
      <c r="AW234" s="78">
        <f t="shared" si="249"/>
        <v>8.9037273029990658</v>
      </c>
      <c r="AX234" s="78">
        <f t="shared" si="249"/>
        <v>8.8744402443525257</v>
      </c>
      <c r="AY234" s="78">
        <f t="shared" si="250"/>
        <v>8.8445199544436548</v>
      </c>
      <c r="AZ234" s="78">
        <f t="shared" si="250"/>
        <v>8.8138318157305715</v>
      </c>
      <c r="BA234" s="78">
        <f t="shared" si="250"/>
        <v>8.7824092359101549</v>
      </c>
      <c r="BB234" s="78">
        <f t="shared" si="250"/>
        <v>8.7502833004312564</v>
      </c>
      <c r="BC234" s="78">
        <f t="shared" si="250"/>
        <v>8.7174829911112166</v>
      </c>
      <c r="BD234" s="78">
        <f t="shared" si="250"/>
        <v>8.6840353790654241</v>
      </c>
      <c r="BE234" s="78">
        <f t="shared" si="250"/>
        <v>8.6499657955379359</v>
      </c>
      <c r="BF234" s="78">
        <f t="shared" si="250"/>
        <v>8.6152979836442718</v>
      </c>
      <c r="BG234" s="78">
        <f t="shared" si="250"/>
        <v>8.5800542335649492</v>
      </c>
      <c r="BH234" s="78">
        <f t="shared" si="250"/>
        <v>8.5442555033392829</v>
      </c>
      <c r="BI234" s="78">
        <f t="shared" si="250"/>
        <v>8.4826704618913524</v>
      </c>
      <c r="BJ234" s="78">
        <f t="shared" si="250"/>
        <v>8.4210048230921135</v>
      </c>
      <c r="BK234" s="78">
        <f t="shared" si="250"/>
        <v>8.3592596913952715</v>
      </c>
      <c r="BL234" s="78">
        <f t="shared" si="250"/>
        <v>8.2974361466151336</v>
      </c>
      <c r="BM234" s="78">
        <f t="shared" si="250"/>
        <v>8.2355352446846553</v>
      </c>
      <c r="BN234" s="78">
        <f t="shared" si="250"/>
        <v>8.1735580183838934</v>
      </c>
      <c r="BO234" s="78">
        <f t="shared" si="250"/>
        <v>8.111505478040181</v>
      </c>
      <c r="BP234" s="78">
        <f t="shared" si="250"/>
        <v>8.0493786122014779</v>
      </c>
      <c r="BQ234" s="78">
        <f t="shared" si="250"/>
        <v>7.9871783882839988</v>
      </c>
      <c r="BR234" s="78">
        <f t="shared" si="250"/>
        <v>7.9249057531954072</v>
      </c>
    </row>
    <row r="235" spans="1:70">
      <c r="A235" t="s">
        <v>16</v>
      </c>
      <c r="B235" s="71" t="str">
        <f t="shared" si="248"/>
        <v>CEK</v>
      </c>
      <c r="C235" s="71" t="str">
        <f t="shared" si="248"/>
        <v>Commercial - Cooking</v>
      </c>
      <c r="E235" s="90"/>
      <c r="F235" s="90"/>
      <c r="I235" s="131"/>
      <c r="L235" s="78">
        <f t="shared" si="249"/>
        <v>9.8944997565297594</v>
      </c>
      <c r="M235" s="78">
        <f t="shared" si="249"/>
        <v>9.7120807580170059</v>
      </c>
      <c r="N235" s="78">
        <f t="shared" si="249"/>
        <v>9.5529153405684184</v>
      </c>
      <c r="O235" s="78">
        <f t="shared" si="249"/>
        <v>9.3739244191123756</v>
      </c>
      <c r="P235" s="78">
        <f t="shared" si="249"/>
        <v>9.1852112925639382</v>
      </c>
      <c r="Q235" s="78">
        <f t="shared" si="249"/>
        <v>8.9629891158025892</v>
      </c>
      <c r="R235" s="78">
        <f t="shared" si="249"/>
        <v>8.904180653965307</v>
      </c>
      <c r="S235" s="78">
        <f t="shared" si="249"/>
        <v>8.8431093202502762</v>
      </c>
      <c r="T235" s="78">
        <f t="shared" si="249"/>
        <v>8.7714054073238561</v>
      </c>
      <c r="U235" s="78">
        <f t="shared" si="249"/>
        <v>8.7935448819082325</v>
      </c>
      <c r="V235" s="78">
        <f t="shared" si="249"/>
        <v>8.8176454118838201</v>
      </c>
      <c r="W235" s="78">
        <f t="shared" si="249"/>
        <v>8.8204978911741261</v>
      </c>
      <c r="X235" s="78">
        <f t="shared" si="249"/>
        <v>8.8262190109426086</v>
      </c>
      <c r="Y235" s="78">
        <f t="shared" si="249"/>
        <v>8.8306204114840892</v>
      </c>
      <c r="Z235" s="78">
        <f t="shared" si="249"/>
        <v>8.8361535143086876</v>
      </c>
      <c r="AA235" s="78">
        <f t="shared" si="249"/>
        <v>8.8458554953275126</v>
      </c>
      <c r="AB235" s="78">
        <f t="shared" si="249"/>
        <v>8.8568744009383096</v>
      </c>
      <c r="AC235" s="78">
        <f t="shared" si="249"/>
        <v>8.8689779852133181</v>
      </c>
      <c r="AD235" s="78">
        <f t="shared" si="249"/>
        <v>8.8840153899122463</v>
      </c>
      <c r="AE235" s="78">
        <f t="shared" si="249"/>
        <v>8.8407393145402651</v>
      </c>
      <c r="AF235" s="78">
        <f t="shared" si="249"/>
        <v>8.7989032181143187</v>
      </c>
      <c r="AG235" s="78">
        <f t="shared" si="249"/>
        <v>8.7572092657389469</v>
      </c>
      <c r="AH235" s="78">
        <f t="shared" si="249"/>
        <v>8.71669651287535</v>
      </c>
      <c r="AI235" s="78">
        <f t="shared" si="249"/>
        <v>8.6780634051180989</v>
      </c>
      <c r="AJ235" s="78">
        <f t="shared" si="249"/>
        <v>8.6394438448652107</v>
      </c>
      <c r="AK235" s="78">
        <f t="shared" si="249"/>
        <v>8.6017453909452914</v>
      </c>
      <c r="AL235" s="78">
        <f t="shared" si="249"/>
        <v>8.5653405429092011</v>
      </c>
      <c r="AM235" s="78">
        <f t="shared" si="249"/>
        <v>8.5297415350597117</v>
      </c>
      <c r="AN235" s="78">
        <f t="shared" si="249"/>
        <v>8.4943041171782756</v>
      </c>
      <c r="AO235" s="78">
        <f t="shared" si="249"/>
        <v>8.4600232808963263</v>
      </c>
      <c r="AP235" s="78">
        <f t="shared" si="249"/>
        <v>8.4247812125122881</v>
      </c>
      <c r="AQ235" s="78">
        <f t="shared" si="249"/>
        <v>8.3886341781139606</v>
      </c>
      <c r="AR235" s="78">
        <f t="shared" si="249"/>
        <v>8.3516332306732899</v>
      </c>
      <c r="AS235" s="78">
        <f t="shared" si="249"/>
        <v>8.313824858457993</v>
      </c>
      <c r="AT235" s="78">
        <f t="shared" si="249"/>
        <v>8.2762142080790113</v>
      </c>
      <c r="AU235" s="78">
        <f t="shared" si="249"/>
        <v>8.2378426659723374</v>
      </c>
      <c r="AV235" s="78">
        <f t="shared" si="249"/>
        <v>8.1987485691809923</v>
      </c>
      <c r="AW235" s="78">
        <f t="shared" si="249"/>
        <v>8.1589671818825149</v>
      </c>
      <c r="AX235" s="78">
        <f t="shared" si="249"/>
        <v>8.1185310276080642</v>
      </c>
      <c r="AY235" s="78">
        <f t="shared" si="250"/>
        <v>8.0775993234730894</v>
      </c>
      <c r="AZ235" s="78">
        <f t="shared" si="250"/>
        <v>8.0360667213874528</v>
      </c>
      <c r="BA235" s="78">
        <f t="shared" si="250"/>
        <v>7.9939593653217855</v>
      </c>
      <c r="BB235" s="78">
        <f t="shared" si="250"/>
        <v>7.9513015819174946</v>
      </c>
      <c r="BC235" s="78">
        <f t="shared" si="250"/>
        <v>7.9081160515701843</v>
      </c>
      <c r="BD235" s="78">
        <f t="shared" si="250"/>
        <v>7.8644239594111882</v>
      </c>
      <c r="BE235" s="78">
        <f t="shared" si="250"/>
        <v>7.8202451289950314</v>
      </c>
      <c r="BF235" s="78">
        <f t="shared" si="250"/>
        <v>7.775598141049306</v>
      </c>
      <c r="BG235" s="78">
        <f t="shared" si="250"/>
        <v>7.7305004392734977</v>
      </c>
      <c r="BH235" s="78">
        <f t="shared" si="250"/>
        <v>7.6849684248689956</v>
      </c>
      <c r="BI235" s="78">
        <f t="shared" si="250"/>
        <v>7.6192567325335805</v>
      </c>
      <c r="BJ235" s="78">
        <f t="shared" si="250"/>
        <v>7.5534819668652826</v>
      </c>
      <c r="BK235" s="78">
        <f t="shared" si="250"/>
        <v>7.487644992180055</v>
      </c>
      <c r="BL235" s="78">
        <f t="shared" si="250"/>
        <v>7.4217466535117094</v>
      </c>
      <c r="BM235" s="78">
        <f t="shared" si="250"/>
        <v>7.3557877772051574</v>
      </c>
      <c r="BN235" s="78">
        <f t="shared" si="250"/>
        <v>7.2897691714864603</v>
      </c>
      <c r="BO235" s="78">
        <f t="shared" si="250"/>
        <v>7.2236916270107905</v>
      </c>
      <c r="BP235" s="78">
        <f t="shared" si="250"/>
        <v>7.1575559173893559</v>
      </c>
      <c r="BQ235" s="78">
        <f t="shared" si="250"/>
        <v>7.0913627996962294</v>
      </c>
      <c r="BR235" s="78">
        <f t="shared" si="250"/>
        <v>7.0251130149560366</v>
      </c>
    </row>
    <row r="236" spans="1:70">
      <c r="A236" t="s">
        <v>16</v>
      </c>
      <c r="B236" s="71" t="str">
        <f t="shared" si="248"/>
        <v>CEL</v>
      </c>
      <c r="C236" s="71" t="str">
        <f t="shared" si="248"/>
        <v>Commercial - Lighting</v>
      </c>
      <c r="E236" s="90"/>
      <c r="F236" s="90"/>
      <c r="I236" s="131"/>
      <c r="L236" s="78">
        <f t="shared" si="249"/>
        <v>121.540271905689</v>
      </c>
      <c r="M236" s="78">
        <f t="shared" si="249"/>
        <v>119.61728657242662</v>
      </c>
      <c r="N236" s="78">
        <f t="shared" si="249"/>
        <v>117.98748492339635</v>
      </c>
      <c r="O236" s="78">
        <f t="shared" si="249"/>
        <v>116.12030827207035</v>
      </c>
      <c r="P236" s="78">
        <f t="shared" si="249"/>
        <v>114.13974367983143</v>
      </c>
      <c r="Q236" s="78">
        <f t="shared" si="249"/>
        <v>111.748716602955</v>
      </c>
      <c r="R236" s="78">
        <f t="shared" si="249"/>
        <v>111.01550471897272</v>
      </c>
      <c r="S236" s="78">
        <f t="shared" si="249"/>
        <v>110.25407981086335</v>
      </c>
      <c r="T236" s="78">
        <f t="shared" si="249"/>
        <v>109.3600900780397</v>
      </c>
      <c r="U236" s="78">
        <f t="shared" si="249"/>
        <v>109.53659298188387</v>
      </c>
      <c r="V236" s="78">
        <f t="shared" si="249"/>
        <v>109.7389779822324</v>
      </c>
      <c r="W236" s="78">
        <f t="shared" si="249"/>
        <v>109.67825076447929</v>
      </c>
      <c r="X236" s="78">
        <f t="shared" si="249"/>
        <v>109.65486401846589</v>
      </c>
      <c r="Y236" s="78">
        <f t="shared" si="249"/>
        <v>109.61664973429598</v>
      </c>
      <c r="Z236" s="78">
        <f t="shared" si="249"/>
        <v>109.59407942626771</v>
      </c>
      <c r="AA236" s="78">
        <f t="shared" si="249"/>
        <v>109.62484098646863</v>
      </c>
      <c r="AB236" s="78">
        <f t="shared" si="249"/>
        <v>109.67341580780275</v>
      </c>
      <c r="AC236" s="78">
        <f t="shared" si="249"/>
        <v>109.73687139933122</v>
      </c>
      <c r="AD236" s="78">
        <f t="shared" si="249"/>
        <v>109.83810162605411</v>
      </c>
      <c r="AE236" s="78">
        <f t="shared" si="249"/>
        <v>109.29247520835742</v>
      </c>
      <c r="AF236" s="78">
        <f t="shared" si="249"/>
        <v>108.76425567580075</v>
      </c>
      <c r="AG236" s="78">
        <f t="shared" si="249"/>
        <v>108.23734013550227</v>
      </c>
      <c r="AH236" s="78">
        <f t="shared" si="249"/>
        <v>107.72458997715641</v>
      </c>
      <c r="AI236" s="78">
        <f t="shared" si="249"/>
        <v>107.23462587669248</v>
      </c>
      <c r="AJ236" s="78">
        <f t="shared" si="249"/>
        <v>106.74433268700982</v>
      </c>
      <c r="AK236" s="78">
        <f t="shared" si="249"/>
        <v>106.26492923305878</v>
      </c>
      <c r="AL236" s="78">
        <f t="shared" si="249"/>
        <v>105.80100073863208</v>
      </c>
      <c r="AM236" s="78">
        <f t="shared" si="249"/>
        <v>105.34649942102544</v>
      </c>
      <c r="AN236" s="78">
        <f t="shared" si="249"/>
        <v>104.89345815339864</v>
      </c>
      <c r="AO236" s="78">
        <f t="shared" si="249"/>
        <v>104.46971195421088</v>
      </c>
      <c r="AP236" s="78">
        <f t="shared" si="249"/>
        <v>104.03410115406749</v>
      </c>
      <c r="AQ236" s="78">
        <f t="shared" si="249"/>
        <v>103.58732025191169</v>
      </c>
      <c r="AR236" s="78">
        <f t="shared" si="249"/>
        <v>103.12999940058427</v>
      </c>
      <c r="AS236" s="78">
        <f t="shared" si="249"/>
        <v>102.66271241024442</v>
      </c>
      <c r="AT236" s="78">
        <f t="shared" si="249"/>
        <v>102.1978659237985</v>
      </c>
      <c r="AU236" s="78">
        <f t="shared" si="249"/>
        <v>101.72362766121456</v>
      </c>
      <c r="AV236" s="78">
        <f t="shared" si="249"/>
        <v>101.24047082112621</v>
      </c>
      <c r="AW236" s="78">
        <f t="shared" si="249"/>
        <v>100.74883067342674</v>
      </c>
      <c r="AX236" s="78">
        <f t="shared" si="249"/>
        <v>100.24910865988869</v>
      </c>
      <c r="AY236" s="78">
        <f t="shared" si="250"/>
        <v>99.743270016104972</v>
      </c>
      <c r="AZ236" s="78">
        <f t="shared" si="250"/>
        <v>99.230014418201506</v>
      </c>
      <c r="BA236" s="78">
        <f t="shared" si="250"/>
        <v>98.709664564284452</v>
      </c>
      <c r="BB236" s="78">
        <f t="shared" si="250"/>
        <v>98.182520720951487</v>
      </c>
      <c r="BC236" s="78">
        <f t="shared" si="250"/>
        <v>97.648862834994645</v>
      </c>
      <c r="BD236" s="78">
        <f t="shared" si="250"/>
        <v>97.108952396983057</v>
      </c>
      <c r="BE236" s="78">
        <f t="shared" si="250"/>
        <v>96.563034091383116</v>
      </c>
      <c r="BF236" s="78">
        <f t="shared" si="250"/>
        <v>96.011337262302078</v>
      </c>
      <c r="BG236" s="78">
        <f t="shared" si="250"/>
        <v>95.454077219375534</v>
      </c>
      <c r="BH236" s="78">
        <f t="shared" si="250"/>
        <v>94.891456404562319</v>
      </c>
      <c r="BI236" s="78">
        <f t="shared" si="250"/>
        <v>94.079755450267299</v>
      </c>
      <c r="BJ236" s="78">
        <f t="shared" si="250"/>
        <v>93.267275974401912</v>
      </c>
      <c r="BK236" s="78">
        <f t="shared" si="250"/>
        <v>92.45402864531971</v>
      </c>
      <c r="BL236" s="78">
        <f t="shared" si="250"/>
        <v>91.640023893372472</v>
      </c>
      <c r="BM236" s="78">
        <f t="shared" si="250"/>
        <v>90.825271918232644</v>
      </c>
      <c r="BN236" s="78">
        <f t="shared" si="250"/>
        <v>90.009782695929658</v>
      </c>
      <c r="BO236" s="78">
        <f t="shared" si="250"/>
        <v>89.193565985613347</v>
      </c>
      <c r="BP236" s="78">
        <f t="shared" si="250"/>
        <v>88.376631336057869</v>
      </c>
      <c r="BQ236" s="78">
        <f t="shared" si="250"/>
        <v>87.558988091917612</v>
      </c>
      <c r="BR236" s="78">
        <f t="shared" si="250"/>
        <v>86.740645399746768</v>
      </c>
    </row>
    <row r="237" spans="1:70">
      <c r="A237" t="s">
        <v>16</v>
      </c>
      <c r="B237" s="71" t="str">
        <f t="shared" si="248"/>
        <v>CER</v>
      </c>
      <c r="C237" s="71" t="str">
        <f t="shared" si="248"/>
        <v>Commercial - Refrigeration</v>
      </c>
      <c r="E237" s="90"/>
      <c r="F237" s="90"/>
      <c r="I237" s="131"/>
      <c r="L237" s="78">
        <f t="shared" si="249"/>
        <v>29.566390373747101</v>
      </c>
      <c r="M237" s="78">
        <f t="shared" si="249"/>
        <v>29.098596990082953</v>
      </c>
      <c r="N237" s="78">
        <f t="shared" si="249"/>
        <v>28.702124684801319</v>
      </c>
      <c r="O237" s="78">
        <f t="shared" si="249"/>
        <v>28.247907552452908</v>
      </c>
      <c r="P237" s="78">
        <f t="shared" si="249"/>
        <v>27.766107199562512</v>
      </c>
      <c r="Q237" s="78">
        <f t="shared" si="249"/>
        <v>27.184456041138404</v>
      </c>
      <c r="R237" s="78">
        <f t="shared" si="249"/>
        <v>27.006091878802874</v>
      </c>
      <c r="S237" s="78">
        <f t="shared" si="249"/>
        <v>26.82086449926463</v>
      </c>
      <c r="T237" s="78">
        <f t="shared" si="249"/>
        <v>26.603388850935517</v>
      </c>
      <c r="U237" s="78">
        <f t="shared" si="249"/>
        <v>26.649123652353893</v>
      </c>
      <c r="V237" s="78">
        <f t="shared" si="249"/>
        <v>26.701252386101512</v>
      </c>
      <c r="W237" s="78">
        <f t="shared" si="249"/>
        <v>26.689382584248435</v>
      </c>
      <c r="X237" s="78">
        <f t="shared" si="249"/>
        <v>26.686659390933571</v>
      </c>
      <c r="Y237" s="78">
        <f t="shared" si="249"/>
        <v>26.68037964666193</v>
      </c>
      <c r="Z237" s="78">
        <f t="shared" si="249"/>
        <v>26.677978433571738</v>
      </c>
      <c r="AA237" s="78">
        <f t="shared" si="249"/>
        <v>26.688667407950661</v>
      </c>
      <c r="AB237" s="78">
        <f t="shared" si="249"/>
        <v>26.70379668678197</v>
      </c>
      <c r="AC237" s="78">
        <f t="shared" si="249"/>
        <v>26.722661875679783</v>
      </c>
      <c r="AD237" s="78">
        <f t="shared" si="249"/>
        <v>26.750871361782707</v>
      </c>
      <c r="AE237" s="78">
        <f t="shared" si="249"/>
        <v>26.621846998966564</v>
      </c>
      <c r="AF237" s="78">
        <f t="shared" si="249"/>
        <v>26.497190045711331</v>
      </c>
      <c r="AG237" s="78">
        <f t="shared" si="249"/>
        <v>26.372964210763222</v>
      </c>
      <c r="AH237" s="78">
        <f t="shared" si="249"/>
        <v>26.252320915723256</v>
      </c>
      <c r="AI237" s="78">
        <f t="shared" si="249"/>
        <v>26.137378523485488</v>
      </c>
      <c r="AJ237" s="78">
        <f t="shared" si="249"/>
        <v>26.022477220390215</v>
      </c>
      <c r="AK237" s="78">
        <f t="shared" si="249"/>
        <v>25.910369603005609</v>
      </c>
      <c r="AL237" s="78">
        <f t="shared" si="249"/>
        <v>25.802185450419323</v>
      </c>
      <c r="AM237" s="78">
        <f t="shared" si="249"/>
        <v>25.69644538505057</v>
      </c>
      <c r="AN237" s="78">
        <f t="shared" si="249"/>
        <v>25.591195416827585</v>
      </c>
      <c r="AO237" s="78">
        <f t="shared" si="249"/>
        <v>25.489453323181159</v>
      </c>
      <c r="AP237" s="78">
        <f t="shared" si="249"/>
        <v>25.384795843664349</v>
      </c>
      <c r="AQ237" s="78">
        <f t="shared" si="249"/>
        <v>25.277393631501283</v>
      </c>
      <c r="AR237" s="78">
        <f t="shared" si="249"/>
        <v>25.16740152870435</v>
      </c>
      <c r="AS237" s="78">
        <f t="shared" si="249"/>
        <v>25.054960532685662</v>
      </c>
      <c r="AT237" s="78">
        <f t="shared" si="249"/>
        <v>24.94311922060033</v>
      </c>
      <c r="AU237" s="78">
        <f t="shared" si="249"/>
        <v>24.828970148519289</v>
      </c>
      <c r="AV237" s="78">
        <f t="shared" si="249"/>
        <v>24.712629591453826</v>
      </c>
      <c r="AW237" s="78">
        <f t="shared" si="249"/>
        <v>24.594204504513652</v>
      </c>
      <c r="AX237" s="78">
        <f t="shared" si="249"/>
        <v>24.473793530516655</v>
      </c>
      <c r="AY237" s="78">
        <f t="shared" si="250"/>
        <v>24.35187956982341</v>
      </c>
      <c r="AZ237" s="78">
        <f t="shared" si="250"/>
        <v>24.228143105084481</v>
      </c>
      <c r="BA237" s="78">
        <f t="shared" si="250"/>
        <v>24.102663430117055</v>
      </c>
      <c r="BB237" s="78">
        <f t="shared" si="250"/>
        <v>23.975514326837562</v>
      </c>
      <c r="BC237" s="78">
        <f t="shared" si="250"/>
        <v>23.846764584152172</v>
      </c>
      <c r="BD237" s="78">
        <f t="shared" si="250"/>
        <v>23.716478455878899</v>
      </c>
      <c r="BE237" s="78">
        <f t="shared" si="250"/>
        <v>23.584716066217339</v>
      </c>
      <c r="BF237" s="78">
        <f t="shared" si="250"/>
        <v>23.451533769913198</v>
      </c>
      <c r="BG237" s="78">
        <f t="shared" si="250"/>
        <v>23.316984473142725</v>
      </c>
      <c r="BH237" s="78">
        <f t="shared" si="250"/>
        <v>23.181117920219165</v>
      </c>
      <c r="BI237" s="78">
        <f t="shared" si="250"/>
        <v>22.984047056931104</v>
      </c>
      <c r="BJ237" s="78">
        <f t="shared" si="250"/>
        <v>22.786784894264795</v>
      </c>
      <c r="BK237" s="78">
        <f t="shared" si="250"/>
        <v>22.589334053662554</v>
      </c>
      <c r="BL237" s="78">
        <f t="shared" si="250"/>
        <v>22.391697098084613</v>
      </c>
      <c r="BM237" s="78">
        <f t="shared" si="250"/>
        <v>22.193876533808336</v>
      </c>
      <c r="BN237" s="78">
        <f t="shared" si="250"/>
        <v>21.99587481215724</v>
      </c>
      <c r="BO237" s="78">
        <f t="shared" si="250"/>
        <v>21.797694331162873</v>
      </c>
      <c r="BP237" s="78">
        <f t="shared" si="250"/>
        <v>21.599337437163008</v>
      </c>
      <c r="BQ237" s="78">
        <f t="shared" si="250"/>
        <v>21.400806426338818</v>
      </c>
      <c r="BR237" s="78">
        <f t="shared" si="250"/>
        <v>21.202103546194021</v>
      </c>
    </row>
    <row r="238" spans="1:70">
      <c r="A238" t="s">
        <v>16</v>
      </c>
      <c r="B238" s="71" t="str">
        <f t="shared" si="248"/>
        <v>CEW</v>
      </c>
      <c r="C238" s="71" t="str">
        <f t="shared" si="248"/>
        <v>Commercial - Water Heating</v>
      </c>
      <c r="E238" s="90"/>
      <c r="F238" s="90"/>
      <c r="I238" s="131"/>
      <c r="L238" s="78">
        <f t="shared" si="249"/>
        <v>9.6831090230750299</v>
      </c>
      <c r="M238" s="78">
        <f t="shared" si="249"/>
        <v>10.586585246419229</v>
      </c>
      <c r="N238" s="78">
        <f t="shared" si="249"/>
        <v>11.538509766671879</v>
      </c>
      <c r="O238" s="78">
        <f t="shared" si="249"/>
        <v>12.491985690523343</v>
      </c>
      <c r="P238" s="78">
        <f t="shared" si="249"/>
        <v>13.456498623549582</v>
      </c>
      <c r="Q238" s="78">
        <f t="shared" si="249"/>
        <v>14.3921338097343</v>
      </c>
      <c r="R238" s="78">
        <f t="shared" si="249"/>
        <v>14.297703342289619</v>
      </c>
      <c r="S238" s="78">
        <f t="shared" si="249"/>
        <v>14.199639315277025</v>
      </c>
      <c r="T238" s="78">
        <f t="shared" si="249"/>
        <v>14.08450224479915</v>
      </c>
      <c r="U238" s="78">
        <f t="shared" si="249"/>
        <v>13.820336720794826</v>
      </c>
      <c r="V238" s="78">
        <f t="shared" si="249"/>
        <v>13.565564194254939</v>
      </c>
      <c r="W238" s="78">
        <f t="shared" si="249"/>
        <v>13.282917124636764</v>
      </c>
      <c r="X238" s="78">
        <f t="shared" si="249"/>
        <v>13.011120388405965</v>
      </c>
      <c r="Y238" s="78">
        <f t="shared" si="249"/>
        <v>12.743448613865509</v>
      </c>
      <c r="Z238" s="78">
        <f t="shared" si="249"/>
        <v>12.483838120243483</v>
      </c>
      <c r="AA238" s="78">
        <f t="shared" si="249"/>
        <v>12.237165789744212</v>
      </c>
      <c r="AB238" s="78">
        <f t="shared" si="249"/>
        <v>11.998852157042849</v>
      </c>
      <c r="AC238" s="78">
        <f t="shared" si="249"/>
        <v>11.768524298059502</v>
      </c>
      <c r="AD238" s="78">
        <f t="shared" si="249"/>
        <v>11.549151433809065</v>
      </c>
      <c r="AE238" s="78">
        <f t="shared" si="249"/>
        <v>11.510882140955713</v>
      </c>
      <c r="AF238" s="78">
        <f t="shared" si="249"/>
        <v>11.474925064418457</v>
      </c>
      <c r="AG238" s="78">
        <f t="shared" si="249"/>
        <v>11.439196232741223</v>
      </c>
      <c r="AH238" s="78">
        <f t="shared" si="249"/>
        <v>11.405364087672643</v>
      </c>
      <c r="AI238" s="78">
        <f t="shared" si="249"/>
        <v>11.374550143734936</v>
      </c>
      <c r="AJ238" s="78">
        <f t="shared" si="249"/>
        <v>11.343757953421283</v>
      </c>
      <c r="AK238" s="78">
        <f t="shared" si="249"/>
        <v>11.314444810490793</v>
      </c>
      <c r="AL238" s="78">
        <f t="shared" si="249"/>
        <v>11.287208848368692</v>
      </c>
      <c r="AM238" s="78">
        <f t="shared" si="249"/>
        <v>11.261266847406755</v>
      </c>
      <c r="AN238" s="78">
        <f t="shared" si="249"/>
        <v>11.23558431618337</v>
      </c>
      <c r="AO238" s="78">
        <f t="shared" si="249"/>
        <v>11.211758941866755</v>
      </c>
      <c r="AP238" s="78">
        <f t="shared" si="249"/>
        <v>11.186390089045732</v>
      </c>
      <c r="AQ238" s="78">
        <f t="shared" si="249"/>
        <v>11.159568105823382</v>
      </c>
      <c r="AR238" s="78">
        <f t="shared" si="249"/>
        <v>11.131374969450171</v>
      </c>
      <c r="AS238" s="78">
        <f t="shared" si="249"/>
        <v>11.101885327497449</v>
      </c>
      <c r="AT238" s="78">
        <f t="shared" si="249"/>
        <v>11.072713173281084</v>
      </c>
      <c r="AU238" s="78">
        <f t="shared" si="249"/>
        <v>11.042319232959866</v>
      </c>
      <c r="AV238" s="78">
        <f t="shared" si="249"/>
        <v>11.010765065445206</v>
      </c>
      <c r="AW238" s="78">
        <f t="shared" si="249"/>
        <v>10.978107295458539</v>
      </c>
      <c r="AX238" s="78">
        <f t="shared" si="249"/>
        <v>10.944398146985222</v>
      </c>
      <c r="AY238" s="78">
        <f t="shared" si="250"/>
        <v>10.909893279604974</v>
      </c>
      <c r="AZ238" s="78">
        <f t="shared" si="250"/>
        <v>10.874423532807805</v>
      </c>
      <c r="BA238" s="78">
        <f t="shared" si="250"/>
        <v>10.838030886732128</v>
      </c>
      <c r="BB238" s="78">
        <f t="shared" si="250"/>
        <v>10.800754403377653</v>
      </c>
      <c r="BC238" s="78">
        <f t="shared" si="250"/>
        <v>10.762630501319048</v>
      </c>
      <c r="BD238" s="78">
        <f t="shared" si="250"/>
        <v>10.72369319814141</v>
      </c>
      <c r="BE238" s="78">
        <f t="shared" si="250"/>
        <v>10.683974325106124</v>
      </c>
      <c r="BF238" s="78">
        <f t="shared" si="250"/>
        <v>10.643503717831003</v>
      </c>
      <c r="BG238" s="78">
        <f t="shared" si="250"/>
        <v>10.60230938617458</v>
      </c>
      <c r="BH238" s="78">
        <f t="shared" si="250"/>
        <v>10.560417666025696</v>
      </c>
      <c r="BI238" s="78">
        <f t="shared" si="250"/>
        <v>10.486122846724655</v>
      </c>
      <c r="BJ238" s="78">
        <f t="shared" si="250"/>
        <v>10.411726748727979</v>
      </c>
      <c r="BK238" s="78">
        <f t="shared" si="250"/>
        <v>10.337230759893069</v>
      </c>
      <c r="BL238" s="78">
        <f t="shared" si="250"/>
        <v>10.262636237115442</v>
      </c>
      <c r="BM238" s="78">
        <f t="shared" si="250"/>
        <v>10.187944507281291</v>
      </c>
      <c r="BN238" s="78">
        <f t="shared" si="250"/>
        <v>10.113156868182845</v>
      </c>
      <c r="BO238" s="78">
        <f t="shared" si="250"/>
        <v>10.038274589398245</v>
      </c>
      <c r="BP238" s="78">
        <f t="shared" si="250"/>
        <v>9.9632989131376384</v>
      </c>
      <c r="BQ238" s="78">
        <f t="shared" si="250"/>
        <v>9.8882310550570054</v>
      </c>
      <c r="BR238" s="78">
        <f t="shared" si="250"/>
        <v>9.8130722050412675</v>
      </c>
    </row>
    <row r="239" spans="1:70">
      <c r="A239" t="s">
        <v>16</v>
      </c>
      <c r="B239" s="71" t="str">
        <f t="shared" si="248"/>
        <v>CEG</v>
      </c>
      <c r="C239" s="71" t="str">
        <f t="shared" si="248"/>
        <v>Commercial - Public lights</v>
      </c>
      <c r="E239" s="90"/>
      <c r="F239" s="90"/>
      <c r="I239" s="131"/>
      <c r="L239" s="78">
        <f t="shared" si="249"/>
        <v>10.300552873773198</v>
      </c>
      <c r="M239" s="78">
        <f t="shared" si="249"/>
        <v>10.137579632145695</v>
      </c>
      <c r="N239" s="78">
        <f t="shared" si="249"/>
        <v>9.9994537435297381</v>
      </c>
      <c r="O239" s="78">
        <f t="shared" si="249"/>
        <v>9.8412102945058528</v>
      </c>
      <c r="P239" s="78">
        <f t="shared" si="249"/>
        <v>9.6733572036545361</v>
      </c>
      <c r="Q239" s="78">
        <f t="shared" si="249"/>
        <v>9.4707173671475111</v>
      </c>
      <c r="R239" s="78">
        <f t="shared" si="249"/>
        <v>9.5388470786807869</v>
      </c>
      <c r="S239" s="78">
        <f t="shared" si="249"/>
        <v>9.5950215040281002</v>
      </c>
      <c r="T239" s="78">
        <f t="shared" si="249"/>
        <v>9.5950215040281002</v>
      </c>
      <c r="U239" s="78">
        <f t="shared" si="249"/>
        <v>9.7477819087863704</v>
      </c>
      <c r="V239" s="78">
        <f t="shared" si="249"/>
        <v>9.9180496228188275</v>
      </c>
      <c r="W239" s="78">
        <f t="shared" si="249"/>
        <v>9.9832054611891152</v>
      </c>
      <c r="X239" s="78">
        <f t="shared" si="249"/>
        <v>10.070663595045366</v>
      </c>
      <c r="Y239" s="78">
        <f t="shared" si="249"/>
        <v>10.158295931578795</v>
      </c>
      <c r="Z239" s="78">
        <f t="shared" si="249"/>
        <v>10.259053909182397</v>
      </c>
      <c r="AA239" s="78">
        <f t="shared" si="249"/>
        <v>10.388983644992319</v>
      </c>
      <c r="AB239" s="78">
        <f t="shared" si="249"/>
        <v>10.533017595044042</v>
      </c>
      <c r="AC239" s="78">
        <f t="shared" si="249"/>
        <v>10.68992874928932</v>
      </c>
      <c r="AD239" s="78">
        <f t="shared" si="249"/>
        <v>10.869486560056904</v>
      </c>
      <c r="AE239" s="78">
        <f t="shared" si="249"/>
        <v>11.055410489142012</v>
      </c>
      <c r="AF239" s="78">
        <f t="shared" si="249"/>
        <v>11.248942166845541</v>
      </c>
      <c r="AG239" s="78">
        <f t="shared" ref="M239:AX241" si="251">AG168+AG180+AG157</f>
        <v>11.443224825115387</v>
      </c>
      <c r="AH239" s="78">
        <f t="shared" si="251"/>
        <v>11.643748039178451</v>
      </c>
      <c r="AI239" s="78">
        <f t="shared" si="251"/>
        <v>11.854201861949578</v>
      </c>
      <c r="AJ239" s="78">
        <f t="shared" si="251"/>
        <v>12.064727259383579</v>
      </c>
      <c r="AK239" s="78">
        <f t="shared" si="251"/>
        <v>12.280119078963093</v>
      </c>
      <c r="AL239" s="78">
        <f t="shared" si="251"/>
        <v>12.502345323728193</v>
      </c>
      <c r="AM239" s="78">
        <f t="shared" si="251"/>
        <v>12.728829012383823</v>
      </c>
      <c r="AN239" s="78">
        <f t="shared" si="251"/>
        <v>12.956166418977189</v>
      </c>
      <c r="AO239" s="78">
        <f t="shared" si="251"/>
        <v>13.189614319123148</v>
      </c>
      <c r="AP239" s="78">
        <f t="shared" si="251"/>
        <v>13.417983803215314</v>
      </c>
      <c r="AQ239" s="78">
        <f t="shared" si="251"/>
        <v>13.641572138274785</v>
      </c>
      <c r="AR239" s="78">
        <f t="shared" si="251"/>
        <v>13.860649049201269</v>
      </c>
      <c r="AS239" s="78">
        <f t="shared" si="251"/>
        <v>14.075460144484714</v>
      </c>
      <c r="AT239" s="78">
        <f t="shared" si="251"/>
        <v>14.291315850893337</v>
      </c>
      <c r="AU239" s="78">
        <f t="shared" si="251"/>
        <v>14.503151586728055</v>
      </c>
      <c r="AV239" s="78">
        <f t="shared" si="251"/>
        <v>14.711169895634976</v>
      </c>
      <c r="AW239" s="78">
        <f t="shared" si="251"/>
        <v>14.915557086586677</v>
      </c>
      <c r="AX239" s="78">
        <f t="shared" si="251"/>
        <v>15.116484989074081</v>
      </c>
      <c r="AY239" s="78">
        <f t="shared" ref="AY239:BR239" si="252">AY168+AY180+AY157</f>
        <v>15.314794784694605</v>
      </c>
      <c r="AZ239" s="78">
        <f t="shared" si="252"/>
        <v>15.509929894625074</v>
      </c>
      <c r="BA239" s="78">
        <f t="shared" si="252"/>
        <v>15.702028443632519</v>
      </c>
      <c r="BB239" s="78">
        <f t="shared" si="252"/>
        <v>15.891218955104771</v>
      </c>
      <c r="BC239" s="78">
        <f t="shared" si="252"/>
        <v>16.077621254924566</v>
      </c>
      <c r="BD239" s="78">
        <f t="shared" si="252"/>
        <v>16.261347269140582</v>
      </c>
      <c r="BE239" s="78">
        <f t="shared" si="252"/>
        <v>16.442501730269925</v>
      </c>
      <c r="BF239" s="78">
        <f t="shared" si="252"/>
        <v>16.621182804681634</v>
      </c>
      <c r="BG239" s="78">
        <f t="shared" si="252"/>
        <v>16.797482651556951</v>
      </c>
      <c r="BH239" s="78">
        <f t="shared" si="252"/>
        <v>16.971487922313639</v>
      </c>
      <c r="BI239" s="78">
        <f t="shared" si="252"/>
        <v>17.038879191996291</v>
      </c>
      <c r="BJ239" s="78">
        <f t="shared" si="252"/>
        <v>17.105937230375517</v>
      </c>
      <c r="BK239" s="78">
        <f t="shared" si="252"/>
        <v>17.172666603836475</v>
      </c>
      <c r="BL239" s="78">
        <f t="shared" si="252"/>
        <v>17.239071776892239</v>
      </c>
      <c r="BM239" s="78">
        <f t="shared" si="252"/>
        <v>17.305157115317982</v>
      </c>
      <c r="BN239" s="78">
        <f t="shared" si="252"/>
        <v>17.370926889162746</v>
      </c>
      <c r="BO239" s="78">
        <f t="shared" si="252"/>
        <v>17.436385275644412</v>
      </c>
      <c r="BP239" s="78">
        <f t="shared" si="252"/>
        <v>17.501536361933567</v>
      </c>
      <c r="BQ239" s="78">
        <f t="shared" si="252"/>
        <v>17.566384147831197</v>
      </c>
      <c r="BR239" s="78">
        <f t="shared" si="252"/>
        <v>17.630932548345314</v>
      </c>
    </row>
    <row r="240" spans="1:70">
      <c r="A240" t="s">
        <v>16</v>
      </c>
      <c r="B240" s="71" t="str">
        <f t="shared" si="248"/>
        <v>CET</v>
      </c>
      <c r="C240" s="71" t="str">
        <f t="shared" si="248"/>
        <v>Commercial - Public Water</v>
      </c>
      <c r="E240" s="90"/>
      <c r="F240" s="90"/>
      <c r="I240" s="131"/>
      <c r="L240" s="78">
        <f t="shared" ref="L240:L241" si="253">L169+L181+L158</f>
        <v>3.5593512487513506</v>
      </c>
      <c r="M240" s="78">
        <f t="shared" si="251"/>
        <v>3.5030359210006532</v>
      </c>
      <c r="N240" s="78">
        <f t="shared" si="251"/>
        <v>3.4553065845121336</v>
      </c>
      <c r="O240" s="78">
        <f t="shared" si="251"/>
        <v>3.400625634393037</v>
      </c>
      <c r="P240" s="78">
        <f t="shared" si="251"/>
        <v>3.3426240770155089</v>
      </c>
      <c r="Q240" s="78">
        <f t="shared" si="251"/>
        <v>3.2726019758762099</v>
      </c>
      <c r="R240" s="78">
        <f t="shared" si="251"/>
        <v>3.2961441659697601</v>
      </c>
      <c r="S240" s="78">
        <f t="shared" si="251"/>
        <v>3.3155552124891114</v>
      </c>
      <c r="T240" s="78">
        <f t="shared" si="251"/>
        <v>3.3155552124891114</v>
      </c>
      <c r="U240" s="78">
        <f t="shared" si="251"/>
        <v>3.3683414992155769</v>
      </c>
      <c r="V240" s="78">
        <f t="shared" si="251"/>
        <v>3.4271774285089007</v>
      </c>
      <c r="W240" s="78">
        <f t="shared" si="251"/>
        <v>3.4496919981158594</v>
      </c>
      <c r="X240" s="78">
        <f t="shared" si="251"/>
        <v>3.4799131155422169</v>
      </c>
      <c r="Y240" s="78">
        <f t="shared" si="251"/>
        <v>3.5101944286225515</v>
      </c>
      <c r="Z240" s="78">
        <f t="shared" si="251"/>
        <v>3.5450113008623103</v>
      </c>
      <c r="AA240" s="78">
        <f t="shared" si="251"/>
        <v>3.5899084605655025</v>
      </c>
      <c r="AB240" s="78">
        <f t="shared" si="251"/>
        <v>3.6396793249318731</v>
      </c>
      <c r="AC240" s="78">
        <f t="shared" si="251"/>
        <v>3.6938999012106453</v>
      </c>
      <c r="AD240" s="78">
        <f t="shared" si="251"/>
        <v>3.7559460191045617</v>
      </c>
      <c r="AE240" s="78">
        <f t="shared" si="251"/>
        <v>3.8201919462185137</v>
      </c>
      <c r="AF240" s="78">
        <f t="shared" si="251"/>
        <v>3.8870667273247697</v>
      </c>
      <c r="AG240" s="78">
        <f t="shared" si="251"/>
        <v>3.9542010094159976</v>
      </c>
      <c r="AH240" s="78">
        <f t="shared" si="251"/>
        <v>4.0234917126554599</v>
      </c>
      <c r="AI240" s="78">
        <f t="shared" si="251"/>
        <v>4.096213933109488</v>
      </c>
      <c r="AJ240" s="78">
        <f t="shared" si="251"/>
        <v>4.1689608861549408</v>
      </c>
      <c r="AK240" s="78">
        <f t="shared" si="251"/>
        <v>4.2433894291065704</v>
      </c>
      <c r="AL240" s="78">
        <f t="shared" si="251"/>
        <v>4.3201796044984118</v>
      </c>
      <c r="AM240" s="78">
        <f t="shared" si="251"/>
        <v>4.398440937644013</v>
      </c>
      <c r="AN240" s="78">
        <f t="shared" si="251"/>
        <v>4.4769972726254359</v>
      </c>
      <c r="AO240" s="78">
        <f t="shared" si="251"/>
        <v>4.5576650858084102</v>
      </c>
      <c r="AP240" s="78">
        <f t="shared" si="251"/>
        <v>4.6365780546889246</v>
      </c>
      <c r="AQ240" s="78">
        <f t="shared" si="251"/>
        <v>4.7138388997476852</v>
      </c>
      <c r="AR240" s="78">
        <f t="shared" si="251"/>
        <v>4.7895408242981814</v>
      </c>
      <c r="AS240" s="78">
        <f t="shared" si="251"/>
        <v>4.8637686982397375</v>
      </c>
      <c r="AT240" s="78">
        <f t="shared" si="251"/>
        <v>4.9383575370691428</v>
      </c>
      <c r="AU240" s="78">
        <f t="shared" si="251"/>
        <v>5.0115572769387624</v>
      </c>
      <c r="AV240" s="78">
        <f t="shared" si="251"/>
        <v>5.0834379067111879</v>
      </c>
      <c r="AW240" s="78">
        <f t="shared" si="251"/>
        <v>5.1540638053651335</v>
      </c>
      <c r="AX240" s="78">
        <f t="shared" si="251"/>
        <v>5.2234943485011698</v>
      </c>
      <c r="AY240" s="78">
        <f t="shared" ref="AY240:BR240" si="254">AY169+AY181+AY158</f>
        <v>5.2920202060285613</v>
      </c>
      <c r="AZ240" s="78">
        <f t="shared" si="254"/>
        <v>5.3594490523941465</v>
      </c>
      <c r="BA240" s="78">
        <f t="shared" si="254"/>
        <v>5.4258286165468537</v>
      </c>
      <c r="BB240" s="78">
        <f t="shared" si="254"/>
        <v>5.4912033096834927</v>
      </c>
      <c r="BC240" s="78">
        <f t="shared" si="254"/>
        <v>5.5556145375820467</v>
      </c>
      <c r="BD240" s="78">
        <f t="shared" si="254"/>
        <v>5.6191009762365134</v>
      </c>
      <c r="BE240" s="78">
        <f t="shared" si="254"/>
        <v>5.681698815919404</v>
      </c>
      <c r="BF240" s="78">
        <f t="shared" si="254"/>
        <v>5.7434419779738288</v>
      </c>
      <c r="BG240" s="78">
        <f t="shared" si="254"/>
        <v>5.8043623079619486</v>
      </c>
      <c r="BH240" s="78">
        <f t="shared" si="254"/>
        <v>5.8644897482408176</v>
      </c>
      <c r="BI240" s="78">
        <f t="shared" si="254"/>
        <v>5.8877767700967629</v>
      </c>
      <c r="BJ240" s="78">
        <f t="shared" si="254"/>
        <v>5.9109486440309897</v>
      </c>
      <c r="BK240" s="78">
        <f t="shared" si="254"/>
        <v>5.9340069479557638</v>
      </c>
      <c r="BL240" s="78">
        <f t="shared" si="254"/>
        <v>5.9569532245814951</v>
      </c>
      <c r="BM240" s="78">
        <f t="shared" si="254"/>
        <v>5.979788982499767</v>
      </c>
      <c r="BN240" s="78">
        <f t="shared" si="254"/>
        <v>6.0025156972240321</v>
      </c>
      <c r="BO240" s="78">
        <f t="shared" si="254"/>
        <v>6.0251348121899859</v>
      </c>
      <c r="BP240" s="78">
        <f t="shared" si="254"/>
        <v>6.0476477397175215</v>
      </c>
      <c r="BQ240" s="78">
        <f t="shared" si="254"/>
        <v>6.0700558619360088</v>
      </c>
      <c r="BR240" s="78">
        <f t="shared" si="254"/>
        <v>6.0923605316746405</v>
      </c>
    </row>
    <row r="241" spans="1:90">
      <c r="A241" t="s">
        <v>16</v>
      </c>
      <c r="B241" s="71" t="str">
        <f t="shared" si="248"/>
        <v>CEO</v>
      </c>
      <c r="C241" s="71" t="str">
        <f t="shared" si="248"/>
        <v>Commercial - Other</v>
      </c>
      <c r="E241" s="90"/>
      <c r="F241" s="90"/>
      <c r="I241" s="131"/>
      <c r="L241" s="78">
        <f t="shared" si="253"/>
        <v>18.760184357078899</v>
      </c>
      <c r="M241" s="78">
        <f t="shared" si="251"/>
        <v>19.031279794352393</v>
      </c>
      <c r="N241" s="78">
        <f t="shared" si="251"/>
        <v>19.361114074755577</v>
      </c>
      <c r="O241" s="78">
        <f t="shared" si="251"/>
        <v>19.665306575633906</v>
      </c>
      <c r="P241" s="78">
        <f t="shared" si="251"/>
        <v>19.962784234968577</v>
      </c>
      <c r="Q241" s="78">
        <f t="shared" si="251"/>
        <v>20.198960613823004</v>
      </c>
      <c r="R241" s="78">
        <f t="shared" si="251"/>
        <v>20.066430071939777</v>
      </c>
      <c r="S241" s="78">
        <f t="shared" si="251"/>
        <v>19.928799929985388</v>
      </c>
      <c r="T241" s="78">
        <f t="shared" si="251"/>
        <v>19.767208245074805</v>
      </c>
      <c r="U241" s="78">
        <f t="shared" si="251"/>
        <v>19.646200969169087</v>
      </c>
      <c r="V241" s="78">
        <f t="shared" si="251"/>
        <v>19.533173552383825</v>
      </c>
      <c r="W241" s="78">
        <f t="shared" si="251"/>
        <v>19.375822035240297</v>
      </c>
      <c r="X241" s="78">
        <f t="shared" si="251"/>
        <v>19.228495707763599</v>
      </c>
      <c r="Y241" s="78">
        <f t="shared" si="251"/>
        <v>19.081755697315536</v>
      </c>
      <c r="Z241" s="78">
        <f t="shared" si="251"/>
        <v>18.941126518752839</v>
      </c>
      <c r="AA241" s="78">
        <f t="shared" si="251"/>
        <v>18.813452740981369</v>
      </c>
      <c r="AB241" s="78">
        <f t="shared" si="251"/>
        <v>18.69230721143628</v>
      </c>
      <c r="AC241" s="78">
        <f t="shared" si="251"/>
        <v>18.577166541515069</v>
      </c>
      <c r="AD241" s="78">
        <f t="shared" si="251"/>
        <v>18.4721979505562</v>
      </c>
      <c r="AE241" s="78">
        <f t="shared" si="251"/>
        <v>18.392473298036958</v>
      </c>
      <c r="AF241" s="78">
        <f t="shared" si="251"/>
        <v>18.315993776984449</v>
      </c>
      <c r="AG241" s="78">
        <f t="shared" si="251"/>
        <v>18.239834591262262</v>
      </c>
      <c r="AH241" s="78">
        <f t="shared" si="251"/>
        <v>18.166337352587774</v>
      </c>
      <c r="AI241" s="78">
        <f t="shared" si="251"/>
        <v>18.097076075485983</v>
      </c>
      <c r="AJ241" s="78">
        <f t="shared" si="251"/>
        <v>18.027845328992179</v>
      </c>
      <c r="AK241" s="78">
        <f t="shared" si="251"/>
        <v>17.960690384476976</v>
      </c>
      <c r="AL241" s="78">
        <f t="shared" si="251"/>
        <v>17.896450705612516</v>
      </c>
      <c r="AM241" s="78">
        <f t="shared" si="251"/>
        <v>17.834027065346326</v>
      </c>
      <c r="AN241" s="78">
        <f t="shared" si="251"/>
        <v>17.7719675836614</v>
      </c>
      <c r="AO241" s="78">
        <f t="shared" si="251"/>
        <v>17.712514570183998</v>
      </c>
      <c r="AP241" s="78">
        <f t="shared" si="251"/>
        <v>17.65089532743643</v>
      </c>
      <c r="AQ241" s="78">
        <f t="shared" si="251"/>
        <v>17.587236656475422</v>
      </c>
      <c r="AR241" s="78">
        <f t="shared" si="251"/>
        <v>17.521653610098241</v>
      </c>
      <c r="AS241" s="78">
        <f t="shared" si="251"/>
        <v>17.454250954100807</v>
      </c>
      <c r="AT241" s="78">
        <f t="shared" si="251"/>
        <v>17.387293883335335</v>
      </c>
      <c r="AU241" s="78">
        <f t="shared" si="251"/>
        <v>17.318622069659828</v>
      </c>
      <c r="AV241" s="78">
        <f t="shared" si="251"/>
        <v>17.248321909299037</v>
      </c>
      <c r="AW241" s="78">
        <f t="shared" si="251"/>
        <v>17.1764728734789</v>
      </c>
      <c r="AX241" s="78">
        <f t="shared" si="251"/>
        <v>17.103148257114363</v>
      </c>
      <c r="AY241" s="78">
        <f t="shared" ref="AY241:BR241" si="255">AY170+AY182+AY159</f>
        <v>17.028706871334446</v>
      </c>
      <c r="AZ241" s="78">
        <f t="shared" si="255"/>
        <v>16.952911304055309</v>
      </c>
      <c r="BA241" s="78">
        <f t="shared" si="255"/>
        <v>16.875820473236825</v>
      </c>
      <c r="BB241" s="78">
        <f t="shared" si="255"/>
        <v>16.797489201312146</v>
      </c>
      <c r="BC241" s="78">
        <f t="shared" si="255"/>
        <v>16.717968600740694</v>
      </c>
      <c r="BD241" s="78">
        <f t="shared" si="255"/>
        <v>16.637306414259619</v>
      </c>
      <c r="BE241" s="78">
        <f t="shared" si="255"/>
        <v>16.55554731616138</v>
      </c>
      <c r="BF241" s="78">
        <f t="shared" si="255"/>
        <v>16.472733179908055</v>
      </c>
      <c r="BG241" s="78">
        <f t="shared" si="255"/>
        <v>16.38890331655919</v>
      </c>
      <c r="BH241" s="78">
        <f t="shared" si="255"/>
        <v>16.304094687804305</v>
      </c>
      <c r="BI241" s="78">
        <f t="shared" si="255"/>
        <v>16.173809208139549</v>
      </c>
      <c r="BJ241" s="78">
        <f t="shared" si="255"/>
        <v>16.043381586634585</v>
      </c>
      <c r="BK241" s="78">
        <f t="shared" si="255"/>
        <v>15.912813771108791</v>
      </c>
      <c r="BL241" s="78">
        <f t="shared" si="255"/>
        <v>15.782107665927384</v>
      </c>
      <c r="BM241" s="78">
        <f t="shared" si="255"/>
        <v>15.651265133338335</v>
      </c>
      <c r="BN241" s="78">
        <f t="shared" si="255"/>
        <v>15.520287994757041</v>
      </c>
      <c r="BO241" s="78">
        <f t="shared" si="255"/>
        <v>15.389178032001208</v>
      </c>
      <c r="BP241" s="78">
        <f t="shared" si="255"/>
        <v>15.25793698847832</v>
      </c>
      <c r="BQ241" s="78">
        <f t="shared" si="255"/>
        <v>15.126566570327835</v>
      </c>
      <c r="BR241" s="78">
        <f t="shared" si="255"/>
        <v>14.99506844752023</v>
      </c>
    </row>
    <row r="242" spans="1:90">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90">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90">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90">
      <c r="A245" t="s">
        <v>16</v>
      </c>
      <c r="B245" s="221" t="s">
        <v>464</v>
      </c>
      <c r="C245" s="222"/>
      <c r="D245" s="222"/>
      <c r="E245" s="223"/>
      <c r="F245" s="223"/>
      <c r="G245" s="222"/>
      <c r="H245" s="222"/>
      <c r="I245" s="222"/>
      <c r="J245" s="222"/>
      <c r="K245" s="222"/>
      <c r="L245" s="141">
        <f t="shared" ref="L245:AX245" si="256">SUM(L220:L241)</f>
        <v>350.82050880003027</v>
      </c>
      <c r="M245" s="141">
        <f t="shared" si="256"/>
        <v>347.78758448388203</v>
      </c>
      <c r="N245" s="141">
        <f t="shared" si="256"/>
        <v>345.66070287280843</v>
      </c>
      <c r="O245" s="141">
        <f t="shared" si="256"/>
        <v>342.89740508403531</v>
      </c>
      <c r="P245" s="141">
        <f t="shared" si="256"/>
        <v>339.85463913379419</v>
      </c>
      <c r="Q245" s="141">
        <f t="shared" si="256"/>
        <v>335.63620243987805</v>
      </c>
      <c r="R245" s="141">
        <f t="shared" si="256"/>
        <v>338.05067610284186</v>
      </c>
      <c r="S245" s="141">
        <f t="shared" si="256"/>
        <v>340.04146202400329</v>
      </c>
      <c r="T245" s="141">
        <f t="shared" si="256"/>
        <v>340.04146202400324</v>
      </c>
      <c r="U245" s="141">
        <f t="shared" si="256"/>
        <v>346.8990454702697</v>
      </c>
      <c r="V245" s="141">
        <f t="shared" si="256"/>
        <v>354.44446484139701</v>
      </c>
      <c r="W245" s="141">
        <f t="shared" si="256"/>
        <v>358.27563552687366</v>
      </c>
      <c r="X245" s="141">
        <f t="shared" si="256"/>
        <v>362.94287588151474</v>
      </c>
      <c r="Y245" s="141">
        <f t="shared" si="256"/>
        <v>367.65413907602533</v>
      </c>
      <c r="Z245" s="141">
        <f t="shared" si="256"/>
        <v>372.8824424596595</v>
      </c>
      <c r="AA245" s="141">
        <f t="shared" si="256"/>
        <v>379.22364949277221</v>
      </c>
      <c r="AB245" s="141">
        <f t="shared" si="256"/>
        <v>386.13785470763429</v>
      </c>
      <c r="AC245" s="141">
        <f t="shared" si="256"/>
        <v>393.58718017721299</v>
      </c>
      <c r="AD245" s="141">
        <f t="shared" si="256"/>
        <v>401.94229191373256</v>
      </c>
      <c r="AE245" s="141">
        <f t="shared" si="256"/>
        <v>408.35622545484722</v>
      </c>
      <c r="AF245" s="141">
        <f t="shared" si="256"/>
        <v>414.96059198144383</v>
      </c>
      <c r="AG245" s="141">
        <f t="shared" si="256"/>
        <v>421.49972946282929</v>
      </c>
      <c r="AH245" s="141">
        <f t="shared" si="256"/>
        <v>428.17406676703905</v>
      </c>
      <c r="AI245" s="141">
        <f t="shared" si="256"/>
        <v>435.11491205743562</v>
      </c>
      <c r="AJ245" s="141">
        <f t="shared" si="256"/>
        <v>441.95999402151932</v>
      </c>
      <c r="AK245" s="141">
        <f t="shared" ref="AK245:AT245" si="257">SUM(AK220:AK241)</f>
        <v>448.88231002052919</v>
      </c>
      <c r="AL245" s="141">
        <f t="shared" si="257"/>
        <v>455.95016941145047</v>
      </c>
      <c r="AM245" s="141">
        <f t="shared" si="257"/>
        <v>463.06806516754352</v>
      </c>
      <c r="AN245" s="141">
        <f t="shared" si="257"/>
        <v>470.11274745297885</v>
      </c>
      <c r="AO245" s="141">
        <f t="shared" si="257"/>
        <v>478.76178074738971</v>
      </c>
      <c r="AP245" s="141">
        <f t="shared" si="257"/>
        <v>487.27910449896171</v>
      </c>
      <c r="AQ245" s="141">
        <f t="shared" si="257"/>
        <v>495.67421121342772</v>
      </c>
      <c r="AR245" s="141">
        <f t="shared" si="257"/>
        <v>503.95569491946401</v>
      </c>
      <c r="AS245" s="141">
        <f t="shared" si="257"/>
        <v>512.13136395561787</v>
      </c>
      <c r="AT245" s="141">
        <f t="shared" si="257"/>
        <v>520.39169799794445</v>
      </c>
      <c r="AU245" s="141">
        <f t="shared" si="256"/>
        <v>528.55396223064486</v>
      </c>
      <c r="AV245" s="141">
        <f t="shared" si="256"/>
        <v>536.62457377913768</v>
      </c>
      <c r="AW245" s="141">
        <f t="shared" si="256"/>
        <v>544.6094222966874</v>
      </c>
      <c r="AX245" s="141">
        <f t="shared" si="256"/>
        <v>552.5139276119927</v>
      </c>
      <c r="AY245" s="141">
        <f t="shared" ref="AY245:BR245" si="258">SUM(AY220:AY241)</f>
        <v>560.3679473398895</v>
      </c>
      <c r="AZ245" s="141">
        <f t="shared" si="258"/>
        <v>568.15056574292703</v>
      </c>
      <c r="BA245" s="141">
        <f t="shared" si="258"/>
        <v>575.86611272839707</v>
      </c>
      <c r="BB245" s="141">
        <f t="shared" si="258"/>
        <v>583.51860817479667</v>
      </c>
      <c r="BC245" s="141">
        <f t="shared" si="258"/>
        <v>591.11179149072029</v>
      </c>
      <c r="BD245" s="141">
        <f t="shared" si="258"/>
        <v>598.64914767607092</v>
      </c>
      <c r="BE245" s="141">
        <f t="shared" si="258"/>
        <v>606.13393037635547</v>
      </c>
      <c r="BF245" s="141">
        <f t="shared" si="258"/>
        <v>613.56918234166653</v>
      </c>
      <c r="BG245" s="141">
        <f t="shared" si="258"/>
        <v>620.95775363716359</v>
      </c>
      <c r="BH245" s="141">
        <f t="shared" si="258"/>
        <v>628.30231789853076</v>
      </c>
      <c r="BI245" s="141">
        <f t="shared" si="258"/>
        <v>631.72261256646937</v>
      </c>
      <c r="BJ245" s="141">
        <f t="shared" si="258"/>
        <v>635.15510566790476</v>
      </c>
      <c r="BK245" s="141">
        <f t="shared" si="258"/>
        <v>638.59989181577407</v>
      </c>
      <c r="BL245" s="141">
        <f t="shared" si="258"/>
        <v>642.05706319802835</v>
      </c>
      <c r="BM245" s="141">
        <f t="shared" si="258"/>
        <v>645.52670965646826</v>
      </c>
      <c r="BN245" s="141">
        <f t="shared" si="258"/>
        <v>649.00891876241383</v>
      </c>
      <c r="BO245" s="141">
        <f t="shared" si="258"/>
        <v>652.50377588934555</v>
      </c>
      <c r="BP245" s="141">
        <f t="shared" si="258"/>
        <v>656.01136428267432</v>
      </c>
      <c r="BQ245" s="141">
        <f t="shared" si="258"/>
        <v>659.53176512676737</v>
      </c>
      <c r="BR245" s="141">
        <f t="shared" si="258"/>
        <v>663.065057609365</v>
      </c>
    </row>
    <row r="246" spans="1:90">
      <c r="A246" t="s">
        <v>16</v>
      </c>
      <c r="M246" s="71"/>
    </row>
    <row r="247" spans="1:90" customFormat="1" ht="23.25">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customFormat="1">
      <c r="A248" t="s">
        <v>113</v>
      </c>
      <c r="B248" s="16" t="str">
        <f t="shared" ref="B248:B256" si="259">IF(A248="*","","COM_PROJ")</f>
        <v>COM_PROJ</v>
      </c>
      <c r="C248" s="17" t="str">
        <f t="shared" ref="C248:C266" si="260">IF($A248="*","","-")</f>
        <v>-</v>
      </c>
      <c r="D248" s="16" t="str">
        <f>COM!B162</f>
        <v>CEC</v>
      </c>
      <c r="E248" s="17" t="str">
        <f t="shared" ref="E248:H263" si="261">IF($A248="*","","-")</f>
        <v>-</v>
      </c>
      <c r="F248" s="17" t="str">
        <f t="shared" si="261"/>
        <v>-</v>
      </c>
      <c r="G248" s="17" t="str">
        <f t="shared" si="261"/>
        <v>-</v>
      </c>
      <c r="H248" s="17" t="str">
        <f t="shared" si="261"/>
        <v>-</v>
      </c>
      <c r="I248" s="16">
        <f t="shared" ref="I248:I266" si="262">IF(A248="*","",0)</f>
        <v>0</v>
      </c>
      <c r="J248" s="16"/>
      <c r="K248" s="16"/>
      <c r="L248" s="8">
        <f t="shared" ref="L248:U256" si="263">INDEX($L$233:$AX$241,MATCH($D248,$B$233:$B$241,0),MATCH(L$247,$L$104:$AX$104,0))</f>
        <v>139.66439435388401</v>
      </c>
      <c r="M248" s="8">
        <f t="shared" si="263"/>
        <v>137.45465286071149</v>
      </c>
      <c r="N248" s="8">
        <f t="shared" si="263"/>
        <v>135.58181469226156</v>
      </c>
      <c r="O248" s="8">
        <f t="shared" si="263"/>
        <v>133.436204088712</v>
      </c>
      <c r="P248" s="8">
        <f t="shared" si="263"/>
        <v>131.16029709988757</v>
      </c>
      <c r="Q248" s="8">
        <f t="shared" si="263"/>
        <v>128.41271933541799</v>
      </c>
      <c r="R248" s="8">
        <f t="shared" si="263"/>
        <v>127.5701706714746</v>
      </c>
      <c r="S248" s="8">
        <f t="shared" si="263"/>
        <v>126.6952018486339</v>
      </c>
      <c r="T248" s="8">
        <f t="shared" si="263"/>
        <v>125.66790009395055</v>
      </c>
      <c r="U248" s="8">
        <f t="shared" si="263"/>
        <v>125.82446386913696</v>
      </c>
      <c r="V248" s="8">
        <f t="shared" ref="V248:AE256" si="264">INDEX($L$233:$AX$241,MATCH($D248,$B$233:$B$241,0),MATCH(V$247,$L$104:$AX$104,0))</f>
        <v>126.00915323428573</v>
      </c>
      <c r="W248" s="8">
        <f t="shared" si="264"/>
        <v>125.89137541830218</v>
      </c>
      <c r="X248" s="8">
        <f t="shared" si="264"/>
        <v>125.81546453342236</v>
      </c>
      <c r="Y248" s="8">
        <f t="shared" si="264"/>
        <v>125.72168080325004</v>
      </c>
      <c r="Z248" s="8">
        <f t="shared" si="264"/>
        <v>125.64466840765294</v>
      </c>
      <c r="AA248" s="8">
        <f t="shared" si="264"/>
        <v>125.62701535893945</v>
      </c>
      <c r="AB248" s="8">
        <f t="shared" si="264"/>
        <v>125.62806322903805</v>
      </c>
      <c r="AC248" s="8">
        <f t="shared" si="264"/>
        <v>125.64429383956727</v>
      </c>
      <c r="AD248" s="8">
        <f t="shared" si="264"/>
        <v>125.70136804325334</v>
      </c>
      <c r="AE248" s="8">
        <f t="shared" si="264"/>
        <v>125.01308959182597</v>
      </c>
      <c r="AF248" s="8">
        <f t="shared" ref="AF248:AO256" si="265">INDEX($L$233:$AX$241,MATCH($D248,$B$233:$B$241,0),MATCH(AF$247,$L$104:$AX$104,0))</f>
        <v>124.34261585385154</v>
      </c>
      <c r="AG248" s="8">
        <f t="shared" si="265"/>
        <v>123.67175737287899</v>
      </c>
      <c r="AH248" s="8">
        <f t="shared" si="265"/>
        <v>123.0149180210058</v>
      </c>
      <c r="AI248" s="8">
        <f t="shared" si="265"/>
        <v>122.38165247203102</v>
      </c>
      <c r="AJ248" s="8">
        <f t="shared" si="265"/>
        <v>121.74600585639419</v>
      </c>
      <c r="AK248" s="8">
        <f t="shared" si="265"/>
        <v>121.12048210751405</v>
      </c>
      <c r="AL248" s="8">
        <f t="shared" si="265"/>
        <v>120.51011280734417</v>
      </c>
      <c r="AM248" s="8">
        <f t="shared" si="265"/>
        <v>119.90808338340645</v>
      </c>
      <c r="AN248" s="8">
        <f t="shared" si="265"/>
        <v>119.30550109179261</v>
      </c>
      <c r="AO248" s="8">
        <f t="shared" si="265"/>
        <v>116.63587094717191</v>
      </c>
      <c r="AP248" s="8">
        <f>INDEX($L$233:$BR$241,MATCH($D248,$B$233:$B$241,0),MATCH(AP$247,$L$104:$BR$104,0))</f>
        <v>113.76354364512946</v>
      </c>
      <c r="AQ248" s="8">
        <f t="shared" ref="AQ248:AR256" si="266">INDEX($L$233:$BR$241,MATCH($D248,$B$233:$B$241,0),MATCH(AQ$247,$L$104:$BR$104,0))</f>
        <v>107.430893767689</v>
      </c>
      <c r="AR248" s="8">
        <f t="shared" si="266"/>
        <v>98.002041829350077</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customFormat="1">
      <c r="A249" t="s">
        <v>113</v>
      </c>
      <c r="B249" s="16" t="str">
        <f t="shared" si="259"/>
        <v>COM_PROJ</v>
      </c>
      <c r="C249" s="17" t="str">
        <f t="shared" si="260"/>
        <v>-</v>
      </c>
      <c r="D249" s="16" t="str">
        <f>COM!B163</f>
        <v>CEH</v>
      </c>
      <c r="E249" s="17" t="str">
        <f t="shared" si="261"/>
        <v>-</v>
      </c>
      <c r="F249" s="17" t="str">
        <f t="shared" si="261"/>
        <v>-</v>
      </c>
      <c r="G249" s="17" t="str">
        <f t="shared" si="261"/>
        <v>-</v>
      </c>
      <c r="H249" s="17" t="str">
        <f t="shared" si="261"/>
        <v>-</v>
      </c>
      <c r="I249" s="16">
        <f t="shared" si="262"/>
        <v>0</v>
      </c>
      <c r="J249" s="16"/>
      <c r="K249" s="16"/>
      <c r="L249" s="8">
        <f t="shared" si="263"/>
        <v>7.8517549075019</v>
      </c>
      <c r="M249" s="8">
        <f t="shared" si="263"/>
        <v>8.6464867087259769</v>
      </c>
      <c r="N249" s="8">
        <f t="shared" si="263"/>
        <v>9.4819790623114137</v>
      </c>
      <c r="O249" s="8">
        <f t="shared" si="263"/>
        <v>10.319932556631571</v>
      </c>
      <c r="P249" s="8">
        <f t="shared" si="263"/>
        <v>11.168015722760602</v>
      </c>
      <c r="Q249" s="8">
        <f t="shared" si="263"/>
        <v>11.992907577983001</v>
      </c>
      <c r="R249" s="8">
        <f t="shared" si="263"/>
        <v>11.914219046901959</v>
      </c>
      <c r="S249" s="8">
        <f t="shared" si="263"/>
        <v>11.832502685156392</v>
      </c>
      <c r="T249" s="8">
        <f t="shared" si="263"/>
        <v>11.736559424532528</v>
      </c>
      <c r="U249" s="8">
        <f t="shared" si="263"/>
        <v>11.500387876034136</v>
      </c>
      <c r="V249" s="8">
        <f t="shared" si="264"/>
        <v>11.272067939827416</v>
      </c>
      <c r="W249" s="8">
        <f t="shared" si="264"/>
        <v>11.020724414684583</v>
      </c>
      <c r="X249" s="8">
        <f t="shared" si="264"/>
        <v>10.778515853164649</v>
      </c>
      <c r="Y249" s="8">
        <f t="shared" si="264"/>
        <v>10.539862951124253</v>
      </c>
      <c r="Z249" s="8">
        <f t="shared" si="264"/>
        <v>10.308001248231252</v>
      </c>
      <c r="AA249" s="8">
        <f t="shared" si="264"/>
        <v>10.086908186114391</v>
      </c>
      <c r="AB249" s="8">
        <f t="shared" si="264"/>
        <v>9.8727865336843283</v>
      </c>
      <c r="AC249" s="8">
        <f t="shared" si="264"/>
        <v>9.6653077161052465</v>
      </c>
      <c r="AD249" s="8">
        <f t="shared" si="264"/>
        <v>9.466868289082143</v>
      </c>
      <c r="AE249" s="8">
        <f t="shared" si="264"/>
        <v>9.428711917513084</v>
      </c>
      <c r="AF249" s="8">
        <f t="shared" si="265"/>
        <v>9.3922183896560654</v>
      </c>
      <c r="AG249" s="8">
        <f t="shared" si="265"/>
        <v>9.3556889293210066</v>
      </c>
      <c r="AH249" s="8">
        <f t="shared" si="265"/>
        <v>9.3204687638944481</v>
      </c>
      <c r="AI249" s="8">
        <f t="shared" si="265"/>
        <v>9.2874502373778487</v>
      </c>
      <c r="AJ249" s="8">
        <f t="shared" si="265"/>
        <v>9.2542093348181034</v>
      </c>
      <c r="AK249" s="8">
        <f t="shared" si="265"/>
        <v>9.2219138417634721</v>
      </c>
      <c r="AL249" s="8">
        <f t="shared" si="265"/>
        <v>9.1910336750388062</v>
      </c>
      <c r="AM249" s="8">
        <f t="shared" si="265"/>
        <v>9.1609323981731912</v>
      </c>
      <c r="AN249" s="8">
        <f t="shared" si="265"/>
        <v>9.1307794870849168</v>
      </c>
      <c r="AO249" s="8">
        <f t="shared" si="265"/>
        <v>9.0120751596859385</v>
      </c>
      <c r="AP249" s="8">
        <f t="shared" ref="AP249:AP256" si="267">INDEX($L$233:$BR$241,MATCH($D249,$B$233:$B$241,0),MATCH(AP$247,$L$104:$BR$104,0))</f>
        <v>8.8744402443525257</v>
      </c>
      <c r="AQ249" s="8">
        <f t="shared" si="266"/>
        <v>8.5442555033392829</v>
      </c>
      <c r="AR249" s="8">
        <f t="shared" si="266"/>
        <v>7.9249057531954072</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customFormat="1">
      <c r="A250" t="s">
        <v>113</v>
      </c>
      <c r="B250" s="16" t="str">
        <f t="shared" si="259"/>
        <v>COM_PROJ</v>
      </c>
      <c r="C250" s="17" t="str">
        <f t="shared" si="260"/>
        <v>-</v>
      </c>
      <c r="D250" s="16" t="str">
        <f>COM!B164</f>
        <v>CEK</v>
      </c>
      <c r="E250" s="17" t="str">
        <f t="shared" si="261"/>
        <v>-</v>
      </c>
      <c r="F250" s="17" t="str">
        <f t="shared" si="261"/>
        <v>-</v>
      </c>
      <c r="G250" s="17" t="str">
        <f t="shared" si="261"/>
        <v>-</v>
      </c>
      <c r="H250" s="17" t="str">
        <f t="shared" si="261"/>
        <v>-</v>
      </c>
      <c r="I250" s="16">
        <f t="shared" si="262"/>
        <v>0</v>
      </c>
      <c r="J250" s="16"/>
      <c r="K250" s="16"/>
      <c r="L250" s="8">
        <f t="shared" si="263"/>
        <v>9.8944997565297594</v>
      </c>
      <c r="M250" s="8">
        <f t="shared" si="263"/>
        <v>9.7120807580170059</v>
      </c>
      <c r="N250" s="8">
        <f t="shared" si="263"/>
        <v>9.5529153405684184</v>
      </c>
      <c r="O250" s="8">
        <f t="shared" si="263"/>
        <v>9.3739244191123756</v>
      </c>
      <c r="P250" s="8">
        <f t="shared" si="263"/>
        <v>9.1852112925639382</v>
      </c>
      <c r="Q250" s="8">
        <f t="shared" si="263"/>
        <v>8.9629891158025892</v>
      </c>
      <c r="R250" s="8">
        <f t="shared" si="263"/>
        <v>8.904180653965307</v>
      </c>
      <c r="S250" s="8">
        <f t="shared" si="263"/>
        <v>8.8431093202502762</v>
      </c>
      <c r="T250" s="8">
        <f t="shared" si="263"/>
        <v>8.7714054073238561</v>
      </c>
      <c r="U250" s="8">
        <f t="shared" si="263"/>
        <v>8.7935448819082325</v>
      </c>
      <c r="V250" s="8">
        <f t="shared" si="264"/>
        <v>8.8176454118838201</v>
      </c>
      <c r="W250" s="8">
        <f t="shared" si="264"/>
        <v>8.8204978911741261</v>
      </c>
      <c r="X250" s="8">
        <f t="shared" si="264"/>
        <v>8.8262190109426086</v>
      </c>
      <c r="Y250" s="8">
        <f t="shared" si="264"/>
        <v>8.8306204114840892</v>
      </c>
      <c r="Z250" s="8">
        <f t="shared" si="264"/>
        <v>8.8361535143086876</v>
      </c>
      <c r="AA250" s="8">
        <f t="shared" si="264"/>
        <v>8.8458554953275126</v>
      </c>
      <c r="AB250" s="8">
        <f t="shared" si="264"/>
        <v>8.8568744009383096</v>
      </c>
      <c r="AC250" s="8">
        <f t="shared" si="264"/>
        <v>8.8689779852133181</v>
      </c>
      <c r="AD250" s="8">
        <f t="shared" si="264"/>
        <v>8.8840153899122463</v>
      </c>
      <c r="AE250" s="8">
        <f t="shared" si="264"/>
        <v>8.8407393145402651</v>
      </c>
      <c r="AF250" s="8">
        <f t="shared" si="265"/>
        <v>8.7989032181143187</v>
      </c>
      <c r="AG250" s="8">
        <f t="shared" si="265"/>
        <v>8.7572092657389469</v>
      </c>
      <c r="AH250" s="8">
        <f t="shared" si="265"/>
        <v>8.71669651287535</v>
      </c>
      <c r="AI250" s="8">
        <f t="shared" si="265"/>
        <v>8.6780634051180989</v>
      </c>
      <c r="AJ250" s="8">
        <f t="shared" si="265"/>
        <v>8.6394438448652107</v>
      </c>
      <c r="AK250" s="8">
        <f t="shared" si="265"/>
        <v>8.6017453909452914</v>
      </c>
      <c r="AL250" s="8">
        <f t="shared" si="265"/>
        <v>8.5653405429092011</v>
      </c>
      <c r="AM250" s="8">
        <f t="shared" si="265"/>
        <v>8.5297415350597117</v>
      </c>
      <c r="AN250" s="8">
        <f t="shared" si="265"/>
        <v>8.4943041171782756</v>
      </c>
      <c r="AO250" s="8">
        <f t="shared" si="265"/>
        <v>8.313824858457993</v>
      </c>
      <c r="AP250" s="8">
        <f t="shared" si="267"/>
        <v>8.1185310276080642</v>
      </c>
      <c r="AQ250" s="8">
        <f t="shared" si="266"/>
        <v>7.6849684248689956</v>
      </c>
      <c r="AR250" s="8">
        <f t="shared" si="266"/>
        <v>7.0251130149560366</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customFormat="1">
      <c r="A251" t="s">
        <v>113</v>
      </c>
      <c r="B251" s="16" t="str">
        <f t="shared" si="259"/>
        <v>COM_PROJ</v>
      </c>
      <c r="C251" s="17" t="str">
        <f t="shared" si="260"/>
        <v>-</v>
      </c>
      <c r="D251" s="16" t="str">
        <f>COM!B165</f>
        <v>CEL</v>
      </c>
      <c r="E251" s="17" t="str">
        <f t="shared" si="261"/>
        <v>-</v>
      </c>
      <c r="F251" s="17" t="str">
        <f t="shared" si="261"/>
        <v>-</v>
      </c>
      <c r="G251" s="17" t="str">
        <f t="shared" si="261"/>
        <v>-</v>
      </c>
      <c r="H251" s="17" t="str">
        <f t="shared" si="261"/>
        <v>-</v>
      </c>
      <c r="I251" s="16">
        <f t="shared" si="262"/>
        <v>0</v>
      </c>
      <c r="J251" s="16"/>
      <c r="K251" s="16"/>
      <c r="L251" s="8">
        <f t="shared" si="263"/>
        <v>121.540271905689</v>
      </c>
      <c r="M251" s="8">
        <f t="shared" si="263"/>
        <v>119.61728657242662</v>
      </c>
      <c r="N251" s="8">
        <f t="shared" si="263"/>
        <v>117.98748492339635</v>
      </c>
      <c r="O251" s="8">
        <f t="shared" si="263"/>
        <v>116.12030827207035</v>
      </c>
      <c r="P251" s="8">
        <f t="shared" si="263"/>
        <v>114.13974367983143</v>
      </c>
      <c r="Q251" s="8">
        <f t="shared" si="263"/>
        <v>111.748716602955</v>
      </c>
      <c r="R251" s="8">
        <f t="shared" si="263"/>
        <v>111.01550471897272</v>
      </c>
      <c r="S251" s="8">
        <f t="shared" si="263"/>
        <v>110.25407981086335</v>
      </c>
      <c r="T251" s="8">
        <f t="shared" si="263"/>
        <v>109.3600900780397</v>
      </c>
      <c r="U251" s="8">
        <f t="shared" si="263"/>
        <v>109.53659298188387</v>
      </c>
      <c r="V251" s="8">
        <f t="shared" si="264"/>
        <v>109.7389779822324</v>
      </c>
      <c r="W251" s="8">
        <f t="shared" si="264"/>
        <v>109.67825076447929</v>
      </c>
      <c r="X251" s="8">
        <f t="shared" si="264"/>
        <v>109.65486401846589</v>
      </c>
      <c r="Y251" s="8">
        <f t="shared" si="264"/>
        <v>109.61664973429598</v>
      </c>
      <c r="Z251" s="8">
        <f t="shared" si="264"/>
        <v>109.59407942626771</v>
      </c>
      <c r="AA251" s="8">
        <f t="shared" si="264"/>
        <v>109.62484098646863</v>
      </c>
      <c r="AB251" s="8">
        <f t="shared" si="264"/>
        <v>109.67341580780275</v>
      </c>
      <c r="AC251" s="8">
        <f t="shared" si="264"/>
        <v>109.73687139933122</v>
      </c>
      <c r="AD251" s="8">
        <f t="shared" si="264"/>
        <v>109.83810162605411</v>
      </c>
      <c r="AE251" s="8">
        <f t="shared" si="264"/>
        <v>109.29247520835742</v>
      </c>
      <c r="AF251" s="8">
        <f t="shared" si="265"/>
        <v>108.76425567580075</v>
      </c>
      <c r="AG251" s="8">
        <f t="shared" si="265"/>
        <v>108.23734013550227</v>
      </c>
      <c r="AH251" s="8">
        <f t="shared" si="265"/>
        <v>107.72458997715641</v>
      </c>
      <c r="AI251" s="8">
        <f t="shared" si="265"/>
        <v>107.23462587669248</v>
      </c>
      <c r="AJ251" s="8">
        <f t="shared" si="265"/>
        <v>106.74433268700982</v>
      </c>
      <c r="AK251" s="8">
        <f t="shared" si="265"/>
        <v>106.26492923305878</v>
      </c>
      <c r="AL251" s="8">
        <f t="shared" si="265"/>
        <v>105.80100073863208</v>
      </c>
      <c r="AM251" s="8">
        <f t="shared" si="265"/>
        <v>105.34649942102544</v>
      </c>
      <c r="AN251" s="8">
        <f t="shared" si="265"/>
        <v>104.89345815339864</v>
      </c>
      <c r="AO251" s="8">
        <f t="shared" si="265"/>
        <v>102.66271241024442</v>
      </c>
      <c r="AP251" s="8">
        <f t="shared" si="267"/>
        <v>100.24910865988869</v>
      </c>
      <c r="AQ251" s="8">
        <f t="shared" si="266"/>
        <v>94.891456404562319</v>
      </c>
      <c r="AR251" s="8">
        <f t="shared" si="266"/>
        <v>86.740645399746768</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customFormat="1">
      <c r="A252" t="s">
        <v>113</v>
      </c>
      <c r="B252" s="16" t="str">
        <f t="shared" si="259"/>
        <v>COM_PROJ</v>
      </c>
      <c r="C252" s="17" t="str">
        <f t="shared" si="260"/>
        <v>-</v>
      </c>
      <c r="D252" s="16" t="str">
        <f>COM!B166</f>
        <v>CER</v>
      </c>
      <c r="E252" s="17" t="str">
        <f t="shared" si="261"/>
        <v>-</v>
      </c>
      <c r="F252" s="17" t="str">
        <f t="shared" si="261"/>
        <v>-</v>
      </c>
      <c r="G252" s="17" t="str">
        <f t="shared" si="261"/>
        <v>-</v>
      </c>
      <c r="H252" s="17" t="str">
        <f t="shared" si="261"/>
        <v>-</v>
      </c>
      <c r="I252" s="16">
        <f t="shared" si="262"/>
        <v>0</v>
      </c>
      <c r="J252" s="16"/>
      <c r="K252" s="16"/>
      <c r="L252" s="8">
        <f t="shared" si="263"/>
        <v>29.566390373747101</v>
      </c>
      <c r="M252" s="8">
        <f t="shared" si="263"/>
        <v>29.098596990082953</v>
      </c>
      <c r="N252" s="8">
        <f t="shared" si="263"/>
        <v>28.702124684801319</v>
      </c>
      <c r="O252" s="8">
        <f t="shared" si="263"/>
        <v>28.247907552452908</v>
      </c>
      <c r="P252" s="8">
        <f t="shared" si="263"/>
        <v>27.766107199562512</v>
      </c>
      <c r="Q252" s="8">
        <f t="shared" si="263"/>
        <v>27.184456041138404</v>
      </c>
      <c r="R252" s="8">
        <f t="shared" si="263"/>
        <v>27.006091878802874</v>
      </c>
      <c r="S252" s="8">
        <f t="shared" si="263"/>
        <v>26.82086449926463</v>
      </c>
      <c r="T252" s="8">
        <f t="shared" si="263"/>
        <v>26.603388850935517</v>
      </c>
      <c r="U252" s="8">
        <f t="shared" si="263"/>
        <v>26.649123652353893</v>
      </c>
      <c r="V252" s="8">
        <f t="shared" si="264"/>
        <v>26.701252386101512</v>
      </c>
      <c r="W252" s="8">
        <f t="shared" si="264"/>
        <v>26.689382584248435</v>
      </c>
      <c r="X252" s="8">
        <f t="shared" si="264"/>
        <v>26.686659390933571</v>
      </c>
      <c r="Y252" s="8">
        <f t="shared" si="264"/>
        <v>26.68037964666193</v>
      </c>
      <c r="Z252" s="8">
        <f t="shared" si="264"/>
        <v>26.677978433571738</v>
      </c>
      <c r="AA252" s="8">
        <f t="shared" si="264"/>
        <v>26.688667407950661</v>
      </c>
      <c r="AB252" s="8">
        <f t="shared" si="264"/>
        <v>26.70379668678197</v>
      </c>
      <c r="AC252" s="8">
        <f t="shared" si="264"/>
        <v>26.722661875679783</v>
      </c>
      <c r="AD252" s="8">
        <f t="shared" si="264"/>
        <v>26.750871361782707</v>
      </c>
      <c r="AE252" s="8">
        <f t="shared" si="264"/>
        <v>26.621846998966564</v>
      </c>
      <c r="AF252" s="8">
        <f t="shared" si="265"/>
        <v>26.497190045711331</v>
      </c>
      <c r="AG252" s="8">
        <f t="shared" si="265"/>
        <v>26.372964210763222</v>
      </c>
      <c r="AH252" s="8">
        <f t="shared" si="265"/>
        <v>26.252320915723256</v>
      </c>
      <c r="AI252" s="8">
        <f t="shared" si="265"/>
        <v>26.137378523485488</v>
      </c>
      <c r="AJ252" s="8">
        <f t="shared" si="265"/>
        <v>26.022477220390215</v>
      </c>
      <c r="AK252" s="8">
        <f t="shared" si="265"/>
        <v>25.910369603005609</v>
      </c>
      <c r="AL252" s="8">
        <f t="shared" si="265"/>
        <v>25.802185450419323</v>
      </c>
      <c r="AM252" s="8">
        <f t="shared" si="265"/>
        <v>25.69644538505057</v>
      </c>
      <c r="AN252" s="8">
        <f t="shared" si="265"/>
        <v>25.591195416827585</v>
      </c>
      <c r="AO252" s="8">
        <f t="shared" si="265"/>
        <v>25.054960532685662</v>
      </c>
      <c r="AP252" s="8">
        <f t="shared" si="267"/>
        <v>24.473793530516655</v>
      </c>
      <c r="AQ252" s="8">
        <f t="shared" si="266"/>
        <v>23.181117920219165</v>
      </c>
      <c r="AR252" s="8">
        <f t="shared" si="266"/>
        <v>21.202103546194021</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90" customFormat="1">
      <c r="A253" t="s">
        <v>113</v>
      </c>
      <c r="B253" s="16" t="str">
        <f t="shared" si="259"/>
        <v>COM_PROJ</v>
      </c>
      <c r="C253" s="17" t="str">
        <f t="shared" si="260"/>
        <v>-</v>
      </c>
      <c r="D253" s="16" t="str">
        <f>COM!B167</f>
        <v>CEW</v>
      </c>
      <c r="E253" s="17" t="str">
        <f t="shared" si="261"/>
        <v>-</v>
      </c>
      <c r="F253" s="17" t="str">
        <f t="shared" si="261"/>
        <v>-</v>
      </c>
      <c r="G253" s="17" t="str">
        <f t="shared" si="261"/>
        <v>-</v>
      </c>
      <c r="H253" s="17" t="str">
        <f t="shared" si="261"/>
        <v>-</v>
      </c>
      <c r="I253" s="16">
        <f t="shared" si="262"/>
        <v>0</v>
      </c>
      <c r="J253" s="16"/>
      <c r="K253" s="16"/>
      <c r="L253" s="8">
        <f t="shared" si="263"/>
        <v>9.6831090230750299</v>
      </c>
      <c r="M253" s="8">
        <f t="shared" si="263"/>
        <v>10.586585246419229</v>
      </c>
      <c r="N253" s="8">
        <f t="shared" si="263"/>
        <v>11.538509766671879</v>
      </c>
      <c r="O253" s="8">
        <f t="shared" si="263"/>
        <v>12.491985690523343</v>
      </c>
      <c r="P253" s="8">
        <f t="shared" si="263"/>
        <v>13.456498623549582</v>
      </c>
      <c r="Q253" s="8">
        <f t="shared" si="263"/>
        <v>14.3921338097343</v>
      </c>
      <c r="R253" s="8">
        <f t="shared" si="263"/>
        <v>14.297703342289619</v>
      </c>
      <c r="S253" s="8">
        <f t="shared" si="263"/>
        <v>14.199639315277025</v>
      </c>
      <c r="T253" s="8">
        <f t="shared" si="263"/>
        <v>14.08450224479915</v>
      </c>
      <c r="U253" s="8">
        <f t="shared" si="263"/>
        <v>13.820336720794826</v>
      </c>
      <c r="V253" s="8">
        <f t="shared" si="264"/>
        <v>13.565564194254939</v>
      </c>
      <c r="W253" s="8">
        <f t="shared" si="264"/>
        <v>13.282917124636764</v>
      </c>
      <c r="X253" s="8">
        <f t="shared" si="264"/>
        <v>13.011120388405965</v>
      </c>
      <c r="Y253" s="8">
        <f t="shared" si="264"/>
        <v>12.743448613865509</v>
      </c>
      <c r="Z253" s="8">
        <f t="shared" si="264"/>
        <v>12.483838120243483</v>
      </c>
      <c r="AA253" s="8">
        <f t="shared" si="264"/>
        <v>12.237165789744212</v>
      </c>
      <c r="AB253" s="8">
        <f t="shared" si="264"/>
        <v>11.998852157042849</v>
      </c>
      <c r="AC253" s="8">
        <f t="shared" si="264"/>
        <v>11.768524298059502</v>
      </c>
      <c r="AD253" s="8">
        <f t="shared" si="264"/>
        <v>11.549151433809065</v>
      </c>
      <c r="AE253" s="8">
        <f t="shared" si="264"/>
        <v>11.510882140955713</v>
      </c>
      <c r="AF253" s="8">
        <f t="shared" si="265"/>
        <v>11.474925064418457</v>
      </c>
      <c r="AG253" s="8">
        <f t="shared" si="265"/>
        <v>11.439196232741223</v>
      </c>
      <c r="AH253" s="8">
        <f t="shared" si="265"/>
        <v>11.405364087672643</v>
      </c>
      <c r="AI253" s="8">
        <f t="shared" si="265"/>
        <v>11.374550143734936</v>
      </c>
      <c r="AJ253" s="8">
        <f t="shared" si="265"/>
        <v>11.343757953421283</v>
      </c>
      <c r="AK253" s="8">
        <f t="shared" si="265"/>
        <v>11.314444810490793</v>
      </c>
      <c r="AL253" s="8">
        <f t="shared" si="265"/>
        <v>11.287208848368692</v>
      </c>
      <c r="AM253" s="8">
        <f t="shared" si="265"/>
        <v>11.261266847406755</v>
      </c>
      <c r="AN253" s="8">
        <f t="shared" si="265"/>
        <v>11.23558431618337</v>
      </c>
      <c r="AO253" s="8">
        <f t="shared" si="265"/>
        <v>11.101885327497449</v>
      </c>
      <c r="AP253" s="8">
        <f t="shared" si="267"/>
        <v>10.944398146985222</v>
      </c>
      <c r="AQ253" s="8">
        <f t="shared" si="266"/>
        <v>10.560417666025696</v>
      </c>
      <c r="AR253" s="8">
        <f t="shared" si="266"/>
        <v>9.8130722050412675</v>
      </c>
      <c r="AS253" s="5"/>
      <c r="AT253" s="5"/>
      <c r="AU253" s="5"/>
      <c r="AV253" s="5"/>
      <c r="AW253" s="5"/>
      <c r="AX253" s="5"/>
    </row>
    <row r="254" spans="1:90" customFormat="1">
      <c r="A254" t="s">
        <v>113</v>
      </c>
      <c r="B254" s="16" t="str">
        <f t="shared" si="259"/>
        <v>COM_PROJ</v>
      </c>
      <c r="C254" s="17" t="str">
        <f t="shared" si="260"/>
        <v>-</v>
      </c>
      <c r="D254" s="16" t="str">
        <f>COM!B168</f>
        <v>CEG</v>
      </c>
      <c r="E254" s="17" t="str">
        <f t="shared" si="261"/>
        <v>-</v>
      </c>
      <c r="F254" s="17" t="str">
        <f t="shared" si="261"/>
        <v>-</v>
      </c>
      <c r="G254" s="17" t="str">
        <f t="shared" si="261"/>
        <v>-</v>
      </c>
      <c r="H254" s="17" t="str">
        <f t="shared" si="261"/>
        <v>-</v>
      </c>
      <c r="I254" s="16">
        <f t="shared" si="262"/>
        <v>0</v>
      </c>
      <c r="J254" s="16"/>
      <c r="K254" s="16"/>
      <c r="L254" s="8">
        <f t="shared" si="263"/>
        <v>10.300552873773198</v>
      </c>
      <c r="M254" s="8">
        <f t="shared" si="263"/>
        <v>10.137579632145695</v>
      </c>
      <c r="N254" s="8">
        <f t="shared" si="263"/>
        <v>9.9994537435297381</v>
      </c>
      <c r="O254" s="8">
        <f t="shared" si="263"/>
        <v>9.8412102945058528</v>
      </c>
      <c r="P254" s="8">
        <f t="shared" si="263"/>
        <v>9.6733572036545361</v>
      </c>
      <c r="Q254" s="8">
        <f t="shared" si="263"/>
        <v>9.4707173671475111</v>
      </c>
      <c r="R254" s="8">
        <f t="shared" si="263"/>
        <v>9.5388470786807869</v>
      </c>
      <c r="S254" s="8">
        <f t="shared" si="263"/>
        <v>9.5950215040281002</v>
      </c>
      <c r="T254" s="8">
        <f t="shared" si="263"/>
        <v>9.5950215040281002</v>
      </c>
      <c r="U254" s="8">
        <f t="shared" si="263"/>
        <v>9.7477819087863704</v>
      </c>
      <c r="V254" s="8">
        <f t="shared" si="264"/>
        <v>9.9180496228188275</v>
      </c>
      <c r="W254" s="8">
        <f t="shared" si="264"/>
        <v>9.9832054611891152</v>
      </c>
      <c r="X254" s="8">
        <f t="shared" si="264"/>
        <v>10.070663595045366</v>
      </c>
      <c r="Y254" s="8">
        <f t="shared" si="264"/>
        <v>10.158295931578795</v>
      </c>
      <c r="Z254" s="8">
        <f t="shared" si="264"/>
        <v>10.259053909182397</v>
      </c>
      <c r="AA254" s="8">
        <f t="shared" si="264"/>
        <v>10.388983644992319</v>
      </c>
      <c r="AB254" s="8">
        <f t="shared" si="264"/>
        <v>10.533017595044042</v>
      </c>
      <c r="AC254" s="8">
        <f t="shared" si="264"/>
        <v>10.68992874928932</v>
      </c>
      <c r="AD254" s="8">
        <f t="shared" si="264"/>
        <v>10.869486560056904</v>
      </c>
      <c r="AE254" s="8">
        <f t="shared" si="264"/>
        <v>11.055410489142012</v>
      </c>
      <c r="AF254" s="8">
        <f t="shared" si="265"/>
        <v>11.248942166845541</v>
      </c>
      <c r="AG254" s="8">
        <f t="shared" si="265"/>
        <v>11.443224825115387</v>
      </c>
      <c r="AH254" s="8">
        <f t="shared" si="265"/>
        <v>11.643748039178451</v>
      </c>
      <c r="AI254" s="8">
        <f t="shared" si="265"/>
        <v>11.854201861949578</v>
      </c>
      <c r="AJ254" s="8">
        <f t="shared" si="265"/>
        <v>12.064727259383579</v>
      </c>
      <c r="AK254" s="8">
        <f t="shared" si="265"/>
        <v>12.280119078963093</v>
      </c>
      <c r="AL254" s="8">
        <f t="shared" si="265"/>
        <v>12.502345323728193</v>
      </c>
      <c r="AM254" s="8">
        <f t="shared" si="265"/>
        <v>12.728829012383823</v>
      </c>
      <c r="AN254" s="8">
        <f t="shared" si="265"/>
        <v>12.956166418977189</v>
      </c>
      <c r="AO254" s="8">
        <f t="shared" si="265"/>
        <v>14.075460144484714</v>
      </c>
      <c r="AP254" s="8">
        <f t="shared" si="267"/>
        <v>15.116484989074081</v>
      </c>
      <c r="AQ254" s="8">
        <f t="shared" si="266"/>
        <v>16.971487922313639</v>
      </c>
      <c r="AR254" s="8">
        <f t="shared" si="266"/>
        <v>17.630932548345314</v>
      </c>
      <c r="AS254" s="5"/>
      <c r="AT254" s="5"/>
      <c r="AU254" s="5"/>
      <c r="AV254" s="5"/>
      <c r="AW254" s="5"/>
      <c r="AX254" s="5"/>
    </row>
    <row r="255" spans="1:90" customFormat="1">
      <c r="B255" s="16" t="str">
        <f t="shared" si="259"/>
        <v>COM_PROJ</v>
      </c>
      <c r="C255" s="17" t="str">
        <f t="shared" si="260"/>
        <v>-</v>
      </c>
      <c r="D255" s="16" t="str">
        <f>COM!B169</f>
        <v>CET</v>
      </c>
      <c r="E255" s="17" t="str">
        <f t="shared" si="261"/>
        <v>-</v>
      </c>
      <c r="F255" s="17" t="str">
        <f t="shared" si="261"/>
        <v>-</v>
      </c>
      <c r="G255" s="17" t="str">
        <f t="shared" si="261"/>
        <v>-</v>
      </c>
      <c r="H255" s="17" t="str">
        <f t="shared" si="261"/>
        <v>-</v>
      </c>
      <c r="I255" s="16">
        <f t="shared" si="262"/>
        <v>0</v>
      </c>
      <c r="J255" s="16"/>
      <c r="K255" s="16"/>
      <c r="L255" s="8">
        <f t="shared" si="263"/>
        <v>3.5593512487513506</v>
      </c>
      <c r="M255" s="8">
        <f t="shared" si="263"/>
        <v>3.5030359210006532</v>
      </c>
      <c r="N255" s="8">
        <f t="shared" si="263"/>
        <v>3.4553065845121336</v>
      </c>
      <c r="O255" s="8">
        <f t="shared" si="263"/>
        <v>3.400625634393037</v>
      </c>
      <c r="P255" s="8">
        <f t="shared" si="263"/>
        <v>3.3426240770155089</v>
      </c>
      <c r="Q255" s="8">
        <f t="shared" si="263"/>
        <v>3.2726019758762099</v>
      </c>
      <c r="R255" s="8">
        <f t="shared" si="263"/>
        <v>3.2961441659697601</v>
      </c>
      <c r="S255" s="8">
        <f t="shared" si="263"/>
        <v>3.3155552124891114</v>
      </c>
      <c r="T255" s="8">
        <f t="shared" si="263"/>
        <v>3.3155552124891114</v>
      </c>
      <c r="U255" s="8">
        <f t="shared" si="263"/>
        <v>3.3683414992155769</v>
      </c>
      <c r="V255" s="8">
        <f t="shared" si="264"/>
        <v>3.4271774285089007</v>
      </c>
      <c r="W255" s="8">
        <f t="shared" si="264"/>
        <v>3.4496919981158594</v>
      </c>
      <c r="X255" s="8">
        <f t="shared" si="264"/>
        <v>3.4799131155422169</v>
      </c>
      <c r="Y255" s="8">
        <f t="shared" si="264"/>
        <v>3.5101944286225515</v>
      </c>
      <c r="Z255" s="8">
        <f t="shared" si="264"/>
        <v>3.5450113008623103</v>
      </c>
      <c r="AA255" s="8">
        <f t="shared" si="264"/>
        <v>3.5899084605655025</v>
      </c>
      <c r="AB255" s="8">
        <f t="shared" si="264"/>
        <v>3.6396793249318731</v>
      </c>
      <c r="AC255" s="8">
        <f t="shared" si="264"/>
        <v>3.6938999012106453</v>
      </c>
      <c r="AD255" s="8">
        <f t="shared" si="264"/>
        <v>3.7559460191045617</v>
      </c>
      <c r="AE255" s="8">
        <f t="shared" si="264"/>
        <v>3.8201919462185137</v>
      </c>
      <c r="AF255" s="8">
        <f t="shared" si="265"/>
        <v>3.8870667273247697</v>
      </c>
      <c r="AG255" s="8">
        <f t="shared" si="265"/>
        <v>3.9542010094159976</v>
      </c>
      <c r="AH255" s="8">
        <f t="shared" si="265"/>
        <v>4.0234917126554599</v>
      </c>
      <c r="AI255" s="8">
        <f t="shared" si="265"/>
        <v>4.096213933109488</v>
      </c>
      <c r="AJ255" s="8">
        <f t="shared" si="265"/>
        <v>4.1689608861549408</v>
      </c>
      <c r="AK255" s="8">
        <f t="shared" si="265"/>
        <v>4.2433894291065704</v>
      </c>
      <c r="AL255" s="8">
        <f t="shared" si="265"/>
        <v>4.3201796044984118</v>
      </c>
      <c r="AM255" s="8">
        <f t="shared" si="265"/>
        <v>4.398440937644013</v>
      </c>
      <c r="AN255" s="8">
        <f t="shared" si="265"/>
        <v>4.4769972726254359</v>
      </c>
      <c r="AO255" s="8">
        <f t="shared" si="265"/>
        <v>4.8637686982397375</v>
      </c>
      <c r="AP255" s="8">
        <f t="shared" si="267"/>
        <v>5.2234943485011698</v>
      </c>
      <c r="AQ255" s="8">
        <f t="shared" si="266"/>
        <v>5.8644897482408176</v>
      </c>
      <c r="AR255" s="8">
        <f t="shared" si="266"/>
        <v>6.0923605316746405</v>
      </c>
      <c r="AS255" s="5"/>
      <c r="AT255" s="5"/>
      <c r="AU255" s="5"/>
      <c r="AV255" s="5"/>
      <c r="AW255" s="5"/>
      <c r="AX255" s="5"/>
    </row>
    <row r="256" spans="1:90" customFormat="1">
      <c r="B256" s="16" t="str">
        <f t="shared" si="259"/>
        <v>COM_PROJ</v>
      </c>
      <c r="C256" s="17" t="str">
        <f t="shared" si="260"/>
        <v>-</v>
      </c>
      <c r="D256" s="16" t="str">
        <f>COM!B170</f>
        <v>CEO</v>
      </c>
      <c r="E256" s="17" t="str">
        <f t="shared" si="261"/>
        <v>-</v>
      </c>
      <c r="F256" s="17" t="str">
        <f t="shared" si="261"/>
        <v>-</v>
      </c>
      <c r="G256" s="17" t="str">
        <f t="shared" si="261"/>
        <v>-</v>
      </c>
      <c r="H256" s="17" t="str">
        <f t="shared" si="261"/>
        <v>-</v>
      </c>
      <c r="I256" s="16">
        <f t="shared" si="262"/>
        <v>0</v>
      </c>
      <c r="J256" s="16"/>
      <c r="K256" s="16"/>
      <c r="L256" s="8">
        <f t="shared" si="263"/>
        <v>18.760184357078899</v>
      </c>
      <c r="M256" s="8">
        <f t="shared" si="263"/>
        <v>19.031279794352393</v>
      </c>
      <c r="N256" s="8">
        <f t="shared" si="263"/>
        <v>19.361114074755577</v>
      </c>
      <c r="O256" s="8">
        <f t="shared" si="263"/>
        <v>19.665306575633906</v>
      </c>
      <c r="P256" s="8">
        <f t="shared" si="263"/>
        <v>19.962784234968577</v>
      </c>
      <c r="Q256" s="8">
        <f t="shared" si="263"/>
        <v>20.198960613823004</v>
      </c>
      <c r="R256" s="8">
        <f t="shared" si="263"/>
        <v>20.066430071939777</v>
      </c>
      <c r="S256" s="8">
        <f t="shared" si="263"/>
        <v>19.928799929985388</v>
      </c>
      <c r="T256" s="8">
        <f t="shared" si="263"/>
        <v>19.767208245074805</v>
      </c>
      <c r="U256" s="8">
        <f t="shared" si="263"/>
        <v>19.646200969169087</v>
      </c>
      <c r="V256" s="8">
        <f t="shared" si="264"/>
        <v>19.533173552383825</v>
      </c>
      <c r="W256" s="8">
        <f t="shared" si="264"/>
        <v>19.375822035240297</v>
      </c>
      <c r="X256" s="8">
        <f t="shared" si="264"/>
        <v>19.228495707763599</v>
      </c>
      <c r="Y256" s="8">
        <f t="shared" si="264"/>
        <v>19.081755697315536</v>
      </c>
      <c r="Z256" s="8">
        <f t="shared" si="264"/>
        <v>18.941126518752839</v>
      </c>
      <c r="AA256" s="8">
        <f t="shared" si="264"/>
        <v>18.813452740981369</v>
      </c>
      <c r="AB256" s="8">
        <f t="shared" si="264"/>
        <v>18.69230721143628</v>
      </c>
      <c r="AC256" s="8">
        <f t="shared" si="264"/>
        <v>18.577166541515069</v>
      </c>
      <c r="AD256" s="8">
        <f t="shared" si="264"/>
        <v>18.4721979505562</v>
      </c>
      <c r="AE256" s="8">
        <f t="shared" si="264"/>
        <v>18.392473298036958</v>
      </c>
      <c r="AF256" s="8">
        <f t="shared" si="265"/>
        <v>18.315993776984449</v>
      </c>
      <c r="AG256" s="8">
        <f t="shared" si="265"/>
        <v>18.239834591262262</v>
      </c>
      <c r="AH256" s="8">
        <f t="shared" si="265"/>
        <v>18.166337352587774</v>
      </c>
      <c r="AI256" s="8">
        <f t="shared" si="265"/>
        <v>18.097076075485983</v>
      </c>
      <c r="AJ256" s="8">
        <f t="shared" si="265"/>
        <v>18.027845328992179</v>
      </c>
      <c r="AK256" s="8">
        <f t="shared" si="265"/>
        <v>17.960690384476976</v>
      </c>
      <c r="AL256" s="8">
        <f t="shared" si="265"/>
        <v>17.896450705612516</v>
      </c>
      <c r="AM256" s="8">
        <f t="shared" si="265"/>
        <v>17.834027065346326</v>
      </c>
      <c r="AN256" s="8">
        <f t="shared" si="265"/>
        <v>17.7719675836614</v>
      </c>
      <c r="AO256" s="8">
        <f t="shared" si="265"/>
        <v>17.454250954100807</v>
      </c>
      <c r="AP256" s="8">
        <f t="shared" si="267"/>
        <v>17.103148257114363</v>
      </c>
      <c r="AQ256" s="8">
        <f t="shared" si="266"/>
        <v>16.304094687804305</v>
      </c>
      <c r="AR256" s="8">
        <f t="shared" si="266"/>
        <v>14.99506844752023</v>
      </c>
      <c r="AS256" s="5"/>
      <c r="AT256" s="5"/>
      <c r="AU256" s="5"/>
      <c r="AV256" s="5"/>
      <c r="AW256" s="5"/>
      <c r="AX256" s="5"/>
    </row>
    <row r="257" spans="1:50" customFormat="1">
      <c r="A257" t="s">
        <v>16</v>
      </c>
      <c r="B257" s="16"/>
      <c r="C257" s="17" t="str">
        <f t="shared" si="260"/>
        <v/>
      </c>
      <c r="D257" s="16"/>
      <c r="E257" s="17" t="str">
        <f t="shared" si="261"/>
        <v/>
      </c>
      <c r="F257" s="17" t="str">
        <f t="shared" si="261"/>
        <v/>
      </c>
      <c r="G257" s="17"/>
      <c r="H257" s="17" t="str">
        <f t="shared" si="261"/>
        <v/>
      </c>
      <c r="I257" s="16" t="str">
        <f t="shared" si="262"/>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1:50" s="185" customFormat="1">
      <c r="B258" s="186" t="str">
        <f t="shared" ref="B258:B266" si="268">IF(A258="*","","COM_PROJ")</f>
        <v>COM_PROJ</v>
      </c>
      <c r="C258" s="186" t="str">
        <f t="shared" si="260"/>
        <v>-</v>
      </c>
      <c r="D258" s="186" t="str">
        <f>COM!B174</f>
        <v>CNC</v>
      </c>
      <c r="E258" s="186" t="str">
        <f t="shared" si="261"/>
        <v>-</v>
      </c>
      <c r="F258" s="186" t="str">
        <f t="shared" si="261"/>
        <v>-</v>
      </c>
      <c r="G258" s="186" t="str">
        <f t="shared" si="261"/>
        <v>-</v>
      </c>
      <c r="H258" s="186" t="str">
        <f t="shared" si="261"/>
        <v>-</v>
      </c>
      <c r="I258" s="186">
        <f t="shared" si="262"/>
        <v>0</v>
      </c>
      <c r="J258" s="186"/>
      <c r="K258" s="186"/>
      <c r="L258" s="187">
        <f t="shared" ref="L258:U266" si="269">INDEX($L$220:$AX$228,MATCH($D258,$B$220:$B$228,0),MATCH(L$247,$L$104:$AX$104,0))</f>
        <v>0</v>
      </c>
      <c r="M258" s="187">
        <f t="shared" si="269"/>
        <v>0</v>
      </c>
      <c r="N258" s="187">
        <f t="shared" si="269"/>
        <v>0</v>
      </c>
      <c r="O258" s="187">
        <f t="shared" si="269"/>
        <v>0</v>
      </c>
      <c r="P258" s="187">
        <f t="shared" si="269"/>
        <v>0</v>
      </c>
      <c r="Q258" s="187">
        <f t="shared" si="269"/>
        <v>0</v>
      </c>
      <c r="R258" s="187">
        <f t="shared" si="269"/>
        <v>1.7663141176431716</v>
      </c>
      <c r="S258" s="187">
        <f t="shared" si="269"/>
        <v>3.4029475996970713</v>
      </c>
      <c r="T258" s="187">
        <f t="shared" si="269"/>
        <v>4.4302493543804173</v>
      </c>
      <c r="U258" s="187">
        <f t="shared" si="269"/>
        <v>7.1917286123115618</v>
      </c>
      <c r="V258" s="187">
        <f t="shared" ref="V258:AE266" si="270">INDEX($L$220:$AX$228,MATCH($D258,$B$220:$B$228,0),MATCH(V$247,$L$104:$AX$104,0))</f>
        <v>10.205459457953769</v>
      </c>
      <c r="W258" s="187">
        <f t="shared" si="270"/>
        <v>12.104276183044473</v>
      </c>
      <c r="X258" s="187">
        <f t="shared" si="270"/>
        <v>14.293119281054754</v>
      </c>
      <c r="Y258" s="187">
        <f t="shared" si="270"/>
        <v>16.526817125544348</v>
      </c>
      <c r="Z258" s="187">
        <f t="shared" si="270"/>
        <v>18.955059480624989</v>
      </c>
      <c r="AA258" s="187">
        <f t="shared" si="270"/>
        <v>21.769747920407127</v>
      </c>
      <c r="AB258" s="187">
        <f t="shared" si="270"/>
        <v>24.803557394929335</v>
      </c>
      <c r="AC258" s="187">
        <f t="shared" si="270"/>
        <v>28.046857149372503</v>
      </c>
      <c r="AD258" s="187">
        <f t="shared" si="270"/>
        <v>31.621656240192273</v>
      </c>
      <c r="AE258" s="187">
        <f t="shared" si="270"/>
        <v>34.724467973747593</v>
      </c>
      <c r="AF258" s="187">
        <f t="shared" ref="AF258:AO266" si="271">INDEX($L$220:$AX$228,MATCH($D258,$B$220:$B$228,0),MATCH(AF$247,$L$104:$AX$104,0))</f>
        <v>37.86500059919149</v>
      </c>
      <c r="AG258" s="187">
        <f t="shared" si="271"/>
        <v>40.960600908550944</v>
      </c>
      <c r="AH258" s="187">
        <f t="shared" si="271"/>
        <v>44.075015944502361</v>
      </c>
      <c r="AI258" s="187">
        <f t="shared" si="271"/>
        <v>47.24914750962936</v>
      </c>
      <c r="AJ258" s="187">
        <f t="shared" si="271"/>
        <v>50.367192170748794</v>
      </c>
      <c r="AK258" s="187">
        <f t="shared" si="271"/>
        <v>53.483651749809965</v>
      </c>
      <c r="AL258" s="187">
        <f t="shared" si="271"/>
        <v>56.619359498490226</v>
      </c>
      <c r="AM258" s="187">
        <f t="shared" si="271"/>
        <v>59.743581564299944</v>
      </c>
      <c r="AN258" s="187">
        <f t="shared" si="271"/>
        <v>62.81737563406007</v>
      </c>
      <c r="AO258" s="187">
        <f t="shared" si="271"/>
        <v>82.229613656649164</v>
      </c>
      <c r="AP258" s="187">
        <f>INDEX($L$220:$BR$228,MATCH($D258,$B$220:$B$228,0),MATCH(AP$247,$L$104:$BR$104,0))</f>
        <v>101.50253119469508</v>
      </c>
      <c r="AQ258" s="187">
        <f t="shared" ref="AQ258:AR266" si="272">INDEX($L$220:$BR$228,MATCH($D258,$B$220:$B$228,0),MATCH(AQ$247,$L$104:$BR$104,0))</f>
        <v>139.49797088309612</v>
      </c>
      <c r="AR258" s="187">
        <f t="shared" si="272"/>
        <v>165.20400313695853</v>
      </c>
      <c r="AS258" s="188"/>
      <c r="AT258" s="188"/>
      <c r="AU258" s="188"/>
      <c r="AV258" s="188"/>
      <c r="AW258" s="188"/>
      <c r="AX258" s="188"/>
    </row>
    <row r="259" spans="1:50" customFormat="1">
      <c r="B259" s="16" t="str">
        <f t="shared" si="268"/>
        <v>COM_PROJ</v>
      </c>
      <c r="C259" s="17" t="str">
        <f t="shared" si="260"/>
        <v>-</v>
      </c>
      <c r="D259" s="16" t="str">
        <f>COM!B175</f>
        <v>CNH</v>
      </c>
      <c r="E259" s="17" t="str">
        <f t="shared" si="261"/>
        <v>-</v>
      </c>
      <c r="F259" s="17" t="str">
        <f t="shared" si="261"/>
        <v>-</v>
      </c>
      <c r="G259" s="17" t="str">
        <f t="shared" si="261"/>
        <v>-</v>
      </c>
      <c r="H259" s="17" t="str">
        <f t="shared" si="261"/>
        <v>-</v>
      </c>
      <c r="I259" s="16">
        <f t="shared" si="262"/>
        <v>0</v>
      </c>
      <c r="J259" s="16"/>
      <c r="K259" s="16"/>
      <c r="L259" s="8">
        <f t="shared" si="269"/>
        <v>0</v>
      </c>
      <c r="M259" s="8">
        <f t="shared" si="269"/>
        <v>0</v>
      </c>
      <c r="N259" s="8">
        <f t="shared" si="269"/>
        <v>0</v>
      </c>
      <c r="O259" s="8">
        <f t="shared" si="269"/>
        <v>0</v>
      </c>
      <c r="P259" s="8">
        <f t="shared" si="269"/>
        <v>0</v>
      </c>
      <c r="Q259" s="8">
        <f t="shared" si="269"/>
        <v>0</v>
      </c>
      <c r="R259" s="8">
        <f t="shared" si="269"/>
        <v>0.16496217879515399</v>
      </c>
      <c r="S259" s="8">
        <f t="shared" si="269"/>
        <v>0.31781303493220059</v>
      </c>
      <c r="T259" s="8">
        <f t="shared" si="269"/>
        <v>0.4137562955560648</v>
      </c>
      <c r="U259" s="8">
        <f t="shared" si="269"/>
        <v>0.65316093726803881</v>
      </c>
      <c r="V259" s="8">
        <f t="shared" si="270"/>
        <v>0.90117700952821456</v>
      </c>
      <c r="W259" s="8">
        <f t="shared" si="270"/>
        <v>1.0390142142263863</v>
      </c>
      <c r="X259" s="8">
        <f t="shared" si="270"/>
        <v>1.1924039793403594</v>
      </c>
      <c r="Y259" s="8">
        <f t="shared" si="270"/>
        <v>1.3396823836969087</v>
      </c>
      <c r="Z259" s="8">
        <f t="shared" si="270"/>
        <v>1.4926229619715241</v>
      </c>
      <c r="AA259" s="8">
        <f t="shared" si="270"/>
        <v>1.6648693787524804</v>
      </c>
      <c r="AB259" s="8">
        <f t="shared" si="270"/>
        <v>1.8417260407143445</v>
      </c>
      <c r="AC259" s="8">
        <f t="shared" si="270"/>
        <v>2.0214115416406555</v>
      </c>
      <c r="AD259" s="8">
        <f t="shared" si="270"/>
        <v>2.2114756545018097</v>
      </c>
      <c r="AE259" s="8">
        <f t="shared" si="270"/>
        <v>2.5041992491847194</v>
      </c>
      <c r="AF259" s="8">
        <f t="shared" si="271"/>
        <v>2.8145595007803763</v>
      </c>
      <c r="AG259" s="8">
        <f t="shared" si="271"/>
        <v>3.1368346340326294</v>
      </c>
      <c r="AH259" s="8">
        <f t="shared" si="271"/>
        <v>3.4761127498929412</v>
      </c>
      <c r="AI259" s="8">
        <f t="shared" si="271"/>
        <v>3.836221463944951</v>
      </c>
      <c r="AJ259" s="8">
        <f t="shared" si="271"/>
        <v>4.2082980659291858</v>
      </c>
      <c r="AK259" s="8">
        <f t="shared" si="271"/>
        <v>4.5970330100368715</v>
      </c>
      <c r="AL259" s="8">
        <f t="shared" si="271"/>
        <v>5.0046727425549635</v>
      </c>
      <c r="AM259" s="8">
        <f t="shared" si="271"/>
        <v>5.428997900724819</v>
      </c>
      <c r="AN259" s="8">
        <f t="shared" si="271"/>
        <v>5.8667317705726347</v>
      </c>
      <c r="AO259" s="8">
        <f t="shared" si="271"/>
        <v>7.2611564070254566</v>
      </c>
      <c r="AP259" s="187">
        <f t="shared" ref="AP259:AP266" si="273">INDEX($L$220:$BR$228,MATCH($D259,$B$220:$B$228,0),MATCH(AP$247,$L$104:$BR$104,0))</f>
        <v>8.4678522392308739</v>
      </c>
      <c r="AQ259" s="187">
        <f t="shared" si="272"/>
        <v>10.358072493856554</v>
      </c>
      <c r="AR259" s="187">
        <f t="shared" si="272"/>
        <v>10.867810059098403</v>
      </c>
      <c r="AS259" s="5"/>
      <c r="AT259" s="5"/>
      <c r="AU259" s="5"/>
      <c r="AV259" s="5"/>
      <c r="AW259" s="5"/>
      <c r="AX259" s="5"/>
    </row>
    <row r="260" spans="1:50" customFormat="1">
      <c r="B260" s="16" t="str">
        <f t="shared" si="268"/>
        <v>COM_PROJ</v>
      </c>
      <c r="C260" s="17" t="str">
        <f t="shared" si="260"/>
        <v>-</v>
      </c>
      <c r="D260" s="16" t="str">
        <f>COM!B176</f>
        <v>CNK</v>
      </c>
      <c r="E260" s="17" t="str">
        <f t="shared" si="261"/>
        <v>-</v>
      </c>
      <c r="F260" s="17" t="str">
        <f t="shared" si="261"/>
        <v>-</v>
      </c>
      <c r="G260" s="17" t="str">
        <f t="shared" si="261"/>
        <v>-</v>
      </c>
      <c r="H260" s="17" t="str">
        <f t="shared" si="261"/>
        <v>-</v>
      </c>
      <c r="I260" s="16">
        <f t="shared" si="262"/>
        <v>0</v>
      </c>
      <c r="J260" s="16"/>
      <c r="K260" s="16"/>
      <c r="L260" s="8">
        <f t="shared" si="269"/>
        <v>0</v>
      </c>
      <c r="M260" s="8">
        <f t="shared" si="269"/>
        <v>0</v>
      </c>
      <c r="N260" s="8">
        <f t="shared" si="269"/>
        <v>0</v>
      </c>
      <c r="O260" s="8">
        <f t="shared" si="269"/>
        <v>0</v>
      </c>
      <c r="P260" s="8">
        <f t="shared" si="269"/>
        <v>0</v>
      </c>
      <c r="Q260" s="8">
        <f t="shared" si="269"/>
        <v>0</v>
      </c>
      <c r="R260" s="8">
        <f t="shared" si="269"/>
        <v>0.12328571728297376</v>
      </c>
      <c r="S260" s="8">
        <f t="shared" si="269"/>
        <v>0.23751994705495594</v>
      </c>
      <c r="T260" s="8">
        <f t="shared" si="269"/>
        <v>0.3092238599813768</v>
      </c>
      <c r="U260" s="8">
        <f t="shared" si="269"/>
        <v>0.50126849336187362</v>
      </c>
      <c r="V260" s="8">
        <f t="shared" si="270"/>
        <v>0.71035272273862615</v>
      </c>
      <c r="W260" s="8">
        <f t="shared" si="270"/>
        <v>0.84138817209163819</v>
      </c>
      <c r="X260" s="8">
        <f t="shared" si="270"/>
        <v>0.99222933902116983</v>
      </c>
      <c r="Y260" s="8">
        <f t="shared" si="270"/>
        <v>1.1458104638122655</v>
      </c>
      <c r="Z260" s="8">
        <f t="shared" si="270"/>
        <v>1.3124959165115861</v>
      </c>
      <c r="AA260" s="8">
        <f t="shared" si="270"/>
        <v>1.5055177559806767</v>
      </c>
      <c r="AB260" s="8">
        <f t="shared" si="270"/>
        <v>1.7132323210726008</v>
      </c>
      <c r="AC260" s="8">
        <f t="shared" si="270"/>
        <v>1.9349339378321841</v>
      </c>
      <c r="AD260" s="8">
        <f t="shared" si="270"/>
        <v>2.1789927387601393</v>
      </c>
      <c r="AE260" s="8">
        <f t="shared" si="270"/>
        <v>2.3907171130874225</v>
      </c>
      <c r="AF260" s="8">
        <f t="shared" si="271"/>
        <v>2.604627823086255</v>
      </c>
      <c r="AG260" s="8">
        <f t="shared" si="271"/>
        <v>2.81502776766881</v>
      </c>
      <c r="AH260" s="8">
        <f t="shared" si="271"/>
        <v>3.0262923003866025</v>
      </c>
      <c r="AI260" s="8">
        <f t="shared" si="271"/>
        <v>3.2412132654099777</v>
      </c>
      <c r="AJ260" s="8">
        <f t="shared" si="271"/>
        <v>3.4518318847165848</v>
      </c>
      <c r="AK260" s="8">
        <f t="shared" si="271"/>
        <v>3.6618795865855285</v>
      </c>
      <c r="AL260" s="8">
        <f t="shared" si="271"/>
        <v>3.8727702181438133</v>
      </c>
      <c r="AM260" s="8">
        <f t="shared" si="271"/>
        <v>4.082387890241244</v>
      </c>
      <c r="AN260" s="8">
        <f t="shared" si="271"/>
        <v>4.2880643891125363</v>
      </c>
      <c r="AO260" s="8">
        <f t="shared" si="271"/>
        <v>5.5976587721299413</v>
      </c>
      <c r="AP260" s="187">
        <f t="shared" si="273"/>
        <v>6.8912594685527075</v>
      </c>
      <c r="AQ260" s="187">
        <f t="shared" si="272"/>
        <v>9.4233833695119706</v>
      </c>
      <c r="AR260" s="187">
        <f t="shared" si="272"/>
        <v>11.107966763906996</v>
      </c>
      <c r="AS260" s="5"/>
      <c r="AT260" s="5"/>
      <c r="AU260" s="5"/>
      <c r="AV260" s="5"/>
      <c r="AW260" s="5"/>
      <c r="AX260" s="5"/>
    </row>
    <row r="261" spans="1:50" s="185" customFormat="1">
      <c r="B261" s="186" t="str">
        <f t="shared" si="268"/>
        <v>COM_PROJ</v>
      </c>
      <c r="C261" s="186" t="str">
        <f t="shared" si="260"/>
        <v>-</v>
      </c>
      <c r="D261" s="186" t="str">
        <f>COM!B177</f>
        <v>CNL</v>
      </c>
      <c r="E261" s="186" t="str">
        <f t="shared" si="261"/>
        <v>-</v>
      </c>
      <c r="F261" s="186" t="str">
        <f t="shared" si="261"/>
        <v>-</v>
      </c>
      <c r="G261" s="186" t="str">
        <f t="shared" si="261"/>
        <v>-</v>
      </c>
      <c r="H261" s="186" t="str">
        <f t="shared" si="261"/>
        <v>-</v>
      </c>
      <c r="I261" s="186">
        <f t="shared" si="262"/>
        <v>0</v>
      </c>
      <c r="J261" s="186"/>
      <c r="K261" s="186"/>
      <c r="L261" s="187">
        <f t="shared" si="269"/>
        <v>0</v>
      </c>
      <c r="M261" s="187">
        <f t="shared" si="269"/>
        <v>0</v>
      </c>
      <c r="N261" s="187">
        <f t="shared" si="269"/>
        <v>0</v>
      </c>
      <c r="O261" s="187">
        <f t="shared" si="269"/>
        <v>0</v>
      </c>
      <c r="P261" s="187">
        <f t="shared" si="269"/>
        <v>0</v>
      </c>
      <c r="Q261" s="187">
        <f t="shared" si="269"/>
        <v>0</v>
      </c>
      <c r="R261" s="187">
        <f t="shared" si="269"/>
        <v>1.5371011281891316</v>
      </c>
      <c r="S261" s="187">
        <f t="shared" si="269"/>
        <v>2.9613501598697858</v>
      </c>
      <c r="T261" s="187">
        <f t="shared" si="269"/>
        <v>3.8553398926934275</v>
      </c>
      <c r="U261" s="187">
        <f t="shared" si="269"/>
        <v>6.2467188180737221</v>
      </c>
      <c r="V261" s="187">
        <f t="shared" si="270"/>
        <v>8.848124590542696</v>
      </c>
      <c r="W261" s="187">
        <f t="shared" si="270"/>
        <v>10.475454356489587</v>
      </c>
      <c r="X261" s="187">
        <f t="shared" si="270"/>
        <v>12.347850869938128</v>
      </c>
      <c r="Y261" s="187">
        <f t="shared" si="270"/>
        <v>14.252741381095079</v>
      </c>
      <c r="Z261" s="187">
        <f t="shared" si="270"/>
        <v>16.318989592409707</v>
      </c>
      <c r="AA261" s="187">
        <f t="shared" si="270"/>
        <v>18.710877562290896</v>
      </c>
      <c r="AB261" s="187">
        <f t="shared" si="270"/>
        <v>21.283385270832824</v>
      </c>
      <c r="AC261" s="187">
        <f t="shared" si="270"/>
        <v>24.027571766031677</v>
      </c>
      <c r="AD261" s="187">
        <f t="shared" si="270"/>
        <v>27.047171786392191</v>
      </c>
      <c r="AE261" s="187">
        <f t="shared" si="270"/>
        <v>29.701121387919876</v>
      </c>
      <c r="AF261" s="187">
        <f t="shared" si="271"/>
        <v>32.387335063001984</v>
      </c>
      <c r="AG261" s="187">
        <f t="shared" si="271"/>
        <v>35.035116466774028</v>
      </c>
      <c r="AH261" s="187">
        <f t="shared" si="271"/>
        <v>37.698990801870785</v>
      </c>
      <c r="AI261" s="187">
        <f t="shared" si="271"/>
        <v>40.413942892377648</v>
      </c>
      <c r="AJ261" s="187">
        <f t="shared" si="271"/>
        <v>43.080921780085227</v>
      </c>
      <c r="AK261" s="187">
        <f t="shared" si="271"/>
        <v>45.746544888500296</v>
      </c>
      <c r="AL261" s="187">
        <f t="shared" si="271"/>
        <v>48.428631668087647</v>
      </c>
      <c r="AM261" s="187">
        <f t="shared" si="271"/>
        <v>51.100894318435081</v>
      </c>
      <c r="AN261" s="187">
        <f t="shared" si="271"/>
        <v>53.730024039196635</v>
      </c>
      <c r="AO261" s="187">
        <f t="shared" si="271"/>
        <v>70.072830790881483</v>
      </c>
      <c r="AP261" s="187">
        <f t="shared" si="273"/>
        <v>86.18743881250218</v>
      </c>
      <c r="AQ261" s="187">
        <f t="shared" si="272"/>
        <v>117.65147307980342</v>
      </c>
      <c r="AR261" s="187">
        <f t="shared" si="272"/>
        <v>138.45868539601972</v>
      </c>
      <c r="AS261" s="188"/>
      <c r="AT261" s="188"/>
      <c r="AU261" s="188"/>
      <c r="AV261" s="188"/>
      <c r="AW261" s="188"/>
      <c r="AX261" s="188"/>
    </row>
    <row r="262" spans="1:50" customFormat="1">
      <c r="B262" s="16" t="str">
        <f t="shared" si="268"/>
        <v>COM_PROJ</v>
      </c>
      <c r="C262" s="17" t="str">
        <f t="shared" si="260"/>
        <v>-</v>
      </c>
      <c r="D262" s="16" t="str">
        <f>COM!B178</f>
        <v>CNR</v>
      </c>
      <c r="E262" s="17" t="str">
        <f t="shared" si="261"/>
        <v>-</v>
      </c>
      <c r="F262" s="17" t="str">
        <f t="shared" si="261"/>
        <v>-</v>
      </c>
      <c r="G262" s="17" t="str">
        <f t="shared" si="261"/>
        <v>-</v>
      </c>
      <c r="H262" s="17" t="str">
        <f t="shared" si="261"/>
        <v>-</v>
      </c>
      <c r="I262" s="16">
        <f t="shared" si="262"/>
        <v>0</v>
      </c>
      <c r="J262" s="16"/>
      <c r="K262" s="16"/>
      <c r="L262" s="8">
        <f t="shared" si="269"/>
        <v>0</v>
      </c>
      <c r="M262" s="8">
        <f t="shared" si="269"/>
        <v>0</v>
      </c>
      <c r="N262" s="8">
        <f t="shared" si="269"/>
        <v>0</v>
      </c>
      <c r="O262" s="8">
        <f t="shared" si="269"/>
        <v>0</v>
      </c>
      <c r="P262" s="8">
        <f t="shared" si="269"/>
        <v>0</v>
      </c>
      <c r="Q262" s="8">
        <f t="shared" si="269"/>
        <v>0</v>
      </c>
      <c r="R262" s="8">
        <f t="shared" si="269"/>
        <v>0.37392159230343008</v>
      </c>
      <c r="S262" s="8">
        <f t="shared" si="269"/>
        <v>0.72039031579598123</v>
      </c>
      <c r="T262" s="8">
        <f t="shared" si="269"/>
        <v>0.93786596412508894</v>
      </c>
      <c r="U262" s="8">
        <f t="shared" si="269"/>
        <v>1.5187863437861393</v>
      </c>
      <c r="V262" s="8">
        <f t="shared" si="270"/>
        <v>2.1501391121175994</v>
      </c>
      <c r="W262" s="8">
        <f t="shared" si="270"/>
        <v>2.5442669893171557</v>
      </c>
      <c r="X262" s="8">
        <f t="shared" si="270"/>
        <v>2.9975018298660734</v>
      </c>
      <c r="Y262" s="8">
        <f t="shared" si="270"/>
        <v>3.4581867393449137</v>
      </c>
      <c r="Z262" s="8">
        <f t="shared" si="270"/>
        <v>3.9575722640940083</v>
      </c>
      <c r="AA262" s="8">
        <f t="shared" si="270"/>
        <v>4.5354335224744728</v>
      </c>
      <c r="AB262" s="8">
        <f t="shared" si="270"/>
        <v>5.1565334486172025</v>
      </c>
      <c r="AC262" s="8">
        <f t="shared" si="270"/>
        <v>5.8186581091883864</v>
      </c>
      <c r="AD262" s="8">
        <f t="shared" si="270"/>
        <v>6.546872765591667</v>
      </c>
      <c r="AE262" s="8">
        <f t="shared" si="270"/>
        <v>7.1892715533361278</v>
      </c>
      <c r="AF262" s="8">
        <f t="shared" si="271"/>
        <v>7.8394799851398131</v>
      </c>
      <c r="AG262" s="8">
        <f t="shared" si="271"/>
        <v>8.4803857367096178</v>
      </c>
      <c r="AH262" s="8">
        <f t="shared" si="271"/>
        <v>9.1251868446826858</v>
      </c>
      <c r="AI262" s="8">
        <f t="shared" si="271"/>
        <v>9.7823515213298791</v>
      </c>
      <c r="AJ262" s="8">
        <f t="shared" si="271"/>
        <v>10.427904098295627</v>
      </c>
      <c r="AK262" s="8">
        <f t="shared" si="271"/>
        <v>11.073128503628631</v>
      </c>
      <c r="AL262" s="8">
        <f t="shared" si="271"/>
        <v>11.722338004381985</v>
      </c>
      <c r="AM262" s="8">
        <f t="shared" si="271"/>
        <v>12.369169536574546</v>
      </c>
      <c r="AN262" s="8">
        <f t="shared" si="271"/>
        <v>13.005560575977851</v>
      </c>
      <c r="AO262" s="8">
        <f t="shared" si="271"/>
        <v>16.943336284885756</v>
      </c>
      <c r="AP262" s="187">
        <f t="shared" si="273"/>
        <v>20.818335091206073</v>
      </c>
      <c r="AQ262" s="187">
        <f t="shared" si="272"/>
        <v>28.362756729694176</v>
      </c>
      <c r="AR262" s="187">
        <f t="shared" si="272"/>
        <v>33.317608946471694</v>
      </c>
      <c r="AS262" s="5"/>
      <c r="AT262" s="5"/>
      <c r="AU262" s="5"/>
      <c r="AV262" s="5"/>
      <c r="AW262" s="5"/>
      <c r="AX262" s="5"/>
    </row>
    <row r="263" spans="1:50" customFormat="1">
      <c r="B263" s="16" t="str">
        <f t="shared" si="268"/>
        <v>COM_PROJ</v>
      </c>
      <c r="C263" s="17" t="str">
        <f t="shared" si="260"/>
        <v>-</v>
      </c>
      <c r="D263" s="16" t="str">
        <f>COM!B179</f>
        <v>CNW</v>
      </c>
      <c r="E263" s="17" t="str">
        <f t="shared" si="261"/>
        <v>-</v>
      </c>
      <c r="F263" s="17" t="str">
        <f t="shared" si="261"/>
        <v>-</v>
      </c>
      <c r="G263" s="17" t="str">
        <f t="shared" si="261"/>
        <v>-</v>
      </c>
      <c r="H263" s="17" t="str">
        <f t="shared" si="261"/>
        <v>-</v>
      </c>
      <c r="I263" s="16">
        <f t="shared" si="262"/>
        <v>0</v>
      </c>
      <c r="J263" s="16"/>
      <c r="K263" s="16"/>
      <c r="L263" s="8">
        <f t="shared" si="269"/>
        <v>0</v>
      </c>
      <c r="M263" s="8">
        <f t="shared" si="269"/>
        <v>0</v>
      </c>
      <c r="N263" s="8">
        <f t="shared" si="269"/>
        <v>0</v>
      </c>
      <c r="O263" s="8">
        <f t="shared" si="269"/>
        <v>0</v>
      </c>
      <c r="P263" s="8">
        <f t="shared" si="269"/>
        <v>0</v>
      </c>
      <c r="Q263" s="8">
        <f t="shared" si="269"/>
        <v>0</v>
      </c>
      <c r="R263" s="8">
        <f t="shared" si="269"/>
        <v>0.19796348261065</v>
      </c>
      <c r="S263" s="8">
        <f t="shared" si="269"/>
        <v>0.38139272694964443</v>
      </c>
      <c r="T263" s="8">
        <f t="shared" si="269"/>
        <v>0.49652979742751913</v>
      </c>
      <c r="U263" s="8">
        <f t="shared" si="269"/>
        <v>0.78327986028250074</v>
      </c>
      <c r="V263" s="8">
        <f t="shared" si="270"/>
        <v>1.0799210239974737</v>
      </c>
      <c r="W263" s="8">
        <f t="shared" si="270"/>
        <v>1.2441621897108941</v>
      </c>
      <c r="X263" s="8">
        <f t="shared" si="270"/>
        <v>1.4267253627459495</v>
      </c>
      <c r="Y263" s="8">
        <f t="shared" si="270"/>
        <v>1.6016492377143454</v>
      </c>
      <c r="Z263" s="8">
        <f t="shared" si="270"/>
        <v>1.7829972818233779</v>
      </c>
      <c r="AA263" s="8">
        <f t="shared" si="270"/>
        <v>1.9870157933952377</v>
      </c>
      <c r="AB263" s="8">
        <f t="shared" si="270"/>
        <v>2.1960968819339595</v>
      </c>
      <c r="AC263" s="8">
        <f t="shared" si="270"/>
        <v>2.4080766204663582</v>
      </c>
      <c r="AD263" s="8">
        <f t="shared" si="270"/>
        <v>2.6319011632939842</v>
      </c>
      <c r="AE263" s="8">
        <f t="shared" si="270"/>
        <v>2.9753108742433754</v>
      </c>
      <c r="AF263" s="8">
        <f t="shared" si="271"/>
        <v>3.3387270194021577</v>
      </c>
      <c r="AG263" s="8">
        <f t="shared" si="271"/>
        <v>3.7153362097416949</v>
      </c>
      <c r="AH263" s="8">
        <f t="shared" si="271"/>
        <v>4.1111525588085147</v>
      </c>
      <c r="AI263" s="8">
        <f t="shared" si="271"/>
        <v>4.5306679592900654</v>
      </c>
      <c r="AJ263" s="8">
        <f t="shared" si="271"/>
        <v>4.963384879062958</v>
      </c>
      <c r="AK263" s="8">
        <f t="shared" si="271"/>
        <v>5.41482787139498</v>
      </c>
      <c r="AL263" s="8">
        <f t="shared" si="271"/>
        <v>5.8876187080142408</v>
      </c>
      <c r="AM263" s="8">
        <f t="shared" si="271"/>
        <v>6.3791206880794338</v>
      </c>
      <c r="AN263" s="8">
        <f t="shared" si="271"/>
        <v>6.8854704245993039</v>
      </c>
      <c r="AO263" s="8">
        <f t="shared" si="271"/>
        <v>8.5098982515074653</v>
      </c>
      <c r="AP263" s="187">
        <f t="shared" si="273"/>
        <v>9.9089336289395291</v>
      </c>
      <c r="AQ263" s="187">
        <f t="shared" si="272"/>
        <v>12.079309140103804</v>
      </c>
      <c r="AR263" s="187">
        <f t="shared" si="272"/>
        <v>12.622738633992434</v>
      </c>
      <c r="AS263" s="5"/>
      <c r="AT263" s="5"/>
      <c r="AU263" s="5"/>
      <c r="AV263" s="5"/>
      <c r="AW263" s="5"/>
      <c r="AX263" s="5"/>
    </row>
    <row r="264" spans="1:50" customFormat="1">
      <c r="B264" s="16" t="str">
        <f t="shared" si="268"/>
        <v>COM_PROJ</v>
      </c>
      <c r="C264" s="17" t="str">
        <f t="shared" si="260"/>
        <v>-</v>
      </c>
      <c r="D264" s="16" t="str">
        <f>COM!B180</f>
        <v>CNG</v>
      </c>
      <c r="E264" s="17" t="str">
        <f t="shared" ref="E264:H266" si="274">IF($A264="*","","-")</f>
        <v>-</v>
      </c>
      <c r="F264" s="17" t="str">
        <f t="shared" si="274"/>
        <v>-</v>
      </c>
      <c r="G264" s="17" t="str">
        <f t="shared" si="274"/>
        <v>-</v>
      </c>
      <c r="H264" s="17" t="str">
        <f t="shared" si="274"/>
        <v>-</v>
      </c>
      <c r="I264" s="16">
        <f t="shared" si="262"/>
        <v>0</v>
      </c>
      <c r="J264" s="16"/>
      <c r="K264" s="16"/>
      <c r="L264" s="8">
        <f t="shared" si="269"/>
        <v>0</v>
      </c>
      <c r="M264" s="8">
        <f t="shared" si="269"/>
        <v>0</v>
      </c>
      <c r="N264" s="8">
        <f t="shared" si="269"/>
        <v>0</v>
      </c>
      <c r="O264" s="8">
        <f t="shared" si="269"/>
        <v>0</v>
      </c>
      <c r="P264" s="8">
        <f t="shared" si="269"/>
        <v>0</v>
      </c>
      <c r="Q264" s="8">
        <f t="shared" si="269"/>
        <v>0</v>
      </c>
      <c r="R264" s="8">
        <f t="shared" si="269"/>
        <v>0</v>
      </c>
      <c r="S264" s="8">
        <f t="shared" si="269"/>
        <v>0</v>
      </c>
      <c r="T264" s="8">
        <f t="shared" si="269"/>
        <v>0</v>
      </c>
      <c r="U264" s="8">
        <f t="shared" si="269"/>
        <v>0</v>
      </c>
      <c r="V264" s="8">
        <f t="shared" si="270"/>
        <v>0</v>
      </c>
      <c r="W264" s="8">
        <f t="shared" si="270"/>
        <v>0</v>
      </c>
      <c r="X264" s="8">
        <f t="shared" si="270"/>
        <v>0</v>
      </c>
      <c r="Y264" s="8">
        <f t="shared" si="270"/>
        <v>0</v>
      </c>
      <c r="Z264" s="8">
        <f t="shared" si="270"/>
        <v>0</v>
      </c>
      <c r="AA264" s="8">
        <f t="shared" si="270"/>
        <v>0</v>
      </c>
      <c r="AB264" s="8">
        <f t="shared" si="270"/>
        <v>0</v>
      </c>
      <c r="AC264" s="8">
        <f t="shared" si="270"/>
        <v>0</v>
      </c>
      <c r="AD264" s="8">
        <f t="shared" si="270"/>
        <v>0</v>
      </c>
      <c r="AE264" s="8">
        <f t="shared" si="270"/>
        <v>0</v>
      </c>
      <c r="AF264" s="8">
        <f t="shared" si="271"/>
        <v>0</v>
      </c>
      <c r="AG264" s="8">
        <f t="shared" si="271"/>
        <v>0</v>
      </c>
      <c r="AH264" s="8">
        <f t="shared" si="271"/>
        <v>0</v>
      </c>
      <c r="AI264" s="8">
        <f t="shared" si="271"/>
        <v>0</v>
      </c>
      <c r="AJ264" s="8">
        <f t="shared" si="271"/>
        <v>0</v>
      </c>
      <c r="AK264" s="8">
        <f t="shared" si="271"/>
        <v>0</v>
      </c>
      <c r="AL264" s="8">
        <f t="shared" si="271"/>
        <v>0</v>
      </c>
      <c r="AM264" s="8">
        <f t="shared" si="271"/>
        <v>0</v>
      </c>
      <c r="AN264" s="8">
        <f t="shared" si="271"/>
        <v>0</v>
      </c>
      <c r="AO264" s="8">
        <f t="shared" si="271"/>
        <v>0</v>
      </c>
      <c r="AP264" s="187">
        <f t="shared" si="273"/>
        <v>0</v>
      </c>
      <c r="AQ264" s="187">
        <f t="shared" si="272"/>
        <v>0</v>
      </c>
      <c r="AR264" s="187">
        <f t="shared" si="272"/>
        <v>0</v>
      </c>
      <c r="AS264" s="5"/>
      <c r="AT264" s="5"/>
      <c r="AU264" s="5"/>
      <c r="AV264" s="5"/>
      <c r="AW264" s="5"/>
      <c r="AX264" s="5"/>
    </row>
    <row r="265" spans="1:50" customFormat="1">
      <c r="B265" s="16" t="str">
        <f t="shared" si="268"/>
        <v>COM_PROJ</v>
      </c>
      <c r="C265" s="17" t="str">
        <f t="shared" si="260"/>
        <v>-</v>
      </c>
      <c r="D265" s="16" t="str">
        <f>COM!B181</f>
        <v>CNT</v>
      </c>
      <c r="E265" s="17" t="str">
        <f t="shared" si="274"/>
        <v>-</v>
      </c>
      <c r="F265" s="17" t="str">
        <f t="shared" si="274"/>
        <v>-</v>
      </c>
      <c r="G265" s="17" t="str">
        <f t="shared" si="274"/>
        <v>-</v>
      </c>
      <c r="H265" s="17" t="str">
        <f t="shared" si="274"/>
        <v>-</v>
      </c>
      <c r="I265" s="16">
        <f t="shared" si="262"/>
        <v>0</v>
      </c>
      <c r="J265" s="16"/>
      <c r="K265" s="16"/>
      <c r="L265" s="8">
        <f t="shared" si="269"/>
        <v>0</v>
      </c>
      <c r="M265" s="8">
        <f t="shared" si="269"/>
        <v>0</v>
      </c>
      <c r="N265" s="8">
        <f t="shared" si="269"/>
        <v>0</v>
      </c>
      <c r="O265" s="8">
        <f t="shared" si="269"/>
        <v>0</v>
      </c>
      <c r="P265" s="8">
        <f t="shared" si="269"/>
        <v>0</v>
      </c>
      <c r="Q265" s="8">
        <f t="shared" si="269"/>
        <v>0</v>
      </c>
      <c r="R265" s="8">
        <f t="shared" si="269"/>
        <v>0</v>
      </c>
      <c r="S265" s="8">
        <f t="shared" si="269"/>
        <v>0</v>
      </c>
      <c r="T265" s="8">
        <f t="shared" si="269"/>
        <v>0</v>
      </c>
      <c r="U265" s="8">
        <f t="shared" si="269"/>
        <v>0</v>
      </c>
      <c r="V265" s="8">
        <f t="shared" si="270"/>
        <v>0</v>
      </c>
      <c r="W265" s="8">
        <f t="shared" si="270"/>
        <v>0</v>
      </c>
      <c r="X265" s="8">
        <f t="shared" si="270"/>
        <v>0</v>
      </c>
      <c r="Y265" s="8">
        <f t="shared" si="270"/>
        <v>0</v>
      </c>
      <c r="Z265" s="8">
        <f t="shared" si="270"/>
        <v>0</v>
      </c>
      <c r="AA265" s="8">
        <f t="shared" si="270"/>
        <v>0</v>
      </c>
      <c r="AB265" s="8">
        <f t="shared" si="270"/>
        <v>0</v>
      </c>
      <c r="AC265" s="8">
        <f t="shared" si="270"/>
        <v>0</v>
      </c>
      <c r="AD265" s="8">
        <f t="shared" si="270"/>
        <v>0</v>
      </c>
      <c r="AE265" s="8">
        <f t="shared" si="270"/>
        <v>0</v>
      </c>
      <c r="AF265" s="8">
        <f t="shared" si="271"/>
        <v>0</v>
      </c>
      <c r="AG265" s="8">
        <f t="shared" si="271"/>
        <v>0</v>
      </c>
      <c r="AH265" s="8">
        <f t="shared" si="271"/>
        <v>0</v>
      </c>
      <c r="AI265" s="8">
        <f t="shared" si="271"/>
        <v>0</v>
      </c>
      <c r="AJ265" s="8">
        <f t="shared" si="271"/>
        <v>0</v>
      </c>
      <c r="AK265" s="8">
        <f t="shared" si="271"/>
        <v>0</v>
      </c>
      <c r="AL265" s="8">
        <f t="shared" si="271"/>
        <v>0</v>
      </c>
      <c r="AM265" s="8">
        <f t="shared" si="271"/>
        <v>0</v>
      </c>
      <c r="AN265" s="8">
        <f t="shared" si="271"/>
        <v>0</v>
      </c>
      <c r="AO265" s="8">
        <f t="shared" si="271"/>
        <v>0</v>
      </c>
      <c r="AP265" s="187">
        <f t="shared" si="273"/>
        <v>0</v>
      </c>
      <c r="AQ265" s="187">
        <f t="shared" si="272"/>
        <v>0</v>
      </c>
      <c r="AR265" s="187">
        <f t="shared" si="272"/>
        <v>0</v>
      </c>
      <c r="AS265" s="5"/>
      <c r="AT265" s="5"/>
      <c r="AU265" s="5"/>
      <c r="AV265" s="5"/>
      <c r="AW265" s="5"/>
      <c r="AX265" s="5"/>
    </row>
    <row r="266" spans="1:50" customFormat="1">
      <c r="B266" s="16" t="str">
        <f t="shared" si="268"/>
        <v>COM_PROJ</v>
      </c>
      <c r="C266" s="17" t="str">
        <f t="shared" si="260"/>
        <v>-</v>
      </c>
      <c r="D266" s="16" t="str">
        <f>COM!B182</f>
        <v>CNO</v>
      </c>
      <c r="E266" s="17" t="str">
        <f t="shared" si="274"/>
        <v>-</v>
      </c>
      <c r="F266" s="17" t="str">
        <f t="shared" si="274"/>
        <v>-</v>
      </c>
      <c r="G266" s="17" t="str">
        <f t="shared" si="274"/>
        <v>-</v>
      </c>
      <c r="H266" s="17" t="str">
        <f t="shared" si="274"/>
        <v>-</v>
      </c>
      <c r="I266" s="16">
        <f t="shared" si="262"/>
        <v>0</v>
      </c>
      <c r="J266" s="16"/>
      <c r="K266" s="16"/>
      <c r="L266" s="8">
        <f t="shared" si="269"/>
        <v>0</v>
      </c>
      <c r="M266" s="8">
        <f t="shared" si="269"/>
        <v>0</v>
      </c>
      <c r="N266" s="8">
        <f t="shared" si="269"/>
        <v>0</v>
      </c>
      <c r="O266" s="8">
        <f t="shared" si="269"/>
        <v>0</v>
      </c>
      <c r="P266" s="8">
        <f t="shared" si="269"/>
        <v>0</v>
      </c>
      <c r="Q266" s="8">
        <f t="shared" si="269"/>
        <v>0</v>
      </c>
      <c r="R266" s="8">
        <f t="shared" si="269"/>
        <v>0.27783625702001274</v>
      </c>
      <c r="S266" s="8">
        <f t="shared" si="269"/>
        <v>0.53527411375538358</v>
      </c>
      <c r="T266" s="8">
        <f t="shared" si="269"/>
        <v>0.69686579866596787</v>
      </c>
      <c r="U266" s="8">
        <f t="shared" si="269"/>
        <v>1.1173280459028756</v>
      </c>
      <c r="V266" s="8">
        <f t="shared" si="270"/>
        <v>1.5662291722212769</v>
      </c>
      <c r="W266" s="8">
        <f t="shared" si="270"/>
        <v>1.8352057299228939</v>
      </c>
      <c r="X266" s="8">
        <f t="shared" si="270"/>
        <v>2.1411296058620501</v>
      </c>
      <c r="Y266" s="8">
        <f t="shared" si="270"/>
        <v>2.4463635266187609</v>
      </c>
      <c r="Z266" s="8">
        <f t="shared" si="270"/>
        <v>2.7727940831509161</v>
      </c>
      <c r="AA266" s="8">
        <f t="shared" si="270"/>
        <v>3.1473894883873554</v>
      </c>
      <c r="AB266" s="8">
        <f t="shared" si="270"/>
        <v>3.5445304028335625</v>
      </c>
      <c r="AC266" s="8">
        <f t="shared" si="270"/>
        <v>3.9620387467098332</v>
      </c>
      <c r="AD266" s="8">
        <f t="shared" si="270"/>
        <v>4.4162148913892567</v>
      </c>
      <c r="AE266" s="8">
        <f t="shared" si="270"/>
        <v>4.8953163977715919</v>
      </c>
      <c r="AF266" s="8">
        <f t="shared" si="271"/>
        <v>5.3887510721344878</v>
      </c>
      <c r="AG266" s="8">
        <f t="shared" si="271"/>
        <v>5.8850111666122782</v>
      </c>
      <c r="AH266" s="8">
        <f t="shared" si="271"/>
        <v>6.3933801841455704</v>
      </c>
      <c r="AI266" s="8">
        <f t="shared" si="271"/>
        <v>6.920154916468821</v>
      </c>
      <c r="AJ266" s="8">
        <f t="shared" si="271"/>
        <v>7.4487007712514313</v>
      </c>
      <c r="AK266" s="8">
        <f t="shared" si="271"/>
        <v>7.9871605312482519</v>
      </c>
      <c r="AL266" s="8">
        <f t="shared" si="271"/>
        <v>8.5389208752261716</v>
      </c>
      <c r="AM266" s="8">
        <f t="shared" si="271"/>
        <v>9.0996472836921214</v>
      </c>
      <c r="AN266" s="8">
        <f t="shared" si="271"/>
        <v>9.6635667617303849</v>
      </c>
      <c r="AO266" s="8">
        <f t="shared" si="271"/>
        <v>12.342060759969995</v>
      </c>
      <c r="AP266" s="187">
        <f t="shared" si="273"/>
        <v>14.870634327696049</v>
      </c>
      <c r="AQ266" s="187">
        <f t="shared" si="272"/>
        <v>19.496170157401476</v>
      </c>
      <c r="AR266" s="187">
        <f t="shared" si="272"/>
        <v>22.060001396893494</v>
      </c>
      <c r="AS266" s="5"/>
      <c r="AT266" s="5"/>
      <c r="AU266" s="5"/>
      <c r="AV266" s="5"/>
      <c r="AW266" s="5"/>
      <c r="AX266" s="5"/>
    </row>
    <row r="267" spans="1:50">
      <c r="M267" s="71"/>
    </row>
    <row r="268" spans="1:50">
      <c r="M268" s="71"/>
    </row>
    <row r="269" spans="1:50">
      <c r="O269" s="78"/>
      <c r="AD269" s="78"/>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73296304208503"/>
  </sheetPr>
  <dimension ref="A1:CF247"/>
  <sheetViews>
    <sheetView tabSelected="1" zoomScale="70" zoomScaleNormal="70" workbookViewId="0">
      <selection activeCell="M8" sqref="M8"/>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0" t="s">
        <v>209</v>
      </c>
      <c r="BF1" s="160" t="s">
        <v>519</v>
      </c>
      <c r="BG1" s="160" t="s">
        <v>185</v>
      </c>
      <c r="BH1" s="160" t="s">
        <v>523</v>
      </c>
      <c r="BJ1" s="160"/>
    </row>
    <row r="2" spans="1:62" ht="15.75" thickBot="1">
      <c r="A2" t="s">
        <v>16</v>
      </c>
      <c r="B2" s="362" t="s">
        <v>280</v>
      </c>
      <c r="C2" s="362"/>
      <c r="BE2" s="160"/>
      <c r="BF2" s="160"/>
      <c r="BG2" s="160"/>
      <c r="BH2" s="160" t="s">
        <v>141</v>
      </c>
      <c r="BI2" s="160" t="s">
        <v>141</v>
      </c>
      <c r="BJ2" s="160" t="s">
        <v>525</v>
      </c>
    </row>
    <row r="3" spans="1:62">
      <c r="A3" t="s">
        <v>16</v>
      </c>
      <c r="C3" s="160" t="str">
        <f>INDEX($BF$4:$BF$7,MATCH($D$3,$BE$4:$BE$7,0))</f>
        <v>NDC-PAMS-central</v>
      </c>
      <c r="D3" s="164">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0"/>
      <c r="BF3" s="160"/>
      <c r="BG3" s="160"/>
      <c r="BH3" s="168">
        <v>2030</v>
      </c>
      <c r="BI3" s="168">
        <v>2050</v>
      </c>
      <c r="BJ3" s="160"/>
    </row>
    <row r="4" spans="1:62">
      <c r="A4" t="s">
        <v>16</v>
      </c>
      <c r="B4" s="19"/>
      <c r="C4" s="4" t="s">
        <v>186</v>
      </c>
      <c r="D4" s="163">
        <f>INDEX($BG$4:$BG$7,MATCH($D$3,BE$4:BE$7,0))</f>
        <v>1</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ref="AB4:AH4" si="0">R4</f>
        <v>2020</v>
      </c>
      <c r="AC4" s="6">
        <f t="shared" si="0"/>
        <v>2021</v>
      </c>
      <c r="AD4" s="6">
        <f t="shared" si="0"/>
        <v>2030</v>
      </c>
      <c r="AE4" s="6">
        <f t="shared" si="0"/>
        <v>2040</v>
      </c>
      <c r="AF4" s="6">
        <f t="shared" si="0"/>
        <v>2050</v>
      </c>
      <c r="AG4" s="6">
        <f t="shared" si="0"/>
        <v>2060</v>
      </c>
      <c r="AH4" s="6">
        <f t="shared" si="0"/>
        <v>2070</v>
      </c>
      <c r="BE4" s="160">
        <v>-1</v>
      </c>
      <c r="BF4" s="160" t="s">
        <v>600</v>
      </c>
      <c r="BG4" s="160">
        <v>0</v>
      </c>
      <c r="BH4" s="159">
        <v>0.95</v>
      </c>
      <c r="BI4" s="159">
        <v>0.95</v>
      </c>
      <c r="BJ4" s="168">
        <v>1</v>
      </c>
    </row>
    <row r="5" spans="1:62" ht="15.75" thickBot="1">
      <c r="A5" t="s">
        <v>16</v>
      </c>
      <c r="B5" s="11" t="s">
        <v>11</v>
      </c>
      <c r="C5" s="11"/>
      <c r="D5" s="11"/>
      <c r="E5" s="11"/>
      <c r="F5" s="11"/>
      <c r="G5" s="11"/>
      <c r="H5" s="11"/>
      <c r="I5" s="11"/>
      <c r="J5" s="11"/>
      <c r="K5" s="11"/>
      <c r="L5" s="11"/>
      <c r="M5" s="11"/>
      <c r="N5" s="11"/>
      <c r="O5" s="11"/>
      <c r="BE5" s="160">
        <v>1</v>
      </c>
      <c r="BF5" s="160" t="s">
        <v>601</v>
      </c>
      <c r="BG5" s="160">
        <v>1</v>
      </c>
      <c r="BH5" s="159">
        <v>0.8</v>
      </c>
      <c r="BI5" s="159">
        <v>0.85</v>
      </c>
      <c r="BJ5" s="168">
        <v>1</v>
      </c>
    </row>
    <row r="6" spans="1:62">
      <c r="A6" t="s">
        <v>16</v>
      </c>
      <c r="B6" t="s">
        <v>9</v>
      </c>
      <c r="C6" t="s">
        <v>10</v>
      </c>
      <c r="D6" t="s">
        <v>387</v>
      </c>
      <c r="BE6" s="160">
        <v>2</v>
      </c>
      <c r="BF6" s="160" t="s">
        <v>592</v>
      </c>
      <c r="BG6" s="160">
        <v>1</v>
      </c>
      <c r="BH6" s="159">
        <v>0.92</v>
      </c>
      <c r="BI6" s="159">
        <v>0.93</v>
      </c>
      <c r="BJ6" s="168">
        <v>1</v>
      </c>
    </row>
    <row r="7" spans="1:62">
      <c r="A7" t="s">
        <v>16</v>
      </c>
      <c r="B7" s="5" t="s">
        <v>574</v>
      </c>
      <c r="C7" s="5" t="s">
        <v>2</v>
      </c>
      <c r="D7">
        <v>19</v>
      </c>
      <c r="E7" s="5"/>
      <c r="F7" s="18" cm="1">
        <f t="array" ref="F7">INDEX(Drivers!$C$7:$AG$27,$D7,F$3)</f>
        <v>256.25966914032193</v>
      </c>
      <c r="G7" s="18" cm="1">
        <f t="array" ref="G7">INDEX(Drivers!$C$7:$AG$27,$D7,G$3)</f>
        <v>260.25</v>
      </c>
      <c r="H7" s="18" cm="1">
        <f t="array" ref="H7">INDEX(Drivers!$C$7:$AG$27,$D7,H$3)</f>
        <v>248.16</v>
      </c>
      <c r="I7" s="18" cm="1">
        <f t="array" ref="I7">INDEX(Drivers!$C$7:$AG$27,$D7,I$3)</f>
        <v>266.45593657969079</v>
      </c>
      <c r="J7" s="18" cm="1">
        <f t="array" ref="J7">INDEX(Drivers!$C$7:$AG$27,$D7,J$3)</f>
        <v>388.48517704765703</v>
      </c>
      <c r="K7" s="18" cm="1">
        <f t="array" ref="K7">INDEX(Drivers!$C$7:$AG$27,$D7,K$3)</f>
        <v>580.86528053422785</v>
      </c>
      <c r="L7" s="18" cm="1">
        <f t="array" ref="L7">INDEX(Drivers!$C$7:$AG$27,$D7,L$3)</f>
        <v>770.09646804004569</v>
      </c>
      <c r="M7" s="18" cm="1">
        <f t="array" ref="M7">INDEX(Drivers!$C$7:$AK$27,$D7,M$3)</f>
        <v>972.40070152849296</v>
      </c>
      <c r="N7" s="18" cm="1">
        <f t="array" ref="N7">INDEX(Drivers!$C$7:$AK$27,$D7,N$3)</f>
        <v>1063.4049651220237</v>
      </c>
      <c r="O7" s="5"/>
      <c r="P7" s="5">
        <f t="shared" ref="P7:Q7" si="1">F7</f>
        <v>256.25966914032193</v>
      </c>
      <c r="Q7" s="5">
        <f t="shared" si="1"/>
        <v>260.25</v>
      </c>
      <c r="R7" s="5">
        <f t="shared" ref="R7:R9" si="2">H7</f>
        <v>248.16</v>
      </c>
      <c r="S7" s="5">
        <f t="shared" ref="S7:S9" si="3">I7</f>
        <v>266.45593657969079</v>
      </c>
      <c r="T7" s="5">
        <f t="shared" ref="T7:T9" si="4">J7</f>
        <v>388.48517704765703</v>
      </c>
      <c r="U7" s="5">
        <f t="shared" ref="U7:U9" si="5">K7</f>
        <v>580.86528053422785</v>
      </c>
      <c r="V7" s="5">
        <f t="shared" ref="V7:V9" si="6">L7</f>
        <v>770.09646804004569</v>
      </c>
      <c r="W7" s="5">
        <f t="shared" ref="W7:W9" si="7">M7</f>
        <v>972.40070152849296</v>
      </c>
      <c r="X7" s="5">
        <f t="shared" ref="X7:X9" si="8">N7</f>
        <v>1063.4049651220237</v>
      </c>
      <c r="Z7" s="5">
        <f t="shared" ref="Z7:AH7" si="9">P7</f>
        <v>256.25966914032193</v>
      </c>
      <c r="AA7" s="5">
        <f t="shared" si="9"/>
        <v>260.25</v>
      </c>
      <c r="AB7" s="5">
        <f t="shared" si="9"/>
        <v>248.16</v>
      </c>
      <c r="AC7" s="5">
        <f t="shared" si="9"/>
        <v>266.45593657969079</v>
      </c>
      <c r="AD7" s="5">
        <f t="shared" si="9"/>
        <v>388.48517704765703</v>
      </c>
      <c r="AE7" s="5">
        <f t="shared" si="9"/>
        <v>580.86528053422785</v>
      </c>
      <c r="AF7" s="5">
        <f t="shared" si="9"/>
        <v>770.09646804004569</v>
      </c>
      <c r="AG7" s="5">
        <f t="shared" si="9"/>
        <v>972.40070152849296</v>
      </c>
      <c r="AH7" s="5">
        <f t="shared" si="9"/>
        <v>1063.4049651220237</v>
      </c>
      <c r="BE7" s="160">
        <v>3</v>
      </c>
      <c r="BF7" s="160" t="s">
        <v>602</v>
      </c>
      <c r="BG7" s="160">
        <v>1</v>
      </c>
      <c r="BH7" s="159">
        <v>0.8</v>
      </c>
      <c r="BI7" s="159">
        <v>0.65</v>
      </c>
      <c r="BJ7" s="168">
        <v>1</v>
      </c>
    </row>
    <row r="8" spans="1:62">
      <c r="A8" t="s">
        <v>16</v>
      </c>
      <c r="B8" s="5" t="s">
        <v>371</v>
      </c>
      <c r="C8" s="5" t="s">
        <v>59</v>
      </c>
      <c r="D8">
        <v>12</v>
      </c>
      <c r="E8" s="5"/>
      <c r="F8" s="18" cm="1">
        <f t="array" ref="F8">INDEX(Drivers!$C$7:$AG$27,$D8,F$3)</f>
        <v>201.78663829260577</v>
      </c>
      <c r="G8" s="18" cm="1">
        <f t="array" ref="G8">INDEX(Drivers!$C$7:$AG$27,$D8,G$3)</f>
        <v>198.05</v>
      </c>
      <c r="H8" s="18" cm="1">
        <f t="array" ref="H8">INDEX(Drivers!$C$7:$AG$27,$D8,H$3)</f>
        <v>190.12</v>
      </c>
      <c r="I8" s="18" cm="1">
        <f t="array" ref="I8">INDEX(Drivers!$C$7:$AG$27,$D8,I$3)</f>
        <v>209.74855323009061</v>
      </c>
      <c r="J8" s="18" cm="1">
        <f t="array" ref="J8">INDEX(Drivers!$C$7:$AG$27,$D8,J$3)</f>
        <v>225.3154662615259</v>
      </c>
      <c r="K8" s="18" cm="1">
        <f t="array" ref="K8">INDEX(Drivers!$C$7:$AG$27,$D8,K$3)</f>
        <v>303.62424292741389</v>
      </c>
      <c r="L8" s="18" cm="1">
        <f t="array" ref="L8">INDEX(Drivers!$C$7:$AG$27,$D8,L$3)</f>
        <v>413.36822598511418</v>
      </c>
      <c r="M8" s="18" cm="1">
        <f t="array" ref="M8">INDEX(Drivers!$C$7:$AK$27,$D8,M$3)</f>
        <v>533.39208162559771</v>
      </c>
      <c r="N8" s="18" cm="1">
        <f t="array" ref="N8">INDEX(Drivers!$C$7:$AK$27,$D8,N$3)</f>
        <v>581.18337971428912</v>
      </c>
      <c r="O8" s="5"/>
      <c r="P8" s="5">
        <f t="shared" ref="P8:P9" si="10">F8</f>
        <v>201.78663829260577</v>
      </c>
      <c r="Q8" s="5">
        <f t="shared" ref="Q8:Q9" si="11">G8</f>
        <v>198.05</v>
      </c>
      <c r="R8" s="5">
        <f t="shared" si="2"/>
        <v>190.12</v>
      </c>
      <c r="S8" s="5">
        <f t="shared" si="3"/>
        <v>209.74855323009061</v>
      </c>
      <c r="T8" s="5">
        <f t="shared" si="4"/>
        <v>225.3154662615259</v>
      </c>
      <c r="U8" s="5">
        <f t="shared" si="5"/>
        <v>303.62424292741389</v>
      </c>
      <c r="V8" s="5">
        <f t="shared" si="6"/>
        <v>413.36822598511418</v>
      </c>
      <c r="W8" s="5">
        <f t="shared" si="7"/>
        <v>533.39208162559771</v>
      </c>
      <c r="X8" s="5">
        <f t="shared" si="8"/>
        <v>581.18337971428912</v>
      </c>
      <c r="Z8" s="5">
        <f>P8</f>
        <v>201.78663829260577</v>
      </c>
      <c r="AA8" s="5">
        <f>Q8</f>
        <v>198.05</v>
      </c>
      <c r="AB8" s="5">
        <f t="shared" ref="AB8:AB9" si="12">R8</f>
        <v>190.12</v>
      </c>
      <c r="AC8" s="5">
        <f t="shared" ref="AC8:AC9" si="13">S8</f>
        <v>209.74855323009061</v>
      </c>
      <c r="AD8" s="5">
        <f t="shared" ref="AD8:AH9" si="14">T8</f>
        <v>225.3154662615259</v>
      </c>
      <c r="AE8" s="5">
        <f t="shared" si="14"/>
        <v>303.62424292741389</v>
      </c>
      <c r="AF8" s="5">
        <f t="shared" si="14"/>
        <v>413.36822598511418</v>
      </c>
      <c r="AG8" s="5">
        <f t="shared" si="14"/>
        <v>533.39208162559771</v>
      </c>
      <c r="AH8" s="5">
        <f t="shared" si="14"/>
        <v>581.18337971428912</v>
      </c>
    </row>
    <row r="9" spans="1:62">
      <c r="A9" t="s">
        <v>16</v>
      </c>
      <c r="B9" s="5" t="s">
        <v>372</v>
      </c>
      <c r="C9" s="5" t="s">
        <v>60</v>
      </c>
      <c r="D9">
        <v>9</v>
      </c>
      <c r="E9" s="5"/>
      <c r="F9" s="18" cm="1">
        <f t="array" ref="F9">INDEX(Drivers!$C$7:$AG$27,$D9,F$3)</f>
        <v>0.08</v>
      </c>
      <c r="G9" s="18" cm="1">
        <f t="array" ref="G9">INDEX(Drivers!$C$7:$AG$27,$D9,G$3)</f>
        <v>0.08</v>
      </c>
      <c r="H9" s="18" cm="1">
        <f t="array" ref="H9">INDEX(Drivers!$C$7:$AG$27,$D9,H$3)</f>
        <v>0.08</v>
      </c>
      <c r="I9" s="18" cm="1">
        <f t="array" ref="I9">INDEX(Drivers!$C$7:$AG$27,$D9,I$3)</f>
        <v>8.825943750477197E-2</v>
      </c>
      <c r="J9" s="18" cm="1">
        <f t="array" ref="J9">INDEX(Drivers!$C$7:$AG$27,$D9,J$3)</f>
        <v>9.4809790137397806E-2</v>
      </c>
      <c r="K9" s="18" cm="1">
        <f t="array" ref="K9">INDEX(Drivers!$C$7:$AG$27,$D9,K$3)</f>
        <v>0.12776109527768315</v>
      </c>
      <c r="L9" s="18" cm="1">
        <f t="array" ref="L9">INDEX(Drivers!$C$7:$AG$27,$D9,L$3)</f>
        <v>0.17393992256895194</v>
      </c>
      <c r="M9" s="18" cm="1">
        <f t="array" ref="M9">INDEX(Drivers!$C$7:$AK$27,$D9,M$3)</f>
        <v>0.22444438528323074</v>
      </c>
      <c r="N9" s="18" cm="1">
        <f t="array" ref="N9">INDEX(Drivers!$C$7:$AK$27,$D9,N$3)</f>
        <v>0.24455433608848695</v>
      </c>
      <c r="O9" s="5"/>
      <c r="P9" s="5">
        <f t="shared" si="10"/>
        <v>0.08</v>
      </c>
      <c r="Q9" s="5">
        <f t="shared" si="11"/>
        <v>0.08</v>
      </c>
      <c r="R9" s="5">
        <f t="shared" si="2"/>
        <v>0.08</v>
      </c>
      <c r="S9" s="5">
        <f t="shared" si="3"/>
        <v>8.825943750477197E-2</v>
      </c>
      <c r="T9" s="5">
        <f t="shared" si="4"/>
        <v>9.4809790137397806E-2</v>
      </c>
      <c r="U9" s="5">
        <f t="shared" si="5"/>
        <v>0.12776109527768315</v>
      </c>
      <c r="V9" s="5">
        <f t="shared" si="6"/>
        <v>0.17393992256895194</v>
      </c>
      <c r="W9" s="5">
        <f t="shared" si="7"/>
        <v>0.22444438528323074</v>
      </c>
      <c r="X9" s="5">
        <f t="shared" si="8"/>
        <v>0.24455433608848695</v>
      </c>
      <c r="Z9" s="5">
        <f>P9</f>
        <v>0.08</v>
      </c>
      <c r="AA9" s="5">
        <f>Q9</f>
        <v>0.08</v>
      </c>
      <c r="AB9" s="5">
        <f t="shared" si="12"/>
        <v>0.08</v>
      </c>
      <c r="AC9" s="5">
        <f t="shared" si="13"/>
        <v>8.825943750477197E-2</v>
      </c>
      <c r="AD9" s="5">
        <f t="shared" si="14"/>
        <v>9.4809790137397806E-2</v>
      </c>
      <c r="AE9" s="5">
        <f t="shared" si="14"/>
        <v>0.12776109527768315</v>
      </c>
      <c r="AF9" s="5">
        <f t="shared" si="14"/>
        <v>0.17393992256895194</v>
      </c>
      <c r="AG9" s="5">
        <f t="shared" si="14"/>
        <v>0.22444438528323074</v>
      </c>
      <c r="AH9" s="5">
        <f t="shared" si="14"/>
        <v>0.24455433608848695</v>
      </c>
    </row>
    <row r="10" spans="1:62">
      <c r="A10" t="s">
        <v>16</v>
      </c>
      <c r="B10" s="5"/>
      <c r="C10" s="5"/>
      <c r="E10" s="5"/>
      <c r="F10" s="5"/>
      <c r="H10" s="5"/>
      <c r="J10" s="5"/>
      <c r="K10" s="5"/>
      <c r="L10" s="5"/>
      <c r="M10" s="5"/>
      <c r="N10" s="5"/>
      <c r="O10" s="5"/>
    </row>
    <row r="11" spans="1:62">
      <c r="A11" t="s">
        <v>16</v>
      </c>
      <c r="P11" s="4" t="s">
        <v>32</v>
      </c>
      <c r="Z11" s="4" t="s">
        <v>185</v>
      </c>
    </row>
    <row r="12" spans="1:62" ht="15.75" thickBot="1">
      <c r="A12" t="s">
        <v>16</v>
      </c>
      <c r="B12" s="11" t="s">
        <v>427</v>
      </c>
      <c r="C12" s="11"/>
      <c r="D12" s="11"/>
      <c r="F12">
        <f t="shared" ref="F12:J12" si="15">F$4</f>
        <v>2017</v>
      </c>
      <c r="G12">
        <f t="shared" si="15"/>
        <v>2019</v>
      </c>
      <c r="H12">
        <f t="shared" si="15"/>
        <v>2020</v>
      </c>
      <c r="I12">
        <f t="shared" si="15"/>
        <v>2021</v>
      </c>
      <c r="J12">
        <f t="shared" si="15"/>
        <v>2030</v>
      </c>
      <c r="K12">
        <f>K$4</f>
        <v>2040</v>
      </c>
      <c r="L12">
        <f>L$4</f>
        <v>2050</v>
      </c>
      <c r="M12">
        <f>M$4</f>
        <v>2060</v>
      </c>
      <c r="N12">
        <f>N$4</f>
        <v>2070</v>
      </c>
      <c r="P12" s="6">
        <f>P$4</f>
        <v>2017</v>
      </c>
      <c r="Q12" s="6">
        <f t="shared" ref="Q12:X12" si="16">Q$4</f>
        <v>2019</v>
      </c>
      <c r="R12" s="6">
        <f t="shared" si="16"/>
        <v>2020</v>
      </c>
      <c r="S12" s="6">
        <f t="shared" si="16"/>
        <v>2021</v>
      </c>
      <c r="T12" s="6">
        <f t="shared" si="16"/>
        <v>2030</v>
      </c>
      <c r="U12" s="6">
        <f t="shared" si="16"/>
        <v>2040</v>
      </c>
      <c r="V12" s="6">
        <f t="shared" si="16"/>
        <v>2050</v>
      </c>
      <c r="W12" s="6">
        <f t="shared" si="16"/>
        <v>2060</v>
      </c>
      <c r="X12" s="6">
        <f t="shared" si="16"/>
        <v>2070</v>
      </c>
      <c r="Z12" s="6">
        <f t="shared" ref="Z12:AH12" si="17">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62">
      <c r="A13" t="s">
        <v>16</v>
      </c>
      <c r="B13" s="5" t="s">
        <v>139</v>
      </c>
      <c r="C13" s="5" t="s">
        <v>737</v>
      </c>
      <c r="D13" s="5"/>
      <c r="F13" s="38">
        <v>0.8</v>
      </c>
      <c r="G13" s="48">
        <f t="shared" ref="G13:G25" si="18">F13</f>
        <v>0.8</v>
      </c>
      <c r="H13" s="48">
        <f t="shared" ref="H13:H25" si="19">G13</f>
        <v>0.8</v>
      </c>
      <c r="I13" s="48">
        <f t="shared" ref="I13:I23" si="20">H13</f>
        <v>0.8</v>
      </c>
      <c r="J13" s="48">
        <f t="shared" ref="J13:J23" si="21">IF($D$4,AD13,T13)</f>
        <v>0.8</v>
      </c>
      <c r="K13" s="48">
        <f t="shared" ref="K13:K25" si="22">IF($D$4,AE13,U13)</f>
        <v>0.8</v>
      </c>
      <c r="L13" s="48">
        <f t="shared" ref="L13:N25" si="23">IF($D$4,AF13,V13)</f>
        <v>0.8</v>
      </c>
      <c r="M13" s="48">
        <f t="shared" si="23"/>
        <v>0.8</v>
      </c>
      <c r="N13" s="48">
        <f t="shared" si="23"/>
        <v>0.8</v>
      </c>
      <c r="P13" s="48">
        <f t="shared" ref="P13:P25" si="24">$F13</f>
        <v>0.8</v>
      </c>
      <c r="Q13" s="48">
        <f>P13</f>
        <v>0.8</v>
      </c>
      <c r="R13" s="48">
        <f t="shared" ref="R13:X13" si="25">Q13</f>
        <v>0.8</v>
      </c>
      <c r="S13" s="48">
        <f t="shared" si="25"/>
        <v>0.8</v>
      </c>
      <c r="T13" s="48">
        <f t="shared" si="25"/>
        <v>0.8</v>
      </c>
      <c r="U13" s="48">
        <f t="shared" si="25"/>
        <v>0.8</v>
      </c>
      <c r="V13" s="48">
        <f t="shared" si="25"/>
        <v>0.8</v>
      </c>
      <c r="W13" s="48">
        <f t="shared" si="25"/>
        <v>0.8</v>
      </c>
      <c r="X13" s="48">
        <f t="shared" si="25"/>
        <v>0.8</v>
      </c>
      <c r="Y13" s="189"/>
      <c r="Z13" s="48">
        <f t="shared" ref="Z13:Z25" si="26">$P13</f>
        <v>0.8</v>
      </c>
      <c r="AA13" s="48">
        <f>Z13</f>
        <v>0.8</v>
      </c>
      <c r="AB13" s="48">
        <f t="shared" ref="AB13:AH13" si="27">AA13</f>
        <v>0.8</v>
      </c>
      <c r="AC13" s="48">
        <f t="shared" si="27"/>
        <v>0.8</v>
      </c>
      <c r="AD13" s="48">
        <f t="shared" si="27"/>
        <v>0.8</v>
      </c>
      <c r="AE13" s="48">
        <f t="shared" si="27"/>
        <v>0.8</v>
      </c>
      <c r="AF13" s="48">
        <f t="shared" si="27"/>
        <v>0.8</v>
      </c>
      <c r="AG13" s="48">
        <f t="shared" si="27"/>
        <v>0.8</v>
      </c>
      <c r="AH13" s="48">
        <f t="shared" si="27"/>
        <v>0.8</v>
      </c>
      <c r="AI13" s="189"/>
      <c r="AJ13" s="189"/>
      <c r="AK13" s="189"/>
      <c r="AL13" s="189"/>
      <c r="AM13" s="189"/>
      <c r="AN13" s="189"/>
      <c r="AO13" s="189"/>
      <c r="AP13" s="189"/>
      <c r="AQ13" s="189"/>
      <c r="AR13" s="189"/>
      <c r="AS13" s="189"/>
      <c r="AT13" s="189"/>
      <c r="AU13" s="189"/>
      <c r="AV13" s="189"/>
      <c r="AW13" s="189"/>
    </row>
    <row r="14" spans="1:62">
      <c r="A14" t="s">
        <v>16</v>
      </c>
      <c r="B14" s="5" t="s">
        <v>396</v>
      </c>
      <c r="C14" s="5" t="s">
        <v>738</v>
      </c>
      <c r="D14" s="5"/>
      <c r="F14" s="38">
        <f>F13</f>
        <v>0.8</v>
      </c>
      <c r="G14" s="48">
        <f t="shared" si="18"/>
        <v>0.8</v>
      </c>
      <c r="H14" s="48">
        <f t="shared" si="19"/>
        <v>0.8</v>
      </c>
      <c r="I14" s="48">
        <f t="shared" si="20"/>
        <v>0.8</v>
      </c>
      <c r="J14" s="48">
        <f t="shared" si="21"/>
        <v>0.8</v>
      </c>
      <c r="K14" s="48">
        <f t="shared" si="22"/>
        <v>0.8</v>
      </c>
      <c r="L14" s="48">
        <f t="shared" si="23"/>
        <v>0.8</v>
      </c>
      <c r="M14" s="48">
        <f t="shared" si="23"/>
        <v>0.8</v>
      </c>
      <c r="N14" s="48">
        <f t="shared" si="23"/>
        <v>0.8</v>
      </c>
      <c r="P14" s="48">
        <f t="shared" si="24"/>
        <v>0.8</v>
      </c>
      <c r="Q14" s="48">
        <f t="shared" ref="Q14:X25" si="28">P14</f>
        <v>0.8</v>
      </c>
      <c r="R14" s="48">
        <f t="shared" si="28"/>
        <v>0.8</v>
      </c>
      <c r="S14" s="48">
        <f t="shared" si="28"/>
        <v>0.8</v>
      </c>
      <c r="T14" s="48">
        <f t="shared" si="28"/>
        <v>0.8</v>
      </c>
      <c r="U14" s="48">
        <f t="shared" si="28"/>
        <v>0.8</v>
      </c>
      <c r="V14" s="48">
        <f t="shared" si="28"/>
        <v>0.8</v>
      </c>
      <c r="W14" s="48">
        <f t="shared" si="28"/>
        <v>0.8</v>
      </c>
      <c r="X14" s="48">
        <f t="shared" si="28"/>
        <v>0.8</v>
      </c>
      <c r="Y14" s="189"/>
      <c r="Z14" s="48">
        <f t="shared" si="26"/>
        <v>0.8</v>
      </c>
      <c r="AA14" s="48">
        <f t="shared" ref="AA14:AH25" si="29">Z14</f>
        <v>0.8</v>
      </c>
      <c r="AB14" s="48">
        <f t="shared" si="29"/>
        <v>0.8</v>
      </c>
      <c r="AC14" s="48">
        <f t="shared" si="29"/>
        <v>0.8</v>
      </c>
      <c r="AD14" s="48">
        <f t="shared" si="29"/>
        <v>0.8</v>
      </c>
      <c r="AE14" s="48">
        <f t="shared" si="29"/>
        <v>0.8</v>
      </c>
      <c r="AF14" s="48">
        <f t="shared" si="29"/>
        <v>0.8</v>
      </c>
      <c r="AG14" s="48">
        <f t="shared" si="29"/>
        <v>0.8</v>
      </c>
      <c r="AH14" s="48">
        <f t="shared" si="29"/>
        <v>0.8</v>
      </c>
      <c r="AI14" s="189"/>
      <c r="AJ14" s="189"/>
      <c r="AK14" s="189"/>
      <c r="AL14" s="189"/>
      <c r="AM14" s="189"/>
      <c r="AN14" s="189"/>
      <c r="AO14" s="189"/>
      <c r="AP14" s="189"/>
      <c r="AQ14" s="189"/>
      <c r="AR14" s="189"/>
      <c r="AS14" s="189"/>
      <c r="AT14" s="189"/>
      <c r="AU14" s="189"/>
      <c r="AV14" s="189"/>
      <c r="AW14" s="189"/>
    </row>
    <row r="15" spans="1:62">
      <c r="A15" t="s">
        <v>16</v>
      </c>
      <c r="B15" s="5" t="s">
        <v>397</v>
      </c>
      <c r="C15" s="5" t="s">
        <v>739</v>
      </c>
      <c r="D15" s="5"/>
      <c r="F15" s="38">
        <f t="shared" ref="F15:F23" si="30">F14</f>
        <v>0.8</v>
      </c>
      <c r="G15" s="48">
        <f t="shared" si="18"/>
        <v>0.8</v>
      </c>
      <c r="H15" s="48">
        <f t="shared" si="19"/>
        <v>0.8</v>
      </c>
      <c r="I15" s="48">
        <f t="shared" si="20"/>
        <v>0.8</v>
      </c>
      <c r="J15" s="48">
        <f t="shared" si="21"/>
        <v>0.8</v>
      </c>
      <c r="K15" s="48">
        <f t="shared" si="22"/>
        <v>0.8</v>
      </c>
      <c r="L15" s="48">
        <f t="shared" si="23"/>
        <v>0.8</v>
      </c>
      <c r="M15" s="48">
        <f t="shared" si="23"/>
        <v>0.8</v>
      </c>
      <c r="N15" s="48">
        <f t="shared" si="23"/>
        <v>0.8</v>
      </c>
      <c r="P15" s="48">
        <f t="shared" si="24"/>
        <v>0.8</v>
      </c>
      <c r="Q15" s="48">
        <f t="shared" si="28"/>
        <v>0.8</v>
      </c>
      <c r="R15" s="48">
        <f t="shared" si="28"/>
        <v>0.8</v>
      </c>
      <c r="S15" s="48">
        <f t="shared" si="28"/>
        <v>0.8</v>
      </c>
      <c r="T15" s="48">
        <f t="shared" si="28"/>
        <v>0.8</v>
      </c>
      <c r="U15" s="48">
        <f t="shared" si="28"/>
        <v>0.8</v>
      </c>
      <c r="V15" s="48">
        <f t="shared" si="28"/>
        <v>0.8</v>
      </c>
      <c r="W15" s="48">
        <f t="shared" si="28"/>
        <v>0.8</v>
      </c>
      <c r="X15" s="48">
        <f t="shared" si="28"/>
        <v>0.8</v>
      </c>
      <c r="Y15" s="189"/>
      <c r="Z15" s="48">
        <f t="shared" si="26"/>
        <v>0.8</v>
      </c>
      <c r="AA15" s="48">
        <f t="shared" si="29"/>
        <v>0.8</v>
      </c>
      <c r="AB15" s="48">
        <f t="shared" si="29"/>
        <v>0.8</v>
      </c>
      <c r="AC15" s="48">
        <f t="shared" si="29"/>
        <v>0.8</v>
      </c>
      <c r="AD15" s="48">
        <f t="shared" si="29"/>
        <v>0.8</v>
      </c>
      <c r="AE15" s="48">
        <f t="shared" si="29"/>
        <v>0.8</v>
      </c>
      <c r="AF15" s="48">
        <f t="shared" si="29"/>
        <v>0.8</v>
      </c>
      <c r="AG15" s="48">
        <f t="shared" si="29"/>
        <v>0.8</v>
      </c>
      <c r="AH15" s="48">
        <f t="shared" si="29"/>
        <v>0.8</v>
      </c>
      <c r="AI15" s="189"/>
      <c r="AJ15" s="189"/>
      <c r="AK15" s="189"/>
      <c r="AL15" s="189"/>
      <c r="AM15" s="189"/>
      <c r="AN15" s="189"/>
      <c r="AO15" s="189"/>
      <c r="AP15" s="189"/>
      <c r="AQ15" s="189"/>
      <c r="AR15" s="189"/>
      <c r="AS15" s="189"/>
      <c r="AT15" s="189"/>
      <c r="AU15" s="189"/>
      <c r="AV15" s="189"/>
      <c r="AW15" s="189"/>
    </row>
    <row r="16" spans="1:62">
      <c r="A16" t="s">
        <v>16</v>
      </c>
      <c r="B16" s="5" t="s">
        <v>398</v>
      </c>
      <c r="C16" s="5" t="s">
        <v>740</v>
      </c>
      <c r="D16" s="5"/>
      <c r="F16" s="38">
        <f t="shared" si="30"/>
        <v>0.8</v>
      </c>
      <c r="G16" s="48">
        <f t="shared" si="18"/>
        <v>0.8</v>
      </c>
      <c r="H16" s="48">
        <f t="shared" si="19"/>
        <v>0.8</v>
      </c>
      <c r="I16" s="48">
        <f t="shared" si="20"/>
        <v>0.8</v>
      </c>
      <c r="J16" s="48">
        <f t="shared" si="21"/>
        <v>0.8</v>
      </c>
      <c r="K16" s="48">
        <f t="shared" si="22"/>
        <v>0.8</v>
      </c>
      <c r="L16" s="48">
        <f t="shared" si="23"/>
        <v>0.8</v>
      </c>
      <c r="M16" s="48">
        <f t="shared" si="23"/>
        <v>0.8</v>
      </c>
      <c r="N16" s="48">
        <f t="shared" si="23"/>
        <v>0.8</v>
      </c>
      <c r="P16" s="48">
        <f t="shared" si="24"/>
        <v>0.8</v>
      </c>
      <c r="Q16" s="48">
        <f t="shared" si="28"/>
        <v>0.8</v>
      </c>
      <c r="R16" s="48">
        <f t="shared" si="28"/>
        <v>0.8</v>
      </c>
      <c r="S16" s="48">
        <f t="shared" si="28"/>
        <v>0.8</v>
      </c>
      <c r="T16" s="48">
        <f t="shared" si="28"/>
        <v>0.8</v>
      </c>
      <c r="U16" s="48">
        <f t="shared" si="28"/>
        <v>0.8</v>
      </c>
      <c r="V16" s="48">
        <f t="shared" si="28"/>
        <v>0.8</v>
      </c>
      <c r="W16" s="48">
        <f t="shared" si="28"/>
        <v>0.8</v>
      </c>
      <c r="X16" s="48">
        <f t="shared" si="28"/>
        <v>0.8</v>
      </c>
      <c r="Y16" s="189"/>
      <c r="Z16" s="48">
        <f t="shared" si="26"/>
        <v>0.8</v>
      </c>
      <c r="AA16" s="48">
        <f t="shared" si="29"/>
        <v>0.8</v>
      </c>
      <c r="AB16" s="48">
        <f t="shared" si="29"/>
        <v>0.8</v>
      </c>
      <c r="AC16" s="48">
        <f t="shared" si="29"/>
        <v>0.8</v>
      </c>
      <c r="AD16" s="48">
        <f t="shared" si="29"/>
        <v>0.8</v>
      </c>
      <c r="AE16" s="48">
        <f t="shared" si="29"/>
        <v>0.8</v>
      </c>
      <c r="AF16" s="48">
        <f t="shared" si="29"/>
        <v>0.8</v>
      </c>
      <c r="AG16" s="48">
        <f t="shared" si="29"/>
        <v>0.8</v>
      </c>
      <c r="AH16" s="48">
        <f t="shared" si="29"/>
        <v>0.8</v>
      </c>
      <c r="AI16" s="189"/>
      <c r="AJ16" s="189"/>
      <c r="AK16" s="189"/>
      <c r="AL16" s="189"/>
      <c r="AM16" s="189"/>
      <c r="AN16" s="189"/>
      <c r="AO16" s="189"/>
      <c r="AP16" s="189"/>
      <c r="AQ16" s="189"/>
      <c r="AR16" s="189"/>
      <c r="AS16" s="189"/>
      <c r="AT16" s="189"/>
      <c r="AU16" s="189"/>
      <c r="AV16" s="189"/>
      <c r="AW16" s="189"/>
    </row>
    <row r="17" spans="1:49">
      <c r="A17" t="s">
        <v>16</v>
      </c>
      <c r="B17" s="5" t="s">
        <v>399</v>
      </c>
      <c r="C17" s="5" t="s">
        <v>741</v>
      </c>
      <c r="D17" s="5"/>
      <c r="F17" s="38">
        <f t="shared" si="30"/>
        <v>0.8</v>
      </c>
      <c r="G17" s="48">
        <f t="shared" si="18"/>
        <v>0.8</v>
      </c>
      <c r="H17" s="48">
        <f t="shared" si="19"/>
        <v>0.8</v>
      </c>
      <c r="I17" s="48">
        <f t="shared" si="20"/>
        <v>0.8</v>
      </c>
      <c r="J17" s="48">
        <f t="shared" si="21"/>
        <v>0.8</v>
      </c>
      <c r="K17" s="48">
        <f t="shared" si="22"/>
        <v>0.8</v>
      </c>
      <c r="L17" s="48">
        <f t="shared" si="23"/>
        <v>0.8</v>
      </c>
      <c r="M17" s="48">
        <f t="shared" si="23"/>
        <v>0.8</v>
      </c>
      <c r="N17" s="48">
        <f t="shared" si="23"/>
        <v>0.8</v>
      </c>
      <c r="P17" s="48">
        <f t="shared" si="24"/>
        <v>0.8</v>
      </c>
      <c r="Q17" s="48">
        <f t="shared" si="28"/>
        <v>0.8</v>
      </c>
      <c r="R17" s="48">
        <f t="shared" si="28"/>
        <v>0.8</v>
      </c>
      <c r="S17" s="48">
        <f t="shared" si="28"/>
        <v>0.8</v>
      </c>
      <c r="T17" s="48">
        <f t="shared" si="28"/>
        <v>0.8</v>
      </c>
      <c r="U17" s="48">
        <f t="shared" si="28"/>
        <v>0.8</v>
      </c>
      <c r="V17" s="48">
        <f t="shared" si="28"/>
        <v>0.8</v>
      </c>
      <c r="W17" s="48">
        <f t="shared" si="28"/>
        <v>0.8</v>
      </c>
      <c r="X17" s="48">
        <f t="shared" si="28"/>
        <v>0.8</v>
      </c>
      <c r="Y17" s="189"/>
      <c r="Z17" s="48">
        <f t="shared" si="26"/>
        <v>0.8</v>
      </c>
      <c r="AA17" s="48">
        <f t="shared" si="29"/>
        <v>0.8</v>
      </c>
      <c r="AB17" s="48">
        <f t="shared" si="29"/>
        <v>0.8</v>
      </c>
      <c r="AC17" s="48">
        <f t="shared" si="29"/>
        <v>0.8</v>
      </c>
      <c r="AD17" s="48">
        <f t="shared" si="29"/>
        <v>0.8</v>
      </c>
      <c r="AE17" s="48">
        <f t="shared" si="29"/>
        <v>0.8</v>
      </c>
      <c r="AF17" s="48">
        <f t="shared" si="29"/>
        <v>0.8</v>
      </c>
      <c r="AG17" s="48">
        <f t="shared" si="29"/>
        <v>0.8</v>
      </c>
      <c r="AH17" s="48">
        <f t="shared" si="29"/>
        <v>0.8</v>
      </c>
      <c r="AI17" s="189"/>
      <c r="AJ17" s="189"/>
      <c r="AK17" s="189"/>
      <c r="AL17" s="189"/>
      <c r="AM17" s="189"/>
      <c r="AN17" s="189"/>
      <c r="AO17" s="189"/>
      <c r="AP17" s="189"/>
      <c r="AQ17" s="189"/>
      <c r="AR17" s="189"/>
      <c r="AS17" s="189"/>
      <c r="AT17" s="189"/>
      <c r="AU17" s="189"/>
      <c r="AV17" s="189"/>
      <c r="AW17" s="189"/>
    </row>
    <row r="18" spans="1:49">
      <c r="A18" t="s">
        <v>16</v>
      </c>
      <c r="B18" s="5" t="s">
        <v>400</v>
      </c>
      <c r="C18" s="5" t="s">
        <v>742</v>
      </c>
      <c r="D18" s="5"/>
      <c r="F18" s="38">
        <f t="shared" si="30"/>
        <v>0.8</v>
      </c>
      <c r="G18" s="48">
        <f t="shared" si="18"/>
        <v>0.8</v>
      </c>
      <c r="H18" s="48">
        <f t="shared" si="19"/>
        <v>0.8</v>
      </c>
      <c r="I18" s="48">
        <f t="shared" si="20"/>
        <v>0.8</v>
      </c>
      <c r="J18" s="48">
        <f t="shared" si="21"/>
        <v>0.8</v>
      </c>
      <c r="K18" s="48">
        <f t="shared" si="22"/>
        <v>0.8</v>
      </c>
      <c r="L18" s="48">
        <f t="shared" si="23"/>
        <v>0.8</v>
      </c>
      <c r="M18" s="48">
        <f t="shared" si="23"/>
        <v>0.8</v>
      </c>
      <c r="N18" s="48">
        <f t="shared" si="23"/>
        <v>0.8</v>
      </c>
      <c r="P18" s="48">
        <f t="shared" si="24"/>
        <v>0.8</v>
      </c>
      <c r="Q18" s="48">
        <f t="shared" si="28"/>
        <v>0.8</v>
      </c>
      <c r="R18" s="48">
        <f t="shared" si="28"/>
        <v>0.8</v>
      </c>
      <c r="S18" s="48">
        <f t="shared" si="28"/>
        <v>0.8</v>
      </c>
      <c r="T18" s="48">
        <f t="shared" si="28"/>
        <v>0.8</v>
      </c>
      <c r="U18" s="48">
        <f t="shared" si="28"/>
        <v>0.8</v>
      </c>
      <c r="V18" s="48">
        <f t="shared" si="28"/>
        <v>0.8</v>
      </c>
      <c r="W18" s="48">
        <f t="shared" si="28"/>
        <v>0.8</v>
      </c>
      <c r="X18" s="48">
        <f t="shared" si="28"/>
        <v>0.8</v>
      </c>
      <c r="Y18" s="189"/>
      <c r="Z18" s="48">
        <f t="shared" si="26"/>
        <v>0.8</v>
      </c>
      <c r="AA18" s="48">
        <f t="shared" si="29"/>
        <v>0.8</v>
      </c>
      <c r="AB18" s="48">
        <f t="shared" si="29"/>
        <v>0.8</v>
      </c>
      <c r="AC18" s="48">
        <f t="shared" si="29"/>
        <v>0.8</v>
      </c>
      <c r="AD18" s="48">
        <f t="shared" si="29"/>
        <v>0.8</v>
      </c>
      <c r="AE18" s="48">
        <f t="shared" si="29"/>
        <v>0.8</v>
      </c>
      <c r="AF18" s="48">
        <f t="shared" si="29"/>
        <v>0.8</v>
      </c>
      <c r="AG18" s="48">
        <f t="shared" si="29"/>
        <v>0.8</v>
      </c>
      <c r="AH18" s="48">
        <f t="shared" si="29"/>
        <v>0.8</v>
      </c>
      <c r="AI18" s="189"/>
      <c r="AJ18" s="189"/>
      <c r="AK18" s="189"/>
      <c r="AL18" s="189"/>
      <c r="AM18" s="189"/>
      <c r="AN18" s="189"/>
      <c r="AO18" s="189"/>
      <c r="AP18" s="189"/>
      <c r="AQ18" s="189"/>
      <c r="AR18" s="189"/>
      <c r="AS18" s="189"/>
      <c r="AT18" s="189"/>
      <c r="AU18" s="189"/>
      <c r="AV18" s="189"/>
      <c r="AW18" s="189"/>
    </row>
    <row r="19" spans="1:49">
      <c r="A19" t="s">
        <v>16</v>
      </c>
      <c r="B19" s="5" t="s">
        <v>401</v>
      </c>
      <c r="C19" s="5" t="s">
        <v>743</v>
      </c>
      <c r="D19" s="5"/>
      <c r="F19" s="38">
        <f t="shared" si="30"/>
        <v>0.8</v>
      </c>
      <c r="G19" s="48">
        <f t="shared" si="18"/>
        <v>0.8</v>
      </c>
      <c r="H19" s="48">
        <f t="shared" si="19"/>
        <v>0.8</v>
      </c>
      <c r="I19" s="48">
        <f t="shared" si="20"/>
        <v>0.8</v>
      </c>
      <c r="J19" s="48">
        <f t="shared" si="21"/>
        <v>0.8</v>
      </c>
      <c r="K19" s="48">
        <f t="shared" si="22"/>
        <v>0.8</v>
      </c>
      <c r="L19" s="48">
        <f t="shared" si="23"/>
        <v>0.8</v>
      </c>
      <c r="M19" s="48">
        <f t="shared" si="23"/>
        <v>0.8</v>
      </c>
      <c r="N19" s="48">
        <f t="shared" si="23"/>
        <v>0.8</v>
      </c>
      <c r="P19" s="48">
        <f t="shared" si="24"/>
        <v>0.8</v>
      </c>
      <c r="Q19" s="48">
        <f t="shared" si="28"/>
        <v>0.8</v>
      </c>
      <c r="R19" s="48">
        <f t="shared" si="28"/>
        <v>0.8</v>
      </c>
      <c r="S19" s="48">
        <f t="shared" si="28"/>
        <v>0.8</v>
      </c>
      <c r="T19" s="48">
        <f t="shared" si="28"/>
        <v>0.8</v>
      </c>
      <c r="U19" s="48">
        <f t="shared" si="28"/>
        <v>0.8</v>
      </c>
      <c r="V19" s="48">
        <f t="shared" si="28"/>
        <v>0.8</v>
      </c>
      <c r="W19" s="48">
        <f t="shared" si="28"/>
        <v>0.8</v>
      </c>
      <c r="X19" s="48">
        <f t="shared" si="28"/>
        <v>0.8</v>
      </c>
      <c r="Y19" s="189"/>
      <c r="Z19" s="48">
        <f t="shared" si="26"/>
        <v>0.8</v>
      </c>
      <c r="AA19" s="48">
        <f t="shared" si="29"/>
        <v>0.8</v>
      </c>
      <c r="AB19" s="48">
        <f t="shared" si="29"/>
        <v>0.8</v>
      </c>
      <c r="AC19" s="48">
        <f t="shared" si="29"/>
        <v>0.8</v>
      </c>
      <c r="AD19" s="48">
        <f t="shared" si="29"/>
        <v>0.8</v>
      </c>
      <c r="AE19" s="48">
        <f t="shared" si="29"/>
        <v>0.8</v>
      </c>
      <c r="AF19" s="48">
        <f t="shared" si="29"/>
        <v>0.8</v>
      </c>
      <c r="AG19" s="48">
        <f t="shared" si="29"/>
        <v>0.8</v>
      </c>
      <c r="AH19" s="48">
        <f t="shared" si="29"/>
        <v>0.8</v>
      </c>
      <c r="AI19" s="189"/>
      <c r="AJ19" s="189"/>
      <c r="AK19" s="189"/>
      <c r="AL19" s="189"/>
      <c r="AM19" s="189"/>
      <c r="AN19" s="189"/>
      <c r="AO19" s="189"/>
      <c r="AP19" s="189"/>
      <c r="AQ19" s="189"/>
      <c r="AR19" s="189"/>
      <c r="AS19" s="189"/>
      <c r="AT19" s="189"/>
      <c r="AU19" s="189"/>
      <c r="AV19" s="189"/>
      <c r="AW19" s="189"/>
    </row>
    <row r="20" spans="1:49">
      <c r="A20" t="s">
        <v>16</v>
      </c>
      <c r="B20" s="5" t="s">
        <v>402</v>
      </c>
      <c r="C20" s="5" t="s">
        <v>744</v>
      </c>
      <c r="D20" s="5"/>
      <c r="F20" s="38">
        <f t="shared" si="30"/>
        <v>0.8</v>
      </c>
      <c r="G20" s="48">
        <f t="shared" si="18"/>
        <v>0.8</v>
      </c>
      <c r="H20" s="48">
        <f t="shared" si="19"/>
        <v>0.8</v>
      </c>
      <c r="I20" s="48">
        <f t="shared" si="20"/>
        <v>0.8</v>
      </c>
      <c r="J20" s="48">
        <f t="shared" si="21"/>
        <v>0.8</v>
      </c>
      <c r="K20" s="48">
        <f t="shared" si="22"/>
        <v>0.8</v>
      </c>
      <c r="L20" s="48">
        <f t="shared" si="23"/>
        <v>0.8</v>
      </c>
      <c r="M20" s="48">
        <f t="shared" si="23"/>
        <v>0.8</v>
      </c>
      <c r="N20" s="48">
        <f t="shared" si="23"/>
        <v>0.8</v>
      </c>
      <c r="P20" s="48">
        <f t="shared" si="24"/>
        <v>0.8</v>
      </c>
      <c r="Q20" s="48">
        <f t="shared" si="28"/>
        <v>0.8</v>
      </c>
      <c r="R20" s="48">
        <f t="shared" si="28"/>
        <v>0.8</v>
      </c>
      <c r="S20" s="48">
        <f t="shared" si="28"/>
        <v>0.8</v>
      </c>
      <c r="T20" s="48">
        <f t="shared" si="28"/>
        <v>0.8</v>
      </c>
      <c r="U20" s="48">
        <f t="shared" si="28"/>
        <v>0.8</v>
      </c>
      <c r="V20" s="48">
        <f t="shared" si="28"/>
        <v>0.8</v>
      </c>
      <c r="W20" s="48">
        <f t="shared" si="28"/>
        <v>0.8</v>
      </c>
      <c r="X20" s="48">
        <f t="shared" si="28"/>
        <v>0.8</v>
      </c>
      <c r="Y20" s="189"/>
      <c r="Z20" s="48">
        <f t="shared" si="26"/>
        <v>0.8</v>
      </c>
      <c r="AA20" s="48">
        <f t="shared" si="29"/>
        <v>0.8</v>
      </c>
      <c r="AB20" s="48">
        <f t="shared" si="29"/>
        <v>0.8</v>
      </c>
      <c r="AC20" s="48">
        <f t="shared" si="29"/>
        <v>0.8</v>
      </c>
      <c r="AD20" s="48">
        <f t="shared" si="29"/>
        <v>0.8</v>
      </c>
      <c r="AE20" s="48">
        <f t="shared" si="29"/>
        <v>0.8</v>
      </c>
      <c r="AF20" s="48">
        <f t="shared" si="29"/>
        <v>0.8</v>
      </c>
      <c r="AG20" s="48">
        <f t="shared" si="29"/>
        <v>0.8</v>
      </c>
      <c r="AH20" s="48">
        <f t="shared" si="29"/>
        <v>0.8</v>
      </c>
      <c r="AI20" s="189"/>
      <c r="AJ20" s="189"/>
      <c r="AK20" s="189"/>
      <c r="AL20" s="189"/>
      <c r="AM20" s="189"/>
      <c r="AN20" s="189"/>
      <c r="AO20" s="189"/>
      <c r="AP20" s="189"/>
      <c r="AQ20" s="189"/>
      <c r="AR20" s="189"/>
      <c r="AS20" s="189"/>
      <c r="AT20" s="189"/>
      <c r="AU20" s="189"/>
      <c r="AV20" s="189"/>
      <c r="AW20" s="189"/>
    </row>
    <row r="21" spans="1:49">
      <c r="A21" t="s">
        <v>16</v>
      </c>
      <c r="B21" s="5" t="s">
        <v>403</v>
      </c>
      <c r="C21" s="5" t="s">
        <v>745</v>
      </c>
      <c r="D21" s="5"/>
      <c r="F21" s="38">
        <f t="shared" si="30"/>
        <v>0.8</v>
      </c>
      <c r="G21" s="48">
        <f t="shared" si="18"/>
        <v>0.8</v>
      </c>
      <c r="H21" s="48">
        <f t="shared" si="19"/>
        <v>0.8</v>
      </c>
      <c r="I21" s="48">
        <f t="shared" si="20"/>
        <v>0.8</v>
      </c>
      <c r="J21" s="48">
        <f t="shared" si="21"/>
        <v>0.8</v>
      </c>
      <c r="K21" s="48">
        <f t="shared" si="22"/>
        <v>0.8</v>
      </c>
      <c r="L21" s="48">
        <f t="shared" si="23"/>
        <v>0.8</v>
      </c>
      <c r="M21" s="48">
        <f t="shared" si="23"/>
        <v>0.8</v>
      </c>
      <c r="N21" s="48">
        <f t="shared" si="23"/>
        <v>0.8</v>
      </c>
      <c r="P21" s="48">
        <f t="shared" si="24"/>
        <v>0.8</v>
      </c>
      <c r="Q21" s="48">
        <f t="shared" si="28"/>
        <v>0.8</v>
      </c>
      <c r="R21" s="48">
        <f t="shared" si="28"/>
        <v>0.8</v>
      </c>
      <c r="S21" s="48">
        <f t="shared" si="28"/>
        <v>0.8</v>
      </c>
      <c r="T21" s="48">
        <f t="shared" si="28"/>
        <v>0.8</v>
      </c>
      <c r="U21" s="48">
        <f t="shared" si="28"/>
        <v>0.8</v>
      </c>
      <c r="V21" s="48">
        <f t="shared" si="28"/>
        <v>0.8</v>
      </c>
      <c r="W21" s="48">
        <f t="shared" si="28"/>
        <v>0.8</v>
      </c>
      <c r="X21" s="48">
        <f t="shared" si="28"/>
        <v>0.8</v>
      </c>
      <c r="Y21" s="189"/>
      <c r="Z21" s="48">
        <f t="shared" si="26"/>
        <v>0.8</v>
      </c>
      <c r="AA21" s="48">
        <f t="shared" si="29"/>
        <v>0.8</v>
      </c>
      <c r="AB21" s="48">
        <f t="shared" si="29"/>
        <v>0.8</v>
      </c>
      <c r="AC21" s="48">
        <f t="shared" si="29"/>
        <v>0.8</v>
      </c>
      <c r="AD21" s="48">
        <f t="shared" si="29"/>
        <v>0.8</v>
      </c>
      <c r="AE21" s="48">
        <f t="shared" si="29"/>
        <v>0.8</v>
      </c>
      <c r="AF21" s="48">
        <f t="shared" si="29"/>
        <v>0.8</v>
      </c>
      <c r="AG21" s="48">
        <f t="shared" si="29"/>
        <v>0.8</v>
      </c>
      <c r="AH21" s="48">
        <f t="shared" si="29"/>
        <v>0.8</v>
      </c>
      <c r="AI21" s="189"/>
      <c r="AJ21" s="189"/>
      <c r="AK21" s="189"/>
      <c r="AL21" s="189"/>
      <c r="AM21" s="189"/>
      <c r="AN21" s="189"/>
      <c r="AO21" s="189"/>
      <c r="AP21" s="189"/>
      <c r="AQ21" s="189"/>
      <c r="AR21" s="189"/>
      <c r="AS21" s="189"/>
      <c r="AT21" s="189"/>
      <c r="AU21" s="189"/>
      <c r="AV21" s="189"/>
      <c r="AW21" s="189"/>
    </row>
    <row r="22" spans="1:49">
      <c r="A22" t="s">
        <v>16</v>
      </c>
      <c r="B22" s="5" t="s">
        <v>404</v>
      </c>
      <c r="C22" s="5" t="s">
        <v>746</v>
      </c>
      <c r="D22" s="5"/>
      <c r="F22" s="38">
        <f t="shared" si="30"/>
        <v>0.8</v>
      </c>
      <c r="G22" s="48">
        <f t="shared" si="18"/>
        <v>0.8</v>
      </c>
      <c r="H22" s="48">
        <f t="shared" si="19"/>
        <v>0.8</v>
      </c>
      <c r="I22" s="48">
        <f t="shared" si="20"/>
        <v>0.8</v>
      </c>
      <c r="J22" s="48">
        <f t="shared" si="21"/>
        <v>0.8</v>
      </c>
      <c r="K22" s="48">
        <f t="shared" si="22"/>
        <v>0.8</v>
      </c>
      <c r="L22" s="48">
        <f t="shared" si="23"/>
        <v>0.8</v>
      </c>
      <c r="M22" s="48">
        <f t="shared" si="23"/>
        <v>0.8</v>
      </c>
      <c r="N22" s="48">
        <f t="shared" si="23"/>
        <v>0.8</v>
      </c>
      <c r="P22" s="48">
        <f t="shared" si="24"/>
        <v>0.8</v>
      </c>
      <c r="Q22" s="48">
        <f t="shared" si="28"/>
        <v>0.8</v>
      </c>
      <c r="R22" s="48">
        <f t="shared" si="28"/>
        <v>0.8</v>
      </c>
      <c r="S22" s="48">
        <f t="shared" si="28"/>
        <v>0.8</v>
      </c>
      <c r="T22" s="48">
        <f t="shared" si="28"/>
        <v>0.8</v>
      </c>
      <c r="U22" s="48">
        <f t="shared" si="28"/>
        <v>0.8</v>
      </c>
      <c r="V22" s="48">
        <f t="shared" si="28"/>
        <v>0.8</v>
      </c>
      <c r="W22" s="48">
        <f t="shared" si="28"/>
        <v>0.8</v>
      </c>
      <c r="X22" s="48">
        <f t="shared" si="28"/>
        <v>0.8</v>
      </c>
      <c r="Y22" s="189"/>
      <c r="Z22" s="48">
        <f t="shared" si="26"/>
        <v>0.8</v>
      </c>
      <c r="AA22" s="48">
        <f t="shared" si="29"/>
        <v>0.8</v>
      </c>
      <c r="AB22" s="48">
        <f t="shared" si="29"/>
        <v>0.8</v>
      </c>
      <c r="AC22" s="48">
        <f t="shared" si="29"/>
        <v>0.8</v>
      </c>
      <c r="AD22" s="48">
        <f t="shared" si="29"/>
        <v>0.8</v>
      </c>
      <c r="AE22" s="48">
        <f t="shared" si="29"/>
        <v>0.8</v>
      </c>
      <c r="AF22" s="48">
        <f t="shared" si="29"/>
        <v>0.8</v>
      </c>
      <c r="AG22" s="48">
        <f t="shared" si="29"/>
        <v>0.8</v>
      </c>
      <c r="AH22" s="48">
        <f t="shared" si="29"/>
        <v>0.8</v>
      </c>
      <c r="AI22" s="189"/>
      <c r="AJ22" s="189"/>
      <c r="AK22" s="189"/>
      <c r="AL22" s="189"/>
      <c r="AM22" s="189"/>
      <c r="AN22" s="189"/>
      <c r="AO22" s="189"/>
      <c r="AP22" s="189"/>
      <c r="AQ22" s="189"/>
      <c r="AR22" s="189"/>
      <c r="AS22" s="189"/>
      <c r="AT22" s="189"/>
      <c r="AU22" s="189"/>
      <c r="AV22" s="189"/>
      <c r="AW22" s="189"/>
    </row>
    <row r="23" spans="1:49">
      <c r="A23" t="s">
        <v>16</v>
      </c>
      <c r="B23" s="5" t="s">
        <v>366</v>
      </c>
      <c r="C23" s="5" t="s">
        <v>747</v>
      </c>
      <c r="D23" s="5"/>
      <c r="F23" s="38">
        <f t="shared" si="30"/>
        <v>0.8</v>
      </c>
      <c r="G23" s="48">
        <f t="shared" si="18"/>
        <v>0.8</v>
      </c>
      <c r="H23" s="48">
        <f t="shared" si="19"/>
        <v>0.8</v>
      </c>
      <c r="I23" s="48">
        <f t="shared" si="20"/>
        <v>0.8</v>
      </c>
      <c r="J23" s="48">
        <f t="shared" si="21"/>
        <v>0.8</v>
      </c>
      <c r="K23" s="48">
        <f t="shared" si="22"/>
        <v>0.8</v>
      </c>
      <c r="L23" s="48">
        <f t="shared" si="23"/>
        <v>0.8</v>
      </c>
      <c r="M23" s="48">
        <f t="shared" si="23"/>
        <v>0.8</v>
      </c>
      <c r="N23" s="48">
        <f t="shared" si="23"/>
        <v>0.8</v>
      </c>
      <c r="P23" s="48">
        <f t="shared" si="24"/>
        <v>0.8</v>
      </c>
      <c r="Q23" s="48">
        <f t="shared" si="28"/>
        <v>0.8</v>
      </c>
      <c r="R23" s="48">
        <f t="shared" si="28"/>
        <v>0.8</v>
      </c>
      <c r="S23" s="48">
        <f t="shared" si="28"/>
        <v>0.8</v>
      </c>
      <c r="T23" s="48">
        <f t="shared" si="28"/>
        <v>0.8</v>
      </c>
      <c r="U23" s="48">
        <f t="shared" si="28"/>
        <v>0.8</v>
      </c>
      <c r="V23" s="48">
        <f t="shared" si="28"/>
        <v>0.8</v>
      </c>
      <c r="W23" s="48">
        <f t="shared" si="28"/>
        <v>0.8</v>
      </c>
      <c r="X23" s="48">
        <f t="shared" si="28"/>
        <v>0.8</v>
      </c>
      <c r="Y23" s="189"/>
      <c r="Z23" s="48">
        <f t="shared" si="26"/>
        <v>0.8</v>
      </c>
      <c r="AA23" s="48">
        <f t="shared" si="29"/>
        <v>0.8</v>
      </c>
      <c r="AB23" s="48">
        <f t="shared" si="29"/>
        <v>0.8</v>
      </c>
      <c r="AC23" s="48">
        <f t="shared" si="29"/>
        <v>0.8</v>
      </c>
      <c r="AD23" s="48">
        <f t="shared" si="29"/>
        <v>0.8</v>
      </c>
      <c r="AE23" s="48">
        <f t="shared" si="29"/>
        <v>0.8</v>
      </c>
      <c r="AF23" s="48">
        <f t="shared" si="29"/>
        <v>0.8</v>
      </c>
      <c r="AG23" s="48">
        <f t="shared" si="29"/>
        <v>0.8</v>
      </c>
      <c r="AH23" s="48">
        <f t="shared" si="29"/>
        <v>0.8</v>
      </c>
      <c r="AI23" s="189"/>
      <c r="AJ23" s="189"/>
      <c r="AK23" s="189"/>
      <c r="AL23" s="189"/>
      <c r="AM23" s="189"/>
      <c r="AN23" s="189"/>
      <c r="AO23" s="189"/>
      <c r="AP23" s="189"/>
      <c r="AQ23" s="189"/>
      <c r="AR23" s="189"/>
      <c r="AS23" s="189"/>
      <c r="AT23" s="189"/>
      <c r="AU23" s="189"/>
      <c r="AV23" s="189"/>
      <c r="AW23" s="189"/>
    </row>
    <row r="24" spans="1:49">
      <c r="A24" t="s">
        <v>16</v>
      </c>
      <c r="B24" s="5" t="s">
        <v>368</v>
      </c>
      <c r="C24" s="5" t="s">
        <v>748</v>
      </c>
      <c r="F24" s="283">
        <v>0</v>
      </c>
      <c r="G24" s="283">
        <v>0</v>
      </c>
      <c r="H24" s="283">
        <v>0</v>
      </c>
      <c r="I24" s="283">
        <v>0</v>
      </c>
      <c r="J24" s="283">
        <v>0.2</v>
      </c>
      <c r="K24" s="48">
        <f t="shared" si="22"/>
        <v>0.8</v>
      </c>
      <c r="L24" s="48">
        <f t="shared" si="23"/>
        <v>0.8</v>
      </c>
      <c r="M24" s="48">
        <f t="shared" si="23"/>
        <v>0.8</v>
      </c>
      <c r="N24" s="48">
        <f t="shared" si="23"/>
        <v>0.8</v>
      </c>
      <c r="P24" s="48">
        <f>F24</f>
        <v>0</v>
      </c>
      <c r="Q24" s="48">
        <f t="shared" ref="Q24:T24" si="31">G24</f>
        <v>0</v>
      </c>
      <c r="R24" s="48">
        <f t="shared" si="31"/>
        <v>0</v>
      </c>
      <c r="S24" s="48">
        <f t="shared" si="31"/>
        <v>0</v>
      </c>
      <c r="T24" s="48">
        <f t="shared" si="31"/>
        <v>0.2</v>
      </c>
      <c r="U24" s="48">
        <v>0.8</v>
      </c>
      <c r="V24" s="48">
        <f t="shared" si="28"/>
        <v>0.8</v>
      </c>
      <c r="W24" s="48">
        <f t="shared" si="28"/>
        <v>0.8</v>
      </c>
      <c r="X24" s="48">
        <f t="shared" si="28"/>
        <v>0.8</v>
      </c>
      <c r="Y24" s="189"/>
      <c r="Z24" s="48">
        <f>F24</f>
        <v>0</v>
      </c>
      <c r="AA24" s="48">
        <f t="shared" ref="AA24:AD24" si="32">G24</f>
        <v>0</v>
      </c>
      <c r="AB24" s="48">
        <f t="shared" si="32"/>
        <v>0</v>
      </c>
      <c r="AC24" s="48">
        <f t="shared" si="32"/>
        <v>0</v>
      </c>
      <c r="AD24" s="48">
        <f t="shared" si="32"/>
        <v>0.2</v>
      </c>
      <c r="AE24" s="48">
        <v>0.8</v>
      </c>
      <c r="AF24" s="48">
        <f t="shared" si="29"/>
        <v>0.8</v>
      </c>
      <c r="AG24" s="48">
        <f t="shared" si="29"/>
        <v>0.8</v>
      </c>
      <c r="AH24" s="48">
        <f t="shared" si="29"/>
        <v>0.8</v>
      </c>
      <c r="AI24" s="189"/>
      <c r="AJ24" s="189"/>
      <c r="AK24" s="189"/>
      <c r="AL24" s="189"/>
      <c r="AM24" s="189"/>
      <c r="AN24" s="189"/>
      <c r="AO24" s="189"/>
      <c r="AP24" s="189"/>
      <c r="AQ24" s="189"/>
      <c r="AR24" s="189"/>
      <c r="AS24" s="189"/>
      <c r="AT24" s="189"/>
      <c r="AU24" s="189"/>
      <c r="AV24" s="189"/>
      <c r="AW24" s="189"/>
    </row>
    <row r="25" spans="1:49">
      <c r="A25" t="s">
        <v>16</v>
      </c>
      <c r="B25" s="5" t="s">
        <v>367</v>
      </c>
      <c r="C25" s="5" t="s">
        <v>749</v>
      </c>
      <c r="F25" s="38">
        <v>0.8</v>
      </c>
      <c r="G25" s="48">
        <f t="shared" si="18"/>
        <v>0.8</v>
      </c>
      <c r="H25" s="48">
        <f t="shared" si="19"/>
        <v>0.8</v>
      </c>
      <c r="I25" s="283">
        <v>0.4</v>
      </c>
      <c r="J25" s="283">
        <v>0.4</v>
      </c>
      <c r="K25" s="48">
        <f t="shared" si="22"/>
        <v>0.8</v>
      </c>
      <c r="L25" s="48">
        <f t="shared" si="23"/>
        <v>0.8</v>
      </c>
      <c r="M25" s="48">
        <f t="shared" si="23"/>
        <v>0.8</v>
      </c>
      <c r="N25" s="48">
        <f t="shared" si="23"/>
        <v>0.8</v>
      </c>
      <c r="P25" s="48">
        <f t="shared" si="24"/>
        <v>0.8</v>
      </c>
      <c r="Q25" s="48">
        <f t="shared" si="28"/>
        <v>0.8</v>
      </c>
      <c r="R25" s="48">
        <f t="shared" si="28"/>
        <v>0.8</v>
      </c>
      <c r="S25" s="48">
        <f t="shared" si="28"/>
        <v>0.8</v>
      </c>
      <c r="T25" s="48">
        <f t="shared" si="28"/>
        <v>0.8</v>
      </c>
      <c r="U25" s="48">
        <f t="shared" si="28"/>
        <v>0.8</v>
      </c>
      <c r="V25" s="48">
        <f t="shared" si="28"/>
        <v>0.8</v>
      </c>
      <c r="W25" s="48">
        <f t="shared" si="28"/>
        <v>0.8</v>
      </c>
      <c r="X25" s="48">
        <f t="shared" si="28"/>
        <v>0.8</v>
      </c>
      <c r="Y25" s="189"/>
      <c r="Z25" s="48">
        <f t="shared" si="26"/>
        <v>0.8</v>
      </c>
      <c r="AA25" s="48">
        <f t="shared" si="29"/>
        <v>0.8</v>
      </c>
      <c r="AB25" s="48">
        <f t="shared" si="29"/>
        <v>0.8</v>
      </c>
      <c r="AC25" s="48">
        <f t="shared" si="29"/>
        <v>0.8</v>
      </c>
      <c r="AD25" s="48">
        <f t="shared" si="29"/>
        <v>0.8</v>
      </c>
      <c r="AE25" s="48">
        <f t="shared" si="29"/>
        <v>0.8</v>
      </c>
      <c r="AF25" s="48">
        <f t="shared" si="29"/>
        <v>0.8</v>
      </c>
      <c r="AG25" s="48">
        <f t="shared" si="29"/>
        <v>0.8</v>
      </c>
      <c r="AH25" s="48">
        <f t="shared" si="29"/>
        <v>0.8</v>
      </c>
      <c r="AI25" s="189"/>
      <c r="AJ25" s="189"/>
      <c r="AK25" s="189"/>
      <c r="AL25" s="189"/>
      <c r="AM25" s="189"/>
      <c r="AN25" s="189"/>
      <c r="AO25" s="189"/>
      <c r="AP25" s="189"/>
      <c r="AQ25" s="189"/>
      <c r="AR25" s="189"/>
      <c r="AS25" s="189"/>
      <c r="AT25" s="189"/>
      <c r="AU25" s="189"/>
      <c r="AV25" s="189"/>
      <c r="AW25" s="189"/>
    </row>
    <row r="26" spans="1:49" ht="15.75" thickBot="1">
      <c r="A26" t="s">
        <v>16</v>
      </c>
      <c r="B26" s="5"/>
      <c r="C26" s="5"/>
      <c r="P26" s="5"/>
      <c r="R26" s="5"/>
      <c r="T26" s="5"/>
      <c r="U26" s="5"/>
      <c r="V26" s="5"/>
      <c r="W26" s="5"/>
      <c r="X26" s="5"/>
      <c r="Y26" s="5"/>
      <c r="Z26" s="5"/>
      <c r="AA26" s="5"/>
      <c r="AB26" s="5"/>
      <c r="AD26" s="210" t="s">
        <v>774</v>
      </c>
      <c r="AE26" s="5"/>
      <c r="AF26" s="5"/>
      <c r="AG26" s="5"/>
      <c r="AH26" s="5"/>
      <c r="AI26" s="5"/>
      <c r="AJ26" s="5"/>
      <c r="AK26" s="5"/>
      <c r="AL26" s="5"/>
      <c r="AM26" s="5"/>
      <c r="AN26" s="5"/>
      <c r="AO26" s="5"/>
      <c r="AP26" s="5"/>
      <c r="AQ26" s="5"/>
      <c r="AR26" s="5"/>
      <c r="AS26" s="5"/>
      <c r="AT26" s="5"/>
      <c r="AU26" s="5"/>
      <c r="AV26" s="5"/>
      <c r="AW26" s="5"/>
    </row>
    <row r="27" spans="1:49" ht="15.75" thickBot="1">
      <c r="A27" t="s">
        <v>16</v>
      </c>
      <c r="B27" s="11" t="s">
        <v>141</v>
      </c>
      <c r="C27" s="11"/>
      <c r="AD27" s="157">
        <v>0.95</v>
      </c>
    </row>
    <row r="28" spans="1:49">
      <c r="A28" t="s">
        <v>16</v>
      </c>
      <c r="B28" s="5" t="s">
        <v>397</v>
      </c>
      <c r="C28" s="5" t="s">
        <v>739</v>
      </c>
      <c r="D28" t="s">
        <v>39</v>
      </c>
      <c r="F28" s="190">
        <f>F51/F$60</f>
        <v>1.1310877688817864E-2</v>
      </c>
      <c r="G28" s="49">
        <f t="shared" ref="G28:G35" si="33">F28</f>
        <v>1.1310877688817864E-2</v>
      </c>
      <c r="H28" s="49">
        <f t="shared" ref="H28:H35" si="34">G28</f>
        <v>1.1310877688817864E-2</v>
      </c>
      <c r="I28" s="49">
        <f t="shared" ref="I28:I35" si="35">H28</f>
        <v>1.1310877688817864E-2</v>
      </c>
      <c r="J28" s="49">
        <f t="shared" ref="J28:N35" si="36">IF($D$4,AD28,T28)</f>
        <v>1.0745333804376971E-2</v>
      </c>
      <c r="K28" s="49">
        <f t="shared" si="36"/>
        <v>1.0208067114158122E-2</v>
      </c>
      <c r="L28" s="49">
        <f t="shared" si="36"/>
        <v>9.6976637584502146E-3</v>
      </c>
      <c r="M28" s="49">
        <f t="shared" si="36"/>
        <v>9.2127805705277035E-3</v>
      </c>
      <c r="N28" s="49">
        <f t="shared" si="36"/>
        <v>8.7521415420013186E-3</v>
      </c>
      <c r="P28" s="191">
        <f t="shared" ref="P28:P36" si="37">$F28</f>
        <v>1.1310877688817864E-2</v>
      </c>
      <c r="Q28" s="191">
        <f>P28</f>
        <v>1.1310877688817864E-2</v>
      </c>
      <c r="R28" s="191">
        <f>Q28</f>
        <v>1.1310877688817864E-2</v>
      </c>
      <c r="S28" s="191">
        <f>R28</f>
        <v>1.1310877688817864E-2</v>
      </c>
      <c r="T28" s="26">
        <f t="shared" ref="T28:T35" si="38">R28</f>
        <v>1.1310877688817864E-2</v>
      </c>
      <c r="U28" s="26">
        <f t="shared" ref="U28:U35" si="39">T28</f>
        <v>1.1310877688817864E-2</v>
      </c>
      <c r="V28" s="26">
        <f t="shared" ref="V28:X35" si="40">R28</f>
        <v>1.1310877688817864E-2</v>
      </c>
      <c r="W28" s="26">
        <f t="shared" si="40"/>
        <v>1.1310877688817864E-2</v>
      </c>
      <c r="X28" s="26">
        <f t="shared" si="40"/>
        <v>1.1310877688817864E-2</v>
      </c>
      <c r="Y28" s="64"/>
      <c r="Z28" s="191">
        <f>P28</f>
        <v>1.1310877688817864E-2</v>
      </c>
      <c r="AA28" s="191">
        <f>Q28</f>
        <v>1.1310877688817864E-2</v>
      </c>
      <c r="AB28" s="191">
        <f>R28</f>
        <v>1.1310877688817864E-2</v>
      </c>
      <c r="AC28" s="191">
        <f>S28</f>
        <v>1.1310877688817864E-2</v>
      </c>
      <c r="AD28" s="211">
        <f>AC28*$AD$27</f>
        <v>1.0745333804376971E-2</v>
      </c>
      <c r="AE28" s="211">
        <f t="shared" ref="AE28:AH28" si="41">AD28*$AD$27</f>
        <v>1.0208067114158122E-2</v>
      </c>
      <c r="AF28" s="211">
        <f t="shared" si="41"/>
        <v>9.6976637584502146E-3</v>
      </c>
      <c r="AG28" s="211">
        <f t="shared" si="41"/>
        <v>9.2127805705277035E-3</v>
      </c>
      <c r="AH28" s="211">
        <f t="shared" si="41"/>
        <v>8.7521415420013186E-3</v>
      </c>
      <c r="AI28" s="64"/>
      <c r="AM28" s="64"/>
      <c r="AP28" s="211">
        <v>9.7864749964441684E-3</v>
      </c>
      <c r="AQ28" s="211">
        <v>8.3185037469775437E-3</v>
      </c>
      <c r="AR28" s="57">
        <v>7.0707281849309118E-3</v>
      </c>
      <c r="AS28" s="64"/>
      <c r="AT28" s="64"/>
      <c r="AU28" s="64"/>
      <c r="AV28" s="64"/>
      <c r="AW28" s="64"/>
    </row>
    <row r="29" spans="1:49">
      <c r="A29" t="s">
        <v>16</v>
      </c>
      <c r="B29" s="5" t="s">
        <v>398</v>
      </c>
      <c r="C29" s="5" t="s">
        <v>740</v>
      </c>
      <c r="F29" s="190">
        <f>F52/F$60</f>
        <v>7.4488324862735031E-2</v>
      </c>
      <c r="G29" s="49">
        <f t="shared" si="33"/>
        <v>7.4488324862735031E-2</v>
      </c>
      <c r="H29" s="49">
        <f t="shared" si="34"/>
        <v>7.4488324862735031E-2</v>
      </c>
      <c r="I29" s="49">
        <f t="shared" si="35"/>
        <v>7.4488324862735031E-2</v>
      </c>
      <c r="J29" s="49">
        <f t="shared" si="36"/>
        <v>7.0763908619598276E-2</v>
      </c>
      <c r="K29" s="49">
        <f t="shared" si="36"/>
        <v>6.7225713188618363E-2</v>
      </c>
      <c r="L29" s="49">
        <f t="shared" si="36"/>
        <v>6.3864427529187445E-2</v>
      </c>
      <c r="M29" s="49">
        <f t="shared" si="36"/>
        <v>6.0671206152728072E-2</v>
      </c>
      <c r="N29" s="49">
        <f t="shared" si="36"/>
        <v>5.7637645845091665E-2</v>
      </c>
      <c r="P29" s="191">
        <f t="shared" si="37"/>
        <v>7.4488324862735031E-2</v>
      </c>
      <c r="Q29" s="191">
        <f t="shared" ref="Q29:R35" si="42">P29</f>
        <v>7.4488324862735031E-2</v>
      </c>
      <c r="R29" s="191">
        <f t="shared" si="42"/>
        <v>7.4488324862735031E-2</v>
      </c>
      <c r="S29" s="191">
        <f t="shared" ref="S29" si="43">R29</f>
        <v>7.4488324862735031E-2</v>
      </c>
      <c r="T29" s="26">
        <f t="shared" si="38"/>
        <v>7.4488324862735031E-2</v>
      </c>
      <c r="U29" s="26">
        <f t="shared" si="39"/>
        <v>7.4488324862735031E-2</v>
      </c>
      <c r="V29" s="26">
        <f t="shared" si="40"/>
        <v>7.4488324862735031E-2</v>
      </c>
      <c r="W29" s="26">
        <f t="shared" si="40"/>
        <v>7.4488324862735031E-2</v>
      </c>
      <c r="X29" s="26">
        <f t="shared" si="40"/>
        <v>7.4488324862735031E-2</v>
      </c>
      <c r="Y29" s="64"/>
      <c r="Z29" s="191">
        <f t="shared" ref="Z29:Z36" si="44">P29</f>
        <v>7.4488324862735031E-2</v>
      </c>
      <c r="AA29" s="191">
        <f t="shared" ref="AA29:AA35" si="45">Q29</f>
        <v>7.4488324862735031E-2</v>
      </c>
      <c r="AB29" s="191">
        <f t="shared" ref="AB29:AB35" si="46">R29</f>
        <v>7.4488324862735031E-2</v>
      </c>
      <c r="AC29" s="191">
        <f t="shared" ref="AC29:AC35" si="47">S29</f>
        <v>7.4488324862735031E-2</v>
      </c>
      <c r="AD29" s="211">
        <f t="shared" ref="AD29:AH29" si="48">AC29*$AD$27</f>
        <v>7.0763908619598276E-2</v>
      </c>
      <c r="AE29" s="211">
        <f t="shared" si="48"/>
        <v>6.7225713188618363E-2</v>
      </c>
      <c r="AF29" s="211">
        <f t="shared" si="48"/>
        <v>6.3864427529187445E-2</v>
      </c>
      <c r="AG29" s="211">
        <f t="shared" si="48"/>
        <v>6.0671206152728072E-2</v>
      </c>
      <c r="AH29" s="211">
        <f t="shared" si="48"/>
        <v>5.7637645845091665E-2</v>
      </c>
      <c r="AI29" s="64"/>
      <c r="AM29" s="64"/>
      <c r="AP29" s="55">
        <v>6.5492845584742485E-2</v>
      </c>
      <c r="AQ29" s="211">
        <v>5.5668918747031108E-2</v>
      </c>
      <c r="AR29" s="57">
        <v>4.7318580934976442E-2</v>
      </c>
      <c r="AS29" s="64"/>
      <c r="AT29" s="64"/>
      <c r="AU29" s="64"/>
      <c r="AV29" s="64"/>
      <c r="AW29" s="64"/>
    </row>
    <row r="30" spans="1:49">
      <c r="A30" t="s">
        <v>16</v>
      </c>
      <c r="B30" s="5" t="s">
        <v>399</v>
      </c>
      <c r="C30" s="5" t="s">
        <v>741</v>
      </c>
      <c r="F30" s="190">
        <f t="shared" ref="F30:F35" si="49">F53/F$60</f>
        <v>2.1367810388246332E-2</v>
      </c>
      <c r="G30" s="49">
        <f t="shared" si="33"/>
        <v>2.1367810388246332E-2</v>
      </c>
      <c r="H30" s="49">
        <f t="shared" si="34"/>
        <v>2.1367810388246332E-2</v>
      </c>
      <c r="I30" s="49">
        <f t="shared" si="35"/>
        <v>2.1367810388246332E-2</v>
      </c>
      <c r="J30" s="49">
        <f t="shared" si="36"/>
        <v>2.0299419868834014E-2</v>
      </c>
      <c r="K30" s="49">
        <f t="shared" si="36"/>
        <v>1.9284448875392313E-2</v>
      </c>
      <c r="L30" s="49">
        <f t="shared" si="36"/>
        <v>1.8320226431622698E-2</v>
      </c>
      <c r="M30" s="49">
        <f t="shared" si="36"/>
        <v>1.7404215110041563E-2</v>
      </c>
      <c r="N30" s="49">
        <f t="shared" si="36"/>
        <v>1.6534004354539486E-2</v>
      </c>
      <c r="P30" s="191">
        <f t="shared" si="37"/>
        <v>2.1367810388246332E-2</v>
      </c>
      <c r="Q30" s="191">
        <f t="shared" si="42"/>
        <v>2.1367810388246332E-2</v>
      </c>
      <c r="R30" s="191">
        <f t="shared" si="42"/>
        <v>2.1367810388246332E-2</v>
      </c>
      <c r="S30" s="191">
        <f t="shared" ref="S30" si="50">R30</f>
        <v>2.1367810388246332E-2</v>
      </c>
      <c r="T30" s="26">
        <f t="shared" si="38"/>
        <v>2.1367810388246332E-2</v>
      </c>
      <c r="U30" s="26">
        <f t="shared" si="39"/>
        <v>2.1367810388246332E-2</v>
      </c>
      <c r="V30" s="26">
        <f t="shared" si="40"/>
        <v>2.1367810388246332E-2</v>
      </c>
      <c r="W30" s="26">
        <f t="shared" si="40"/>
        <v>2.1367810388246332E-2</v>
      </c>
      <c r="X30" s="26">
        <f t="shared" si="40"/>
        <v>2.1367810388246332E-2</v>
      </c>
      <c r="Y30" s="64"/>
      <c r="Z30" s="191">
        <f t="shared" si="44"/>
        <v>2.1367810388246332E-2</v>
      </c>
      <c r="AA30" s="191">
        <f t="shared" si="45"/>
        <v>2.1367810388246332E-2</v>
      </c>
      <c r="AB30" s="191">
        <f t="shared" si="46"/>
        <v>2.1367810388246332E-2</v>
      </c>
      <c r="AC30" s="191">
        <f t="shared" si="47"/>
        <v>2.1367810388246332E-2</v>
      </c>
      <c r="AD30" s="211">
        <f t="shared" ref="AD30:AH30" si="51">AC30*$AD$27</f>
        <v>2.0299419868834014E-2</v>
      </c>
      <c r="AE30" s="211">
        <f t="shared" si="51"/>
        <v>1.9284448875392313E-2</v>
      </c>
      <c r="AF30" s="211">
        <f t="shared" si="51"/>
        <v>1.8320226431622698E-2</v>
      </c>
      <c r="AG30" s="211">
        <f t="shared" si="51"/>
        <v>1.7404215110041563E-2</v>
      </c>
      <c r="AH30" s="211">
        <f t="shared" si="51"/>
        <v>1.6534004354539486E-2</v>
      </c>
      <c r="AI30" s="64"/>
      <c r="AM30" s="64"/>
      <c r="AP30" s="55">
        <v>2.1843528378332117E-2</v>
      </c>
      <c r="AQ30" s="211">
        <v>1.8566999121582297E-2</v>
      </c>
      <c r="AR30" s="57">
        <v>1.5781949253344953E-2</v>
      </c>
      <c r="AS30" s="64"/>
      <c r="AT30" s="64"/>
      <c r="AU30" s="64"/>
      <c r="AV30" s="64"/>
      <c r="AW30" s="64"/>
    </row>
    <row r="31" spans="1:49">
      <c r="A31" t="s">
        <v>16</v>
      </c>
      <c r="B31" s="5" t="s">
        <v>400</v>
      </c>
      <c r="C31" s="5" t="s">
        <v>742</v>
      </c>
      <c r="F31" s="190">
        <f t="shared" si="49"/>
        <v>1.4627762918736976E-2</v>
      </c>
      <c r="G31" s="49">
        <f t="shared" si="33"/>
        <v>1.4627762918736976E-2</v>
      </c>
      <c r="H31" s="49">
        <f t="shared" si="34"/>
        <v>1.4627762918736976E-2</v>
      </c>
      <c r="I31" s="49">
        <f t="shared" si="35"/>
        <v>1.4627762918736976E-2</v>
      </c>
      <c r="J31" s="49">
        <f t="shared" si="36"/>
        <v>1.3896374772800127E-2</v>
      </c>
      <c r="K31" s="49">
        <f t="shared" si="36"/>
        <v>1.3201556034160121E-2</v>
      </c>
      <c r="L31" s="49">
        <f t="shared" si="36"/>
        <v>1.2541478232452115E-2</v>
      </c>
      <c r="M31" s="49">
        <f t="shared" si="36"/>
        <v>1.1914404320829509E-2</v>
      </c>
      <c r="N31" s="49">
        <f t="shared" si="36"/>
        <v>1.1318684104788033E-2</v>
      </c>
      <c r="P31" s="191">
        <f t="shared" si="37"/>
        <v>1.4627762918736976E-2</v>
      </c>
      <c r="Q31" s="191">
        <f t="shared" si="42"/>
        <v>1.4627762918736976E-2</v>
      </c>
      <c r="R31" s="191">
        <f t="shared" si="42"/>
        <v>1.4627762918736976E-2</v>
      </c>
      <c r="S31" s="191">
        <f t="shared" ref="S31" si="52">R31</f>
        <v>1.4627762918736976E-2</v>
      </c>
      <c r="T31" s="26">
        <f t="shared" si="38"/>
        <v>1.4627762918736976E-2</v>
      </c>
      <c r="U31" s="26">
        <f t="shared" si="39"/>
        <v>1.4627762918736976E-2</v>
      </c>
      <c r="V31" s="26">
        <f t="shared" si="40"/>
        <v>1.4627762918736976E-2</v>
      </c>
      <c r="W31" s="26">
        <f t="shared" si="40"/>
        <v>1.4627762918736976E-2</v>
      </c>
      <c r="X31" s="26">
        <f t="shared" si="40"/>
        <v>1.4627762918736976E-2</v>
      </c>
      <c r="Y31" s="64"/>
      <c r="Z31" s="191">
        <f t="shared" si="44"/>
        <v>1.4627762918736976E-2</v>
      </c>
      <c r="AA31" s="191">
        <f t="shared" si="45"/>
        <v>1.4627762918736976E-2</v>
      </c>
      <c r="AB31" s="191">
        <f t="shared" si="46"/>
        <v>1.4627762918736976E-2</v>
      </c>
      <c r="AC31" s="191">
        <f t="shared" si="47"/>
        <v>1.4627762918736976E-2</v>
      </c>
      <c r="AD31" s="211">
        <f t="shared" ref="AD31:AH31" si="53">AC31*$AD$27</f>
        <v>1.3896374772800127E-2</v>
      </c>
      <c r="AE31" s="211">
        <f t="shared" si="53"/>
        <v>1.3201556034160121E-2</v>
      </c>
      <c r="AF31" s="211">
        <f t="shared" si="53"/>
        <v>1.2541478232452115E-2</v>
      </c>
      <c r="AG31" s="211">
        <f t="shared" si="53"/>
        <v>1.1914404320829509E-2</v>
      </c>
      <c r="AH31" s="211">
        <f t="shared" si="53"/>
        <v>1.1318684104788033E-2</v>
      </c>
      <c r="AI31" s="64"/>
      <c r="AM31" s="64"/>
      <c r="AP31" s="55">
        <v>1.316775848625332E-2</v>
      </c>
      <c r="AQ31" s="211">
        <v>1.1192594713315322E-2</v>
      </c>
      <c r="AR31" s="57">
        <v>9.513705506318023E-3</v>
      </c>
      <c r="AS31" s="64"/>
      <c r="AT31" s="64"/>
      <c r="AU31" s="64"/>
      <c r="AV31" s="64"/>
      <c r="AW31" s="64"/>
    </row>
    <row r="32" spans="1:49">
      <c r="A32" t="s">
        <v>16</v>
      </c>
      <c r="B32" s="5" t="s">
        <v>401</v>
      </c>
      <c r="C32" s="5" t="s">
        <v>743</v>
      </c>
      <c r="F32" s="190">
        <f t="shared" si="49"/>
        <v>0.58639103006054849</v>
      </c>
      <c r="G32" s="49">
        <v>0.6</v>
      </c>
      <c r="H32" s="49">
        <v>0.60599999999999998</v>
      </c>
      <c r="I32" s="269">
        <v>0.61</v>
      </c>
      <c r="J32" s="49">
        <f>F32</f>
        <v>0.58639103006054849</v>
      </c>
      <c r="K32" s="49">
        <f t="shared" si="36"/>
        <v>0.52921790462964491</v>
      </c>
      <c r="L32" s="49">
        <f t="shared" si="36"/>
        <v>0.50275700939816259</v>
      </c>
      <c r="M32" s="49">
        <f t="shared" si="36"/>
        <v>0.47761915892825446</v>
      </c>
      <c r="N32" s="49">
        <f t="shared" si="36"/>
        <v>0.4537382009818417</v>
      </c>
      <c r="P32" s="191">
        <f t="shared" si="37"/>
        <v>0.58639103006054849</v>
      </c>
      <c r="Q32" s="191">
        <f t="shared" si="42"/>
        <v>0.58639103006054849</v>
      </c>
      <c r="R32" s="269">
        <f>I32</f>
        <v>0.61</v>
      </c>
      <c r="S32" s="191">
        <f>Q32</f>
        <v>0.58639103006054849</v>
      </c>
      <c r="T32" s="26">
        <f>S32</f>
        <v>0.58639103006054849</v>
      </c>
      <c r="U32" s="26">
        <f t="shared" si="39"/>
        <v>0.58639103006054849</v>
      </c>
      <c r="V32" s="26">
        <f t="shared" ref="V32:X32" si="54">U32</f>
        <v>0.58639103006054849</v>
      </c>
      <c r="W32" s="26">
        <f t="shared" si="54"/>
        <v>0.58639103006054849</v>
      </c>
      <c r="X32" s="26">
        <f t="shared" si="54"/>
        <v>0.58639103006054849</v>
      </c>
      <c r="Y32" s="64"/>
      <c r="Z32" s="191">
        <f t="shared" si="44"/>
        <v>0.58639103006054849</v>
      </c>
      <c r="AA32" s="191">
        <f t="shared" si="45"/>
        <v>0.58639103006054849</v>
      </c>
      <c r="AB32" s="191">
        <f t="shared" si="46"/>
        <v>0.61</v>
      </c>
      <c r="AC32" s="191">
        <f t="shared" si="47"/>
        <v>0.58639103006054849</v>
      </c>
      <c r="AD32" s="211">
        <f t="shared" ref="AD32:AH32" si="55">AC32*$AD$27</f>
        <v>0.55707147855752104</v>
      </c>
      <c r="AE32" s="211">
        <f t="shared" si="55"/>
        <v>0.52921790462964491</v>
      </c>
      <c r="AF32" s="211">
        <f t="shared" si="55"/>
        <v>0.50275700939816259</v>
      </c>
      <c r="AG32" s="211">
        <f t="shared" si="55"/>
        <v>0.47761915892825446</v>
      </c>
      <c r="AH32" s="211">
        <f t="shared" si="55"/>
        <v>0.4537382009818417</v>
      </c>
      <c r="AI32" s="64"/>
      <c r="AM32" s="64"/>
      <c r="AP32" s="55">
        <v>0.43256392509058594</v>
      </c>
      <c r="AQ32" s="211">
        <v>0.36767933632699806</v>
      </c>
      <c r="AR32" s="57">
        <v>0.31252743587794835</v>
      </c>
      <c r="AS32" s="64"/>
      <c r="AT32" s="64"/>
      <c r="AU32" s="64"/>
      <c r="AV32" s="64"/>
      <c r="AW32" s="64"/>
    </row>
    <row r="33" spans="1:49">
      <c r="A33" t="s">
        <v>16</v>
      </c>
      <c r="B33" s="5" t="s">
        <v>402</v>
      </c>
      <c r="C33" s="5" t="s">
        <v>744</v>
      </c>
      <c r="F33" s="190">
        <f t="shared" si="49"/>
        <v>0.17957151280249187</v>
      </c>
      <c r="G33" s="49">
        <f t="shared" si="33"/>
        <v>0.17957151280249187</v>
      </c>
      <c r="H33" s="49">
        <f t="shared" si="34"/>
        <v>0.17957151280249187</v>
      </c>
      <c r="I33" s="49">
        <f t="shared" si="35"/>
        <v>0.17957151280249187</v>
      </c>
      <c r="J33" s="49">
        <f t="shared" si="36"/>
        <v>0.17059293716236726</v>
      </c>
      <c r="K33" s="49">
        <f t="shared" si="36"/>
        <v>0.16206329030424887</v>
      </c>
      <c r="L33" s="49">
        <f t="shared" si="36"/>
        <v>0.15396012578903642</v>
      </c>
      <c r="M33" s="49">
        <f t="shared" si="36"/>
        <v>0.14626211949958459</v>
      </c>
      <c r="N33" s="49">
        <f t="shared" si="36"/>
        <v>0.13894901352460537</v>
      </c>
      <c r="P33" s="191">
        <f t="shared" si="37"/>
        <v>0.17957151280249187</v>
      </c>
      <c r="Q33" s="191">
        <f t="shared" si="42"/>
        <v>0.17957151280249187</v>
      </c>
      <c r="R33" s="191">
        <f t="shared" si="42"/>
        <v>0.17957151280249187</v>
      </c>
      <c r="S33" s="191">
        <f t="shared" ref="S33" si="56">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1">
        <f t="shared" si="44"/>
        <v>0.17957151280249187</v>
      </c>
      <c r="AA33" s="191">
        <f t="shared" si="45"/>
        <v>0.17957151280249187</v>
      </c>
      <c r="AB33" s="191">
        <f t="shared" si="46"/>
        <v>0.17957151280249187</v>
      </c>
      <c r="AC33" s="191">
        <f t="shared" si="47"/>
        <v>0.17957151280249187</v>
      </c>
      <c r="AD33" s="211">
        <f t="shared" ref="AD33:AH33" si="57">AC33*$AD$27</f>
        <v>0.17059293716236726</v>
      </c>
      <c r="AE33" s="211">
        <f t="shared" si="57"/>
        <v>0.16206329030424887</v>
      </c>
      <c r="AF33" s="211">
        <f t="shared" si="57"/>
        <v>0.15396012578903642</v>
      </c>
      <c r="AG33" s="211">
        <f t="shared" si="57"/>
        <v>0.14626211949958459</v>
      </c>
      <c r="AH33" s="211">
        <f t="shared" si="57"/>
        <v>0.13894901352460537</v>
      </c>
      <c r="AI33" s="64"/>
      <c r="AM33" s="64"/>
      <c r="AP33" s="55">
        <v>0.15199325034036584</v>
      </c>
      <c r="AQ33" s="211">
        <v>0.12919426278931095</v>
      </c>
      <c r="AR33" s="57">
        <v>0.10981512337091431</v>
      </c>
      <c r="AS33" s="64"/>
      <c r="AT33" s="64"/>
      <c r="AU33" s="64"/>
      <c r="AV33" s="64"/>
      <c r="AW33" s="64"/>
    </row>
    <row r="34" spans="1:49">
      <c r="A34" t="s">
        <v>16</v>
      </c>
      <c r="B34" s="5" t="s">
        <v>403</v>
      </c>
      <c r="C34" s="5" t="s">
        <v>745</v>
      </c>
      <c r="F34" s="190">
        <f t="shared" si="49"/>
        <v>1.0141010242039481E-2</v>
      </c>
      <c r="G34" s="49">
        <f t="shared" si="33"/>
        <v>1.0141010242039481E-2</v>
      </c>
      <c r="H34" s="49">
        <f t="shared" si="34"/>
        <v>1.0141010242039481E-2</v>
      </c>
      <c r="I34" s="49">
        <f t="shared" si="35"/>
        <v>1.0141010242039481E-2</v>
      </c>
      <c r="J34" s="49">
        <f t="shared" si="36"/>
        <v>9.6339597299375072E-3</v>
      </c>
      <c r="K34" s="49">
        <f t="shared" si="36"/>
        <v>9.152261743440632E-3</v>
      </c>
      <c r="L34" s="49">
        <f t="shared" si="36"/>
        <v>8.6946486562685995E-3</v>
      </c>
      <c r="M34" s="49">
        <f t="shared" si="36"/>
        <v>8.2599162234551684E-3</v>
      </c>
      <c r="N34" s="49">
        <f t="shared" si="36"/>
        <v>7.8469204122824099E-3</v>
      </c>
      <c r="P34" s="191">
        <f t="shared" si="37"/>
        <v>1.0141010242039481E-2</v>
      </c>
      <c r="Q34" s="191">
        <f t="shared" si="42"/>
        <v>1.0141010242039481E-2</v>
      </c>
      <c r="R34" s="191">
        <f t="shared" si="42"/>
        <v>1.0141010242039481E-2</v>
      </c>
      <c r="S34" s="191">
        <f t="shared" ref="S34" si="58">R34</f>
        <v>1.0141010242039481E-2</v>
      </c>
      <c r="T34" s="26">
        <f t="shared" si="38"/>
        <v>1.0141010242039481E-2</v>
      </c>
      <c r="U34" s="26">
        <f t="shared" si="39"/>
        <v>1.0141010242039481E-2</v>
      </c>
      <c r="V34" s="26">
        <f t="shared" si="40"/>
        <v>1.0141010242039481E-2</v>
      </c>
      <c r="W34" s="26">
        <f t="shared" si="40"/>
        <v>1.0141010242039481E-2</v>
      </c>
      <c r="X34" s="26">
        <f t="shared" si="40"/>
        <v>1.0141010242039481E-2</v>
      </c>
      <c r="Y34" s="64"/>
      <c r="Z34" s="191">
        <f t="shared" si="44"/>
        <v>1.0141010242039481E-2</v>
      </c>
      <c r="AA34" s="191">
        <f t="shared" si="45"/>
        <v>1.0141010242039481E-2</v>
      </c>
      <c r="AB34" s="191">
        <f t="shared" si="46"/>
        <v>1.0141010242039481E-2</v>
      </c>
      <c r="AC34" s="191">
        <f t="shared" si="47"/>
        <v>1.0141010242039481E-2</v>
      </c>
      <c r="AD34" s="211">
        <f t="shared" ref="AD34:AH34" si="59">AC34*$AD$27</f>
        <v>9.6339597299375072E-3</v>
      </c>
      <c r="AE34" s="211">
        <f t="shared" si="59"/>
        <v>9.152261743440632E-3</v>
      </c>
      <c r="AF34" s="211">
        <f t="shared" si="59"/>
        <v>8.6946486562685995E-3</v>
      </c>
      <c r="AG34" s="211">
        <f t="shared" si="59"/>
        <v>8.2599162234551684E-3</v>
      </c>
      <c r="AH34" s="211">
        <f t="shared" si="59"/>
        <v>7.8469204122824099E-3</v>
      </c>
      <c r="AI34" s="64"/>
      <c r="AM34" s="64"/>
      <c r="AP34" s="55">
        <v>5.5938512554391424E-3</v>
      </c>
      <c r="AQ34" s="211">
        <v>4.7547735671232706E-3</v>
      </c>
      <c r="AR34" s="57">
        <v>4.0415575320547799E-3</v>
      </c>
      <c r="AS34" s="64"/>
      <c r="AT34" s="64"/>
      <c r="AU34" s="64"/>
      <c r="AV34" s="64"/>
      <c r="AW34" s="64"/>
    </row>
    <row r="35" spans="1:49">
      <c r="A35" t="s">
        <v>16</v>
      </c>
      <c r="B35" s="5" t="s">
        <v>404</v>
      </c>
      <c r="C35" s="5" t="s">
        <v>746</v>
      </c>
      <c r="F35" s="190">
        <f t="shared" si="49"/>
        <v>2.9052410444323504E-3</v>
      </c>
      <c r="G35" s="49">
        <f t="shared" si="33"/>
        <v>2.9052410444323504E-3</v>
      </c>
      <c r="H35" s="49">
        <f t="shared" si="34"/>
        <v>2.9052410444323504E-3</v>
      </c>
      <c r="I35" s="49">
        <f t="shared" si="35"/>
        <v>2.9052410444323504E-3</v>
      </c>
      <c r="J35" s="49">
        <f t="shared" si="36"/>
        <v>2.7599789922107326E-3</v>
      </c>
      <c r="K35" s="49">
        <f t="shared" si="36"/>
        <v>2.6219800426001958E-3</v>
      </c>
      <c r="L35" s="49">
        <f t="shared" si="36"/>
        <v>2.4908810404701857E-3</v>
      </c>
      <c r="M35" s="49">
        <f t="shared" si="36"/>
        <v>2.3663369884466762E-3</v>
      </c>
      <c r="N35" s="49">
        <f t="shared" si="36"/>
        <v>2.2480201390243423E-3</v>
      </c>
      <c r="P35" s="191">
        <f t="shared" si="37"/>
        <v>2.9052410444323504E-3</v>
      </c>
      <c r="Q35" s="191">
        <f t="shared" si="42"/>
        <v>2.9052410444323504E-3</v>
      </c>
      <c r="R35" s="191">
        <f t="shared" si="42"/>
        <v>2.9052410444323504E-3</v>
      </c>
      <c r="S35" s="191">
        <f t="shared" ref="S35" si="60">R35</f>
        <v>2.9052410444323504E-3</v>
      </c>
      <c r="T35" s="26">
        <f t="shared" si="38"/>
        <v>2.9052410444323504E-3</v>
      </c>
      <c r="U35" s="26">
        <f t="shared" si="39"/>
        <v>2.9052410444323504E-3</v>
      </c>
      <c r="V35" s="26">
        <f t="shared" si="40"/>
        <v>2.9052410444323504E-3</v>
      </c>
      <c r="W35" s="26">
        <f t="shared" si="40"/>
        <v>2.9052410444323504E-3</v>
      </c>
      <c r="X35" s="26">
        <f t="shared" si="40"/>
        <v>2.9052410444323504E-3</v>
      </c>
      <c r="Y35" s="64"/>
      <c r="Z35" s="191">
        <f t="shared" si="44"/>
        <v>2.9052410444323504E-3</v>
      </c>
      <c r="AA35" s="191">
        <f t="shared" si="45"/>
        <v>2.9052410444323504E-3</v>
      </c>
      <c r="AB35" s="191">
        <f t="shared" si="46"/>
        <v>2.9052410444323504E-3</v>
      </c>
      <c r="AC35" s="191">
        <f t="shared" si="47"/>
        <v>2.9052410444323504E-3</v>
      </c>
      <c r="AD35" s="211">
        <f t="shared" ref="AD35:AH35" si="61">AC35*$AD$27</f>
        <v>2.7599789922107326E-3</v>
      </c>
      <c r="AE35" s="211">
        <f t="shared" si="61"/>
        <v>2.6219800426001958E-3</v>
      </c>
      <c r="AF35" s="211">
        <f t="shared" si="61"/>
        <v>2.4908810404701857E-3</v>
      </c>
      <c r="AG35" s="211">
        <f t="shared" si="61"/>
        <v>2.3663369884466762E-3</v>
      </c>
      <c r="AH35" s="211">
        <f t="shared" si="61"/>
        <v>2.2480201390243423E-3</v>
      </c>
      <c r="AI35" s="64"/>
      <c r="AM35" s="64"/>
      <c r="AP35" s="55">
        <v>4.9746960538483084E-3</v>
      </c>
      <c r="AQ35" s="211">
        <v>4.2284916457710616E-3</v>
      </c>
      <c r="AR35" s="57">
        <v>3.5942178989054022E-3</v>
      </c>
      <c r="AS35" s="64"/>
      <c r="AT35" s="64"/>
      <c r="AU35" s="64"/>
      <c r="AV35" s="64"/>
      <c r="AW35" s="64"/>
    </row>
    <row r="36" spans="1:49">
      <c r="A36" t="s">
        <v>16</v>
      </c>
      <c r="B36" s="5" t="s">
        <v>366</v>
      </c>
      <c r="C36" s="5" t="s">
        <v>747</v>
      </c>
      <c r="D36" t="s">
        <v>39</v>
      </c>
      <c r="F36" s="190">
        <f>F59/F$60</f>
        <v>9.9196429991951662E-2</v>
      </c>
      <c r="G36" s="49">
        <f t="shared" ref="G36:I36" si="62">1-SUM(G28:G35)</f>
        <v>8.5587460052500175E-2</v>
      </c>
      <c r="H36" s="49">
        <f t="shared" si="62"/>
        <v>7.958746005250017E-2</v>
      </c>
      <c r="I36" s="49">
        <f t="shared" si="62"/>
        <v>7.5587460052500166E-2</v>
      </c>
      <c r="J36" s="49">
        <f>1-SUM(J28:J35)</f>
        <v>0.11491705698932664</v>
      </c>
      <c r="K36" s="49">
        <f>1-SUM(K28:K35)</f>
        <v>0.18702477806773643</v>
      </c>
      <c r="L36" s="49">
        <f>1-SUM(L28:L35)</f>
        <v>0.22767353916434974</v>
      </c>
      <c r="M36" s="49">
        <f>1-SUM(M28:M35)</f>
        <v>0.26628986220613238</v>
      </c>
      <c r="N36" s="49">
        <f>1-SUM(N28:N35)</f>
        <v>0.30297536909582556</v>
      </c>
      <c r="P36" s="191">
        <f t="shared" si="37"/>
        <v>9.9196429991951662E-2</v>
      </c>
      <c r="Q36" s="49">
        <f t="shared" ref="Q36:X36" si="63">1-SUM(Q28:Q35)</f>
        <v>9.9196429991951662E-2</v>
      </c>
      <c r="R36" s="49">
        <f t="shared" si="63"/>
        <v>7.5587460052500166E-2</v>
      </c>
      <c r="S36" s="49">
        <f t="shared" si="63"/>
        <v>9.9196429991951662E-2</v>
      </c>
      <c r="T36" s="49">
        <f t="shared" si="63"/>
        <v>9.9196429991951662E-2</v>
      </c>
      <c r="U36" s="49">
        <f t="shared" si="63"/>
        <v>9.9196429991951662E-2</v>
      </c>
      <c r="V36" s="49">
        <f t="shared" ref="V36:W36" si="64">1-SUM(V28:V35)</f>
        <v>9.9196429991951662E-2</v>
      </c>
      <c r="W36" s="49">
        <f t="shared" si="64"/>
        <v>9.9196429991951662E-2</v>
      </c>
      <c r="X36" s="49">
        <f t="shared" si="63"/>
        <v>9.9196429991951662E-2</v>
      </c>
      <c r="Y36" s="64"/>
      <c r="Z36" s="191">
        <f t="shared" si="44"/>
        <v>9.9196429991951662E-2</v>
      </c>
      <c r="AA36" s="49">
        <f t="shared" ref="AA36:AH36" si="65">1-SUM(AA28:AA35)</f>
        <v>9.9196429991951662E-2</v>
      </c>
      <c r="AB36" s="49">
        <f t="shared" si="65"/>
        <v>7.5587460052500166E-2</v>
      </c>
      <c r="AC36" s="49">
        <f t="shared" si="65"/>
        <v>9.9196429991951662E-2</v>
      </c>
      <c r="AD36" s="49">
        <f t="shared" si="65"/>
        <v>0.14423660849235409</v>
      </c>
      <c r="AE36" s="49">
        <f t="shared" si="65"/>
        <v>0.18702477806773643</v>
      </c>
      <c r="AF36" s="49">
        <f t="shared" ref="AF36:AG36" si="6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49">
      <c r="A37" t="s">
        <v>16</v>
      </c>
    </row>
    <row r="38" spans="1:49" ht="15.75" thickBot="1">
      <c r="A38" t="s">
        <v>16</v>
      </c>
      <c r="B38" s="11" t="s">
        <v>417</v>
      </c>
      <c r="C38" s="11"/>
      <c r="D38" s="11"/>
    </row>
    <row r="39" spans="1:49">
      <c r="A39" t="s">
        <v>16</v>
      </c>
      <c r="B39" s="5" t="s">
        <v>396</v>
      </c>
      <c r="C39" s="5" t="s">
        <v>738</v>
      </c>
      <c r="D39" t="s">
        <v>39</v>
      </c>
      <c r="F39" s="190">
        <f>F46/F$48</f>
        <v>0.16642758048548645</v>
      </c>
      <c r="G39" s="284">
        <v>0.19</v>
      </c>
      <c r="H39" s="284">
        <f>G39</f>
        <v>0.19</v>
      </c>
      <c r="I39" s="284">
        <f>H39</f>
        <v>0.19</v>
      </c>
      <c r="J39" s="284">
        <v>0.19</v>
      </c>
      <c r="K39" s="49">
        <f>IF($D$4,AE39,U39)</f>
        <v>0.17147499999999999</v>
      </c>
      <c r="L39" s="49">
        <f>IF($D$4,AF39,V39)</f>
        <v>0.16290124999999997</v>
      </c>
      <c r="M39" s="49">
        <f>IF($D$4,AG39,W39)</f>
        <v>0.15475618749999998</v>
      </c>
      <c r="N39" s="49">
        <f>IF($D$4,AH39,X39)</f>
        <v>0.14701837812499996</v>
      </c>
      <c r="P39" s="191">
        <f>F39</f>
        <v>0.16642758048548645</v>
      </c>
      <c r="Q39" s="191">
        <f t="shared" ref="Q39:T39" si="67">G39</f>
        <v>0.19</v>
      </c>
      <c r="R39" s="191">
        <f t="shared" si="67"/>
        <v>0.19</v>
      </c>
      <c r="S39" s="191">
        <f t="shared" si="67"/>
        <v>0.19</v>
      </c>
      <c r="T39" s="191">
        <f t="shared" si="67"/>
        <v>0.19</v>
      </c>
      <c r="U39" s="26">
        <f>T39</f>
        <v>0.19</v>
      </c>
      <c r="V39" s="26">
        <f>U39</f>
        <v>0.19</v>
      </c>
      <c r="W39" s="26">
        <f t="shared" ref="W39:X39" si="68">V39</f>
        <v>0.19</v>
      </c>
      <c r="X39" s="26">
        <f t="shared" si="68"/>
        <v>0.19</v>
      </c>
      <c r="Y39" s="64"/>
      <c r="Z39" s="191">
        <f>P39</f>
        <v>0.16642758048548645</v>
      </c>
      <c r="AA39" s="191">
        <f>Q39</f>
        <v>0.19</v>
      </c>
      <c r="AB39" s="191">
        <f>R39</f>
        <v>0.19</v>
      </c>
      <c r="AC39" s="191">
        <f>S39</f>
        <v>0.19</v>
      </c>
      <c r="AD39" s="55">
        <f>AC39*$AD$27</f>
        <v>0.18049999999999999</v>
      </c>
      <c r="AE39" s="55">
        <f t="shared" ref="AE39:AH39" si="6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c r="A40" t="s">
        <v>16</v>
      </c>
      <c r="B40" s="5" t="s">
        <v>368</v>
      </c>
      <c r="C40" s="5" t="s">
        <v>748</v>
      </c>
      <c r="D40" t="s">
        <v>39</v>
      </c>
      <c r="F40" s="190">
        <f>F47/F$48</f>
        <v>0.83357241951451344</v>
      </c>
      <c r="G40" s="49">
        <f t="shared" ref="G40" si="70">1-G39</f>
        <v>0.81</v>
      </c>
      <c r="H40" s="49">
        <f t="shared" ref="H40:N40" si="71">1-H39</f>
        <v>0.81</v>
      </c>
      <c r="I40" s="49">
        <f t="shared" si="71"/>
        <v>0.81</v>
      </c>
      <c r="J40" s="49">
        <f t="shared" si="71"/>
        <v>0.81</v>
      </c>
      <c r="K40" s="49">
        <f t="shared" si="71"/>
        <v>0.82852499999999996</v>
      </c>
      <c r="L40" s="49">
        <f t="shared" si="71"/>
        <v>0.83709875</v>
      </c>
      <c r="M40" s="49">
        <f t="shared" si="71"/>
        <v>0.84524381250000002</v>
      </c>
      <c r="N40" s="49">
        <f t="shared" si="71"/>
        <v>0.85298162187500004</v>
      </c>
      <c r="P40" s="191">
        <f>F40</f>
        <v>0.83357241951451344</v>
      </c>
      <c r="Q40" s="49">
        <f t="shared" ref="Q40:X40" si="72">1-Q39</f>
        <v>0.81</v>
      </c>
      <c r="R40" s="49">
        <f t="shared" si="72"/>
        <v>0.81</v>
      </c>
      <c r="S40" s="49">
        <f t="shared" si="72"/>
        <v>0.81</v>
      </c>
      <c r="T40" s="49">
        <f t="shared" si="72"/>
        <v>0.81</v>
      </c>
      <c r="U40" s="49">
        <f t="shared" si="72"/>
        <v>0.81</v>
      </c>
      <c r="V40" s="49">
        <f t="shared" ref="V40:W40" si="73">1-V39</f>
        <v>0.81</v>
      </c>
      <c r="W40" s="49">
        <f t="shared" si="73"/>
        <v>0.81</v>
      </c>
      <c r="X40" s="49">
        <f t="shared" si="72"/>
        <v>0.81</v>
      </c>
      <c r="Y40" s="64"/>
      <c r="Z40" s="191">
        <f>P40</f>
        <v>0.83357241951451344</v>
      </c>
      <c r="AA40" s="191">
        <f t="shared" ref="AA40" si="74">Q40</f>
        <v>0.81</v>
      </c>
      <c r="AB40" s="191">
        <f t="shared" ref="AB40" si="75">R40</f>
        <v>0.81</v>
      </c>
      <c r="AC40" s="191">
        <f t="shared" ref="AC40" si="76">S40</f>
        <v>0.81</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49">
      <c r="A41" t="s">
        <v>16</v>
      </c>
    </row>
    <row r="42" spans="1:49" ht="15.75" thickBot="1">
      <c r="A42" t="s">
        <v>16</v>
      </c>
      <c r="B42" s="11" t="s">
        <v>193</v>
      </c>
      <c r="C42" s="11"/>
      <c r="D42" s="11"/>
      <c r="F42" s="36"/>
      <c r="G42" s="36"/>
    </row>
    <row r="43" spans="1:49">
      <c r="A43" t="s">
        <v>16</v>
      </c>
      <c r="B43" s="5"/>
      <c r="C43" s="3" t="s">
        <v>5</v>
      </c>
      <c r="D43" s="4" t="s">
        <v>137</v>
      </c>
      <c r="E43" s="4"/>
      <c r="F43" s="36">
        <f t="shared" ref="F43" si="77">F63*F92</f>
        <v>18.931145021834741</v>
      </c>
      <c r="G43" s="36">
        <f>F43*(1+(F13+G13)/2*((G7/F7)^(1/(G$4-F$4))-1))^(G$4-F$4)</f>
        <v>19.16679090850425</v>
      </c>
      <c r="H43" s="36">
        <f t="shared" ref="H43:N43" si="78">G43*(1+(G13+H13)/2*((H7/G7)^(1/(H$4-G$4))-1))^(H$4-G$4)</f>
        <v>18.454471209495399</v>
      </c>
      <c r="I43" s="36">
        <f t="shared" si="78"/>
        <v>19.542936183256387</v>
      </c>
      <c r="J43" s="36">
        <f t="shared" si="78"/>
        <v>26.456553568183089</v>
      </c>
      <c r="K43" s="36">
        <f t="shared" si="78"/>
        <v>36.546999656432035</v>
      </c>
      <c r="L43" s="36">
        <f t="shared" si="78"/>
        <v>45.824974366841978</v>
      </c>
      <c r="M43" s="36">
        <f t="shared" si="78"/>
        <v>55.249771039342697</v>
      </c>
      <c r="N43" s="36">
        <f t="shared" si="78"/>
        <v>59.352767863014755</v>
      </c>
      <c r="O43" s="36"/>
      <c r="P43" s="36">
        <f>$F43</f>
        <v>18.931145021834741</v>
      </c>
      <c r="Q43" s="36">
        <f>G43</f>
        <v>19.16679090850425</v>
      </c>
      <c r="R43" s="36">
        <f>H43</f>
        <v>18.454471209495399</v>
      </c>
      <c r="S43" s="36">
        <f>I43</f>
        <v>19.542936183256387</v>
      </c>
      <c r="T43" s="247">
        <f>R43*(1+(R13+T13)/2*((T7/R7)^(1/(T$4-R$4))-1))^(T$4-R$4)</f>
        <v>26.454976166350473</v>
      </c>
      <c r="U43" s="247">
        <f>T43*(1+(T13+U13)/2*((U7/T7)^(1/(U$4-T$4))-1))^(U$4-T$4)</f>
        <v>36.54482063851551</v>
      </c>
      <c r="V43" s="247">
        <f>S43*(1+(S13+V13)/2*((V7/S7)^(1/(V$4-S$4))-1))^(V$4-S$4)</f>
        <v>45.821065374362625</v>
      </c>
      <c r="W43" s="247">
        <f>T43*(1+(T13+W13)/2*((W7/T7)^(1/(W$4-T$4))-1))^(W$4-T$4)</f>
        <v>55.239915065161966</v>
      </c>
      <c r="X43" s="247">
        <f>U43*(1+(U13+X13)/2*((X7/U7)^(1/(X$4-U$4))-1))^(X$4-U$4)</f>
        <v>59.339821774190497</v>
      </c>
      <c r="Z43" s="36">
        <f>P43</f>
        <v>18.931145021834741</v>
      </c>
      <c r="AA43" s="36">
        <f>Q43</f>
        <v>19.16679090850425</v>
      </c>
      <c r="AB43" s="36">
        <f>R43</f>
        <v>18.454471209495399</v>
      </c>
      <c r="AC43" s="36">
        <f>S43</f>
        <v>19.542936183256387</v>
      </c>
      <c r="AD43" s="247">
        <f>AB43*(1+(AB13+AD13)/2*((AD7/AB7)^(1/(AD$4-AB$4))-1))^(AD$4-AB$4)</f>
        <v>26.454976166350473</v>
      </c>
      <c r="AE43" s="247">
        <f>AD43*(1+(AD13+AE13)/2*((AE7/AD7)^(1/(AE$4-AD$4))-1))^(AE$4-AD$4)</f>
        <v>36.54482063851551</v>
      </c>
      <c r="AF43" s="247">
        <f>AC43*(1+(AC13+AF13)/2*((AF7/AC7)^(1/(AF$4-AC$4))-1))^(AF$4-AC$4)</f>
        <v>45.821065374362625</v>
      </c>
      <c r="AG43" s="247">
        <f>AD43*(1+(AD13+AG13)/2*((AG7/AD7)^(1/(AG$4-AD$4))-1))^(AG$4-AD$4)</f>
        <v>55.239915065161966</v>
      </c>
      <c r="AH43" s="247">
        <f>AE43*(1+(AE13+AH13)/2*((AH7/AE7)^(1/(AH$4-AE$4))-1))^(AH$4-AE$4)</f>
        <v>59.339821774190497</v>
      </c>
    </row>
    <row r="44" spans="1:49">
      <c r="A44" t="s">
        <v>16</v>
      </c>
    </row>
    <row r="45" spans="1:49" ht="15.75" thickBot="1">
      <c r="A45" t="s">
        <v>16</v>
      </c>
      <c r="B45" s="11" t="s">
        <v>395</v>
      </c>
      <c r="C45" s="11"/>
      <c r="D45" s="11"/>
    </row>
    <row r="46" spans="1:49">
      <c r="A46" t="s">
        <v>16</v>
      </c>
      <c r="B46" s="5" t="s">
        <v>396</v>
      </c>
      <c r="C46" s="5" t="s">
        <v>738</v>
      </c>
      <c r="D46" t="s">
        <v>137</v>
      </c>
      <c r="F46" s="38">
        <f>F64*F93</f>
        <v>5.4191590500230697</v>
      </c>
      <c r="G46" s="8">
        <f t="shared" ref="G46:N46" si="79">G39*G$48</f>
        <v>6.263725567965813</v>
      </c>
      <c r="H46" s="8">
        <f t="shared" si="79"/>
        <v>6.0309388102583563</v>
      </c>
      <c r="I46" s="8">
        <f t="shared" si="79"/>
        <v>6.3866502028711318</v>
      </c>
      <c r="J46" s="8">
        <f t="shared" si="79"/>
        <v>8.6460269648873549</v>
      </c>
      <c r="K46" s="8">
        <f t="shared" si="79"/>
        <v>10.779093928090536</v>
      </c>
      <c r="L46" s="8">
        <f t="shared" ref="L46:M46" si="80">L39*L$48</f>
        <v>12.839743952067991</v>
      </c>
      <c r="M46" s="8">
        <f t="shared" si="80"/>
        <v>14.70646251720332</v>
      </c>
      <c r="N46" s="8">
        <f t="shared" si="79"/>
        <v>15.008673836597978</v>
      </c>
      <c r="P46" s="8">
        <f t="shared" ref="P46" si="81">P39*P$48</f>
        <v>5.4191590500230697</v>
      </c>
      <c r="Q46" s="8">
        <f>$G46</f>
        <v>6.263725567965813</v>
      </c>
      <c r="R46" s="8">
        <f t="shared" ref="R46:X47" si="82">R39*R$48</f>
        <v>6.0299454950865155</v>
      </c>
      <c r="S46" s="8">
        <f t="shared" si="82"/>
        <v>6.3830769012013908</v>
      </c>
      <c r="T46" s="246">
        <f t="shared" si="82"/>
        <v>8.644087524698465</v>
      </c>
      <c r="U46" s="246">
        <f t="shared" si="82"/>
        <v>11.940915243595684</v>
      </c>
      <c r="V46" s="246">
        <f t="shared" ref="V46:W46" si="83">V39*V$48</f>
        <v>14.965989820409773</v>
      </c>
      <c r="W46" s="246">
        <f t="shared" si="83"/>
        <v>18.049483684189664</v>
      </c>
      <c r="X46" s="246">
        <f t="shared" si="82"/>
        <v>19.389116432792139</v>
      </c>
      <c r="Y46" s="8"/>
      <c r="Z46" s="8">
        <f t="shared" ref="Z46:AH47" si="84">Z39*Z$48</f>
        <v>5.4191590500230697</v>
      </c>
      <c r="AA46" s="8">
        <f t="shared" si="84"/>
        <v>6.263725567965813</v>
      </c>
      <c r="AB46" s="8">
        <f t="shared" si="84"/>
        <v>6.0299454950865155</v>
      </c>
      <c r="AC46" s="8">
        <f t="shared" si="84"/>
        <v>6.3830769012013908</v>
      </c>
      <c r="AD46" s="246">
        <f t="shared" si="84"/>
        <v>8.2118831484635404</v>
      </c>
      <c r="AE46" s="246">
        <f t="shared" si="84"/>
        <v>10.776676007345104</v>
      </c>
      <c r="AF46" s="246">
        <f t="shared" ref="AF46:AG46" si="85">AF39*AF$48</f>
        <v>12.831465522273826</v>
      </c>
      <c r="AG46" s="246">
        <f t="shared" si="85"/>
        <v>14.701417270045505</v>
      </c>
      <c r="AH46" s="246">
        <f t="shared" si="84"/>
        <v>15.002928690662554</v>
      </c>
      <c r="AI46" s="8"/>
      <c r="AJ46" s="8"/>
      <c r="AK46" s="8"/>
      <c r="AL46" s="8"/>
      <c r="AM46" s="8"/>
      <c r="AN46" s="8"/>
      <c r="AO46" s="8"/>
      <c r="AP46" s="8"/>
      <c r="AQ46" s="8"/>
      <c r="AR46" s="8"/>
      <c r="AS46" s="8"/>
      <c r="AT46" s="8"/>
      <c r="AU46" s="8"/>
      <c r="AV46" s="8"/>
      <c r="AW46" s="8"/>
    </row>
    <row r="47" spans="1:49">
      <c r="A47" t="s">
        <v>16</v>
      </c>
      <c r="B47" s="5" t="s">
        <v>368</v>
      </c>
      <c r="C47" s="5" t="s">
        <v>748</v>
      </c>
      <c r="D47" t="s">
        <v>137</v>
      </c>
      <c r="F47" s="38">
        <f>F103</f>
        <v>27.142505514316699</v>
      </c>
      <c r="G47" s="8">
        <f t="shared" ref="G47" si="86">G40*G$48</f>
        <v>26.703251105538467</v>
      </c>
      <c r="H47" s="8">
        <f t="shared" ref="H47:N47" si="87">H40*H$48</f>
        <v>25.710844401627732</v>
      </c>
      <c r="I47" s="8">
        <f t="shared" si="87"/>
        <v>27.227298233292721</v>
      </c>
      <c r="J47" s="8">
        <f t="shared" si="87"/>
        <v>36.859378113467145</v>
      </c>
      <c r="K47" s="8">
        <f t="shared" si="87"/>
        <v>52.081929125360617</v>
      </c>
      <c r="L47" s="8">
        <f t="shared" si="87"/>
        <v>65.979442224023316</v>
      </c>
      <c r="M47" s="8">
        <f t="shared" si="87"/>
        <v>80.32342129408741</v>
      </c>
      <c r="N47" s="8">
        <f t="shared" si="87"/>
        <v>87.078385128486644</v>
      </c>
      <c r="P47" s="8">
        <f>P40*P$48</f>
        <v>27.142505514316699</v>
      </c>
      <c r="Q47" s="8">
        <f>$G47</f>
        <v>26.703251105538467</v>
      </c>
      <c r="R47" s="8">
        <f t="shared" si="82"/>
        <v>25.706609742210937</v>
      </c>
      <c r="S47" s="8">
        <f t="shared" si="82"/>
        <v>27.212064684069087</v>
      </c>
      <c r="T47" s="246">
        <f t="shared" si="82"/>
        <v>36.851109973714507</v>
      </c>
      <c r="U47" s="246">
        <f t="shared" si="82"/>
        <v>50.906007091118447</v>
      </c>
      <c r="V47" s="246">
        <f t="shared" ref="V47:W47" si="88">V40*V$48</f>
        <v>63.802377655431137</v>
      </c>
      <c r="W47" s="246">
        <f t="shared" si="88"/>
        <v>76.947798864177003</v>
      </c>
      <c r="X47" s="246">
        <f t="shared" si="82"/>
        <v>82.658864792429654</v>
      </c>
      <c r="Y47" s="8"/>
      <c r="Z47" s="8">
        <f t="shared" si="84"/>
        <v>27.142505514316699</v>
      </c>
      <c r="AA47" s="8">
        <f t="shared" si="84"/>
        <v>26.703251105538467</v>
      </c>
      <c r="AB47" s="8">
        <f t="shared" si="84"/>
        <v>25.706609742210937</v>
      </c>
      <c r="AC47" s="8">
        <f t="shared" si="84"/>
        <v>27.212064684069087</v>
      </c>
      <c r="AD47" s="246">
        <f t="shared" si="84"/>
        <v>37.283314349949428</v>
      </c>
      <c r="AE47" s="246">
        <f t="shared" si="84"/>
        <v>52.07024632736902</v>
      </c>
      <c r="AF47" s="246">
        <f t="shared" ref="AF47:AG47" si="89">AF40*AF$48</f>
        <v>65.936901953567073</v>
      </c>
      <c r="AG47" s="246">
        <f t="shared" si="89"/>
        <v>80.295865278321145</v>
      </c>
      <c r="AH47" s="246">
        <f t="shared" si="84"/>
        <v>87.045052534559233</v>
      </c>
      <c r="AI47" s="8"/>
      <c r="AJ47" s="8"/>
      <c r="AK47" s="8"/>
      <c r="AL47" s="8"/>
      <c r="AM47" s="8"/>
      <c r="AN47" s="8"/>
      <c r="AO47" s="8"/>
      <c r="AP47" s="8"/>
      <c r="AQ47" s="8"/>
      <c r="AR47" s="8"/>
      <c r="AS47" s="8"/>
      <c r="AT47" s="8"/>
      <c r="AU47" s="8"/>
      <c r="AV47" s="8"/>
      <c r="AW47" s="8"/>
    </row>
    <row r="48" spans="1:49">
      <c r="A48" t="s">
        <v>16</v>
      </c>
      <c r="B48" s="5"/>
      <c r="C48" s="3" t="s">
        <v>5</v>
      </c>
      <c r="D48" s="4" t="s">
        <v>137</v>
      </c>
      <c r="E48" s="4"/>
      <c r="F48" s="36">
        <f>SUM(F46:F47)</f>
        <v>32.561664564339772</v>
      </c>
      <c r="G48" s="36">
        <f>F48*(1+(F21+G21)/2*((G7/F7)^(1/(G$4-F$4))-1))^(G$4-F$4)</f>
        <v>32.966976673504277</v>
      </c>
      <c r="H48" s="36">
        <f t="shared" ref="H48:N48" si="90">G48*(1+(G21+H21)/2*((H7/G7)^(1/(H$4-G$4))-1))^(H$4-G$4)</f>
        <v>31.741783211886087</v>
      </c>
      <c r="I48" s="36">
        <f t="shared" si="90"/>
        <v>33.613948436163852</v>
      </c>
      <c r="J48" s="36">
        <f t="shared" si="90"/>
        <v>45.505405078354499</v>
      </c>
      <c r="K48" s="36">
        <f t="shared" si="90"/>
        <v>62.861023053451156</v>
      </c>
      <c r="L48" s="36">
        <f t="shared" si="90"/>
        <v>78.819186176091307</v>
      </c>
      <c r="M48" s="36">
        <f t="shared" si="90"/>
        <v>95.02988381129073</v>
      </c>
      <c r="N48" s="36">
        <f t="shared" si="90"/>
        <v>102.08705896508462</v>
      </c>
      <c r="P48" s="36">
        <f>$F48</f>
        <v>32.561664564339772</v>
      </c>
      <c r="Q48" s="36">
        <f>$G48</f>
        <v>32.966976673504277</v>
      </c>
      <c r="R48" s="36">
        <f>P48*(1+(P21+R21)/2*((R7/P7)^(1/(R$4-P$4))-1))^(R$4-P$4)</f>
        <v>31.736555237297448</v>
      </c>
      <c r="S48" s="36">
        <f>Q48*(1+(Q21+S21)/2*((S7/Q7)^(1/(S$4-Q$4))-1))^(S$4-Q$4)</f>
        <v>33.595141585270476</v>
      </c>
      <c r="T48" s="247">
        <f>R48*(1+(R21+T21)/2*((T7/R7)^(1/(T$4-R$4))-1))^(T$4-R$4)</f>
        <v>45.495197498412971</v>
      </c>
      <c r="U48" s="247">
        <f>T48*(1+(T21+U21)/2*((U7/T7)^(1/(U$4-T$4))-1))^(U$4-T$4)</f>
        <v>62.846922334714129</v>
      </c>
      <c r="V48" s="247">
        <f>S48*(1+(S21+V21)/2*((V7/S7)^(1/(V$4-S$4))-1))^(V$4-S$4)</f>
        <v>78.768367475840904</v>
      </c>
      <c r="W48" s="247">
        <f>T48*(1+(T21+W21)/2*((W7/T7)^(1/(W$4-T$4))-1))^(W$4-T$4)</f>
        <v>94.997282548366655</v>
      </c>
      <c r="X48" s="247">
        <f>U48*(1+(U21+X21)/2*((X7/U7)^(1/(X$4-U$4))-1))^(X$4-U$4)</f>
        <v>102.04798122522179</v>
      </c>
      <c r="Y48" s="5"/>
      <c r="Z48" s="36">
        <f>P48</f>
        <v>32.561664564339772</v>
      </c>
      <c r="AA48" s="36">
        <f>Q48</f>
        <v>32.966976673504277</v>
      </c>
      <c r="AB48" s="36">
        <f>R48</f>
        <v>31.736555237297448</v>
      </c>
      <c r="AC48" s="36">
        <f>S48</f>
        <v>33.595141585270476</v>
      </c>
      <c r="AD48" s="247">
        <f>AB48*(1+(AB21+AD21)/2*((AD7/AB7)^(1/(AD$4-AB$4))-1))^(AD$4-AB$4)</f>
        <v>45.495197498412971</v>
      </c>
      <c r="AE48" s="247">
        <f>AD48*(1+(AD21+AE21)/2*((AE7/AD7)^(1/(AE$4-AD$4))-1))^(AE$4-AD$4)</f>
        <v>62.846922334714129</v>
      </c>
      <c r="AF48" s="247">
        <f>AC48*(1+(AC21+AF21)/2*((AF7/AC7)^(1/(AF$4-AC$4))-1))^(AF$4-AC$4)</f>
        <v>78.768367475840904</v>
      </c>
      <c r="AG48" s="247">
        <f>AD48*(1+(AD21+AG21)/2*((AG7/AD7)^(1/(AG$4-AD$4))-1))^(AG$4-AD$4)</f>
        <v>94.997282548366655</v>
      </c>
      <c r="AH48" s="247">
        <f>AE48*(1+(AE21+AH21)/2*((AH7/AE7)^(1/(AH$4-AE$4))-1))^(AH$4-AE$4)</f>
        <v>102.04798122522179</v>
      </c>
      <c r="AI48" s="5"/>
      <c r="AJ48" s="5"/>
      <c r="AK48" s="5"/>
      <c r="AL48" s="5"/>
      <c r="AM48" s="5"/>
      <c r="AN48" s="5"/>
      <c r="AO48" s="5"/>
      <c r="AP48" s="5"/>
      <c r="AQ48" s="5"/>
      <c r="AR48" s="5"/>
      <c r="AS48" s="5"/>
      <c r="AT48" s="5"/>
      <c r="AU48" s="5"/>
      <c r="AV48" s="5"/>
      <c r="AW48" s="5"/>
    </row>
    <row r="49" spans="1:49">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9" ht="15.75" thickBot="1">
      <c r="A50" t="s">
        <v>16</v>
      </c>
      <c r="B50" s="11" t="s">
        <v>194</v>
      </c>
      <c r="C50" s="11"/>
      <c r="D50" s="11"/>
    </row>
    <row r="51" spans="1:49">
      <c r="A51" t="s">
        <v>16</v>
      </c>
      <c r="B51" s="5" t="s">
        <v>397</v>
      </c>
      <c r="C51" s="5" t="s">
        <v>739</v>
      </c>
      <c r="D51" t="s">
        <v>137</v>
      </c>
      <c r="F51" s="38">
        <f>F65*F94</f>
        <v>2.508551055458172</v>
      </c>
      <c r="G51" s="8">
        <f t="shared" ref="G51" si="91">G28*G$60</f>
        <v>2.539776305544069</v>
      </c>
      <c r="H51" s="8">
        <f t="shared" ref="H51:N59" si="92">H28*H$60</f>
        <v>2.4453873855547426</v>
      </c>
      <c r="I51" s="8">
        <f t="shared" si="92"/>
        <v>2.5896190184331611</v>
      </c>
      <c r="J51" s="8">
        <f t="shared" si="92"/>
        <v>3.330450141059575</v>
      </c>
      <c r="K51" s="8">
        <f t="shared" si="92"/>
        <v>4.3706396547460793</v>
      </c>
      <c r="L51" s="8">
        <f t="shared" ref="L51:M51" si="93">L28*L$60</f>
        <v>5.2061791508700148</v>
      </c>
      <c r="M51" s="8">
        <f t="shared" si="93"/>
        <v>5.9630845308082385</v>
      </c>
      <c r="N51" s="8">
        <f t="shared" si="92"/>
        <v>6.0856232882836929</v>
      </c>
      <c r="P51" s="8">
        <f t="shared" ref="P51:X51" si="94">P28*P$60</f>
        <v>2.508551055458172</v>
      </c>
      <c r="Q51" s="8">
        <f t="shared" si="94"/>
        <v>2.539776305544069</v>
      </c>
      <c r="R51" s="8">
        <f t="shared" si="94"/>
        <v>2.4453873855547426</v>
      </c>
      <c r="S51" s="8">
        <f t="shared" si="94"/>
        <v>2.5896190184331611</v>
      </c>
      <c r="T51" s="246">
        <f t="shared" si="94"/>
        <v>3.5057369905890265</v>
      </c>
      <c r="U51" s="246">
        <f t="shared" si="94"/>
        <v>4.8428140218793132</v>
      </c>
      <c r="V51" s="246">
        <f t="shared" ref="V51:W51" si="95">V28*V$60</f>
        <v>6.0722311134217994</v>
      </c>
      <c r="W51" s="246">
        <f t="shared" si="95"/>
        <v>7.3211034670491966</v>
      </c>
      <c r="X51" s="246">
        <f t="shared" si="94"/>
        <v>7.8647883313663236</v>
      </c>
      <c r="Y51" s="8"/>
      <c r="Z51" s="8">
        <f>P51</f>
        <v>2.508551055458172</v>
      </c>
      <c r="AA51" s="8">
        <f>Q51</f>
        <v>2.539776305544069</v>
      </c>
      <c r="AB51" s="8">
        <f>R51</f>
        <v>2.4453873855547426</v>
      </c>
      <c r="AC51" s="8">
        <f>S51</f>
        <v>2.5896190184331611</v>
      </c>
      <c r="AD51" s="246">
        <f t="shared" ref="AD51:AH59" si="96">AD28*AD$60</f>
        <v>3.3302515718036663</v>
      </c>
      <c r="AE51" s="246">
        <f t="shared" si="96"/>
        <v>4.370379066949436</v>
      </c>
      <c r="AF51" s="246">
        <f t="shared" ref="AF51:AG51" si="97">AF28*AF$60</f>
        <v>5.2057350499091708</v>
      </c>
      <c r="AG51" s="246">
        <f t="shared" si="97"/>
        <v>5.9620207796637983</v>
      </c>
      <c r="AH51" s="246">
        <f t="shared" si="96"/>
        <v>6.0842958856624207</v>
      </c>
      <c r="AI51" s="8"/>
      <c r="AJ51" s="8"/>
      <c r="AK51" s="8"/>
      <c r="AL51" s="8"/>
      <c r="AM51" s="8"/>
      <c r="AN51" s="8"/>
      <c r="AO51" s="8"/>
      <c r="AP51" s="8"/>
      <c r="AQ51" s="8"/>
      <c r="AR51" s="8"/>
      <c r="AS51" s="8"/>
      <c r="AT51" s="8"/>
      <c r="AU51" s="8"/>
      <c r="AV51" s="8"/>
      <c r="AW51" s="8"/>
    </row>
    <row r="52" spans="1:49">
      <c r="A52" t="s">
        <v>16</v>
      </c>
      <c r="B52" s="5" t="s">
        <v>398</v>
      </c>
      <c r="C52" s="5" t="s">
        <v>740</v>
      </c>
      <c r="D52" t="s">
        <v>137</v>
      </c>
      <c r="F52" s="38">
        <f t="shared" ref="F52:F58" si="98">F66*F95</f>
        <v>16.520182703280053</v>
      </c>
      <c r="G52" s="8">
        <f t="shared" ref="G52" si="99">G29*G$60</f>
        <v>16.725818078032439</v>
      </c>
      <c r="H52" s="8">
        <f t="shared" si="92"/>
        <v>16.104215340469594</v>
      </c>
      <c r="I52" s="8">
        <f t="shared" si="92"/>
        <v>17.054059642645338</v>
      </c>
      <c r="J52" s="8">
        <f t="shared" si="92"/>
        <v>21.932838358922695</v>
      </c>
      <c r="K52" s="8">
        <f t="shared" si="92"/>
        <v>28.783056047236201</v>
      </c>
      <c r="L52" s="8">
        <f t="shared" ref="L52:M52" si="100">L29*L$60</f>
        <v>34.285541277401428</v>
      </c>
      <c r="M52" s="8">
        <f t="shared" si="100"/>
        <v>39.270177782394242</v>
      </c>
      <c r="N52" s="8">
        <f t="shared" si="92"/>
        <v>40.077162618251087</v>
      </c>
      <c r="P52" s="8">
        <f t="shared" ref="P52:P59" si="101">P29*P$60</f>
        <v>16.520182703280053</v>
      </c>
      <c r="Q52" s="8">
        <f t="shared" ref="Q52:X59" si="102">Q29*Q$60</f>
        <v>16.725818078032439</v>
      </c>
      <c r="R52" s="8">
        <f t="shared" si="102"/>
        <v>16.104215340469594</v>
      </c>
      <c r="S52" s="8">
        <f t="shared" si="102"/>
        <v>17.054059642645338</v>
      </c>
      <c r="T52" s="246">
        <f t="shared" si="102"/>
        <v>23.087198272550204</v>
      </c>
      <c r="U52" s="246">
        <f t="shared" si="102"/>
        <v>31.892582877824047</v>
      </c>
      <c r="V52" s="246">
        <f t="shared" ref="V52:W52" si="103">V29*V$60</f>
        <v>39.98896781151938</v>
      </c>
      <c r="W52" s="246">
        <f t="shared" si="103"/>
        <v>48.213476302231257</v>
      </c>
      <c r="X52" s="246">
        <f t="shared" si="102"/>
        <v>51.793938925060544</v>
      </c>
      <c r="Y52" s="8"/>
      <c r="Z52" s="8">
        <f t="shared" ref="Z52:Z59" si="104">P52</f>
        <v>16.520182703280053</v>
      </c>
      <c r="AA52" s="8">
        <f t="shared" ref="AA52:AA60" si="105">Q52</f>
        <v>16.725818078032439</v>
      </c>
      <c r="AB52" s="8">
        <f t="shared" ref="AB52:AB60" si="106">R52</f>
        <v>16.104215340469594</v>
      </c>
      <c r="AC52" s="8">
        <f t="shared" ref="AC52:AC60" si="107">S52</f>
        <v>17.054059642645338</v>
      </c>
      <c r="AD52" s="246">
        <f t="shared" si="96"/>
        <v>21.931530671610638</v>
      </c>
      <c r="AE52" s="246">
        <f t="shared" si="96"/>
        <v>28.781339933864132</v>
      </c>
      <c r="AF52" s="246">
        <f t="shared" ref="AF52:AG52" si="108">AF29*AF$60</f>
        <v>34.28261662932784</v>
      </c>
      <c r="AG52" s="246">
        <f t="shared" si="108"/>
        <v>39.263172398462061</v>
      </c>
      <c r="AH52" s="246">
        <f t="shared" si="96"/>
        <v>40.068420944934729</v>
      </c>
      <c r="AI52" s="8"/>
      <c r="AJ52" s="8"/>
      <c r="AK52" s="8"/>
      <c r="AL52" s="8"/>
      <c r="AM52" s="8"/>
      <c r="AN52" s="8"/>
      <c r="AO52" s="8"/>
      <c r="AP52" s="8"/>
      <c r="AQ52" s="8"/>
      <c r="AR52" s="8"/>
      <c r="AS52" s="8"/>
      <c r="AT52" s="8"/>
      <c r="AU52" s="8"/>
      <c r="AV52" s="8"/>
      <c r="AW52" s="8"/>
    </row>
    <row r="53" spans="1:49">
      <c r="A53" t="s">
        <v>16</v>
      </c>
      <c r="B53" s="5" t="s">
        <v>399</v>
      </c>
      <c r="C53" s="5" t="s">
        <v>741</v>
      </c>
      <c r="D53" t="s">
        <v>137</v>
      </c>
      <c r="F53" s="38">
        <f t="shared" si="98"/>
        <v>4.7389994637867545</v>
      </c>
      <c r="G53" s="8">
        <f t="shared" ref="G53" si="109">G30*G$60</f>
        <v>4.7979882745154434</v>
      </c>
      <c r="H53" s="8">
        <f t="shared" si="92"/>
        <v>4.6196745661922405</v>
      </c>
      <c r="I53" s="8">
        <f t="shared" si="92"/>
        <v>4.8921480442124343</v>
      </c>
      <c r="J53" s="8">
        <f t="shared" si="92"/>
        <v>6.2916803699525161</v>
      </c>
      <c r="K53" s="8">
        <f t="shared" si="92"/>
        <v>8.2567420484347256</v>
      </c>
      <c r="L53" s="8">
        <f t="shared" ref="L53:M53" si="110">L30*L$60</f>
        <v>9.8351915743028702</v>
      </c>
      <c r="M53" s="8">
        <f t="shared" si="110"/>
        <v>11.265090392530995</v>
      </c>
      <c r="N53" s="8">
        <f t="shared" si="92"/>
        <v>11.496583032358176</v>
      </c>
      <c r="P53" s="8">
        <f t="shared" si="101"/>
        <v>4.7389994637867545</v>
      </c>
      <c r="Q53" s="8">
        <f t="shared" si="102"/>
        <v>4.7979882745154434</v>
      </c>
      <c r="R53" s="8">
        <f t="shared" si="102"/>
        <v>4.6196745661922405</v>
      </c>
      <c r="S53" s="8">
        <f t="shared" si="102"/>
        <v>4.8921480442124343</v>
      </c>
      <c r="T53" s="246">
        <f t="shared" si="102"/>
        <v>6.6228214420552804</v>
      </c>
      <c r="U53" s="246">
        <f t="shared" si="102"/>
        <v>9.1487446520052362</v>
      </c>
      <c r="V53" s="246">
        <f t="shared" ref="V53:W53" si="111">V30*V$60</f>
        <v>11.471283364108903</v>
      </c>
      <c r="W53" s="246">
        <f t="shared" si="111"/>
        <v>13.830575753753878</v>
      </c>
      <c r="X53" s="246">
        <f t="shared" si="102"/>
        <v>14.857671564645099</v>
      </c>
      <c r="Y53" s="8"/>
      <c r="Z53" s="8">
        <f t="shared" si="104"/>
        <v>4.7389994637867545</v>
      </c>
      <c r="AA53" s="8">
        <f t="shared" si="105"/>
        <v>4.7979882745154434</v>
      </c>
      <c r="AB53" s="8">
        <f t="shared" si="106"/>
        <v>4.6196745661922405</v>
      </c>
      <c r="AC53" s="8">
        <f t="shared" si="107"/>
        <v>4.8921480442124343</v>
      </c>
      <c r="AD53" s="246">
        <f t="shared" si="96"/>
        <v>6.291305245198636</v>
      </c>
      <c r="AE53" s="246">
        <f t="shared" si="96"/>
        <v>8.2562497620904338</v>
      </c>
      <c r="AF53" s="246">
        <f t="shared" ref="AF53:AG53" si="112">AF30*AF$60</f>
        <v>9.8343526062417155</v>
      </c>
      <c r="AG53" s="246">
        <f t="shared" si="112"/>
        <v>11.263080819677322</v>
      </c>
      <c r="AH53" s="246">
        <f t="shared" si="96"/>
        <v>11.494075385445131</v>
      </c>
      <c r="AI53" s="8"/>
      <c r="AJ53" s="8"/>
      <c r="AK53" s="8"/>
      <c r="AL53" s="8"/>
      <c r="AM53" s="8"/>
      <c r="AN53" s="8"/>
      <c r="AO53" s="8"/>
      <c r="AP53" s="8"/>
      <c r="AQ53" s="8"/>
      <c r="AR53" s="8"/>
      <c r="AS53" s="8"/>
      <c r="AT53" s="8"/>
      <c r="AU53" s="8"/>
      <c r="AV53" s="8"/>
      <c r="AW53" s="8"/>
    </row>
    <row r="54" spans="1:49">
      <c r="A54" t="s">
        <v>16</v>
      </c>
      <c r="B54" s="5" t="s">
        <v>400</v>
      </c>
      <c r="C54" s="5" t="s">
        <v>742</v>
      </c>
      <c r="D54" t="s">
        <v>137</v>
      </c>
      <c r="F54" s="38">
        <f t="shared" si="98"/>
        <v>3.2441770761137643</v>
      </c>
      <c r="G54" s="8">
        <f t="shared" ref="G54" si="113">G31*G$60</f>
        <v>3.284559048927981</v>
      </c>
      <c r="H54" s="8">
        <f t="shared" si="92"/>
        <v>3.1624908255995221</v>
      </c>
      <c r="I54" s="8">
        <f t="shared" si="92"/>
        <v>3.3490180067053346</v>
      </c>
      <c r="J54" s="8">
        <f t="shared" si="92"/>
        <v>4.3070959138967719</v>
      </c>
      <c r="K54" s="8">
        <f t="shared" si="92"/>
        <v>5.6523182755358654</v>
      </c>
      <c r="L54" s="8">
        <f t="shared" ref="L54:M54" si="114">L31*L$60</f>
        <v>6.7328775384677639</v>
      </c>
      <c r="M54" s="8">
        <f t="shared" si="114"/>
        <v>7.7117434367878106</v>
      </c>
      <c r="N54" s="8">
        <f t="shared" si="92"/>
        <v>7.8702163636482627</v>
      </c>
      <c r="P54" s="8">
        <f t="shared" si="101"/>
        <v>3.2441770761137643</v>
      </c>
      <c r="Q54" s="8">
        <f t="shared" si="102"/>
        <v>3.284559048927981</v>
      </c>
      <c r="R54" s="8">
        <f t="shared" si="102"/>
        <v>3.1624908255995221</v>
      </c>
      <c r="S54" s="8">
        <f t="shared" si="102"/>
        <v>3.3490180067053346</v>
      </c>
      <c r="T54" s="246">
        <f t="shared" si="102"/>
        <v>4.5337851725229177</v>
      </c>
      <c r="U54" s="246">
        <f t="shared" si="102"/>
        <v>6.2629565379898784</v>
      </c>
      <c r="V54" s="246">
        <f t="shared" ref="V54:W54" si="115">V31*V$60</f>
        <v>7.852896968616724</v>
      </c>
      <c r="W54" s="246">
        <f t="shared" si="115"/>
        <v>9.4679978659314283</v>
      </c>
      <c r="X54" s="246">
        <f t="shared" si="102"/>
        <v>10.171116891398302</v>
      </c>
      <c r="Y54" s="8"/>
      <c r="Z54" s="8">
        <f t="shared" si="104"/>
        <v>3.2441770761137643</v>
      </c>
      <c r="AA54" s="8">
        <f t="shared" si="105"/>
        <v>3.284559048927981</v>
      </c>
      <c r="AB54" s="8">
        <f t="shared" si="106"/>
        <v>3.1624908255995221</v>
      </c>
      <c r="AC54" s="8">
        <f t="shared" si="107"/>
        <v>3.3490180067053346</v>
      </c>
      <c r="AD54" s="246">
        <f t="shared" si="96"/>
        <v>4.3068391147271319</v>
      </c>
      <c r="AE54" s="246">
        <f t="shared" si="96"/>
        <v>5.6519812710510076</v>
      </c>
      <c r="AF54" s="246">
        <f t="shared" ref="AF54:AG54" si="116">AF31*AF$60</f>
        <v>6.7323032060643966</v>
      </c>
      <c r="AG54" s="246">
        <f t="shared" si="116"/>
        <v>7.7103677434089688</v>
      </c>
      <c r="AH54" s="246">
        <f t="shared" si="96"/>
        <v>7.8684997036881894</v>
      </c>
      <c r="AI54" s="8"/>
      <c r="AJ54" s="8"/>
      <c r="AK54" s="8"/>
      <c r="AL54" s="8"/>
      <c r="AM54" s="8"/>
      <c r="AN54" s="8"/>
      <c r="AO54" s="8"/>
      <c r="AP54" s="8"/>
      <c r="AQ54" s="8"/>
      <c r="AR54" s="8"/>
      <c r="AS54" s="8"/>
      <c r="AT54" s="8"/>
      <c r="AU54" s="8"/>
      <c r="AV54" s="8"/>
      <c r="AW54" s="8"/>
    </row>
    <row r="55" spans="1:49">
      <c r="A55" t="s">
        <v>16</v>
      </c>
      <c r="B55" s="5" t="s">
        <v>401</v>
      </c>
      <c r="C55" s="5" t="s">
        <v>743</v>
      </c>
      <c r="D55" t="s">
        <v>137</v>
      </c>
      <c r="F55" s="38">
        <f>F69*F98</f>
        <v>130.05107807184956</v>
      </c>
      <c r="G55" s="8">
        <f>G32*G$60</f>
        <v>134.72568842583829</v>
      </c>
      <c r="H55" s="8">
        <f t="shared" si="92"/>
        <v>131.01589429361536</v>
      </c>
      <c r="I55" s="8">
        <f t="shared" si="92"/>
        <v>139.65915331273681</v>
      </c>
      <c r="J55" s="8">
        <f t="shared" si="92"/>
        <v>181.74829412797916</v>
      </c>
      <c r="K55" s="8">
        <f t="shared" si="92"/>
        <v>226.58753455567518</v>
      </c>
      <c r="L55" s="8">
        <f t="shared" ref="L55:M55" si="117">L32*L$60</f>
        <v>269.90449715290686</v>
      </c>
      <c r="M55" s="8">
        <f t="shared" si="117"/>
        <v>309.14482293585974</v>
      </c>
      <c r="N55" s="8">
        <f t="shared" si="92"/>
        <v>315.49761271886734</v>
      </c>
      <c r="P55" s="8">
        <f t="shared" si="101"/>
        <v>130.05107807184956</v>
      </c>
      <c r="Q55" s="8">
        <f t="shared" si="102"/>
        <v>131.66989201940638</v>
      </c>
      <c r="R55" s="8">
        <f t="shared" si="102"/>
        <v>131.88068567509137</v>
      </c>
      <c r="S55" s="8">
        <f t="shared" si="102"/>
        <v>134.25389306301608</v>
      </c>
      <c r="T55" s="246">
        <f t="shared" si="102"/>
        <v>181.74829412797916</v>
      </c>
      <c r="U55" s="246">
        <f t="shared" si="102"/>
        <v>251.06652028329665</v>
      </c>
      <c r="V55" s="246">
        <f t="shared" ref="V55:W55" si="118">V32*V$60</f>
        <v>314.8033207790138</v>
      </c>
      <c r="W55" s="246">
        <f t="shared" si="118"/>
        <v>379.54874248768482</v>
      </c>
      <c r="X55" s="246">
        <f t="shared" si="102"/>
        <v>407.73505449514579</v>
      </c>
      <c r="Y55" s="8"/>
      <c r="Z55" s="8">
        <f t="shared" si="104"/>
        <v>130.05107807184956</v>
      </c>
      <c r="AA55" s="8">
        <f t="shared" si="105"/>
        <v>131.66989201940638</v>
      </c>
      <c r="AB55" s="8">
        <f t="shared" si="106"/>
        <v>131.88068567509137</v>
      </c>
      <c r="AC55" s="8">
        <f t="shared" si="107"/>
        <v>134.25389306301608</v>
      </c>
      <c r="AD55" s="246">
        <f t="shared" si="96"/>
        <v>172.65058497461385</v>
      </c>
      <c r="AE55" s="246">
        <f t="shared" si="96"/>
        <v>226.57402487493258</v>
      </c>
      <c r="AF55" s="246">
        <f t="shared" ref="AF55:AG55" si="119">AF32*AF$60</f>
        <v>269.88147357975504</v>
      </c>
      <c r="AG55" s="246">
        <f t="shared" si="119"/>
        <v>309.08967477260688</v>
      </c>
      <c r="AH55" s="246">
        <f t="shared" si="96"/>
        <v>315.42879604417533</v>
      </c>
      <c r="AI55" s="8"/>
      <c r="AJ55" s="8"/>
      <c r="AK55" s="8"/>
      <c r="AL55" s="8"/>
      <c r="AM55" s="8"/>
      <c r="AN55" s="8"/>
      <c r="AO55" s="8"/>
      <c r="AP55" s="8"/>
      <c r="AQ55" s="8"/>
      <c r="AR55" s="8"/>
      <c r="AS55" s="8"/>
      <c r="AT55" s="8"/>
      <c r="AU55" s="8"/>
      <c r="AV55" s="8"/>
      <c r="AW55" s="8"/>
    </row>
    <row r="56" spans="1:49">
      <c r="A56" t="s">
        <v>16</v>
      </c>
      <c r="B56" s="5" t="s">
        <v>402</v>
      </c>
      <c r="C56" s="5" t="s">
        <v>744</v>
      </c>
      <c r="D56" t="s">
        <v>137</v>
      </c>
      <c r="F56" s="38">
        <f t="shared" si="98"/>
        <v>39.825760684889083</v>
      </c>
      <c r="G56" s="8">
        <f t="shared" ref="G56" si="120">G33*G$60</f>
        <v>40.321492806641579</v>
      </c>
      <c r="H56" s="8">
        <f t="shared" si="92"/>
        <v>38.822974157550945</v>
      </c>
      <c r="I56" s="8">
        <f t="shared" si="92"/>
        <v>41.112795798497203</v>
      </c>
      <c r="J56" s="8">
        <f t="shared" si="92"/>
        <v>52.874231920533198</v>
      </c>
      <c r="K56" s="8">
        <f t="shared" si="92"/>
        <v>69.388282351706735</v>
      </c>
      <c r="L56" s="8">
        <f t="shared" ref="L56:M56" si="121">L33*L$60</f>
        <v>82.653308767255211</v>
      </c>
      <c r="M56" s="8">
        <f t="shared" si="121"/>
        <v>94.669939824827637</v>
      </c>
      <c r="N56" s="8">
        <f t="shared" si="92"/>
        <v>96.615365340175487</v>
      </c>
      <c r="P56" s="8">
        <f t="shared" si="101"/>
        <v>39.825760684889083</v>
      </c>
      <c r="Q56" s="8">
        <f t="shared" si="102"/>
        <v>40.321492806641579</v>
      </c>
      <c r="R56" s="8">
        <f t="shared" si="102"/>
        <v>38.822974157550945</v>
      </c>
      <c r="S56" s="8">
        <f t="shared" si="102"/>
        <v>41.112795798497203</v>
      </c>
      <c r="T56" s="246">
        <f t="shared" si="102"/>
        <v>55.657086232140209</v>
      </c>
      <c r="U56" s="246">
        <f t="shared" si="102"/>
        <v>76.884523381392526</v>
      </c>
      <c r="V56" s="246">
        <f t="shared" ref="V56:W56" si="122">V33*V$60</f>
        <v>96.402751150027981</v>
      </c>
      <c r="W56" s="246">
        <f t="shared" si="122"/>
        <v>116.22985069154186</v>
      </c>
      <c r="X56" s="246">
        <f t="shared" si="102"/>
        <v>124.86139249220716</v>
      </c>
      <c r="Y56" s="8"/>
      <c r="Z56" s="8">
        <f t="shared" si="104"/>
        <v>39.825760684889083</v>
      </c>
      <c r="AA56" s="8">
        <f t="shared" si="105"/>
        <v>40.321492806641579</v>
      </c>
      <c r="AB56" s="8">
        <f t="shared" si="106"/>
        <v>38.822974157550945</v>
      </c>
      <c r="AC56" s="8">
        <f t="shared" si="107"/>
        <v>41.112795798497203</v>
      </c>
      <c r="AD56" s="246">
        <f t="shared" si="96"/>
        <v>52.871079434699595</v>
      </c>
      <c r="AE56" s="246">
        <f t="shared" si="96"/>
        <v>69.384145259418375</v>
      </c>
      <c r="AF56" s="246">
        <f t="shared" ref="AF56:AG56" si="123">AF33*AF$60</f>
        <v>82.646258219669974</v>
      </c>
      <c r="AG56" s="246">
        <f t="shared" si="123"/>
        <v>94.653051709907842</v>
      </c>
      <c r="AH56" s="246">
        <f t="shared" si="96"/>
        <v>96.594291493975604</v>
      </c>
      <c r="AI56" s="8"/>
      <c r="AJ56" s="8"/>
      <c r="AK56" s="8"/>
      <c r="AL56" s="8"/>
      <c r="AM56" s="8"/>
      <c r="AN56" s="8"/>
      <c r="AO56" s="8"/>
      <c r="AP56" s="8"/>
      <c r="AQ56" s="8"/>
      <c r="AR56" s="8"/>
      <c r="AS56" s="8"/>
      <c r="AT56" s="8"/>
      <c r="AU56" s="8"/>
      <c r="AV56" s="8"/>
      <c r="AW56" s="8"/>
    </row>
    <row r="57" spans="1:49">
      <c r="A57" t="s">
        <v>16</v>
      </c>
      <c r="B57" s="5" t="s">
        <v>403</v>
      </c>
      <c r="C57" s="5" t="s">
        <v>745</v>
      </c>
      <c r="D57" t="s">
        <v>137</v>
      </c>
      <c r="F57" s="38">
        <f t="shared" si="98"/>
        <v>2.2490953086010257</v>
      </c>
      <c r="G57" s="8">
        <f t="shared" ref="G57" si="124">G34*G$60</f>
        <v>2.2770909769870764</v>
      </c>
      <c r="H57" s="8">
        <f t="shared" si="92"/>
        <v>2.1924645641939198</v>
      </c>
      <c r="I57" s="8">
        <f t="shared" si="92"/>
        <v>2.3217785313754526</v>
      </c>
      <c r="J57" s="8">
        <f t="shared" si="92"/>
        <v>2.9859865803762244</v>
      </c>
      <c r="K57" s="8">
        <f t="shared" si="92"/>
        <v>3.9185908222544139</v>
      </c>
      <c r="L57" s="8">
        <f t="shared" ref="L57:M57" si="125">L34*L$60</f>
        <v>4.6677116969499384</v>
      </c>
      <c r="M57" s="8">
        <f t="shared" si="125"/>
        <v>5.3463314664658554</v>
      </c>
      <c r="N57" s="8">
        <f t="shared" si="92"/>
        <v>5.4561962204481125</v>
      </c>
      <c r="P57" s="8">
        <f t="shared" si="101"/>
        <v>2.2490953086010257</v>
      </c>
      <c r="Q57" s="8">
        <f t="shared" si="102"/>
        <v>2.2770909769870764</v>
      </c>
      <c r="R57" s="8">
        <f t="shared" si="102"/>
        <v>2.1924645641939198</v>
      </c>
      <c r="S57" s="8">
        <f t="shared" si="102"/>
        <v>2.3217785313754526</v>
      </c>
      <c r="T57" s="246">
        <f t="shared" si="102"/>
        <v>3.1431437688170782</v>
      </c>
      <c r="U57" s="246">
        <f t="shared" si="102"/>
        <v>4.3419288889245582</v>
      </c>
      <c r="V57" s="246">
        <f t="shared" ref="V57:W57" si="126">V34*V$60</f>
        <v>5.4441891785390748</v>
      </c>
      <c r="W57" s="246">
        <f t="shared" si="126"/>
        <v>6.5638925010899021</v>
      </c>
      <c r="X57" s="246">
        <f t="shared" si="102"/>
        <v>7.0513448393759557</v>
      </c>
      <c r="Y57" s="8"/>
      <c r="Z57" s="8">
        <f t="shared" si="104"/>
        <v>2.2490953086010257</v>
      </c>
      <c r="AA57" s="8">
        <f t="shared" si="105"/>
        <v>2.2770909769870764</v>
      </c>
      <c r="AB57" s="8">
        <f t="shared" si="106"/>
        <v>2.1924645641939198</v>
      </c>
      <c r="AC57" s="8">
        <f t="shared" si="107"/>
        <v>2.3217785313754526</v>
      </c>
      <c r="AD57" s="246">
        <f t="shared" si="96"/>
        <v>2.9858085488464594</v>
      </c>
      <c r="AE57" s="246">
        <f t="shared" si="96"/>
        <v>3.9183571866703848</v>
      </c>
      <c r="AF57" s="246">
        <f t="shared" ref="AF57:AG57" si="127">AF34*AF$60</f>
        <v>4.6673135286984273</v>
      </c>
      <c r="AG57" s="246">
        <f t="shared" si="127"/>
        <v>5.3453777375380458</v>
      </c>
      <c r="AH57" s="246">
        <f t="shared" si="96"/>
        <v>5.4550061091280213</v>
      </c>
      <c r="AI57" s="8"/>
      <c r="AJ57" s="8"/>
      <c r="AK57" s="8"/>
      <c r="AL57" s="8"/>
      <c r="AM57" s="8"/>
      <c r="AN57" s="8"/>
      <c r="AO57" s="8"/>
      <c r="AP57" s="8"/>
      <c r="AQ57" s="8"/>
      <c r="AR57" s="8"/>
      <c r="AS57" s="8"/>
      <c r="AT57" s="8"/>
      <c r="AU57" s="8"/>
      <c r="AV57" s="8"/>
      <c r="AW57" s="8"/>
    </row>
    <row r="58" spans="1:49">
      <c r="A58" t="s">
        <v>16</v>
      </c>
      <c r="B58" s="5" t="s">
        <v>404</v>
      </c>
      <c r="C58" s="5" t="s">
        <v>746</v>
      </c>
      <c r="D58" t="s">
        <v>137</v>
      </c>
      <c r="F58" s="38">
        <f t="shared" si="98"/>
        <v>0.64433067785501452</v>
      </c>
      <c r="G58" s="8">
        <f t="shared" ref="G58" si="128">G35*G$60</f>
        <v>0.65235099959024967</v>
      </c>
      <c r="H58" s="8">
        <f t="shared" si="92"/>
        <v>0.62810685408386391</v>
      </c>
      <c r="I58" s="8">
        <f t="shared" si="92"/>
        <v>0.66515328595874301</v>
      </c>
      <c r="J58" s="8">
        <f t="shared" si="92"/>
        <v>0.85543851789745873</v>
      </c>
      <c r="K58" s="8">
        <f t="shared" si="92"/>
        <v>1.122615067082299</v>
      </c>
      <c r="L58" s="8">
        <f t="shared" ref="L58:M58" si="129">L35*L$60</f>
        <v>1.3372264973502963</v>
      </c>
      <c r="M58" s="8">
        <f t="shared" si="129"/>
        <v>1.5316404621235298</v>
      </c>
      <c r="N58" s="8">
        <f t="shared" si="92"/>
        <v>1.5631149981892307</v>
      </c>
      <c r="P58" s="8">
        <f t="shared" si="101"/>
        <v>0.64433067785501452</v>
      </c>
      <c r="Q58" s="8">
        <f t="shared" si="102"/>
        <v>0.65235099959024967</v>
      </c>
      <c r="R58" s="8">
        <f t="shared" si="102"/>
        <v>0.62810685408386391</v>
      </c>
      <c r="S58" s="8">
        <f t="shared" si="102"/>
        <v>0.66515328595874301</v>
      </c>
      <c r="T58" s="246">
        <f t="shared" si="102"/>
        <v>0.9004615977867988</v>
      </c>
      <c r="U58" s="246">
        <f t="shared" si="102"/>
        <v>1.2438948111715227</v>
      </c>
      <c r="V58" s="246">
        <f t="shared" ref="V58:W58" si="130">V35*V$60</f>
        <v>1.5596751682172871</v>
      </c>
      <c r="W58" s="246">
        <f t="shared" si="130"/>
        <v>1.88045268176092</v>
      </c>
      <c r="X58" s="246">
        <f t="shared" si="102"/>
        <v>2.0201001632832698</v>
      </c>
      <c r="Y58" s="8"/>
      <c r="Z58" s="8">
        <f t="shared" si="104"/>
        <v>0.64433067785501452</v>
      </c>
      <c r="AA58" s="8">
        <f t="shared" si="105"/>
        <v>0.65235099959024967</v>
      </c>
      <c r="AB58" s="8">
        <f t="shared" si="106"/>
        <v>0.62810685408386391</v>
      </c>
      <c r="AC58" s="8">
        <f t="shared" si="107"/>
        <v>0.66515328595874301</v>
      </c>
      <c r="AD58" s="246">
        <f t="shared" si="96"/>
        <v>0.85538751464481122</v>
      </c>
      <c r="AE58" s="246">
        <f t="shared" si="96"/>
        <v>1.1225481341365706</v>
      </c>
      <c r="AF58" s="246">
        <f t="shared" ref="AF58:AG58" si="131">AF35*AF$60</f>
        <v>1.337112428365129</v>
      </c>
      <c r="AG58" s="246">
        <f t="shared" si="131"/>
        <v>1.5313672336817667</v>
      </c>
      <c r="AH58" s="246">
        <f t="shared" si="96"/>
        <v>1.5627740498840768</v>
      </c>
      <c r="AI58" s="8"/>
      <c r="AJ58" s="8"/>
      <c r="AK58" s="8"/>
      <c r="AL58" s="8"/>
      <c r="AM58" s="8"/>
      <c r="AN58" s="8"/>
      <c r="AO58" s="8"/>
      <c r="AP58" s="8"/>
      <c r="AQ58" s="8"/>
      <c r="AR58" s="8"/>
      <c r="AS58" s="8"/>
      <c r="AT58" s="8"/>
      <c r="AU58" s="8"/>
      <c r="AV58" s="8"/>
      <c r="AW58" s="8"/>
    </row>
    <row r="59" spans="1:49">
      <c r="A59" t="s">
        <v>16</v>
      </c>
      <c r="B59" s="5" t="s">
        <v>366</v>
      </c>
      <c r="C59" s="5" t="s">
        <v>747</v>
      </c>
      <c r="D59" t="s">
        <v>137</v>
      </c>
      <c r="F59" s="38">
        <f>F102</f>
        <v>22</v>
      </c>
      <c r="G59" s="8">
        <f t="shared" ref="G59" si="132">G36*G$60</f>
        <v>19.218049126986699</v>
      </c>
      <c r="H59" s="8">
        <f t="shared" si="92"/>
        <v>17.206637381742077</v>
      </c>
      <c r="I59" s="8">
        <f t="shared" si="92"/>
        <v>17.305706019659819</v>
      </c>
      <c r="J59" s="8">
        <f t="shared" si="92"/>
        <v>35.617835204370841</v>
      </c>
      <c r="K59" s="8">
        <f t="shared" si="92"/>
        <v>80.075679587687318</v>
      </c>
      <c r="L59" s="8">
        <f t="shared" ref="L59:M59" si="133">L36*L$60</f>
        <v>122.22626627669857</v>
      </c>
      <c r="M59" s="8">
        <f t="shared" si="133"/>
        <v>172.35935946550941</v>
      </c>
      <c r="N59" s="8">
        <f t="shared" si="92"/>
        <v>210.66774949851762</v>
      </c>
      <c r="P59" s="8">
        <f t="shared" si="101"/>
        <v>22</v>
      </c>
      <c r="Q59" s="8">
        <f t="shared" si="102"/>
        <v>22.273845533418598</v>
      </c>
      <c r="R59" s="8">
        <f t="shared" si="102"/>
        <v>16.341846000266067</v>
      </c>
      <c r="S59" s="8">
        <f t="shared" si="102"/>
        <v>22.71096626938056</v>
      </c>
      <c r="T59" s="246">
        <f t="shared" si="102"/>
        <v>30.745323530547768</v>
      </c>
      <c r="U59" s="246">
        <f t="shared" si="102"/>
        <v>42.471492955875135</v>
      </c>
      <c r="V59" s="246">
        <f t="shared" ref="V59:W59" si="134">V36*V$60</f>
        <v>53.253484398738031</v>
      </c>
      <c r="W59" s="246">
        <f t="shared" si="134"/>
        <v>64.206098546264144</v>
      </c>
      <c r="X59" s="246">
        <f t="shared" si="102"/>
        <v>68.974216376256706</v>
      </c>
      <c r="Y59" s="8"/>
      <c r="Z59" s="8">
        <f t="shared" si="104"/>
        <v>22</v>
      </c>
      <c r="AA59" s="8">
        <f t="shared" si="105"/>
        <v>22.273845533418598</v>
      </c>
      <c r="AB59" s="8">
        <f t="shared" si="106"/>
        <v>16.341846000266067</v>
      </c>
      <c r="AC59" s="8">
        <f t="shared" si="107"/>
        <v>22.71096626938056</v>
      </c>
      <c r="AD59" s="246">
        <f t="shared" si="96"/>
        <v>44.702584478820967</v>
      </c>
      <c r="AE59" s="246">
        <f t="shared" si="96"/>
        <v>80.070905287686216</v>
      </c>
      <c r="AF59" s="246">
        <f t="shared" ref="AF59:AG59" si="135">AF36*AF$60</f>
        <v>122.21584005033931</v>
      </c>
      <c r="AG59" s="246">
        <f t="shared" si="135"/>
        <v>172.3286123806846</v>
      </c>
      <c r="AH59" s="246">
        <f t="shared" si="96"/>
        <v>210.62179842503593</v>
      </c>
      <c r="AI59" s="8"/>
      <c r="AJ59" s="8"/>
      <c r="AK59" s="8"/>
      <c r="AL59" s="8"/>
      <c r="AM59" s="8"/>
      <c r="AN59" s="8"/>
      <c r="AO59" s="8"/>
      <c r="AP59" s="8"/>
      <c r="AQ59" s="8"/>
      <c r="AR59" s="8"/>
      <c r="AS59" s="8"/>
      <c r="AT59" s="8"/>
      <c r="AU59" s="8"/>
      <c r="AV59" s="8"/>
      <c r="AW59" s="8"/>
    </row>
    <row r="60" spans="1:49">
      <c r="A60" t="s">
        <v>16</v>
      </c>
      <c r="B60" s="5"/>
      <c r="C60" s="3" t="s">
        <v>5</v>
      </c>
      <c r="D60" s="4" t="s">
        <v>137</v>
      </c>
      <c r="E60" s="4"/>
      <c r="F60" s="36">
        <f>SUM(F51:F59)</f>
        <v>221.78217504183343</v>
      </c>
      <c r="G60" s="36">
        <f>F60*(1+(F22+G22)/2*((G7/F7)^(1/(G$4-F$4))-1))^(G$4-F$4)</f>
        <v>224.5428140430638</v>
      </c>
      <c r="H60" s="36">
        <f t="shared" ref="H60:N60" si="136">G60*(1+(G22+H22)/2*((H7/G7)^(1/(H$4-G$4))-1))^(H$4-G$4)</f>
        <v>216.19784536900227</v>
      </c>
      <c r="I60" s="36">
        <f t="shared" si="136"/>
        <v>228.94943166022429</v>
      </c>
      <c r="J60" s="36">
        <f t="shared" si="136"/>
        <v>309.94385113498845</v>
      </c>
      <c r="K60" s="36">
        <f t="shared" si="136"/>
        <v>428.15545841035885</v>
      </c>
      <c r="L60" s="36">
        <f t="shared" si="136"/>
        <v>536.84879993220295</v>
      </c>
      <c r="M60" s="36">
        <f t="shared" si="136"/>
        <v>647.26219029730737</v>
      </c>
      <c r="N60" s="36">
        <f t="shared" si="136"/>
        <v>695.32962407873913</v>
      </c>
      <c r="P60" s="62">
        <f>$F60</f>
        <v>221.78217504183343</v>
      </c>
      <c r="Q60" s="36">
        <f>P60*(1+(P22+Q22)/2*((Q7/P7)^(1/(Q$4-P$4))-1))^(Q$4-P$4)</f>
        <v>224.5428140430638</v>
      </c>
      <c r="R60" s="36">
        <f t="shared" ref="R60:X60" si="137">Q60*(1+(Q22+R22)/2*((R7/Q7)^(1/(R$4-Q$4))-1))^(R$4-Q$4)</f>
        <v>216.19784536900227</v>
      </c>
      <c r="S60" s="36">
        <f t="shared" si="137"/>
        <v>228.94943166022429</v>
      </c>
      <c r="T60" s="36">
        <f t="shared" si="137"/>
        <v>309.94385113498845</v>
      </c>
      <c r="U60" s="36">
        <f t="shared" si="137"/>
        <v>428.15545841035885</v>
      </c>
      <c r="V60" s="36">
        <f t="shared" si="137"/>
        <v>536.84879993220295</v>
      </c>
      <c r="W60" s="36">
        <f t="shared" si="137"/>
        <v>647.26219029730737</v>
      </c>
      <c r="X60" s="36">
        <f t="shared" si="137"/>
        <v>695.32962407873913</v>
      </c>
      <c r="Z60" s="62">
        <f>P60</f>
        <v>221.78217504183343</v>
      </c>
      <c r="AA60" s="62">
        <f t="shared" si="105"/>
        <v>224.5428140430638</v>
      </c>
      <c r="AB60" s="62">
        <f t="shared" si="106"/>
        <v>216.19784536900227</v>
      </c>
      <c r="AC60" s="62">
        <f t="shared" si="107"/>
        <v>228.94943166022429</v>
      </c>
      <c r="AD60" s="247">
        <f>AB60*(1+(AB22+AD22)/2*((AD7/AB7)^(1/(AD$4-AB$4))-1))^(AD$4-AB$4)</f>
        <v>309.92537155496575</v>
      </c>
      <c r="AE60" s="247">
        <f>AD60*(1+(AD22+AE22)/2*((AE7/AD7)^(1/(AE$4-AD$4))-1))^(AE$4-AD$4)</f>
        <v>428.12993077679914</v>
      </c>
      <c r="AF60" s="247">
        <f>AC60*(1+(AC22+AF22)/2*((AF7/AC7)^(1/(AF$4-AC$4))-1))^(AF$4-AC$4)</f>
        <v>536.80300529837098</v>
      </c>
      <c r="AG60" s="247">
        <f>AD60*(1+(AD22+AG22)/2*((AG7/AD7)^(1/(AG$4-AD$4))-1))^(AG$4-AD$4)</f>
        <v>647.14672557563119</v>
      </c>
      <c r="AH60" s="247">
        <f>AE60*(1+(AE22+AH22)/2*((AH7/AE7)^(1/(AH$4-AE$4))-1))^(AH$4-AE$4)</f>
        <v>695.17795804192951</v>
      </c>
    </row>
    <row r="61" spans="1:49">
      <c r="A61" t="s">
        <v>16</v>
      </c>
      <c r="B61" s="5"/>
      <c r="C61" s="3"/>
      <c r="D61" s="4"/>
      <c r="E61" s="4"/>
      <c r="F61" s="8"/>
      <c r="H61" s="8"/>
      <c r="J61" s="8"/>
      <c r="K61" s="8"/>
      <c r="L61" s="8"/>
      <c r="M61" s="8"/>
      <c r="N61" s="8"/>
    </row>
    <row r="62" spans="1:49" ht="15.75" thickBot="1">
      <c r="A62" t="s">
        <v>16</v>
      </c>
      <c r="B62" s="11" t="s">
        <v>136</v>
      </c>
      <c r="C62" s="11"/>
      <c r="D62" s="11"/>
      <c r="F62" s="38" t="s">
        <v>758</v>
      </c>
    </row>
    <row r="63" spans="1:49">
      <c r="A63" t="s">
        <v>16</v>
      </c>
      <c r="B63" t="s">
        <v>139</v>
      </c>
      <c r="C63" t="s">
        <v>140</v>
      </c>
      <c r="D63" t="s">
        <v>135</v>
      </c>
      <c r="F63" s="38">
        <v>0.39784000000000003</v>
      </c>
      <c r="G63" s="48">
        <f t="shared" ref="G63:G72" si="138">F63</f>
        <v>0.39784000000000003</v>
      </c>
      <c r="H63" s="48">
        <f t="shared" ref="H63:H72" si="139">IF($D$4,AB63,R63)</f>
        <v>0.39784000000000003</v>
      </c>
      <c r="I63" s="48">
        <f t="shared" ref="I63:I72" si="140">IF($D$4,AD63,T63)</f>
        <v>0.39784000000000003</v>
      </c>
      <c r="J63" s="48">
        <f t="shared" ref="J63:J72" si="141">IF($D$4,AD63,T63)</f>
        <v>0.39784000000000003</v>
      </c>
      <c r="K63" s="48">
        <f t="shared" ref="K63:K72" si="142">IF($D$4,AE63,U63)</f>
        <v>0.39784000000000003</v>
      </c>
      <c r="L63" s="48">
        <f t="shared" ref="L63:N72" si="143">IF($D$4,AF63,V63)</f>
        <v>0.39784000000000003</v>
      </c>
      <c r="M63" s="48">
        <f t="shared" si="143"/>
        <v>0.39784000000000003</v>
      </c>
      <c r="N63" s="48">
        <f t="shared" si="143"/>
        <v>0.39784000000000003</v>
      </c>
      <c r="O63" s="5"/>
      <c r="P63" s="48">
        <f t="shared" ref="P63:P72" si="144">$F63</f>
        <v>0.39784000000000003</v>
      </c>
      <c r="Q63" s="48">
        <f>P63</f>
        <v>0.39784000000000003</v>
      </c>
      <c r="R63" s="48">
        <f t="shared" ref="R63:S63" si="145">Q63</f>
        <v>0.39784000000000003</v>
      </c>
      <c r="S63" s="48">
        <f t="shared" si="145"/>
        <v>0.39784000000000003</v>
      </c>
      <c r="T63" s="35">
        <f t="shared" ref="T63:T72" si="146">R63</f>
        <v>0.39784000000000003</v>
      </c>
      <c r="U63" s="35">
        <f t="shared" ref="U63:U72" si="147">T63</f>
        <v>0.39784000000000003</v>
      </c>
      <c r="V63" s="35">
        <f t="shared" ref="V63:V72" si="148">R63</f>
        <v>0.39784000000000003</v>
      </c>
      <c r="W63" s="35">
        <f t="shared" ref="W63:W72" si="149">S63</f>
        <v>0.39784000000000003</v>
      </c>
      <c r="X63" s="35">
        <f t="shared" ref="X63:X72" si="150">T63</f>
        <v>0.39784000000000003</v>
      </c>
      <c r="Y63" s="192"/>
      <c r="Z63" s="48">
        <f>P63</f>
        <v>0.39784000000000003</v>
      </c>
      <c r="AA63" s="48">
        <f>Q63</f>
        <v>0.39784000000000003</v>
      </c>
      <c r="AB63" s="48">
        <f>R63</f>
        <v>0.39784000000000003</v>
      </c>
      <c r="AC63" s="48">
        <f>S63</f>
        <v>0.39784000000000003</v>
      </c>
      <c r="AD63" s="35">
        <f t="shared" ref="AD63:AD72" si="151">AB63</f>
        <v>0.39784000000000003</v>
      </c>
      <c r="AE63" s="35">
        <f t="shared" ref="AE63:AE72" si="152">AD63</f>
        <v>0.39784000000000003</v>
      </c>
      <c r="AF63" s="35">
        <f t="shared" ref="AF63:AF72" si="153">AB63</f>
        <v>0.39784000000000003</v>
      </c>
      <c r="AG63" s="35">
        <f t="shared" ref="AG63:AG72" si="154">AC63</f>
        <v>0.39784000000000003</v>
      </c>
      <c r="AH63" s="35">
        <f t="shared" ref="AH63:AH72" si="155">AD63</f>
        <v>0.39784000000000003</v>
      </c>
      <c r="AI63" s="192"/>
      <c r="AJ63" s="192"/>
      <c r="AK63" s="192"/>
      <c r="AL63" s="192"/>
      <c r="AM63" s="192"/>
      <c r="AN63" s="192"/>
      <c r="AO63" s="192"/>
      <c r="AP63" s="192"/>
      <c r="AQ63" s="192"/>
      <c r="AR63" s="192"/>
      <c r="AS63" s="192"/>
      <c r="AT63" s="192"/>
      <c r="AU63" s="192"/>
      <c r="AV63" s="192"/>
      <c r="AW63" s="192"/>
    </row>
    <row r="64" spans="1:49">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ref="Q64:Q71" si="156">P64</f>
        <v>1.4841</v>
      </c>
      <c r="R64" s="48">
        <f t="shared" ref="R64:S64" si="157">Q64</f>
        <v>1.4841</v>
      </c>
      <c r="S64" s="48">
        <f t="shared" si="157"/>
        <v>1.4841</v>
      </c>
      <c r="T64" s="35">
        <f t="shared" si="146"/>
        <v>1.4841</v>
      </c>
      <c r="U64" s="35">
        <f t="shared" si="147"/>
        <v>1.4841</v>
      </c>
      <c r="V64" s="35">
        <f t="shared" si="148"/>
        <v>1.4841</v>
      </c>
      <c r="W64" s="35">
        <f t="shared" si="149"/>
        <v>1.4841</v>
      </c>
      <c r="X64" s="35">
        <f t="shared" si="150"/>
        <v>1.4841</v>
      </c>
      <c r="Y64" s="192"/>
      <c r="Z64" s="48">
        <f t="shared" ref="Z64:Z72" si="158">P64</f>
        <v>1.4841</v>
      </c>
      <c r="AA64" s="48">
        <f t="shared" ref="AA64:AA72" si="159">Q64</f>
        <v>1.4841</v>
      </c>
      <c r="AB64" s="48">
        <f t="shared" ref="AB64:AB72" si="160">R64</f>
        <v>1.4841</v>
      </c>
      <c r="AC64" s="48">
        <f t="shared" ref="AC64:AC72" si="161">S64</f>
        <v>1.4841</v>
      </c>
      <c r="AD64" s="35">
        <f t="shared" si="151"/>
        <v>1.4841</v>
      </c>
      <c r="AE64" s="35">
        <f t="shared" si="152"/>
        <v>1.4841</v>
      </c>
      <c r="AF64" s="35">
        <f t="shared" si="153"/>
        <v>1.4841</v>
      </c>
      <c r="AG64" s="35">
        <f t="shared" si="154"/>
        <v>1.4841</v>
      </c>
      <c r="AH64" s="35">
        <f t="shared" si="155"/>
        <v>1.4841</v>
      </c>
      <c r="AI64" s="192"/>
      <c r="AJ64" s="192"/>
      <c r="AK64" s="192"/>
      <c r="AL64" s="192"/>
      <c r="AM64" s="192"/>
      <c r="AN64" s="192"/>
      <c r="AO64" s="192"/>
      <c r="AP64" s="192"/>
      <c r="AQ64" s="192"/>
      <c r="AR64" s="192"/>
      <c r="AS64" s="192"/>
      <c r="AT64" s="192"/>
      <c r="AU64" s="192"/>
      <c r="AV64" s="192"/>
      <c r="AW64" s="192"/>
    </row>
    <row r="65" spans="1:50">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ref="R65:S65" si="162">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2"/>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2"/>
      <c r="AJ65" s="192"/>
      <c r="AK65" s="192"/>
      <c r="AL65" s="192"/>
      <c r="AM65" s="192"/>
      <c r="AN65" s="192"/>
      <c r="AO65" s="192"/>
      <c r="AP65" s="192"/>
      <c r="AQ65" s="192"/>
      <c r="AR65" s="192"/>
      <c r="AS65" s="192"/>
      <c r="AT65" s="192"/>
      <c r="AU65" s="192"/>
      <c r="AV65" s="192"/>
      <c r="AW65" s="192"/>
    </row>
    <row r="66" spans="1:50">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ref="R66:S66" si="163">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2"/>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2"/>
      <c r="AJ66" s="192"/>
      <c r="AK66" s="192"/>
      <c r="AL66" s="192"/>
      <c r="AM66" s="192"/>
      <c r="AN66" s="192"/>
      <c r="AO66" s="192"/>
      <c r="AP66" s="192"/>
      <c r="AQ66" s="192"/>
      <c r="AR66" s="192"/>
      <c r="AS66" s="192"/>
      <c r="AT66" s="192"/>
      <c r="AU66" s="192"/>
      <c r="AV66" s="192"/>
      <c r="AW66" s="192"/>
    </row>
    <row r="67" spans="1:50">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ref="R67:S67" si="164">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2"/>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2"/>
      <c r="AJ67" s="192"/>
      <c r="AK67" s="192"/>
      <c r="AL67" s="192"/>
      <c r="AM67" s="192"/>
      <c r="AN67" s="192"/>
      <c r="AO67" s="192"/>
      <c r="AP67" s="192"/>
      <c r="AQ67" s="192"/>
      <c r="AR67" s="192"/>
      <c r="AS67" s="192"/>
      <c r="AT67" s="192"/>
      <c r="AU67" s="192"/>
      <c r="AV67" s="192"/>
      <c r="AW67" s="192"/>
    </row>
    <row r="68" spans="1:50">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ref="R68:S68" si="165">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2"/>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2"/>
      <c r="AJ68" s="192"/>
      <c r="AK68" s="192"/>
      <c r="AL68" s="192"/>
      <c r="AM68" s="192"/>
      <c r="AN68" s="192"/>
      <c r="AO68" s="192"/>
      <c r="AP68" s="192"/>
      <c r="AQ68" s="192"/>
      <c r="AR68" s="192"/>
      <c r="AS68" s="192"/>
      <c r="AT68" s="192"/>
      <c r="AU68" s="192"/>
      <c r="AV68" s="192"/>
      <c r="AW68" s="192"/>
    </row>
    <row r="69" spans="1:50">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ref="R69:S69" si="166">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2"/>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2"/>
      <c r="AJ69" s="192"/>
      <c r="AK69" s="192"/>
      <c r="AL69" s="192"/>
      <c r="AM69" s="192"/>
      <c r="AN69" s="192"/>
      <c r="AO69" s="192"/>
      <c r="AP69" s="192"/>
      <c r="AQ69" s="192"/>
      <c r="AR69" s="192"/>
      <c r="AS69" s="192"/>
      <c r="AT69" s="192"/>
      <c r="AU69" s="192"/>
      <c r="AV69" s="192"/>
      <c r="AW69" s="192"/>
    </row>
    <row r="70" spans="1:50">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ref="R70:S70" si="167">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2"/>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2"/>
      <c r="AJ70" s="192"/>
      <c r="AK70" s="192"/>
      <c r="AL70" s="192"/>
      <c r="AM70" s="192"/>
      <c r="AN70" s="192"/>
      <c r="AO70" s="192"/>
      <c r="AP70" s="192"/>
      <c r="AQ70" s="192"/>
      <c r="AR70" s="192"/>
      <c r="AS70" s="192"/>
      <c r="AT70" s="192"/>
      <c r="AU70" s="192"/>
      <c r="AV70" s="192"/>
      <c r="AW70" s="192"/>
    </row>
    <row r="71" spans="1:50">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ref="R71:S71" si="168">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2"/>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2"/>
      <c r="AJ71" s="192"/>
      <c r="AK71" s="192"/>
      <c r="AL71" s="192"/>
      <c r="AM71" s="192"/>
      <c r="AN71" s="192"/>
      <c r="AO71" s="192"/>
      <c r="AP71" s="192"/>
      <c r="AQ71" s="192"/>
      <c r="AR71" s="192"/>
      <c r="AS71" s="192"/>
      <c r="AT71" s="192"/>
      <c r="AU71" s="192"/>
      <c r="AV71" s="192"/>
      <c r="AW71" s="192"/>
    </row>
    <row r="72" spans="1:50">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ref="R72:S72" si="169">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2"/>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2"/>
      <c r="AJ72" s="192"/>
      <c r="AK72" s="192"/>
      <c r="AL72" s="192"/>
      <c r="AM72" s="192"/>
      <c r="AN72" s="192"/>
      <c r="AO72" s="192"/>
      <c r="AP72" s="192"/>
      <c r="AQ72" s="192"/>
      <c r="AR72" s="192"/>
      <c r="AS72" s="192"/>
      <c r="AT72" s="192"/>
      <c r="AU72" s="192"/>
      <c r="AV72" s="192"/>
      <c r="AW72" s="192"/>
    </row>
    <row r="73" spans="1:50">
      <c r="A73" t="s">
        <v>16</v>
      </c>
      <c r="P73" s="48">
        <f>SUM(P86:P88)/P89</f>
        <v>0.38076006063089379</v>
      </c>
      <c r="Q73" s="48"/>
      <c r="R73" s="48"/>
      <c r="S73" s="48"/>
    </row>
    <row r="74" spans="1:50">
      <c r="A74" t="s">
        <v>16</v>
      </c>
      <c r="P74" s="4" t="s">
        <v>32</v>
      </c>
      <c r="Z74" s="4" t="s">
        <v>185</v>
      </c>
      <c r="AM74" t="s">
        <v>459</v>
      </c>
    </row>
    <row r="75" spans="1:50" ht="15.75" thickBot="1">
      <c r="A75" t="s">
        <v>16</v>
      </c>
      <c r="B75" s="11" t="s">
        <v>196</v>
      </c>
      <c r="C75" s="11"/>
      <c r="D75" s="11"/>
      <c r="E75" s="212"/>
      <c r="F75">
        <f t="shared" ref="F75:I75" si="170">F$4</f>
        <v>2017</v>
      </c>
      <c r="G75">
        <f t="shared" si="170"/>
        <v>2019</v>
      </c>
      <c r="H75">
        <f t="shared" si="170"/>
        <v>2020</v>
      </c>
      <c r="I75">
        <f t="shared" si="170"/>
        <v>2021</v>
      </c>
      <c r="J75">
        <f>J$4</f>
        <v>2030</v>
      </c>
      <c r="K75">
        <f>K$4</f>
        <v>2040</v>
      </c>
      <c r="L75">
        <f>L$4</f>
        <v>2050</v>
      </c>
      <c r="M75">
        <f>M$4</f>
        <v>2060</v>
      </c>
      <c r="N75">
        <f>N$4</f>
        <v>2070</v>
      </c>
      <c r="P75" s="6">
        <f t="shared" ref="P75:T75" si="171">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ref="Z75:AH75" si="172">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605</v>
      </c>
    </row>
    <row r="76" spans="1:50">
      <c r="A76" t="s">
        <v>16</v>
      </c>
      <c r="B76" s="5" t="s">
        <v>139</v>
      </c>
      <c r="C76" s="5" t="s">
        <v>737</v>
      </c>
      <c r="D76" t="s">
        <v>137</v>
      </c>
      <c r="E76" s="213"/>
      <c r="F76" s="193">
        <f t="shared" ref="F76" si="173">F63*F92</f>
        <v>18.931145021834741</v>
      </c>
      <c r="G76" s="193">
        <f t="shared" ref="G76:N85" si="174">G63*G92</f>
        <v>19.16679090850425</v>
      </c>
      <c r="H76" s="193">
        <f t="shared" si="174"/>
        <v>18.454471209495399</v>
      </c>
      <c r="I76" s="193">
        <f>I63*I92</f>
        <v>19.542936183256387</v>
      </c>
      <c r="J76" s="193">
        <f t="shared" si="174"/>
        <v>26.456553568183089</v>
      </c>
      <c r="K76" s="193">
        <f t="shared" si="174"/>
        <v>36.546999656432035</v>
      </c>
      <c r="L76" s="193">
        <f t="shared" ref="L76:M76" si="175">L63*L92</f>
        <v>45.824974366841978</v>
      </c>
      <c r="M76" s="193">
        <f t="shared" si="175"/>
        <v>55.249771039342697</v>
      </c>
      <c r="N76" s="193">
        <f t="shared" si="174"/>
        <v>59.352767863014755</v>
      </c>
      <c r="O76" s="7"/>
      <c r="P76" s="193">
        <f>P43</f>
        <v>18.931145021834741</v>
      </c>
      <c r="Q76" s="193">
        <f t="shared" ref="Q76:X76" si="176">Q43</f>
        <v>19.16679090850425</v>
      </c>
      <c r="R76" s="193">
        <f t="shared" si="176"/>
        <v>18.454471209495399</v>
      </c>
      <c r="S76" s="193">
        <f t="shared" si="176"/>
        <v>19.542936183256387</v>
      </c>
      <c r="T76" s="193">
        <f t="shared" si="176"/>
        <v>26.454976166350473</v>
      </c>
      <c r="U76" s="193">
        <f t="shared" si="176"/>
        <v>36.54482063851551</v>
      </c>
      <c r="V76" s="193">
        <f t="shared" ref="V76:W76" si="177">V43</f>
        <v>45.821065374362625</v>
      </c>
      <c r="W76" s="193">
        <f t="shared" si="177"/>
        <v>55.239915065161966</v>
      </c>
      <c r="X76" s="193">
        <f t="shared" si="176"/>
        <v>59.339821774190497</v>
      </c>
      <c r="Y76" s="7"/>
      <c r="Z76" s="193">
        <f>Z43</f>
        <v>18.931145021834741</v>
      </c>
      <c r="AA76" s="193">
        <f>AA43</f>
        <v>19.16679090850425</v>
      </c>
      <c r="AB76" s="193">
        <f t="shared" ref="AB76:AH76" si="178">AB43</f>
        <v>18.454471209495399</v>
      </c>
      <c r="AC76" s="193">
        <f t="shared" si="178"/>
        <v>19.542936183256387</v>
      </c>
      <c r="AD76" s="193">
        <f t="shared" si="178"/>
        <v>26.454976166350473</v>
      </c>
      <c r="AE76" s="193">
        <f t="shared" si="178"/>
        <v>36.54482063851551</v>
      </c>
      <c r="AF76" s="193">
        <f t="shared" ref="AF76:AG76" si="179">AF43</f>
        <v>45.821065374362625</v>
      </c>
      <c r="AG76" s="193">
        <f t="shared" si="179"/>
        <v>55.239915065161966</v>
      </c>
      <c r="AH76" s="193">
        <f t="shared" si="178"/>
        <v>59.339821774190497</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c r="A77" t="s">
        <v>16</v>
      </c>
      <c r="B77" s="5" t="s">
        <v>396</v>
      </c>
      <c r="C77" s="5" t="s">
        <v>738</v>
      </c>
      <c r="D77" t="s">
        <v>137</v>
      </c>
      <c r="E77" s="213"/>
      <c r="F77" s="193">
        <f t="shared" ref="F77" si="180">F64*F93</f>
        <v>5.4191590500230697</v>
      </c>
      <c r="G77" s="193">
        <f t="shared" si="174"/>
        <v>6.263725567965813</v>
      </c>
      <c r="H77" s="193">
        <f>H64*H93</f>
        <v>6.0309388102583563</v>
      </c>
      <c r="I77" s="193">
        <f t="shared" si="174"/>
        <v>6.3866502028711318</v>
      </c>
      <c r="J77" s="193">
        <f t="shared" si="174"/>
        <v>8.6460269648873549</v>
      </c>
      <c r="K77" s="193">
        <f t="shared" si="174"/>
        <v>10.779093928090537</v>
      </c>
      <c r="L77" s="193">
        <f t="shared" ref="L77:M77" si="181">L64*L93</f>
        <v>12.839743952067991</v>
      </c>
      <c r="M77" s="193">
        <f t="shared" si="181"/>
        <v>14.706462517203322</v>
      </c>
      <c r="N77" s="193">
        <f t="shared" si="174"/>
        <v>15.00867383659798</v>
      </c>
      <c r="O77" s="7"/>
      <c r="P77" s="193">
        <f>P46</f>
        <v>5.4191590500230697</v>
      </c>
      <c r="Q77" s="193">
        <f t="shared" ref="Q77:X77" si="182">Q46</f>
        <v>6.263725567965813</v>
      </c>
      <c r="R77" s="193">
        <f t="shared" si="182"/>
        <v>6.0299454950865155</v>
      </c>
      <c r="S77" s="193">
        <f t="shared" si="182"/>
        <v>6.3830769012013908</v>
      </c>
      <c r="T77" s="193">
        <f t="shared" si="182"/>
        <v>8.644087524698465</v>
      </c>
      <c r="U77" s="193">
        <f t="shared" si="182"/>
        <v>11.940915243595684</v>
      </c>
      <c r="V77" s="193">
        <f t="shared" ref="V77:W77" si="183">V46</f>
        <v>14.965989820409773</v>
      </c>
      <c r="W77" s="193">
        <f t="shared" si="183"/>
        <v>18.049483684189664</v>
      </c>
      <c r="X77" s="193">
        <f t="shared" si="182"/>
        <v>19.389116432792139</v>
      </c>
      <c r="Y77" s="7"/>
      <c r="Z77" s="193">
        <f>Z46</f>
        <v>5.4191590500230697</v>
      </c>
      <c r="AA77" s="193">
        <f>AA46</f>
        <v>6.263725567965813</v>
      </c>
      <c r="AB77" s="193">
        <f t="shared" ref="AB77:AH77" si="184">AB46</f>
        <v>6.0299454950865155</v>
      </c>
      <c r="AC77" s="193">
        <f t="shared" si="184"/>
        <v>6.3830769012013908</v>
      </c>
      <c r="AD77" s="193">
        <f t="shared" si="184"/>
        <v>8.2118831484635404</v>
      </c>
      <c r="AE77" s="193">
        <f t="shared" si="184"/>
        <v>10.776676007345104</v>
      </c>
      <c r="AF77" s="193">
        <f t="shared" ref="AF77:AG77" si="185">AF46</f>
        <v>12.831465522273826</v>
      </c>
      <c r="AG77" s="193">
        <f t="shared" si="185"/>
        <v>14.701417270045505</v>
      </c>
      <c r="AH77" s="193">
        <f t="shared" si="184"/>
        <v>15.002928690662554</v>
      </c>
      <c r="AM77" t="s">
        <v>572</v>
      </c>
      <c r="AN77" s="5">
        <f>SUM(P78:P85)</f>
        <v>199.78217504183343</v>
      </c>
      <c r="AO77" s="5">
        <f>SUM(R78:R85)</f>
        <v>199.85599936873621</v>
      </c>
      <c r="AP77" s="5">
        <f>SUM(T78:T85)</f>
        <v>279.19852760444064</v>
      </c>
      <c r="AQ77" s="5">
        <f>SUM(U78:U85)</f>
        <v>385.68396545448371</v>
      </c>
      <c r="AR77" s="5">
        <f>SUM(X78:X85)</f>
        <v>626.35540770248235</v>
      </c>
      <c r="AS77" s="5"/>
      <c r="AT77" s="5" t="e">
        <f>SUM(#REF!)</f>
        <v>#REF!</v>
      </c>
      <c r="AU77" s="5">
        <f>SUM(H78:H85)</f>
        <v>198.99120798726022</v>
      </c>
      <c r="AV77" s="5">
        <f>SUM(J78:J85)</f>
        <v>274.32601593061764</v>
      </c>
      <c r="AW77" s="5">
        <f>SUM(K78:K85)</f>
        <v>348.07977882267159</v>
      </c>
      <c r="AX77" s="5">
        <f>SUM(N78:N85)</f>
        <v>484.66187458022154</v>
      </c>
    </row>
    <row r="78" spans="1:50">
      <c r="A78" t="s">
        <v>16</v>
      </c>
      <c r="B78" s="5" t="s">
        <v>397</v>
      </c>
      <c r="C78" s="5" t="s">
        <v>739</v>
      </c>
      <c r="D78" t="s">
        <v>137</v>
      </c>
      <c r="E78" s="213"/>
      <c r="F78" s="193">
        <f t="shared" ref="F78" si="186">F65*F94</f>
        <v>2.508551055458172</v>
      </c>
      <c r="G78" s="193">
        <f t="shared" si="174"/>
        <v>2.539776305544069</v>
      </c>
      <c r="H78" s="193">
        <f t="shared" si="174"/>
        <v>2.4453873855547426</v>
      </c>
      <c r="I78" s="193">
        <f t="shared" si="174"/>
        <v>2.5896190184331607</v>
      </c>
      <c r="J78" s="193">
        <f t="shared" si="174"/>
        <v>3.3304501410595746</v>
      </c>
      <c r="K78" s="193">
        <f t="shared" si="174"/>
        <v>4.3706396547460784</v>
      </c>
      <c r="L78" s="193">
        <f t="shared" ref="L78:M78" si="187">L65*L94</f>
        <v>5.2061791508700148</v>
      </c>
      <c r="M78" s="193">
        <f t="shared" si="187"/>
        <v>5.9630845308082376</v>
      </c>
      <c r="N78" s="193">
        <f t="shared" si="174"/>
        <v>6.085623288283692</v>
      </c>
      <c r="O78" s="7"/>
      <c r="P78" s="193">
        <f>P51</f>
        <v>2.508551055458172</v>
      </c>
      <c r="Q78" s="193">
        <f t="shared" ref="Q78:X78" si="188">Q51</f>
        <v>2.539776305544069</v>
      </c>
      <c r="R78" s="193">
        <f t="shared" si="188"/>
        <v>2.4453873855547426</v>
      </c>
      <c r="S78" s="193">
        <f t="shared" si="188"/>
        <v>2.5896190184331611</v>
      </c>
      <c r="T78" s="193">
        <f t="shared" si="188"/>
        <v>3.5057369905890265</v>
      </c>
      <c r="U78" s="193">
        <f t="shared" si="188"/>
        <v>4.8428140218793132</v>
      </c>
      <c r="V78" s="193">
        <f t="shared" ref="V78:W78" si="189">V51</f>
        <v>6.0722311134217994</v>
      </c>
      <c r="W78" s="193">
        <f t="shared" si="189"/>
        <v>7.3211034670491966</v>
      </c>
      <c r="X78" s="193">
        <f t="shared" si="188"/>
        <v>7.8647883313663236</v>
      </c>
      <c r="Y78" s="7"/>
      <c r="Z78" s="193">
        <f>Z51</f>
        <v>2.508551055458172</v>
      </c>
      <c r="AA78" s="193">
        <f>AA51</f>
        <v>2.539776305544069</v>
      </c>
      <c r="AB78" s="193">
        <f t="shared" ref="AB78:AH78" si="190">AB51</f>
        <v>2.4453873855547426</v>
      </c>
      <c r="AC78" s="193">
        <f t="shared" si="190"/>
        <v>2.5896190184331611</v>
      </c>
      <c r="AD78" s="193">
        <f t="shared" si="190"/>
        <v>3.3302515718036663</v>
      </c>
      <c r="AE78" s="193">
        <f t="shared" si="190"/>
        <v>4.370379066949436</v>
      </c>
      <c r="AF78" s="193">
        <f t="shared" ref="AF78:AG78" si="191">AF51</f>
        <v>5.2057350499091708</v>
      </c>
      <c r="AG78" s="193">
        <f t="shared" si="191"/>
        <v>5.9620207796637983</v>
      </c>
      <c r="AH78" s="193">
        <f t="shared" si="190"/>
        <v>6.0842958856624207</v>
      </c>
      <c r="AM78" t="s">
        <v>604</v>
      </c>
      <c r="AN78" s="5">
        <f>P86</f>
        <v>22</v>
      </c>
      <c r="AO78" s="5">
        <f>R86</f>
        <v>16.341846000266067</v>
      </c>
      <c r="AP78" s="5">
        <f>T86</f>
        <v>30.745323530547768</v>
      </c>
      <c r="AQ78" s="5">
        <f>U86</f>
        <v>42.471492955875135</v>
      </c>
      <c r="AR78" s="5">
        <f>X86</f>
        <v>68.974216376256706</v>
      </c>
      <c r="AS78" s="5"/>
      <c r="AT78" s="5">
        <f>F86</f>
        <v>22</v>
      </c>
      <c r="AU78" s="5">
        <f>H86</f>
        <v>17.206637381742077</v>
      </c>
      <c r="AV78" s="5">
        <f>J86</f>
        <v>35.617835204370841</v>
      </c>
      <c r="AW78" s="5">
        <f>K86</f>
        <v>80.075679587687318</v>
      </c>
      <c r="AX78" s="5">
        <f>N86</f>
        <v>210.66774949851762</v>
      </c>
    </row>
    <row r="79" spans="1:50">
      <c r="A79" t="s">
        <v>16</v>
      </c>
      <c r="B79" s="5" t="s">
        <v>398</v>
      </c>
      <c r="C79" s="5" t="s">
        <v>740</v>
      </c>
      <c r="D79" t="s">
        <v>137</v>
      </c>
      <c r="E79" s="213"/>
      <c r="F79" s="193">
        <f t="shared" ref="F79" si="192">F66*F95</f>
        <v>16.520182703280053</v>
      </c>
      <c r="G79" s="193">
        <f t="shared" si="174"/>
        <v>16.725818078032436</v>
      </c>
      <c r="H79" s="193">
        <f t="shared" si="174"/>
        <v>16.10421534046959</v>
      </c>
      <c r="I79" s="193">
        <f t="shared" si="174"/>
        <v>17.054059642645335</v>
      </c>
      <c r="J79" s="193">
        <f t="shared" si="174"/>
        <v>21.932838358922691</v>
      </c>
      <c r="K79" s="193">
        <f t="shared" si="174"/>
        <v>28.783056047236194</v>
      </c>
      <c r="L79" s="193">
        <f t="shared" ref="L79:M79" si="193">L66*L95</f>
        <v>34.285541277401428</v>
      </c>
      <c r="M79" s="193">
        <f t="shared" si="193"/>
        <v>39.270177782394235</v>
      </c>
      <c r="N79" s="193">
        <f t="shared" si="174"/>
        <v>40.077162618251073</v>
      </c>
      <c r="O79" s="7"/>
      <c r="P79" s="193">
        <f t="shared" ref="P79:P85" si="194">P52</f>
        <v>16.520182703280053</v>
      </c>
      <c r="Q79" s="193">
        <f t="shared" ref="Q79:X79" si="195">Q52</f>
        <v>16.725818078032439</v>
      </c>
      <c r="R79" s="193">
        <f t="shared" si="195"/>
        <v>16.104215340469594</v>
      </c>
      <c r="S79" s="193">
        <f t="shared" si="195"/>
        <v>17.054059642645338</v>
      </c>
      <c r="T79" s="193">
        <f t="shared" si="195"/>
        <v>23.087198272550204</v>
      </c>
      <c r="U79" s="193">
        <f t="shared" si="195"/>
        <v>31.892582877824047</v>
      </c>
      <c r="V79" s="193">
        <f t="shared" ref="V79:W79" si="196">V52</f>
        <v>39.98896781151938</v>
      </c>
      <c r="W79" s="193">
        <f t="shared" si="196"/>
        <v>48.213476302231257</v>
      </c>
      <c r="X79" s="193">
        <f t="shared" si="195"/>
        <v>51.793938925060544</v>
      </c>
      <c r="Y79" s="7"/>
      <c r="Z79" s="193">
        <f t="shared" ref="Z79:Z85" si="197">Z52</f>
        <v>16.520182703280053</v>
      </c>
      <c r="AA79" s="193">
        <f t="shared" ref="AA79:AH79" si="198">AA52</f>
        <v>16.725818078032439</v>
      </c>
      <c r="AB79" s="193">
        <f t="shared" si="198"/>
        <v>16.104215340469594</v>
      </c>
      <c r="AC79" s="193">
        <f t="shared" si="198"/>
        <v>17.054059642645338</v>
      </c>
      <c r="AD79" s="193">
        <f t="shared" si="198"/>
        <v>21.931530671610638</v>
      </c>
      <c r="AE79" s="193">
        <f t="shared" si="198"/>
        <v>28.781339933864132</v>
      </c>
      <c r="AF79" s="193">
        <f t="shared" ref="AF79:AG79" si="199">AF52</f>
        <v>34.28261662932784</v>
      </c>
      <c r="AG79" s="193">
        <f t="shared" si="199"/>
        <v>39.263172398462061</v>
      </c>
      <c r="AH79" s="193">
        <f t="shared" si="198"/>
        <v>40.068420944934729</v>
      </c>
      <c r="AM79" s="5"/>
    </row>
    <row r="80" spans="1:50">
      <c r="A80" t="s">
        <v>16</v>
      </c>
      <c r="B80" s="5" t="s">
        <v>399</v>
      </c>
      <c r="C80" s="5" t="s">
        <v>741</v>
      </c>
      <c r="D80" t="s">
        <v>137</v>
      </c>
      <c r="E80" s="213"/>
      <c r="F80" s="193">
        <f t="shared" ref="F80" si="200">F67*F96</f>
        <v>4.7389994637867545</v>
      </c>
      <c r="G80" s="193">
        <f t="shared" si="174"/>
        <v>4.7979882745154434</v>
      </c>
      <c r="H80" s="193">
        <f t="shared" si="174"/>
        <v>4.6196745661922405</v>
      </c>
      <c r="I80" s="193">
        <f t="shared" si="174"/>
        <v>4.8921480442124334</v>
      </c>
      <c r="J80" s="193">
        <f t="shared" si="174"/>
        <v>6.2916803699525152</v>
      </c>
      <c r="K80" s="193">
        <f t="shared" si="174"/>
        <v>8.2567420484347256</v>
      </c>
      <c r="L80" s="193">
        <f t="shared" ref="L80:M80" si="201">L67*L96</f>
        <v>9.8351915743028684</v>
      </c>
      <c r="M80" s="193">
        <f t="shared" si="201"/>
        <v>11.265090392530995</v>
      </c>
      <c r="N80" s="193">
        <f t="shared" si="174"/>
        <v>11.496583032358176</v>
      </c>
      <c r="O80" s="7"/>
      <c r="P80" s="193">
        <f t="shared" si="194"/>
        <v>4.7389994637867545</v>
      </c>
      <c r="Q80" s="193">
        <f t="shared" ref="Q80:X80" si="202">Q53</f>
        <v>4.7979882745154434</v>
      </c>
      <c r="R80" s="193">
        <f t="shared" si="202"/>
        <v>4.6196745661922405</v>
      </c>
      <c r="S80" s="193">
        <f t="shared" si="202"/>
        <v>4.8921480442124343</v>
      </c>
      <c r="T80" s="193">
        <f t="shared" si="202"/>
        <v>6.6228214420552804</v>
      </c>
      <c r="U80" s="193">
        <f t="shared" si="202"/>
        <v>9.1487446520052362</v>
      </c>
      <c r="V80" s="193">
        <f t="shared" ref="V80:W80" si="203">V53</f>
        <v>11.471283364108903</v>
      </c>
      <c r="W80" s="193">
        <f t="shared" si="203"/>
        <v>13.830575753753878</v>
      </c>
      <c r="X80" s="193">
        <f t="shared" si="202"/>
        <v>14.857671564645099</v>
      </c>
      <c r="Y80" s="7"/>
      <c r="Z80" s="193">
        <f t="shared" si="197"/>
        <v>4.7389994637867545</v>
      </c>
      <c r="AA80" s="193">
        <f t="shared" ref="AA80:AH80" si="204">AA53</f>
        <v>4.7979882745154434</v>
      </c>
      <c r="AB80" s="193">
        <f t="shared" si="204"/>
        <v>4.6196745661922405</v>
      </c>
      <c r="AC80" s="193">
        <f t="shared" si="204"/>
        <v>4.8921480442124343</v>
      </c>
      <c r="AD80" s="193">
        <f t="shared" si="204"/>
        <v>6.291305245198636</v>
      </c>
      <c r="AE80" s="193">
        <f t="shared" si="204"/>
        <v>8.2562497620904338</v>
      </c>
      <c r="AF80" s="193">
        <f t="shared" ref="AF80:AG80" si="205">AF53</f>
        <v>9.8343526062417155</v>
      </c>
      <c r="AG80" s="193">
        <f t="shared" si="205"/>
        <v>11.263080819677322</v>
      </c>
      <c r="AH80" s="193">
        <f t="shared" si="204"/>
        <v>11.494075385445131</v>
      </c>
      <c r="AM80" s="5" t="s">
        <v>458</v>
      </c>
      <c r="AN80" s="5">
        <f>SUM(AN77:AN78)</f>
        <v>221.78217504183343</v>
      </c>
      <c r="AO80" s="5">
        <f>SUM(AO77:AO78)</f>
        <v>216.19784536900227</v>
      </c>
      <c r="AP80" s="5">
        <f>SUM(AP77:AP78)</f>
        <v>309.94385113498839</v>
      </c>
      <c r="AQ80" s="5">
        <f>SUM(AQ77:AQ78)</f>
        <v>428.15545841035885</v>
      </c>
      <c r="AR80" s="5">
        <f>SUM(AR77:AR78)</f>
        <v>695.32962407873902</v>
      </c>
      <c r="AS80" s="5"/>
      <c r="AT80" s="5" t="e">
        <f>SUM(AT77:AT78)</f>
        <v>#REF!</v>
      </c>
      <c r="AU80" s="5">
        <f>SUM(AU77:AU78)</f>
        <v>216.19784536900229</v>
      </c>
      <c r="AV80" s="5">
        <f>SUM(AV77:AV78)</f>
        <v>309.94385113498851</v>
      </c>
      <c r="AW80" s="5">
        <f>SUM(AW77:AW78)</f>
        <v>428.1554584103589</v>
      </c>
      <c r="AX80" s="5">
        <f>SUM(AX77:AX78)</f>
        <v>695.32962407873913</v>
      </c>
    </row>
    <row r="81" spans="1:50">
      <c r="A81" t="s">
        <v>16</v>
      </c>
      <c r="B81" s="5" t="s">
        <v>400</v>
      </c>
      <c r="C81" s="5" t="s">
        <v>742</v>
      </c>
      <c r="D81" t="s">
        <v>137</v>
      </c>
      <c r="E81" s="213"/>
      <c r="F81" s="193">
        <f t="shared" ref="F81" si="206">F68*F97</f>
        <v>3.2441770761137643</v>
      </c>
      <c r="G81" s="193">
        <f t="shared" si="174"/>
        <v>3.2845590489279806</v>
      </c>
      <c r="H81" s="193">
        <f t="shared" si="174"/>
        <v>3.1624908255995221</v>
      </c>
      <c r="I81" s="193">
        <f t="shared" si="174"/>
        <v>3.3490180067053341</v>
      </c>
      <c r="J81" s="193">
        <f t="shared" si="174"/>
        <v>4.307095913896771</v>
      </c>
      <c r="K81" s="193">
        <f t="shared" si="174"/>
        <v>5.6523182755358636</v>
      </c>
      <c r="L81" s="193">
        <f t="shared" ref="L81:M81" si="207">L68*L97</f>
        <v>6.732877538467763</v>
      </c>
      <c r="M81" s="193">
        <f t="shared" si="207"/>
        <v>7.7117434367878088</v>
      </c>
      <c r="N81" s="193">
        <f t="shared" si="174"/>
        <v>7.8702163636482609</v>
      </c>
      <c r="O81" s="7"/>
      <c r="P81" s="193">
        <f t="shared" si="194"/>
        <v>3.2441770761137643</v>
      </c>
      <c r="Q81" s="193">
        <f t="shared" ref="Q81:X81" si="208">Q54</f>
        <v>3.284559048927981</v>
      </c>
      <c r="R81" s="193">
        <f t="shared" si="208"/>
        <v>3.1624908255995221</v>
      </c>
      <c r="S81" s="193">
        <f t="shared" si="208"/>
        <v>3.3490180067053346</v>
      </c>
      <c r="T81" s="193">
        <f t="shared" si="208"/>
        <v>4.5337851725229177</v>
      </c>
      <c r="U81" s="193">
        <f t="shared" si="208"/>
        <v>6.2629565379898784</v>
      </c>
      <c r="V81" s="193">
        <f t="shared" ref="V81:W81" si="209">V54</f>
        <v>7.852896968616724</v>
      </c>
      <c r="W81" s="193">
        <f t="shared" si="209"/>
        <v>9.4679978659314283</v>
      </c>
      <c r="X81" s="193">
        <f t="shared" si="208"/>
        <v>10.171116891398302</v>
      </c>
      <c r="Y81" s="7"/>
      <c r="Z81" s="193">
        <f t="shared" si="197"/>
        <v>3.2441770761137643</v>
      </c>
      <c r="AA81" s="193">
        <f t="shared" ref="AA81:AH81" si="210">AA54</f>
        <v>3.284559048927981</v>
      </c>
      <c r="AB81" s="193">
        <f t="shared" si="210"/>
        <v>3.1624908255995221</v>
      </c>
      <c r="AC81" s="193">
        <f t="shared" si="210"/>
        <v>3.3490180067053346</v>
      </c>
      <c r="AD81" s="193">
        <f t="shared" si="210"/>
        <v>4.3068391147271319</v>
      </c>
      <c r="AE81" s="193">
        <f t="shared" si="210"/>
        <v>5.6519812710510076</v>
      </c>
      <c r="AF81" s="193">
        <f t="shared" ref="AF81:AG81" si="211">AF54</f>
        <v>6.7323032060643966</v>
      </c>
      <c r="AG81" s="193">
        <f t="shared" si="211"/>
        <v>7.7103677434089688</v>
      </c>
      <c r="AH81" s="193">
        <f t="shared" si="210"/>
        <v>7.8684997036881894</v>
      </c>
      <c r="AI81" s="5"/>
      <c r="AJ81" s="5"/>
      <c r="AK81" s="5"/>
      <c r="AL81" s="5"/>
      <c r="AM81" t="s">
        <v>457</v>
      </c>
      <c r="AN81" s="64">
        <f>AN78/AN80</f>
        <v>9.9196429991951662E-2</v>
      </c>
      <c r="AO81" s="64">
        <f>AO78/AO80</f>
        <v>7.5587460052500166E-2</v>
      </c>
      <c r="AP81" s="64">
        <f>AP78/AP80</f>
        <v>9.9196429991951676E-2</v>
      </c>
      <c r="AQ81" s="64">
        <f>AQ78/AQ80</f>
        <v>9.9196429991951662E-2</v>
      </c>
      <c r="AR81" s="64">
        <f>AR78/AR80</f>
        <v>9.9196429991951662E-2</v>
      </c>
      <c r="AS81" s="64"/>
      <c r="AT81" s="64" t="e">
        <f>AT78/AT80</f>
        <v>#REF!</v>
      </c>
      <c r="AU81" s="64">
        <f>AU78/AU80</f>
        <v>7.9587460052500156E-2</v>
      </c>
      <c r="AV81" s="64">
        <f>AV78/AV80</f>
        <v>0.11491705698932662</v>
      </c>
      <c r="AW81" s="64">
        <f>AW78/AW80</f>
        <v>0.1870247780677364</v>
      </c>
      <c r="AX81" s="64">
        <f>AX78/AX80</f>
        <v>0.30297536909582556</v>
      </c>
    </row>
    <row r="82" spans="1:50">
      <c r="A82" t="s">
        <v>16</v>
      </c>
      <c r="B82" s="5" t="s">
        <v>401</v>
      </c>
      <c r="C82" s="5" t="s">
        <v>743</v>
      </c>
      <c r="D82" t="s">
        <v>137</v>
      </c>
      <c r="E82" s="213"/>
      <c r="F82" s="193">
        <f>F69*F98</f>
        <v>130.05107807184956</v>
      </c>
      <c r="G82" s="193">
        <f>G69*G98</f>
        <v>134.72568842583831</v>
      </c>
      <c r="H82" s="193">
        <f t="shared" si="174"/>
        <v>131.01589429361539</v>
      </c>
      <c r="I82" s="193">
        <f t="shared" si="174"/>
        <v>139.65915331273686</v>
      </c>
      <c r="J82" s="193">
        <f t="shared" si="174"/>
        <v>181.74829412797919</v>
      </c>
      <c r="K82" s="193">
        <f t="shared" si="174"/>
        <v>226.58753455567523</v>
      </c>
      <c r="L82" s="193">
        <f>L69*L98</f>
        <v>269.90449715290691</v>
      </c>
      <c r="M82" s="193">
        <f>M69*M98</f>
        <v>309.14482293585979</v>
      </c>
      <c r="N82" s="193">
        <f>N69*N98</f>
        <v>315.49761271886746</v>
      </c>
      <c r="O82" s="7"/>
      <c r="P82" s="193">
        <f>P55</f>
        <v>130.05107807184956</v>
      </c>
      <c r="Q82" s="193">
        <f t="shared" ref="Q82:X82" si="212">Q55</f>
        <v>131.66989201940638</v>
      </c>
      <c r="R82" s="193">
        <f t="shared" si="212"/>
        <v>131.88068567509137</v>
      </c>
      <c r="S82" s="193">
        <f t="shared" si="212"/>
        <v>134.25389306301608</v>
      </c>
      <c r="T82" s="193">
        <f t="shared" si="212"/>
        <v>181.74829412797916</v>
      </c>
      <c r="U82" s="193">
        <f t="shared" si="212"/>
        <v>251.06652028329665</v>
      </c>
      <c r="V82" s="193">
        <f t="shared" ref="V82:W82" si="213">V55</f>
        <v>314.8033207790138</v>
      </c>
      <c r="W82" s="193">
        <f t="shared" si="213"/>
        <v>379.54874248768482</v>
      </c>
      <c r="X82" s="193">
        <f t="shared" si="212"/>
        <v>407.73505449514579</v>
      </c>
      <c r="Y82" s="7"/>
      <c r="Z82" s="193">
        <f t="shared" si="197"/>
        <v>130.05107807184956</v>
      </c>
      <c r="AA82" s="193">
        <f t="shared" ref="AA82:AH82" si="214">AA55</f>
        <v>131.66989201940638</v>
      </c>
      <c r="AB82" s="193">
        <f t="shared" si="214"/>
        <v>131.88068567509137</v>
      </c>
      <c r="AC82" s="193">
        <f t="shared" si="214"/>
        <v>134.25389306301608</v>
      </c>
      <c r="AD82" s="193">
        <f t="shared" si="214"/>
        <v>172.65058497461385</v>
      </c>
      <c r="AE82" s="193">
        <f t="shared" si="214"/>
        <v>226.57402487493258</v>
      </c>
      <c r="AF82" s="193">
        <f t="shared" ref="AF82:AG82" si="215">AF55</f>
        <v>269.88147357975504</v>
      </c>
      <c r="AG82" s="193">
        <f t="shared" si="215"/>
        <v>309.08967477260688</v>
      </c>
      <c r="AH82" s="193">
        <f t="shared" si="214"/>
        <v>315.42879604417533</v>
      </c>
      <c r="AI82" s="5"/>
      <c r="AJ82" s="5"/>
      <c r="AK82" s="5"/>
      <c r="AL82" s="5"/>
      <c r="AM82" s="5"/>
      <c r="AN82" s="5"/>
      <c r="AO82" s="5"/>
      <c r="AP82" s="5"/>
      <c r="AQ82" s="5"/>
      <c r="AR82" s="5"/>
      <c r="AS82" s="5"/>
      <c r="AT82" s="5"/>
      <c r="AU82" s="5"/>
      <c r="AV82" s="5"/>
      <c r="AW82" s="5"/>
    </row>
    <row r="83" spans="1:50">
      <c r="A83" t="s">
        <v>16</v>
      </c>
      <c r="B83" s="5" t="s">
        <v>402</v>
      </c>
      <c r="C83" s="5" t="s">
        <v>744</v>
      </c>
      <c r="D83" t="s">
        <v>137</v>
      </c>
      <c r="E83" s="213"/>
      <c r="F83" s="193">
        <f t="shared" ref="F83" si="216">F70*F99</f>
        <v>39.825760684889083</v>
      </c>
      <c r="G83" s="193">
        <f t="shared" si="174"/>
        <v>40.321492806641579</v>
      </c>
      <c r="H83" s="193">
        <f t="shared" si="174"/>
        <v>38.822974157550945</v>
      </c>
      <c r="I83" s="193">
        <f t="shared" si="174"/>
        <v>41.112795798497203</v>
      </c>
      <c r="J83" s="193">
        <f t="shared" si="174"/>
        <v>52.874231920533198</v>
      </c>
      <c r="K83" s="193">
        <f t="shared" si="174"/>
        <v>69.388282351706749</v>
      </c>
      <c r="L83" s="193">
        <f t="shared" ref="L83:M83" si="217">L70*L99</f>
        <v>82.653308767255226</v>
      </c>
      <c r="M83" s="193">
        <f t="shared" si="217"/>
        <v>94.669939824827637</v>
      </c>
      <c r="N83" s="193">
        <f t="shared" si="174"/>
        <v>96.615365340175501</v>
      </c>
      <c r="O83" s="7"/>
      <c r="P83" s="193">
        <f>P56</f>
        <v>39.825760684889083</v>
      </c>
      <c r="Q83" s="193">
        <f t="shared" ref="Q83:X83" si="218">Q56</f>
        <v>40.321492806641579</v>
      </c>
      <c r="R83" s="193">
        <f t="shared" si="218"/>
        <v>38.822974157550945</v>
      </c>
      <c r="S83" s="193">
        <f t="shared" si="218"/>
        <v>41.112795798497203</v>
      </c>
      <c r="T83" s="193">
        <f t="shared" si="218"/>
        <v>55.657086232140209</v>
      </c>
      <c r="U83" s="193">
        <f t="shared" si="218"/>
        <v>76.884523381392526</v>
      </c>
      <c r="V83" s="193">
        <f t="shared" ref="V83:W83" si="219">V56</f>
        <v>96.402751150027981</v>
      </c>
      <c r="W83" s="193">
        <f t="shared" si="219"/>
        <v>116.22985069154186</v>
      </c>
      <c r="X83" s="193">
        <f t="shared" si="218"/>
        <v>124.86139249220716</v>
      </c>
      <c r="Y83" s="7"/>
      <c r="Z83" s="193">
        <f t="shared" si="197"/>
        <v>39.825760684889083</v>
      </c>
      <c r="AA83" s="193">
        <f t="shared" ref="AA83:AH83" si="220">AA56</f>
        <v>40.321492806641579</v>
      </c>
      <c r="AB83" s="193">
        <f t="shared" si="220"/>
        <v>38.822974157550945</v>
      </c>
      <c r="AC83" s="193">
        <f t="shared" si="220"/>
        <v>41.112795798497203</v>
      </c>
      <c r="AD83" s="193">
        <f t="shared" si="220"/>
        <v>52.871079434699595</v>
      </c>
      <c r="AE83" s="193">
        <f t="shared" si="220"/>
        <v>69.384145259418375</v>
      </c>
      <c r="AF83" s="193">
        <f t="shared" ref="AF83:AG83" si="221">AF56</f>
        <v>82.646258219669974</v>
      </c>
      <c r="AG83" s="193">
        <f t="shared" si="221"/>
        <v>94.653051709907842</v>
      </c>
      <c r="AH83" s="193">
        <f t="shared" si="220"/>
        <v>96.594291493975604</v>
      </c>
      <c r="AI83" s="5"/>
      <c r="AJ83" s="5"/>
      <c r="AK83" s="5"/>
      <c r="AL83" s="5"/>
      <c r="AM83" s="5"/>
      <c r="AN83" s="5"/>
      <c r="AO83" s="5"/>
      <c r="AP83" s="5"/>
      <c r="AQ83" s="5"/>
      <c r="AR83" s="5"/>
      <c r="AS83" s="5"/>
      <c r="AT83" s="5"/>
      <c r="AU83" s="5"/>
      <c r="AV83" s="5"/>
      <c r="AW83" s="5"/>
    </row>
    <row r="84" spans="1:50">
      <c r="A84" t="s">
        <v>16</v>
      </c>
      <c r="B84" s="5" t="s">
        <v>403</v>
      </c>
      <c r="C84" s="5" t="s">
        <v>745</v>
      </c>
      <c r="D84" t="s">
        <v>137</v>
      </c>
      <c r="E84" s="213"/>
      <c r="F84" s="193">
        <f t="shared" ref="F84" si="222">F71*F100</f>
        <v>2.2490953086010257</v>
      </c>
      <c r="G84" s="193">
        <f t="shared" si="174"/>
        <v>2.2770909769870769</v>
      </c>
      <c r="H84" s="193">
        <f t="shared" si="174"/>
        <v>2.1924645641939198</v>
      </c>
      <c r="I84" s="193">
        <f t="shared" si="174"/>
        <v>2.3217785313754522</v>
      </c>
      <c r="J84" s="193">
        <f t="shared" si="174"/>
        <v>2.985986580376224</v>
      </c>
      <c r="K84" s="193">
        <f t="shared" si="174"/>
        <v>3.9185908222544135</v>
      </c>
      <c r="L84" s="193">
        <f t="shared" ref="L84:M84" si="223">L71*L100</f>
        <v>4.6677116969499375</v>
      </c>
      <c r="M84" s="193">
        <f t="shared" si="223"/>
        <v>5.3463314664658546</v>
      </c>
      <c r="N84" s="193">
        <f t="shared" si="174"/>
        <v>5.4561962204481107</v>
      </c>
      <c r="O84" s="7"/>
      <c r="P84" s="193">
        <f t="shared" si="194"/>
        <v>2.2490953086010257</v>
      </c>
      <c r="Q84" s="193">
        <f t="shared" ref="Q84:X84" si="224">Q57</f>
        <v>2.2770909769870764</v>
      </c>
      <c r="R84" s="193">
        <f t="shared" si="224"/>
        <v>2.1924645641939198</v>
      </c>
      <c r="S84" s="193">
        <f t="shared" si="224"/>
        <v>2.3217785313754526</v>
      </c>
      <c r="T84" s="193">
        <f t="shared" si="224"/>
        <v>3.1431437688170782</v>
      </c>
      <c r="U84" s="193">
        <f t="shared" si="224"/>
        <v>4.3419288889245582</v>
      </c>
      <c r="V84" s="193">
        <f t="shared" ref="V84:W84" si="225">V57</f>
        <v>5.4441891785390748</v>
      </c>
      <c r="W84" s="193">
        <f t="shared" si="225"/>
        <v>6.5638925010899021</v>
      </c>
      <c r="X84" s="193">
        <f t="shared" si="224"/>
        <v>7.0513448393759557</v>
      </c>
      <c r="Y84" s="7"/>
      <c r="Z84" s="193">
        <f t="shared" si="197"/>
        <v>2.2490953086010257</v>
      </c>
      <c r="AA84" s="193">
        <f t="shared" ref="AA84:AH84" si="226">AA57</f>
        <v>2.2770909769870764</v>
      </c>
      <c r="AB84" s="193">
        <f t="shared" si="226"/>
        <v>2.1924645641939198</v>
      </c>
      <c r="AC84" s="193">
        <f t="shared" si="226"/>
        <v>2.3217785313754526</v>
      </c>
      <c r="AD84" s="193">
        <f t="shared" si="226"/>
        <v>2.9858085488464594</v>
      </c>
      <c r="AE84" s="193">
        <f t="shared" si="226"/>
        <v>3.9183571866703848</v>
      </c>
      <c r="AF84" s="193">
        <f t="shared" ref="AF84:AG84" si="227">AF57</f>
        <v>4.6673135286984273</v>
      </c>
      <c r="AG84" s="193">
        <f t="shared" si="227"/>
        <v>5.3453777375380458</v>
      </c>
      <c r="AH84" s="193">
        <f t="shared" si="226"/>
        <v>5.4550061091280213</v>
      </c>
      <c r="AI84" s="5"/>
      <c r="AJ84" s="5"/>
      <c r="AK84" s="5"/>
      <c r="AL84" s="5"/>
      <c r="AM84" s="5"/>
      <c r="AN84" s="5"/>
      <c r="AO84" s="5"/>
      <c r="AP84" s="5"/>
      <c r="AQ84" s="5"/>
      <c r="AR84" s="5"/>
      <c r="AS84" s="5"/>
      <c r="AT84" s="5"/>
      <c r="AU84" s="5"/>
      <c r="AV84" s="5"/>
      <c r="AW84" s="5"/>
    </row>
    <row r="85" spans="1:50">
      <c r="A85" t="s">
        <v>16</v>
      </c>
      <c r="B85" s="5" t="s">
        <v>404</v>
      </c>
      <c r="C85" s="5" t="s">
        <v>746</v>
      </c>
      <c r="D85" t="s">
        <v>137</v>
      </c>
      <c r="E85" s="213"/>
      <c r="F85" s="193">
        <f t="shared" ref="F85" si="228">F72*F101</f>
        <v>0.64433067785501452</v>
      </c>
      <c r="G85" s="193">
        <f t="shared" si="174"/>
        <v>0.65235099959024956</v>
      </c>
      <c r="H85" s="193">
        <f t="shared" si="174"/>
        <v>0.6281068540838638</v>
      </c>
      <c r="I85" s="193">
        <f t="shared" si="174"/>
        <v>0.6651532859587429</v>
      </c>
      <c r="J85" s="193">
        <f t="shared" si="174"/>
        <v>0.85543851789745851</v>
      </c>
      <c r="K85" s="193">
        <f t="shared" si="174"/>
        <v>1.1226150670822987</v>
      </c>
      <c r="L85" s="193">
        <f t="shared" ref="L85:M85" si="229">L72*L101</f>
        <v>1.3372264973502959</v>
      </c>
      <c r="M85" s="193">
        <f t="shared" si="229"/>
        <v>1.5316404621235291</v>
      </c>
      <c r="N85" s="193">
        <f t="shared" si="174"/>
        <v>1.5631149981892305</v>
      </c>
      <c r="O85" s="7"/>
      <c r="P85" s="193">
        <f t="shared" si="194"/>
        <v>0.64433067785501452</v>
      </c>
      <c r="Q85" s="193">
        <f t="shared" ref="Q85:X85" si="230">Q58</f>
        <v>0.65235099959024967</v>
      </c>
      <c r="R85" s="193">
        <f t="shared" si="230"/>
        <v>0.62810685408386391</v>
      </c>
      <c r="S85" s="193">
        <f t="shared" si="230"/>
        <v>0.66515328595874301</v>
      </c>
      <c r="T85" s="193">
        <f t="shared" si="230"/>
        <v>0.9004615977867988</v>
      </c>
      <c r="U85" s="193">
        <f t="shared" si="230"/>
        <v>1.2438948111715227</v>
      </c>
      <c r="V85" s="193">
        <f t="shared" ref="V85:W85" si="231">V58</f>
        <v>1.5596751682172871</v>
      </c>
      <c r="W85" s="193">
        <f t="shared" si="231"/>
        <v>1.88045268176092</v>
      </c>
      <c r="X85" s="193">
        <f t="shared" si="230"/>
        <v>2.0201001632832698</v>
      </c>
      <c r="Y85" s="7"/>
      <c r="Z85" s="193">
        <f t="shared" si="197"/>
        <v>0.64433067785501452</v>
      </c>
      <c r="AA85" s="193">
        <f t="shared" ref="AA85:AH85" si="232">AA58</f>
        <v>0.65235099959024967</v>
      </c>
      <c r="AB85" s="193">
        <f t="shared" si="232"/>
        <v>0.62810685408386391</v>
      </c>
      <c r="AC85" s="193">
        <f t="shared" si="232"/>
        <v>0.66515328595874301</v>
      </c>
      <c r="AD85" s="193">
        <f t="shared" si="232"/>
        <v>0.85538751464481122</v>
      </c>
      <c r="AE85" s="193">
        <f t="shared" si="232"/>
        <v>1.1225481341365706</v>
      </c>
      <c r="AF85" s="193">
        <f t="shared" ref="AF85:AG85" si="233">AF58</f>
        <v>1.337112428365129</v>
      </c>
      <c r="AG85" s="193">
        <f t="shared" si="233"/>
        <v>1.5313672336817667</v>
      </c>
      <c r="AH85" s="193">
        <f t="shared" si="232"/>
        <v>1.5627740498840768</v>
      </c>
      <c r="AI85" s="5"/>
      <c r="AJ85" s="5"/>
      <c r="AK85" s="5"/>
      <c r="AL85" s="5"/>
      <c r="AM85" s="5"/>
      <c r="AN85" s="5"/>
      <c r="AO85" s="5"/>
      <c r="AP85" s="5"/>
      <c r="AQ85" s="5"/>
      <c r="AR85" s="5"/>
      <c r="AS85" s="5"/>
      <c r="AT85" s="5"/>
      <c r="AU85" s="5"/>
      <c r="AV85" s="5"/>
      <c r="AW85" s="5"/>
    </row>
    <row r="86" spans="1:50">
      <c r="A86" t="s">
        <v>16</v>
      </c>
      <c r="B86" s="5" t="s">
        <v>366</v>
      </c>
      <c r="C86" s="5" t="s">
        <v>747</v>
      </c>
      <c r="D86" t="s">
        <v>137</v>
      </c>
      <c r="E86" s="36"/>
      <c r="F86" s="193">
        <f t="shared" ref="F86" si="234">F59</f>
        <v>22</v>
      </c>
      <c r="G86" s="193">
        <f t="shared" ref="G86:N86" si="235">G59</f>
        <v>19.218049126986699</v>
      </c>
      <c r="H86" s="193">
        <f t="shared" si="235"/>
        <v>17.206637381742077</v>
      </c>
      <c r="I86" s="193">
        <f t="shared" si="235"/>
        <v>17.305706019659819</v>
      </c>
      <c r="J86" s="193">
        <f t="shared" si="235"/>
        <v>35.617835204370841</v>
      </c>
      <c r="K86" s="193">
        <f t="shared" si="235"/>
        <v>80.075679587687318</v>
      </c>
      <c r="L86" s="193">
        <f t="shared" ref="L86:M86" si="236">L59</f>
        <v>122.22626627669857</v>
      </c>
      <c r="M86" s="193">
        <f t="shared" si="236"/>
        <v>172.35935946550941</v>
      </c>
      <c r="N86" s="193">
        <f t="shared" si="235"/>
        <v>210.66774949851762</v>
      </c>
      <c r="O86" s="7"/>
      <c r="P86" s="193">
        <f>P59</f>
        <v>22</v>
      </c>
      <c r="Q86" s="193">
        <f t="shared" ref="Q86:X86" si="237">Q59</f>
        <v>22.273845533418598</v>
      </c>
      <c r="R86" s="193">
        <f t="shared" si="237"/>
        <v>16.341846000266067</v>
      </c>
      <c r="S86" s="193">
        <f t="shared" si="237"/>
        <v>22.71096626938056</v>
      </c>
      <c r="T86" s="193">
        <f t="shared" si="237"/>
        <v>30.745323530547768</v>
      </c>
      <c r="U86" s="193">
        <f t="shared" si="237"/>
        <v>42.471492955875135</v>
      </c>
      <c r="V86" s="193">
        <f t="shared" ref="V86:W86" si="238">V59</f>
        <v>53.253484398738031</v>
      </c>
      <c r="W86" s="193">
        <f t="shared" si="238"/>
        <v>64.206098546264144</v>
      </c>
      <c r="X86" s="193">
        <f t="shared" si="237"/>
        <v>68.974216376256706</v>
      </c>
      <c r="Y86" s="7"/>
      <c r="Z86" s="193">
        <f>Z59</f>
        <v>22</v>
      </c>
      <c r="AA86" s="193">
        <f>AA59</f>
        <v>22.273845533418598</v>
      </c>
      <c r="AB86" s="193">
        <f t="shared" ref="AB86:AH86" si="239">AB59</f>
        <v>16.341846000266067</v>
      </c>
      <c r="AC86" s="193">
        <f t="shared" si="239"/>
        <v>22.71096626938056</v>
      </c>
      <c r="AD86" s="193">
        <f t="shared" si="239"/>
        <v>44.702584478820967</v>
      </c>
      <c r="AE86" s="193">
        <f t="shared" si="239"/>
        <v>80.070905287686216</v>
      </c>
      <c r="AF86" s="193">
        <f t="shared" ref="AF86:AG86" si="240">AF59</f>
        <v>122.21584005033931</v>
      </c>
      <c r="AG86" s="193">
        <f t="shared" si="240"/>
        <v>172.3286123806846</v>
      </c>
      <c r="AH86" s="193">
        <f t="shared" si="239"/>
        <v>210.62179842503593</v>
      </c>
      <c r="AI86" s="5"/>
      <c r="AJ86" s="5"/>
      <c r="AK86" s="5"/>
      <c r="AL86" s="5"/>
      <c r="AM86" s="5"/>
      <c r="AN86" s="5"/>
      <c r="AO86" s="5"/>
      <c r="AP86" s="5"/>
      <c r="AQ86" s="5"/>
      <c r="AR86" s="5"/>
      <c r="AS86" s="5"/>
      <c r="AT86" s="5"/>
      <c r="AU86" s="5"/>
      <c r="AV86" s="5"/>
      <c r="AW86" s="5"/>
    </row>
    <row r="87" spans="1:50">
      <c r="A87" t="s">
        <v>16</v>
      </c>
      <c r="B87" s="5" t="s">
        <v>368</v>
      </c>
      <c r="C87" s="5" t="s">
        <v>748</v>
      </c>
      <c r="D87" t="s">
        <v>137</v>
      </c>
      <c r="E87" s="36"/>
      <c r="F87" s="193">
        <f t="shared" ref="F87" si="241">F47</f>
        <v>27.142505514316699</v>
      </c>
      <c r="G87" s="193">
        <f t="shared" ref="G87:N87" si="242">G47</f>
        <v>26.703251105538467</v>
      </c>
      <c r="H87" s="193">
        <f t="shared" si="242"/>
        <v>25.710844401627732</v>
      </c>
      <c r="I87" s="193">
        <f t="shared" si="242"/>
        <v>27.227298233292721</v>
      </c>
      <c r="J87" s="193">
        <f t="shared" si="242"/>
        <v>36.859378113467145</v>
      </c>
      <c r="K87" s="193">
        <f t="shared" si="242"/>
        <v>52.081929125360617</v>
      </c>
      <c r="L87" s="193">
        <f t="shared" ref="L87:M87" si="243">L47</f>
        <v>65.979442224023316</v>
      </c>
      <c r="M87" s="193">
        <f t="shared" si="243"/>
        <v>80.32342129408741</v>
      </c>
      <c r="N87" s="193">
        <f t="shared" si="242"/>
        <v>87.078385128486644</v>
      </c>
      <c r="O87" s="7"/>
      <c r="P87" s="193">
        <f>P47</f>
        <v>27.142505514316699</v>
      </c>
      <c r="Q87" s="193">
        <f t="shared" ref="Q87:X87" si="244">Q47</f>
        <v>26.703251105538467</v>
      </c>
      <c r="R87" s="193">
        <f t="shared" si="244"/>
        <v>25.706609742210937</v>
      </c>
      <c r="S87" s="193">
        <f t="shared" si="244"/>
        <v>27.212064684069087</v>
      </c>
      <c r="T87" s="193">
        <f t="shared" si="244"/>
        <v>36.851109973714507</v>
      </c>
      <c r="U87" s="193">
        <f t="shared" si="244"/>
        <v>50.906007091118447</v>
      </c>
      <c r="V87" s="193">
        <f t="shared" ref="V87:W87" si="245">V47</f>
        <v>63.802377655431137</v>
      </c>
      <c r="W87" s="193">
        <f t="shared" si="245"/>
        <v>76.947798864177003</v>
      </c>
      <c r="X87" s="193">
        <f t="shared" si="244"/>
        <v>82.658864792429654</v>
      </c>
      <c r="Y87" s="7"/>
      <c r="Z87" s="193">
        <f>Z47</f>
        <v>27.142505514316699</v>
      </c>
      <c r="AA87" s="193">
        <f>AA47</f>
        <v>26.703251105538467</v>
      </c>
      <c r="AB87" s="193">
        <f t="shared" ref="AB87:AH87" si="246">AB47</f>
        <v>25.706609742210937</v>
      </c>
      <c r="AC87" s="193">
        <f t="shared" si="246"/>
        <v>27.212064684069087</v>
      </c>
      <c r="AD87" s="193">
        <f t="shared" si="246"/>
        <v>37.283314349949428</v>
      </c>
      <c r="AE87" s="193">
        <f t="shared" si="246"/>
        <v>52.07024632736902</v>
      </c>
      <c r="AF87" s="193">
        <f t="shared" ref="AF87:AG87" si="247">AF47</f>
        <v>65.936901953567073</v>
      </c>
      <c r="AG87" s="193">
        <f t="shared" si="247"/>
        <v>80.295865278321145</v>
      </c>
      <c r="AH87" s="193">
        <f t="shared" si="246"/>
        <v>87.045052534559233</v>
      </c>
      <c r="AI87" s="5"/>
      <c r="AJ87" s="5"/>
      <c r="AK87" s="5"/>
      <c r="AL87" s="5"/>
      <c r="AM87" s="5"/>
      <c r="AN87" s="5"/>
      <c r="AO87" s="5"/>
      <c r="AP87" s="5"/>
      <c r="AQ87" s="5"/>
      <c r="AR87" s="5"/>
      <c r="AS87" s="5"/>
      <c r="AT87" s="5"/>
      <c r="AU87" s="5"/>
      <c r="AV87" s="5"/>
      <c r="AW87" s="5"/>
    </row>
    <row r="88" spans="1:50">
      <c r="A88" t="s">
        <v>16</v>
      </c>
      <c r="B88" s="5" t="s">
        <v>367</v>
      </c>
      <c r="C88" s="5" t="s">
        <v>749</v>
      </c>
      <c r="D88" t="s">
        <v>137</v>
      </c>
      <c r="E88" s="36"/>
      <c r="F88" s="193">
        <f t="shared" ref="F88" si="248">F104</f>
        <v>88.672727178245694</v>
      </c>
      <c r="G88" s="193">
        <f t="shared" ref="G88:N88" si="249">G104</f>
        <v>87.357882681535756</v>
      </c>
      <c r="H88" s="193">
        <f t="shared" si="249"/>
        <v>84.559607459462228</v>
      </c>
      <c r="I88" s="193">
        <f t="shared" si="249"/>
        <v>89.797718408758314</v>
      </c>
      <c r="J88" s="193">
        <f t="shared" si="249"/>
        <v>92.412731914886479</v>
      </c>
      <c r="K88" s="193">
        <f t="shared" si="249"/>
        <v>110.64246451148132</v>
      </c>
      <c r="L88" s="193">
        <f t="shared" ref="L88:M88" si="250">L104</f>
        <v>141.72650672101051</v>
      </c>
      <c r="M88" s="193">
        <f t="shared" si="250"/>
        <v>173.87745919247294</v>
      </c>
      <c r="N88" s="193">
        <f t="shared" si="249"/>
        <v>186.24392762406274</v>
      </c>
      <c r="O88" s="7"/>
      <c r="P88" s="193">
        <f>F88</f>
        <v>88.672727178245694</v>
      </c>
      <c r="Q88" s="193">
        <f t="shared" ref="Q88:X88" si="251">G88</f>
        <v>87.357882681535756</v>
      </c>
      <c r="R88" s="193">
        <f t="shared" si="251"/>
        <v>84.559607459462228</v>
      </c>
      <c r="S88" s="193">
        <f t="shared" si="251"/>
        <v>89.797718408758314</v>
      </c>
      <c r="T88" s="193">
        <f t="shared" si="251"/>
        <v>92.412731914886479</v>
      </c>
      <c r="U88" s="193">
        <f t="shared" si="251"/>
        <v>110.64246451148132</v>
      </c>
      <c r="V88" s="193">
        <f t="shared" si="251"/>
        <v>141.72650672101051</v>
      </c>
      <c r="W88" s="193">
        <f t="shared" si="251"/>
        <v>173.87745919247294</v>
      </c>
      <c r="X88" s="193">
        <f t="shared" si="251"/>
        <v>186.24392762406274</v>
      </c>
      <c r="Y88" s="7"/>
      <c r="Z88" s="193">
        <f t="shared" ref="Z88:AH88" si="252">P88</f>
        <v>88.672727178245694</v>
      </c>
      <c r="AA88" s="193">
        <f t="shared" si="252"/>
        <v>87.357882681535756</v>
      </c>
      <c r="AB88" s="193">
        <f t="shared" si="252"/>
        <v>84.559607459462228</v>
      </c>
      <c r="AC88" s="193">
        <f t="shared" si="252"/>
        <v>89.797718408758314</v>
      </c>
      <c r="AD88" s="193">
        <f t="shared" si="252"/>
        <v>92.412731914886479</v>
      </c>
      <c r="AE88" s="193">
        <f t="shared" si="252"/>
        <v>110.64246451148132</v>
      </c>
      <c r="AF88" s="193">
        <f t="shared" si="252"/>
        <v>141.72650672101051</v>
      </c>
      <c r="AG88" s="193">
        <f t="shared" si="252"/>
        <v>173.87745919247294</v>
      </c>
      <c r="AH88" s="193">
        <f t="shared" si="252"/>
        <v>186.24392762406274</v>
      </c>
      <c r="AI88" s="5"/>
      <c r="AJ88" s="5"/>
      <c r="AK88" s="5"/>
      <c r="AL88" s="5"/>
      <c r="AM88" s="5"/>
      <c r="AN88" s="5"/>
      <c r="AO88" s="5"/>
      <c r="AP88" s="5"/>
      <c r="AQ88" s="5"/>
      <c r="AR88" s="5"/>
      <c r="AS88" s="5"/>
      <c r="AT88" s="5"/>
      <c r="AU88" s="5"/>
      <c r="AV88" s="5"/>
      <c r="AW88" s="5"/>
    </row>
    <row r="89" spans="1:50">
      <c r="A89" t="s">
        <v>16</v>
      </c>
      <c r="C89" s="4" t="s">
        <v>197</v>
      </c>
      <c r="E89" s="214"/>
      <c r="F89" s="63">
        <f>SUM(F76:F88)</f>
        <v>361.94771180625361</v>
      </c>
      <c r="G89" s="63">
        <f t="shared" ref="G89:I89" si="253">SUM(G76:G88)</f>
        <v>364.03446430660813</v>
      </c>
      <c r="H89" s="63">
        <f t="shared" si="253"/>
        <v>350.95370724984593</v>
      </c>
      <c r="I89" s="63">
        <f t="shared" si="253"/>
        <v>371.90403468840293</v>
      </c>
      <c r="J89" s="63">
        <f t="shared" ref="J89:N89" si="254">SUM(J76:J88)</f>
        <v>474.31854169641258</v>
      </c>
      <c r="K89" s="63">
        <f t="shared" si="254"/>
        <v>638.20594563172347</v>
      </c>
      <c r="L89" s="63">
        <f t="shared" ref="L89:M89" si="255">SUM(L76:L88)</f>
        <v>803.21946719614675</v>
      </c>
      <c r="M89" s="63">
        <f t="shared" si="255"/>
        <v>971.41930434041387</v>
      </c>
      <c r="N89" s="63">
        <f t="shared" si="254"/>
        <v>1043.0133785309013</v>
      </c>
      <c r="O89" s="7"/>
      <c r="P89" s="63">
        <f t="shared" ref="P89:X89" si="256">SUM(P76:P88)</f>
        <v>361.94771180625361</v>
      </c>
      <c r="Q89" s="63">
        <f>SUM(Q76:Q88)</f>
        <v>364.03446430660813</v>
      </c>
      <c r="R89" s="63">
        <f t="shared" si="256"/>
        <v>350.94847927525734</v>
      </c>
      <c r="S89" s="63">
        <f t="shared" si="256"/>
        <v>371.88522783750949</v>
      </c>
      <c r="T89" s="63">
        <f t="shared" si="256"/>
        <v>474.30675671463837</v>
      </c>
      <c r="U89" s="63">
        <f t="shared" si="256"/>
        <v>638.18966589506977</v>
      </c>
      <c r="V89" s="63">
        <f t="shared" ref="V89:W89" si="257">SUM(V76:V88)</f>
        <v>803.16473950341697</v>
      </c>
      <c r="W89" s="63">
        <f t="shared" si="257"/>
        <v>971.37684710330905</v>
      </c>
      <c r="X89" s="63">
        <f t="shared" si="256"/>
        <v>1042.9613547022141</v>
      </c>
      <c r="Y89" s="279"/>
      <c r="Z89" s="63">
        <f t="shared" ref="Z89:AH89" si="258">SUM(Z76:Z88)</f>
        <v>361.94771180625361</v>
      </c>
      <c r="AA89" s="63">
        <f t="shared" si="258"/>
        <v>364.03446430660813</v>
      </c>
      <c r="AB89" s="63">
        <f t="shared" si="258"/>
        <v>350.94847927525734</v>
      </c>
      <c r="AC89" s="63">
        <f t="shared" si="258"/>
        <v>371.88522783750949</v>
      </c>
      <c r="AD89" s="63">
        <f t="shared" si="258"/>
        <v>474.28827713461567</v>
      </c>
      <c r="AE89" s="63">
        <f t="shared" si="258"/>
        <v>638.16413826151006</v>
      </c>
      <c r="AF89" s="63">
        <f t="shared" ref="AF89:AG89" si="259">SUM(AF76:AF88)</f>
        <v>803.11894486958499</v>
      </c>
      <c r="AG89" s="63">
        <f t="shared" si="259"/>
        <v>971.26138238163276</v>
      </c>
      <c r="AH89" s="63">
        <f t="shared" si="258"/>
        <v>1042.8096886654043</v>
      </c>
    </row>
    <row r="90" spans="1:50">
      <c r="A90" t="s">
        <v>16</v>
      </c>
      <c r="O90" s="7"/>
      <c r="P90" s="4" t="s">
        <v>32</v>
      </c>
      <c r="Z90" s="4" t="s">
        <v>185</v>
      </c>
    </row>
    <row r="91" spans="1:50" ht="15.75" thickBot="1">
      <c r="A91" t="s">
        <v>16</v>
      </c>
      <c r="B91" s="11" t="s">
        <v>195</v>
      </c>
      <c r="C91" s="11"/>
      <c r="D91" s="11"/>
      <c r="F91">
        <f t="shared" ref="F91:I91" si="260">F$4</f>
        <v>2017</v>
      </c>
      <c r="G91">
        <f t="shared" si="260"/>
        <v>2019</v>
      </c>
      <c r="H91">
        <f t="shared" si="260"/>
        <v>2020</v>
      </c>
      <c r="I91">
        <f t="shared" si="260"/>
        <v>2021</v>
      </c>
      <c r="J91">
        <f>J$4</f>
        <v>2030</v>
      </c>
      <c r="K91">
        <f>K$4</f>
        <v>2040</v>
      </c>
      <c r="L91">
        <f>L$4</f>
        <v>2050</v>
      </c>
      <c r="M91">
        <f>M$4</f>
        <v>2060</v>
      </c>
      <c r="N91">
        <f>N$4</f>
        <v>2070</v>
      </c>
      <c r="O91" s="7"/>
      <c r="P91" s="6">
        <f>P75</f>
        <v>2017</v>
      </c>
      <c r="Q91" s="6">
        <f t="shared" ref="Q91:T91" si="261">Q75</f>
        <v>2019</v>
      </c>
      <c r="R91" s="6">
        <f t="shared" si="261"/>
        <v>2020</v>
      </c>
      <c r="S91" s="6">
        <f t="shared" si="261"/>
        <v>2021</v>
      </c>
      <c r="T91" s="6">
        <f t="shared" si="261"/>
        <v>2030</v>
      </c>
      <c r="U91" s="6">
        <f>U75</f>
        <v>2040</v>
      </c>
      <c r="V91" s="6">
        <f>V75</f>
        <v>2050</v>
      </c>
      <c r="W91" s="6">
        <f>W75</f>
        <v>2060</v>
      </c>
      <c r="X91" s="6">
        <f>X75</f>
        <v>2070</v>
      </c>
      <c r="Z91" s="6">
        <f>Z75</f>
        <v>2017</v>
      </c>
      <c r="AA91" s="6">
        <f t="shared" ref="AA91:AC91" si="262">AA75</f>
        <v>2019</v>
      </c>
      <c r="AB91" s="6">
        <f t="shared" si="262"/>
        <v>2020</v>
      </c>
      <c r="AC91" s="6">
        <f t="shared" si="262"/>
        <v>2021</v>
      </c>
      <c r="AD91" s="6">
        <f>AD75</f>
        <v>2030</v>
      </c>
      <c r="AE91" s="6">
        <f>AE75</f>
        <v>2040</v>
      </c>
      <c r="AF91" s="6">
        <f>AF75</f>
        <v>2050</v>
      </c>
      <c r="AG91" s="6">
        <f>AG75</f>
        <v>2060</v>
      </c>
      <c r="AH91" s="6">
        <f>AH75</f>
        <v>2070</v>
      </c>
    </row>
    <row r="92" spans="1:50">
      <c r="A92" t="s">
        <v>16</v>
      </c>
      <c r="B92" s="5" t="s">
        <v>139</v>
      </c>
      <c r="C92" s="5" t="s">
        <v>737</v>
      </c>
      <c r="D92" t="s">
        <v>138</v>
      </c>
      <c r="E92" t="s">
        <v>139</v>
      </c>
      <c r="F92" s="256">
        <f>'BY-DMD'!I87</f>
        <v>47.584820585749902</v>
      </c>
      <c r="G92" s="18">
        <f t="shared" ref="G92:N92" si="263">G43/G63</f>
        <v>48.177133793746854</v>
      </c>
      <c r="H92" s="5">
        <f t="shared" si="263"/>
        <v>46.38666602024783</v>
      </c>
      <c r="I92" s="8">
        <f t="shared" si="263"/>
        <v>49.122602511704166</v>
      </c>
      <c r="J92" s="8">
        <f t="shared" si="263"/>
        <v>66.500486547815925</v>
      </c>
      <c r="K92" s="8">
        <f t="shared" si="263"/>
        <v>91.863562377920857</v>
      </c>
      <c r="L92" s="8">
        <f t="shared" ref="L92:M92" si="264">L43/L63</f>
        <v>115.18443184909002</v>
      </c>
      <c r="M92" s="8">
        <f t="shared" si="264"/>
        <v>138.87434908340714</v>
      </c>
      <c r="N92" s="8">
        <f t="shared" si="263"/>
        <v>149.18753233213039</v>
      </c>
      <c r="O92" s="7"/>
      <c r="P92" s="8">
        <f>P76/P63</f>
        <v>47.584820585749895</v>
      </c>
      <c r="Q92" s="8">
        <f t="shared" ref="Q92:X92" si="265">Q76/Q63</f>
        <v>48.177133793746854</v>
      </c>
      <c r="R92" s="8">
        <f t="shared" si="265"/>
        <v>46.38666602024783</v>
      </c>
      <c r="S92" s="8">
        <f t="shared" si="265"/>
        <v>49.122602511704166</v>
      </c>
      <c r="T92" s="8">
        <f t="shared" si="265"/>
        <v>66.496521632692719</v>
      </c>
      <c r="U92" s="8">
        <f t="shared" si="265"/>
        <v>91.858085256674812</v>
      </c>
      <c r="V92" s="8">
        <f t="shared" ref="V92:W92" si="266">V76/V63</f>
        <v>115.17460630998045</v>
      </c>
      <c r="W92" s="8">
        <f t="shared" si="266"/>
        <v>138.84957536990237</v>
      </c>
      <c r="X92" s="8">
        <f t="shared" si="265"/>
        <v>149.1549913889767</v>
      </c>
      <c r="Z92" s="8">
        <f>P92</f>
        <v>47.584820585749895</v>
      </c>
      <c r="AA92" s="8">
        <f>Q92</f>
        <v>48.177133793746854</v>
      </c>
      <c r="AB92" s="8">
        <f>R92</f>
        <v>46.38666602024783</v>
      </c>
      <c r="AC92" s="8">
        <f>S92</f>
        <v>49.122602511704166</v>
      </c>
      <c r="AD92" s="8">
        <f t="shared" ref="AD92:AH92" si="267">AD76/AD63</f>
        <v>66.496521632692719</v>
      </c>
      <c r="AE92" s="8">
        <f t="shared" si="267"/>
        <v>91.858085256674812</v>
      </c>
      <c r="AF92" s="8">
        <f t="shared" ref="AF92:AG92" si="268">AF76/AF63</f>
        <v>115.17460630998045</v>
      </c>
      <c r="AG92" s="8">
        <f t="shared" si="268"/>
        <v>138.84957536990237</v>
      </c>
      <c r="AH92" s="8">
        <f t="shared" si="267"/>
        <v>149.1549913889767</v>
      </c>
    </row>
    <row r="93" spans="1:50">
      <c r="A93" t="s">
        <v>16</v>
      </c>
      <c r="B93" s="5" t="s">
        <v>396</v>
      </c>
      <c r="C93" s="5" t="s">
        <v>738</v>
      </c>
      <c r="D93" t="s">
        <v>138</v>
      </c>
      <c r="E93" t="s">
        <v>396</v>
      </c>
      <c r="F93" s="256">
        <f>'BY-DMD'!I88</f>
        <v>3.6514783707452798</v>
      </c>
      <c r="G93" s="18">
        <f>G46/F46*F93</f>
        <v>4.2205549275424925</v>
      </c>
      <c r="H93" s="18">
        <f t="shared" ref="H93:K93" si="269">H46/G46*G93</f>
        <v>4.0637011052209129</v>
      </c>
      <c r="I93" s="18">
        <f t="shared" si="269"/>
        <v>4.3033826580898404</v>
      </c>
      <c r="J93" s="18">
        <f t="shared" si="269"/>
        <v>5.8257711507899437</v>
      </c>
      <c r="K93" s="18">
        <f t="shared" si="269"/>
        <v>7.2630509588912719</v>
      </c>
      <c r="L93" s="18">
        <f>L46/I46*I93</f>
        <v>8.6515355785108756</v>
      </c>
      <c r="M93" s="18">
        <f>M46/J46*J93</f>
        <v>9.909347427534076</v>
      </c>
      <c r="N93" s="18">
        <f>N46/K46*K93</f>
        <v>10.112980147293296</v>
      </c>
      <c r="P93" s="8">
        <f t="shared" ref="P93:X100" si="270">P77/P64</f>
        <v>3.6514783707452798</v>
      </c>
      <c r="Q93" s="8">
        <f t="shared" si="270"/>
        <v>4.2205549275424925</v>
      </c>
      <c r="R93" s="8">
        <f t="shared" si="270"/>
        <v>4.0630318004760566</v>
      </c>
      <c r="S93" s="8">
        <f t="shared" si="270"/>
        <v>4.3009749351131266</v>
      </c>
      <c r="T93" s="8">
        <f t="shared" si="270"/>
        <v>5.8244643384532475</v>
      </c>
      <c r="U93" s="8">
        <f t="shared" si="270"/>
        <v>8.0458966670680443</v>
      </c>
      <c r="V93" s="8">
        <f t="shared" ref="V93:W93" si="271">V77/V64</f>
        <v>10.084219271214725</v>
      </c>
      <c r="W93" s="8">
        <f t="shared" si="271"/>
        <v>12.161905319176379</v>
      </c>
      <c r="X93" s="8">
        <f t="shared" si="270"/>
        <v>13.0645619788371</v>
      </c>
      <c r="Z93" s="8">
        <f t="shared" ref="Z93:Z101" si="272">P93</f>
        <v>3.6514783707452798</v>
      </c>
      <c r="AA93" s="8">
        <f t="shared" ref="AA93:AA101" si="273">Q93</f>
        <v>4.2205549275424925</v>
      </c>
      <c r="AB93" s="8">
        <f t="shared" ref="AB93:AB101" si="274">R93</f>
        <v>4.0630318004760566</v>
      </c>
      <c r="AC93" s="8">
        <f t="shared" ref="AC93:AC101" si="275">S93</f>
        <v>4.3009749351131266</v>
      </c>
      <c r="AD93" s="8">
        <f t="shared" ref="AD93:AH93" si="276">AD77/AD64</f>
        <v>5.5332411215305841</v>
      </c>
      <c r="AE93" s="8">
        <f t="shared" si="276"/>
        <v>7.2614217420289098</v>
      </c>
      <c r="AF93" s="8">
        <f t="shared" ref="AF93:AG93" si="277">AF77/AF64</f>
        <v>8.6459574976577223</v>
      </c>
      <c r="AG93" s="8">
        <f t="shared" si="277"/>
        <v>9.9059478943774035</v>
      </c>
      <c r="AH93" s="8">
        <f t="shared" si="276"/>
        <v>10.109109016011423</v>
      </c>
    </row>
    <row r="94" spans="1:50">
      <c r="A94" t="s">
        <v>16</v>
      </c>
      <c r="B94" s="5" t="s">
        <v>397</v>
      </c>
      <c r="C94" s="5" t="s">
        <v>739</v>
      </c>
      <c r="D94" t="s">
        <v>138</v>
      </c>
      <c r="E94" t="s">
        <v>397</v>
      </c>
      <c r="F94" s="256">
        <f>'BY-DMD'!I89</f>
        <v>1.0030192144974699</v>
      </c>
      <c r="G94" s="18">
        <f>G51/F51*F94</f>
        <v>1.0155043204894318</v>
      </c>
      <c r="H94" s="18">
        <f t="shared" ref="H94:K94" si="278">H51/G51*G94</f>
        <v>0.97776384868242405</v>
      </c>
      <c r="I94" s="18">
        <f t="shared" si="278"/>
        <v>1.0354334339996645</v>
      </c>
      <c r="J94" s="18">
        <f t="shared" si="278"/>
        <v>1.331647397464844</v>
      </c>
      <c r="K94" s="18">
        <f t="shared" si="278"/>
        <v>1.7475568391627665</v>
      </c>
      <c r="L94" s="18">
        <f t="shared" ref="L94:N101" si="279">L51/I51*I94</f>
        <v>2.0816390047461075</v>
      </c>
      <c r="M94" s="18">
        <f t="shared" si="279"/>
        <v>2.3842801002831817</v>
      </c>
      <c r="N94" s="18">
        <f t="shared" si="279"/>
        <v>2.4332760049115123</v>
      </c>
      <c r="P94" s="8">
        <f t="shared" si="270"/>
        <v>1.0030192144974699</v>
      </c>
      <c r="Q94" s="8">
        <f t="shared" si="270"/>
        <v>1.0155043204894318</v>
      </c>
      <c r="R94" s="8">
        <f t="shared" si="270"/>
        <v>0.97776384868242405</v>
      </c>
      <c r="S94" s="8">
        <f t="shared" si="270"/>
        <v>1.0354334339996647</v>
      </c>
      <c r="T94" s="8">
        <f t="shared" si="270"/>
        <v>1.4017341025945729</v>
      </c>
      <c r="U94" s="8">
        <f t="shared" si="270"/>
        <v>1.9363510683243956</v>
      </c>
      <c r="V94" s="8">
        <f t="shared" ref="V94:W94" si="280">V78/V65</f>
        <v>2.4279212768579765</v>
      </c>
      <c r="W94" s="8">
        <f t="shared" si="280"/>
        <v>2.9272704786282273</v>
      </c>
      <c r="X94" s="8">
        <f t="shared" si="270"/>
        <v>3.1446574695587062</v>
      </c>
      <c r="Z94" s="8">
        <f t="shared" si="272"/>
        <v>1.0030192144974699</v>
      </c>
      <c r="AA94" s="8">
        <f t="shared" si="273"/>
        <v>1.0155043204894318</v>
      </c>
      <c r="AB94" s="8">
        <f t="shared" si="274"/>
        <v>0.97776384868242405</v>
      </c>
      <c r="AC94" s="8">
        <f t="shared" si="275"/>
        <v>1.0354334339996647</v>
      </c>
      <c r="AD94" s="8">
        <f t="shared" ref="AD94:AH94" si="281">AD78/AD65</f>
        <v>1.3315680015208582</v>
      </c>
      <c r="AE94" s="8">
        <f t="shared" si="281"/>
        <v>1.7474526457214858</v>
      </c>
      <c r="AF94" s="8">
        <f t="shared" ref="AF94:AG94" si="282">AF78/AF65</f>
        <v>2.0814614353895124</v>
      </c>
      <c r="AG94" s="8">
        <f t="shared" si="282"/>
        <v>2.3838547699575363</v>
      </c>
      <c r="AH94" s="8">
        <f t="shared" si="281"/>
        <v>2.4327452561625034</v>
      </c>
    </row>
    <row r="95" spans="1:50">
      <c r="A95" t="s">
        <v>16</v>
      </c>
      <c r="B95" s="5" t="s">
        <v>398</v>
      </c>
      <c r="C95" s="5" t="s">
        <v>740</v>
      </c>
      <c r="D95" t="s">
        <v>138</v>
      </c>
      <c r="E95" t="s">
        <v>398</v>
      </c>
      <c r="F95" s="256">
        <f>'BY-DMD'!I90</f>
        <v>3.29935437842208</v>
      </c>
      <c r="G95" s="18">
        <f t="shared" ref="G95:K101" si="283">G52/F52*F95</f>
        <v>3.3404231720446251</v>
      </c>
      <c r="H95" s="18">
        <f t="shared" si="283"/>
        <v>3.2162787996334212</v>
      </c>
      <c r="I95" s="18">
        <f t="shared" si="283"/>
        <v>3.4059784545034963</v>
      </c>
      <c r="J95" s="18">
        <f t="shared" si="283"/>
        <v>4.380351450735926</v>
      </c>
      <c r="K95" s="18">
        <f t="shared" si="283"/>
        <v>5.7484534947038837</v>
      </c>
      <c r="L95" s="18">
        <f t="shared" si="279"/>
        <v>6.8473910223587025</v>
      </c>
      <c r="M95" s="18">
        <f t="shared" si="279"/>
        <v>7.8429055740425184</v>
      </c>
      <c r="N95" s="18">
        <f t="shared" si="279"/>
        <v>8.0040738249829779</v>
      </c>
      <c r="P95" s="8">
        <f t="shared" si="270"/>
        <v>3.2993543784220805</v>
      </c>
      <c r="Q95" s="8">
        <f t="shared" si="270"/>
        <v>3.3404231720446256</v>
      </c>
      <c r="R95" s="8">
        <f t="shared" si="270"/>
        <v>3.2162787996334217</v>
      </c>
      <c r="S95" s="8">
        <f t="shared" si="270"/>
        <v>3.4059784545034968</v>
      </c>
      <c r="T95" s="8">
        <f t="shared" si="270"/>
        <v>4.6108962639325544</v>
      </c>
      <c r="U95" s="8">
        <f t="shared" si="270"/>
        <v>6.369477556458599</v>
      </c>
      <c r="V95" s="8">
        <f t="shared" ref="V95:W95" si="284">V79/V66</f>
        <v>7.9864598598731043</v>
      </c>
      <c r="W95" s="8">
        <f t="shared" si="284"/>
        <v>9.6290305618189187</v>
      </c>
      <c r="X95" s="8">
        <f t="shared" si="270"/>
        <v>10.344108309056116</v>
      </c>
      <c r="Z95" s="8">
        <f t="shared" si="272"/>
        <v>3.2993543784220805</v>
      </c>
      <c r="AA95" s="8">
        <f t="shared" si="273"/>
        <v>3.3404231720446256</v>
      </c>
      <c r="AB95" s="8">
        <f t="shared" si="274"/>
        <v>3.2162787996334217</v>
      </c>
      <c r="AC95" s="8">
        <f t="shared" si="275"/>
        <v>3.4059784545034968</v>
      </c>
      <c r="AD95" s="8">
        <f t="shared" ref="AD95:AH95" si="285">AD79/AD66</f>
        <v>4.3800902838992073</v>
      </c>
      <c r="AE95" s="8">
        <f t="shared" si="285"/>
        <v>5.7481107584115749</v>
      </c>
      <c r="AF95" s="8">
        <f t="shared" ref="AF95:AG95" si="286">AF79/AF66</f>
        <v>6.8468069216498764</v>
      </c>
      <c r="AG95" s="8">
        <f t="shared" si="286"/>
        <v>7.8415064827271079</v>
      </c>
      <c r="AH95" s="8">
        <f t="shared" si="285"/>
        <v>8.0023279678911372</v>
      </c>
    </row>
    <row r="96" spans="1:50">
      <c r="A96" t="s">
        <v>16</v>
      </c>
      <c r="B96" s="5" t="s">
        <v>399</v>
      </c>
      <c r="C96" s="5" t="s">
        <v>741</v>
      </c>
      <c r="D96" t="s">
        <v>138</v>
      </c>
      <c r="E96" t="s">
        <v>399</v>
      </c>
      <c r="F96" s="256">
        <f>'BY-DMD'!I91</f>
        <v>0.59840698910616097</v>
      </c>
      <c r="G96" s="18">
        <f t="shared" si="283"/>
        <v>0.60585567461221534</v>
      </c>
      <c r="H96" s="18">
        <f t="shared" si="283"/>
        <v>0.58333949369060389</v>
      </c>
      <c r="I96" s="18">
        <f t="shared" si="283"/>
        <v>0.61774549749780006</v>
      </c>
      <c r="J96" s="18">
        <f t="shared" si="283"/>
        <v>0.7944684390390635</v>
      </c>
      <c r="K96" s="18">
        <f t="shared" si="283"/>
        <v>1.0426023861758322</v>
      </c>
      <c r="L96" s="18">
        <f t="shared" si="279"/>
        <v>1.2419177132714898</v>
      </c>
      <c r="M96" s="18">
        <f t="shared" si="279"/>
        <v>1.4224751184961413</v>
      </c>
      <c r="N96" s="18">
        <f t="shared" si="279"/>
        <v>1.4517063548906119</v>
      </c>
      <c r="P96" s="8">
        <f t="shared" si="270"/>
        <v>0.59840698910616097</v>
      </c>
      <c r="Q96" s="8">
        <f t="shared" si="270"/>
        <v>0.60585567461221534</v>
      </c>
      <c r="R96" s="8">
        <f t="shared" si="270"/>
        <v>0.58333949369060389</v>
      </c>
      <c r="S96" s="8">
        <f t="shared" si="270"/>
        <v>0.61774549749780017</v>
      </c>
      <c r="T96" s="8">
        <f t="shared" si="270"/>
        <v>0.83628256740954066</v>
      </c>
      <c r="U96" s="8">
        <f t="shared" si="270"/>
        <v>1.155238101025853</v>
      </c>
      <c r="V96" s="8">
        <f t="shared" ref="V96:W96" si="287">V80/V67</f>
        <v>1.4485116935663975</v>
      </c>
      <c r="W96" s="8">
        <f t="shared" si="287"/>
        <v>1.7464262778783359</v>
      </c>
      <c r="X96" s="8">
        <f t="shared" si="270"/>
        <v>1.8761205976214839</v>
      </c>
      <c r="Z96" s="8">
        <f t="shared" si="272"/>
        <v>0.59840698910616097</v>
      </c>
      <c r="AA96" s="8">
        <f t="shared" si="273"/>
        <v>0.60585567461221534</v>
      </c>
      <c r="AB96" s="8">
        <f t="shared" si="274"/>
        <v>0.58333949369060389</v>
      </c>
      <c r="AC96" s="8">
        <f t="shared" si="275"/>
        <v>0.61774549749780017</v>
      </c>
      <c r="AD96" s="8">
        <f t="shared" ref="AD96:AH96" si="288">AD80/AD67</f>
        <v>0.79442107096564973</v>
      </c>
      <c r="AE96" s="8">
        <f t="shared" si="288"/>
        <v>1.0425402237739758</v>
      </c>
      <c r="AF96" s="8">
        <f t="shared" ref="AF96:AG96" si="289">AF80/AF67</f>
        <v>1.2418117743796906</v>
      </c>
      <c r="AG96" s="8">
        <f t="shared" si="289"/>
        <v>1.4222213639958623</v>
      </c>
      <c r="AH96" s="8">
        <f t="shared" si="288"/>
        <v>1.4513897071571729</v>
      </c>
    </row>
    <row r="97" spans="1:77">
      <c r="A97" t="s">
        <v>16</v>
      </c>
      <c r="B97" s="5" t="s">
        <v>400</v>
      </c>
      <c r="C97" s="5" t="s">
        <v>742</v>
      </c>
      <c r="D97" t="s">
        <v>138</v>
      </c>
      <c r="E97" t="s">
        <v>400</v>
      </c>
      <c r="F97" s="256">
        <f>'BY-DMD'!I92</f>
        <v>0.29798809605332599</v>
      </c>
      <c r="G97" s="18">
        <f t="shared" si="283"/>
        <v>0.30169731010405854</v>
      </c>
      <c r="H97" s="18">
        <f t="shared" si="283"/>
        <v>0.29048495128243912</v>
      </c>
      <c r="I97" s="18">
        <f t="shared" si="283"/>
        <v>0.30761807264291008</v>
      </c>
      <c r="J97" s="18">
        <f t="shared" si="283"/>
        <v>0.39562060910640362</v>
      </c>
      <c r="K97" s="18">
        <f t="shared" si="283"/>
        <v>0.51918360856924028</v>
      </c>
      <c r="L97" s="18">
        <f t="shared" si="279"/>
        <v>0.61843645139481807</v>
      </c>
      <c r="M97" s="18">
        <f t="shared" si="279"/>
        <v>0.70834843168700923</v>
      </c>
      <c r="N97" s="18">
        <f t="shared" si="279"/>
        <v>0.7229046795869275</v>
      </c>
      <c r="P97" s="8">
        <f t="shared" si="270"/>
        <v>0.29798809605332599</v>
      </c>
      <c r="Q97" s="8">
        <f t="shared" si="270"/>
        <v>0.30169731010405854</v>
      </c>
      <c r="R97" s="8">
        <f t="shared" si="270"/>
        <v>0.29048495128243912</v>
      </c>
      <c r="S97" s="8">
        <f t="shared" si="270"/>
        <v>0.30761807264291008</v>
      </c>
      <c r="T97" s="8">
        <f t="shared" si="270"/>
        <v>0.41644274642779339</v>
      </c>
      <c r="U97" s="8">
        <f t="shared" si="270"/>
        <v>0.57527269647561263</v>
      </c>
      <c r="V97" s="8">
        <f t="shared" ref="V97:W97" si="290">V81/V68</f>
        <v>0.72131383746297495</v>
      </c>
      <c r="W97" s="8">
        <f t="shared" si="290"/>
        <v>0.86966604821879434</v>
      </c>
      <c r="X97" s="8">
        <f t="shared" si="270"/>
        <v>0.93424979157867638</v>
      </c>
      <c r="Z97" s="8">
        <f t="shared" si="272"/>
        <v>0.29798809605332599</v>
      </c>
      <c r="AA97" s="8">
        <f t="shared" si="273"/>
        <v>0.30169731010405854</v>
      </c>
      <c r="AB97" s="8">
        <f t="shared" si="274"/>
        <v>0.29048495128243912</v>
      </c>
      <c r="AC97" s="8">
        <f t="shared" si="275"/>
        <v>0.30761807264291008</v>
      </c>
      <c r="AD97" s="8">
        <f t="shared" ref="AD97:AH97" si="291">AD81/AD68</f>
        <v>0.39559702127693763</v>
      </c>
      <c r="AE97" s="8">
        <f t="shared" si="291"/>
        <v>0.51915265362367236</v>
      </c>
      <c r="AF97" s="8">
        <f t="shared" ref="AF97:AG97" si="292">AF81/AF68</f>
        <v>0.61838369711680996</v>
      </c>
      <c r="AG97" s="8">
        <f t="shared" si="292"/>
        <v>0.70822206982663727</v>
      </c>
      <c r="AH97" s="8">
        <f t="shared" si="291"/>
        <v>0.72274699884969551</v>
      </c>
    </row>
    <row r="98" spans="1:77">
      <c r="A98" t="s">
        <v>16</v>
      </c>
      <c r="B98" s="5" t="s">
        <v>401</v>
      </c>
      <c r="C98" s="5" t="s">
        <v>743</v>
      </c>
      <c r="D98" t="s">
        <v>138</v>
      </c>
      <c r="E98" t="s">
        <v>401</v>
      </c>
      <c r="F98" s="256">
        <f>'BY-DMD'!I93</f>
        <v>6.6621877646371201</v>
      </c>
      <c r="G98" s="18">
        <f>G55/F55*F98</f>
        <v>6.9016562286169734</v>
      </c>
      <c r="H98" s="18">
        <f t="shared" si="283"/>
        <v>6.7116128591697501</v>
      </c>
      <c r="I98" s="18">
        <f>I55/H55*H98</f>
        <v>7.1543851555436984</v>
      </c>
      <c r="J98" s="18">
        <f t="shared" si="283"/>
        <v>9.3105053747738697</v>
      </c>
      <c r="K98" s="18">
        <f t="shared" si="283"/>
        <v>11.607506240756543</v>
      </c>
      <c r="L98" s="18">
        <f t="shared" si="279"/>
        <v>13.82652466409545</v>
      </c>
      <c r="M98" s="18">
        <f t="shared" si="279"/>
        <v>15.836707295316179</v>
      </c>
      <c r="N98" s="18">
        <f t="shared" si="279"/>
        <v>16.162144646479717</v>
      </c>
      <c r="P98" s="8">
        <f t="shared" si="270"/>
        <v>6.6621877646371193</v>
      </c>
      <c r="Q98" s="8">
        <f t="shared" si="270"/>
        <v>6.7451155083708443</v>
      </c>
      <c r="R98" s="8">
        <f t="shared" si="270"/>
        <v>6.7559139341477668</v>
      </c>
      <c r="S98" s="8">
        <f t="shared" si="270"/>
        <v>6.8774873455887962</v>
      </c>
      <c r="T98" s="8">
        <f t="shared" si="270"/>
        <v>9.310505374773868</v>
      </c>
      <c r="U98" s="8">
        <f t="shared" si="270"/>
        <v>12.861502759841043</v>
      </c>
      <c r="V98" s="8">
        <f t="shared" ref="V98:W98" si="293">V82/V69</f>
        <v>16.12657782661665</v>
      </c>
      <c r="W98" s="8">
        <f t="shared" si="293"/>
        <v>19.443322006818462</v>
      </c>
      <c r="X98" s="8">
        <f t="shared" si="270"/>
        <v>20.887235473515034</v>
      </c>
      <c r="Z98" s="8">
        <f t="shared" si="272"/>
        <v>6.6621877646371193</v>
      </c>
      <c r="AA98" s="8">
        <f t="shared" si="273"/>
        <v>6.7451155083708443</v>
      </c>
      <c r="AB98" s="8">
        <f t="shared" si="274"/>
        <v>6.7559139341477668</v>
      </c>
      <c r="AC98" s="8">
        <f t="shared" si="275"/>
        <v>6.8774873455887962</v>
      </c>
      <c r="AD98" s="8">
        <f t="shared" ref="AD98:AH98" si="294">AD82/AD69</f>
        <v>8.8444527475569537</v>
      </c>
      <c r="AE98" s="8">
        <f t="shared" si="294"/>
        <v>11.606814173984914</v>
      </c>
      <c r="AF98" s="8">
        <f t="shared" ref="AF98:AG98" si="295">AF82/AF69</f>
        <v>13.825345224681145</v>
      </c>
      <c r="AG98" s="8">
        <f t="shared" si="295"/>
        <v>15.833882194410343</v>
      </c>
      <c r="AH98" s="8">
        <f t="shared" si="294"/>
        <v>16.158619342307432</v>
      </c>
    </row>
    <row r="99" spans="1:77">
      <c r="A99" t="s">
        <v>16</v>
      </c>
      <c r="B99" s="5" t="s">
        <v>402</v>
      </c>
      <c r="C99" s="5" t="s">
        <v>744</v>
      </c>
      <c r="D99" t="s">
        <v>138</v>
      </c>
      <c r="E99" t="s">
        <v>402</v>
      </c>
      <c r="F99" s="256">
        <f>'BY-DMD'!I94</f>
        <v>2.2261566306639899</v>
      </c>
      <c r="G99" s="18">
        <f t="shared" si="283"/>
        <v>2.2538667693002417</v>
      </c>
      <c r="H99" s="18">
        <f t="shared" si="283"/>
        <v>2.1701034671189854</v>
      </c>
      <c r="I99" s="18">
        <f t="shared" si="283"/>
        <v>2.2980985522439892</v>
      </c>
      <c r="J99" s="18">
        <f t="shared" si="283"/>
        <v>2.9555322976121179</v>
      </c>
      <c r="K99" s="18">
        <f t="shared" si="283"/>
        <v>3.878624844603324</v>
      </c>
      <c r="L99" s="18">
        <f t="shared" si="279"/>
        <v>4.6201053839093991</v>
      </c>
      <c r="M99" s="18">
        <f t="shared" si="279"/>
        <v>5.2918038636626719</v>
      </c>
      <c r="N99" s="18">
        <f t="shared" si="279"/>
        <v>5.4005480994531956</v>
      </c>
      <c r="P99" s="8">
        <f t="shared" si="270"/>
        <v>2.2261566306639899</v>
      </c>
      <c r="Q99" s="8">
        <f t="shared" si="270"/>
        <v>2.2538667693002417</v>
      </c>
      <c r="R99" s="8">
        <f t="shared" si="270"/>
        <v>2.1701034671189854</v>
      </c>
      <c r="S99" s="8">
        <f t="shared" si="270"/>
        <v>2.2980985522439892</v>
      </c>
      <c r="T99" s="8">
        <f t="shared" si="270"/>
        <v>3.1110866290653871</v>
      </c>
      <c r="U99" s="8">
        <f t="shared" si="270"/>
        <v>4.2976452571781989</v>
      </c>
      <c r="V99" s="8">
        <f t="shared" ref="V99:W99" si="296">V83/V70</f>
        <v>5.3886635181914562</v>
      </c>
      <c r="W99" s="8">
        <f t="shared" si="296"/>
        <v>6.496946909446887</v>
      </c>
      <c r="X99" s="8">
        <f t="shared" si="270"/>
        <v>6.9794276877662123</v>
      </c>
      <c r="Z99" s="8">
        <f t="shared" si="272"/>
        <v>2.2261566306639899</v>
      </c>
      <c r="AA99" s="8">
        <f t="shared" si="273"/>
        <v>2.2538667693002417</v>
      </c>
      <c r="AB99" s="8">
        <f t="shared" si="274"/>
        <v>2.1701034671189854</v>
      </c>
      <c r="AC99" s="8">
        <f t="shared" si="275"/>
        <v>2.2980985522439892</v>
      </c>
      <c r="AD99" s="8">
        <f t="shared" ref="AD99:AH99" si="297">AD83/AD70</f>
        <v>2.9553560818381848</v>
      </c>
      <c r="AE99" s="8">
        <f t="shared" si="297"/>
        <v>3.8783935918847057</v>
      </c>
      <c r="AF99" s="8">
        <f t="shared" ref="AF99:AG99" si="298">AF83/AF70</f>
        <v>4.6197112766033035</v>
      </c>
      <c r="AG99" s="8">
        <f t="shared" si="298"/>
        <v>5.2908598618818754</v>
      </c>
      <c r="AH99" s="8">
        <f t="shared" si="297"/>
        <v>5.3993701261604148</v>
      </c>
    </row>
    <row r="100" spans="1:77">
      <c r="A100" t="s">
        <v>16</v>
      </c>
      <c r="B100" s="5" t="s">
        <v>403</v>
      </c>
      <c r="C100" s="5" t="s">
        <v>745</v>
      </c>
      <c r="D100" t="s">
        <v>138</v>
      </c>
      <c r="E100" t="s">
        <v>403</v>
      </c>
      <c r="F100" s="256">
        <f>'BY-DMD'!I95</f>
        <v>0.122213678849837</v>
      </c>
      <c r="G100" s="18">
        <f t="shared" si="283"/>
        <v>0.12373493658054988</v>
      </c>
      <c r="H100" s="18">
        <f t="shared" si="283"/>
        <v>0.11913641859166579</v>
      </c>
      <c r="I100" s="18">
        <f t="shared" si="283"/>
        <v>0.12616321536434347</v>
      </c>
      <c r="J100" s="18">
        <f t="shared" si="283"/>
        <v>0.16225564278599394</v>
      </c>
      <c r="K100" s="18">
        <f t="shared" si="283"/>
        <v>0.21293246153841591</v>
      </c>
      <c r="L100" s="18">
        <f t="shared" si="279"/>
        <v>0.25363897035092825</v>
      </c>
      <c r="M100" s="18">
        <f t="shared" si="279"/>
        <v>0.29051451682314805</v>
      </c>
      <c r="N100" s="18">
        <f t="shared" si="279"/>
        <v>0.29648446203123069</v>
      </c>
      <c r="P100" s="8">
        <f t="shared" si="270"/>
        <v>0.122213678849837</v>
      </c>
      <c r="Q100" s="8">
        <f t="shared" si="270"/>
        <v>0.12373493658054986</v>
      </c>
      <c r="R100" s="8">
        <f t="shared" si="270"/>
        <v>0.11913641859166579</v>
      </c>
      <c r="S100" s="8">
        <f t="shared" si="270"/>
        <v>0.1261632153643435</v>
      </c>
      <c r="T100" s="8">
        <f t="shared" si="270"/>
        <v>0.170795413458941</v>
      </c>
      <c r="U100" s="8">
        <f t="shared" si="270"/>
        <v>0.23593624547192901</v>
      </c>
      <c r="V100" s="8">
        <f t="shared" ref="V100:W100" si="299">V84/V71</f>
        <v>0.29583201090646255</v>
      </c>
      <c r="W100" s="8">
        <f t="shared" si="299"/>
        <v>0.35667561399700515</v>
      </c>
      <c r="X100" s="8">
        <f t="shared" si="270"/>
        <v>0.38316330586940939</v>
      </c>
      <c r="Z100" s="8">
        <f t="shared" si="272"/>
        <v>0.122213678849837</v>
      </c>
      <c r="AA100" s="8">
        <f t="shared" si="273"/>
        <v>0.12373493658054986</v>
      </c>
      <c r="AB100" s="8">
        <f t="shared" si="274"/>
        <v>0.11913641859166579</v>
      </c>
      <c r="AC100" s="8">
        <f t="shared" si="275"/>
        <v>0.1261632153643435</v>
      </c>
      <c r="AD100" s="8">
        <f t="shared" ref="AD100:AH100" si="300">AD84/AD71</f>
        <v>0.16224596872366293</v>
      </c>
      <c r="AE100" s="8">
        <f t="shared" si="300"/>
        <v>0.212919766005183</v>
      </c>
      <c r="AF100" s="8">
        <f t="shared" ref="AF100:AG100" si="301">AF84/AF71</f>
        <v>0.25361733427057531</v>
      </c>
      <c r="AG100" s="8">
        <f t="shared" si="301"/>
        <v>0.29046269210925207</v>
      </c>
      <c r="AH100" s="8">
        <f t="shared" si="300"/>
        <v>0.29641979252517964</v>
      </c>
    </row>
    <row r="101" spans="1:77">
      <c r="A101" t="s">
        <v>16</v>
      </c>
      <c r="B101" s="5" t="s">
        <v>404</v>
      </c>
      <c r="C101" s="5" t="s">
        <v>746</v>
      </c>
      <c r="D101" t="s">
        <v>138</v>
      </c>
      <c r="E101" t="s">
        <v>404</v>
      </c>
      <c r="F101" s="256">
        <f>'BY-DMD'!I96</f>
        <v>2.9412068148240201E-2</v>
      </c>
      <c r="G101" s="18">
        <f t="shared" si="283"/>
        <v>2.9778175579649242E-2</v>
      </c>
      <c r="H101" s="18">
        <f t="shared" si="283"/>
        <v>2.8671491567328906E-2</v>
      </c>
      <c r="I101" s="18">
        <f t="shared" si="283"/>
        <v>3.036256761942752E-2</v>
      </c>
      <c r="J101" s="18">
        <f t="shared" si="283"/>
        <v>3.9048607880643432E-2</v>
      </c>
      <c r="K101" s="18">
        <f t="shared" si="283"/>
        <v>5.1244542580503254E-2</v>
      </c>
      <c r="L101" s="18">
        <f t="shared" si="279"/>
        <v>6.1041012358175363E-2</v>
      </c>
      <c r="M101" s="18">
        <f t="shared" si="279"/>
        <v>6.991551884592416E-2</v>
      </c>
      <c r="N101" s="18">
        <f t="shared" si="279"/>
        <v>7.1352251926491458E-2</v>
      </c>
      <c r="P101" s="8">
        <f>P85/P72</f>
        <v>2.9412068148240201E-2</v>
      </c>
      <c r="Q101" s="8">
        <f t="shared" ref="Q101:X101" si="302">Q85/Q72</f>
        <v>2.9778175579649246E-2</v>
      </c>
      <c r="R101" s="8">
        <f t="shared" si="302"/>
        <v>2.867149156732891E-2</v>
      </c>
      <c r="S101" s="8">
        <f t="shared" si="302"/>
        <v>3.0362567619427527E-2</v>
      </c>
      <c r="T101" s="8">
        <f t="shared" si="302"/>
        <v>4.1103797769098366E-2</v>
      </c>
      <c r="U101" s="8">
        <f t="shared" si="302"/>
        <v>5.6780656598895592E-2</v>
      </c>
      <c r="V101" s="8">
        <f t="shared" ref="V101:W101" si="303">V85/V72</f>
        <v>7.1195232375769524E-2</v>
      </c>
      <c r="W101" s="8">
        <f t="shared" si="303"/>
        <v>8.5837915726152139E-2</v>
      </c>
      <c r="X101" s="8">
        <f t="shared" si="302"/>
        <v>9.2212470569542182E-2</v>
      </c>
      <c r="Z101" s="8">
        <f t="shared" si="272"/>
        <v>2.9412068148240201E-2</v>
      </c>
      <c r="AA101" s="8">
        <f t="shared" si="273"/>
        <v>2.9778175579649246E-2</v>
      </c>
      <c r="AB101" s="8">
        <f t="shared" si="274"/>
        <v>2.867149156732891E-2</v>
      </c>
      <c r="AC101" s="8">
        <f t="shared" si="275"/>
        <v>3.0362567619427527E-2</v>
      </c>
      <c r="AD101" s="8">
        <f t="shared" ref="AD101:AH101" si="304">AD85/AD72</f>
        <v>3.9046279710971861E-2</v>
      </c>
      <c r="AE101" s="8">
        <f t="shared" si="304"/>
        <v>5.124148726057394E-2</v>
      </c>
      <c r="AF101" s="8">
        <f t="shared" ref="AF101:AG101" si="305">AF85/AF72</f>
        <v>6.1035805397090567E-2</v>
      </c>
      <c r="AG101" s="8">
        <f t="shared" si="305"/>
        <v>6.9903046657612544E-2</v>
      </c>
      <c r="AH101" s="8">
        <f t="shared" si="304"/>
        <v>7.1336688497446621E-2</v>
      </c>
    </row>
    <row r="102" spans="1:77">
      <c r="A102" t="s">
        <v>16</v>
      </c>
      <c r="B102" s="5" t="s">
        <v>366</v>
      </c>
      <c r="C102" s="5" t="s">
        <v>747</v>
      </c>
      <c r="D102" t="s">
        <v>137</v>
      </c>
      <c r="E102" t="s">
        <v>366</v>
      </c>
      <c r="F102" s="256">
        <f>'BY-DMD'!I97</f>
        <v>22</v>
      </c>
      <c r="G102" s="18">
        <f t="shared" ref="G102:N102" si="306">G59</f>
        <v>19.218049126986699</v>
      </c>
      <c r="H102" s="8">
        <f t="shared" si="306"/>
        <v>17.206637381742077</v>
      </c>
      <c r="I102" s="8">
        <f t="shared" si="306"/>
        <v>17.305706019659819</v>
      </c>
      <c r="J102" s="8">
        <f t="shared" si="306"/>
        <v>35.617835204370841</v>
      </c>
      <c r="K102" s="8">
        <f t="shared" si="306"/>
        <v>80.075679587687318</v>
      </c>
      <c r="L102" s="8">
        <f t="shared" ref="L102:M102" si="307">L59</f>
        <v>122.22626627669857</v>
      </c>
      <c r="M102" s="8">
        <f t="shared" si="307"/>
        <v>172.35935946550941</v>
      </c>
      <c r="N102" s="8">
        <f t="shared" si="306"/>
        <v>210.66774949851762</v>
      </c>
      <c r="P102" s="8"/>
    </row>
    <row r="103" spans="1:77">
      <c r="A103" t="s">
        <v>16</v>
      </c>
      <c r="B103" s="5" t="s">
        <v>368</v>
      </c>
      <c r="C103" s="5" t="s">
        <v>748</v>
      </c>
      <c r="D103" t="s">
        <v>137</v>
      </c>
      <c r="E103" t="s">
        <v>368</v>
      </c>
      <c r="F103" s="256">
        <f>'BY-DMD'!I98</f>
        <v>27.142505514316699</v>
      </c>
      <c r="G103" s="18">
        <f t="shared" ref="G103:N103" si="308">G47</f>
        <v>26.703251105538467</v>
      </c>
      <c r="H103" s="8">
        <f t="shared" si="308"/>
        <v>25.710844401627732</v>
      </c>
      <c r="I103" s="8">
        <f t="shared" si="308"/>
        <v>27.227298233292721</v>
      </c>
      <c r="J103" s="8">
        <f t="shared" si="308"/>
        <v>36.859378113467145</v>
      </c>
      <c r="K103" s="8">
        <f t="shared" si="308"/>
        <v>52.081929125360617</v>
      </c>
      <c r="L103" s="8">
        <f t="shared" ref="L103:M103" si="309">L47</f>
        <v>65.979442224023316</v>
      </c>
      <c r="M103" s="8">
        <f t="shared" si="309"/>
        <v>80.32342129408741</v>
      </c>
      <c r="N103" s="8">
        <f t="shared" si="308"/>
        <v>87.078385128486644</v>
      </c>
      <c r="P103" s="8"/>
    </row>
    <row r="104" spans="1:77">
      <c r="A104" t="s">
        <v>16</v>
      </c>
      <c r="B104" s="5" t="s">
        <v>367</v>
      </c>
      <c r="C104" s="5" t="s">
        <v>749</v>
      </c>
      <c r="D104" t="s">
        <v>137</v>
      </c>
      <c r="E104" t="s">
        <v>367</v>
      </c>
      <c r="F104" s="256">
        <f>'BY-DMD'!I99</f>
        <v>88.672727178245694</v>
      </c>
      <c r="G104" s="18">
        <f>F104*(1+(F25+G25)/2*((G8/F8)^(1/(G$4-F$4))-1))^(G$4-F$4)</f>
        <v>87.357882681535756</v>
      </c>
      <c r="H104" s="18">
        <f t="shared" ref="H104:N104" si="310">G104*(1+(G25+H25)/2*((H8/G8)^(1/(H$4-G$4))-1))^(H$4-G$4)</f>
        <v>84.559607459462228</v>
      </c>
      <c r="I104" s="18">
        <f t="shared" si="310"/>
        <v>89.797718408758314</v>
      </c>
      <c r="J104" s="18">
        <f t="shared" si="310"/>
        <v>92.412731914886479</v>
      </c>
      <c r="K104" s="18">
        <f t="shared" si="310"/>
        <v>110.64246451148132</v>
      </c>
      <c r="L104" s="18">
        <f t="shared" si="310"/>
        <v>141.72650672101051</v>
      </c>
      <c r="M104" s="18">
        <f t="shared" si="310"/>
        <v>173.87745919247294</v>
      </c>
      <c r="N104" s="18">
        <f t="shared" si="310"/>
        <v>186.24392762406274</v>
      </c>
      <c r="P104" s="8"/>
    </row>
    <row r="105" spans="1:77">
      <c r="B105" s="5"/>
      <c r="C105" s="5"/>
      <c r="F105" s="8"/>
      <c r="H105" s="8"/>
      <c r="J105" s="8"/>
      <c r="K105" s="8"/>
      <c r="L105" s="8"/>
      <c r="M105" s="8"/>
      <c r="N105" s="8"/>
      <c r="P105" s="8"/>
    </row>
    <row r="106" spans="1:77" ht="23.25">
      <c r="A106" s="97" t="s">
        <v>16</v>
      </c>
      <c r="B106" s="101" t="s">
        <v>18</v>
      </c>
      <c r="C106" s="101" t="s">
        <v>19</v>
      </c>
      <c r="D106" s="101" t="s">
        <v>20</v>
      </c>
      <c r="E106" s="101" t="s">
        <v>21</v>
      </c>
      <c r="F106" s="101" t="s">
        <v>22</v>
      </c>
      <c r="G106" s="101" t="s">
        <v>23</v>
      </c>
      <c r="H106" s="101" t="s">
        <v>24</v>
      </c>
      <c r="I106" s="101" t="s">
        <v>591</v>
      </c>
      <c r="J106" s="101" t="s">
        <v>619</v>
      </c>
      <c r="K106" s="101" t="s">
        <v>620</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77">
      <c r="A109" s="32" t="s">
        <v>16</v>
      </c>
      <c r="B109" t="s">
        <v>375</v>
      </c>
      <c r="C109">
        <v>-1</v>
      </c>
      <c r="D109">
        <v>0</v>
      </c>
      <c r="E109">
        <v>1</v>
      </c>
      <c r="F109">
        <v>2</v>
      </c>
      <c r="G109">
        <v>3</v>
      </c>
      <c r="H109">
        <v>4</v>
      </c>
      <c r="I109">
        <v>5</v>
      </c>
      <c r="J109">
        <v>6</v>
      </c>
      <c r="K109">
        <v>7</v>
      </c>
      <c r="L109">
        <v>8</v>
      </c>
      <c r="M109" s="32">
        <f t="shared" ref="M109:AZ109" si="316">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c r="A110" s="99" t="s">
        <v>16</v>
      </c>
      <c r="B110" s="100" t="s">
        <v>378</v>
      </c>
      <c r="L110" s="105"/>
      <c r="M110" s="67">
        <f t="shared" ref="M110:AZ110" si="317">IF(ISNA(M107),-1,IF(ISNA(M109),99,IF(ISNA(M108),M107,0)))</f>
        <v>0</v>
      </c>
      <c r="N110" s="67">
        <f t="shared" si="317"/>
        <v>1</v>
      </c>
      <c r="O110" s="67">
        <f t="shared" si="317"/>
        <v>0</v>
      </c>
      <c r="P110" s="67">
        <f t="shared" si="317"/>
        <v>0</v>
      </c>
      <c r="Q110" s="67">
        <f t="shared" ref="Q110:R110" si="318">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ref="AA110:AB110" si="319">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6" t="str">
        <f t="shared" ref="B111:B123" si="320">IF(A111="*","","COM_PROJ")</f>
        <v/>
      </c>
      <c r="C111" s="17" t="str">
        <f t="shared" ref="C111:C123" si="321">IF($A111="*","","-")</f>
        <v/>
      </c>
      <c r="D111" s="44" t="s">
        <v>139</v>
      </c>
      <c r="E111" s="17" t="str">
        <f t="shared" ref="E111:K123" si="322">IF($A111="*","","-")</f>
        <v/>
      </c>
      <c r="H111" s="17" t="str">
        <f t="shared" si="322"/>
        <v/>
      </c>
      <c r="J111" s="17" t="str">
        <f t="shared" si="322"/>
        <v/>
      </c>
      <c r="K111" s="17" t="str">
        <f t="shared" si="322"/>
        <v/>
      </c>
      <c r="L111" s="106" t="str">
        <f t="shared" ref="L111:L123" si="3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47.880977189748378</v>
      </c>
      <c r="O111" s="5" cm="1">
        <f t="array" ref="O111">IF(O$110=-1,P111,IF(O$110=99,N111,IF(O$110=0,INDEX($F92:$N92,0,O$108),(INDEX($F92:$N92,0,O$110+1)-INDEX($F92:$N92,0,O$110))/(INDEX($F$4:$N$4,0,O$110+1)-INDEX($F$4:$N$4,0,O$110))+N111)))</f>
        <v>48.177133793746854</v>
      </c>
      <c r="P111" s="5" cm="1">
        <f t="array" ref="P111">IF(P$110=-1,S111,IF(P$110=99,O111,IF(P$110=0,INDEX($F92:$N92,0,P$108),(INDEX($F92:$N92,0,P$110+1)-INDEX($F92:$N92,0,P$110))/(INDEX($F$4:$N$4,0,P$110+1)-INDEX($F$4:$N$4,0,P$110))+O111)))</f>
        <v>46.38666602024783</v>
      </c>
      <c r="Q111" s="5" cm="1">
        <f t="array" ref="Q111">IF(Q$110=-1,R111,IF(Q$110=99,N111,IF(Q$110=0,INDEX($F92:$N92,0,Q$108),(INDEX($F92:$N92,0,Q$110+1)-INDEX($F92:$N92,0,Q$110))/(INDEX($F$4:$N$4,0,Q$110+1)-INDEX($F$4:$N$4,0,Q$110))+N111)))</f>
        <v>48.177133793746854</v>
      </c>
      <c r="R111" s="5" cm="1">
        <f t="array" ref="R111">IF(R$110=-1,S111,IF(R$110=99,O111,IF(R$110=0,INDEX($F92:$N92,0,R$108),(INDEX($F92:$N92,0,R$110+1)-INDEX($F92:$N92,0,R$110))/(INDEX($F$4:$N$4,0,R$110+1)-INDEX($F$4:$N$4,0,R$110))+O111)))</f>
        <v>46.38666602024783</v>
      </c>
      <c r="S111" s="5" cm="1">
        <f t="array" ref="S111">IF(S$110=-1,T111,IF(S$110=99,P111,IF(S$110=0,INDEX($F92:$N92,0,S$108),(INDEX($F92:$N92,0,S$110+1)-INDEX($F92:$N92,0,S$110))/(INDEX($F$4:$N$4,0,S$110+1)-INDEX($F$4:$N$4,0,S$110))+P111)))</f>
        <v>49.122602511704166</v>
      </c>
      <c r="T111" s="5" cm="1">
        <f t="array" ref="T111">IF(T$110=-1,U111,IF(T$110=99,S111,IF(T$110=0,INDEX($F92:$N92,0,T$108),(INDEX($F92:$N92,0,T$110+1)-INDEX($F92:$N92,0,T$110))/(INDEX($F$4:$N$4,0,T$110+1)-INDEX($F$4:$N$4,0,T$110))+S111)))</f>
        <v>51.053478515716584</v>
      </c>
      <c r="U111" s="5" cm="1">
        <f t="array" ref="U111">IF(U$110=-1,V111,IF(U$110=99,T111,IF(U$110=0,INDEX($F92:$N92,0,U$108),(INDEX($F92:$N92,0,U$110+1)-INDEX($F92:$N92,0,U$110))/(INDEX($F$4:$N$4,0,U$110+1)-INDEX($F$4:$N$4,0,U$110))+T111)))</f>
        <v>52.984354519729003</v>
      </c>
      <c r="V111" s="5" cm="1">
        <f t="array" ref="V111">IF(V$110=-1,W111,IF(V$110=99,U111,IF(V$110=0,INDEX($F92:$N92,0,V$108),(INDEX($F92:$N92,0,V$110+1)-INDEX($F92:$N92,0,V$110))/(INDEX($F$4:$N$4,0,V$110+1)-INDEX($F$4:$N$4,0,V$110))+U111)))</f>
        <v>54.915230523741421</v>
      </c>
      <c r="W111" s="5" cm="1">
        <f t="array" ref="W111">IF(W$110=-1,X111,IF(W$110=99,V111,IF(W$110=0,INDEX($F92:$N92,0,W$108),(INDEX($F92:$N92,0,W$110+1)-INDEX($F92:$N92,0,W$110))/(INDEX($F$4:$N$4,0,W$110+1)-INDEX($F$4:$N$4,0,W$110))+V111)))</f>
        <v>56.84610652775384</v>
      </c>
      <c r="X111" s="5" cm="1">
        <f t="array" ref="X111">IF(X$110=-1,Y111,IF(X$110=99,W111,IF(X$110=0,INDEX($F92:$N92,0,X$108),(INDEX($F92:$N92,0,X$110+1)-INDEX($F92:$N92,0,X$110))/(INDEX($F$4:$N$4,0,X$110+1)-INDEX($F$4:$N$4,0,X$110))+W111)))</f>
        <v>58.776982531766258</v>
      </c>
      <c r="Y111" s="5" cm="1">
        <f t="array" ref="Y111">IF(Y$110=-1,Z111,IF(Y$110=99,X111,IF(Y$110=0,INDEX($F92:$N92,0,Y$108),(INDEX($F92:$N92,0,Y$110+1)-INDEX($F92:$N92,0,Y$110))/(INDEX($F$4:$N$4,0,Y$110+1)-INDEX($F$4:$N$4,0,Y$110))+X111)))</f>
        <v>60.707858535778676</v>
      </c>
      <c r="Z111" s="5" cm="1">
        <f t="array" ref="Z111">IF(Z$110=-1,AC111,IF(Z$110=99,Y111,IF(Z$110=0,INDEX($F92:$N92,0,Z$108),(INDEX($F92:$N92,0,Z$110+1)-INDEX($F92:$N92,0,Z$110))/(INDEX($F$4:$N$4,0,Z$110+1)-INDEX($F$4:$N$4,0,Z$110))+Y111)))</f>
        <v>62.638734539791095</v>
      </c>
      <c r="AA111" s="5" cm="1">
        <f t="array" ref="AA111">IF(AA$110=-1,AB111,IF(AA$110=99,X111,IF(AA$110=0,INDEX($F92:$N92,0,AA$108),(INDEX($F92:$N92,0,AA$110+1)-INDEX($F92:$N92,0,AA$110))/(INDEX($F$4:$N$4,0,AA$110+1)-INDEX($F$4:$N$4,0,AA$110))+X111)))</f>
        <v>60.707858535778676</v>
      </c>
      <c r="AB111" s="5" cm="1">
        <f t="array" ref="AB111">IF(AB$110=-1,AC111,IF(AB$110=99,Y111,IF(AB$110=0,INDEX($F92:$N92,0,AB$108),(INDEX($F92:$N92,0,AB$110+1)-INDEX($F92:$N92,0,AB$110))/(INDEX($F$4:$N$4,0,AB$110+1)-INDEX($F$4:$N$4,0,AB$110))+Y111)))</f>
        <v>62.638734539791095</v>
      </c>
      <c r="AC111" s="5" cm="1">
        <f t="array" ref="AC111">IF(AC$110=-1,AD111,IF(AC$110=99,Z111,IF(AC$110=0,INDEX($F92:$N92,0,AC$108),(INDEX($F92:$N92,0,AC$110+1)-INDEX($F92:$N92,0,AC$110))/(INDEX($F$4:$N$4,0,AC$110+1)-INDEX($F$4:$N$4,0,AC$110))+Z111)))</f>
        <v>64.569610543803506</v>
      </c>
      <c r="AD111" s="5" cm="1">
        <f t="array" ref="AD111">IF(AD$110=-1,AE111,IF(AD$110=99,AC111,IF(AD$110=0,INDEX($F92:$N92,0,AD$108),(INDEX($F92:$N92,0,AD$110+1)-INDEX($F92:$N92,0,AD$110))/(INDEX($F$4:$N$4,0,AD$110+1)-INDEX($F$4:$N$4,0,AD$110))+AC111)))</f>
        <v>66.500486547815925</v>
      </c>
      <c r="AE111" s="5" cm="1">
        <f t="array" ref="AE111">IF(AE$110=-1,AF111,IF(AE$110=99,AD111,IF(AE$110=0,INDEX($F92:$N92,0,AE$108),(INDEX($F92:$N92,0,AE$110+1)-INDEX($F92:$N92,0,AE$110))/(INDEX($F$4:$N$4,0,AE$110+1)-INDEX($F$4:$N$4,0,AE$110))+AD111)))</f>
        <v>69.036794130826422</v>
      </c>
      <c r="AF111" s="5" cm="1">
        <f t="array" ref="AF111">IF(AF$110=-1,AG111,IF(AF$110=99,AE111,IF(AF$110=0,INDEX($F92:$N92,0,AF$108),(INDEX($F92:$N92,0,AF$110+1)-INDEX($F92:$N92,0,AF$110))/(INDEX($F$4:$N$4,0,AF$110+1)-INDEX($F$4:$N$4,0,AF$110))+AE111)))</f>
        <v>71.57310171383692</v>
      </c>
      <c r="AG111" s="5" cm="1">
        <f t="array" ref="AG111">IF(AG$110=-1,AH111,IF(AG$110=99,AF111,IF(AG$110=0,INDEX($F92:$N92,0,AG$108),(INDEX($F92:$N92,0,AG$110+1)-INDEX($F92:$N92,0,AG$110))/(INDEX($F$4:$N$4,0,AG$110+1)-INDEX($F$4:$N$4,0,AG$110))+AF111)))</f>
        <v>74.109409296847417</v>
      </c>
      <c r="AH111" s="5" cm="1">
        <f t="array" ref="AH111">IF(AH$110=-1,AI111,IF(AH$110=99,AG111,IF(AH$110=0,INDEX($F92:$N92,0,AH$108),(INDEX($F92:$N92,0,AH$110+1)-INDEX($F92:$N92,0,AH$110))/(INDEX($F$4:$N$4,0,AH$110+1)-INDEX($F$4:$N$4,0,AH$110))+AG111)))</f>
        <v>76.645716879857915</v>
      </c>
      <c r="AI111" s="5" cm="1">
        <f t="array" ref="AI111">IF(AI$110=-1,AJ111,IF(AI$110=99,AH111,IF(AI$110=0,INDEX($F92:$N92,0,AI$108),(INDEX($F92:$N92,0,AI$110+1)-INDEX($F92:$N92,0,AI$110))/(INDEX($F$4:$N$4,0,AI$110+1)-INDEX($F$4:$N$4,0,AI$110))+AH111)))</f>
        <v>79.182024462868412</v>
      </c>
      <c r="AJ111" s="5" cm="1">
        <f t="array" ref="AJ111">IF(AJ$110=-1,AK111,IF(AJ$110=99,AI111,IF(AJ$110=0,INDEX($F92:$N92,0,AJ$108),(INDEX($F92:$N92,0,AJ$110+1)-INDEX($F92:$N92,0,AJ$110))/(INDEX($F$4:$N$4,0,AJ$110+1)-INDEX($F$4:$N$4,0,AJ$110))+AI111)))</f>
        <v>81.71833204587891</v>
      </c>
      <c r="AK111" s="5" cm="1">
        <f t="array" ref="AK111">IF(AK$110=-1,AL111,IF(AK$110=99,AJ111,IF(AK$110=0,INDEX($F92:$N92,0,AK$108),(INDEX($F92:$N92,0,AK$110+1)-INDEX($F92:$N92,0,AK$110))/(INDEX($F$4:$N$4,0,AK$110+1)-INDEX($F$4:$N$4,0,AK$110))+AJ111)))</f>
        <v>84.254639628889407</v>
      </c>
      <c r="AL111" s="5" cm="1">
        <f t="array" ref="AL111">IF(AL$110=-1,AM111,IF(AL$110=99,AK111,IF(AL$110=0,INDEX($F92:$N92,0,AL$108),(INDEX($F92:$N92,0,AL$110+1)-INDEX($F92:$N92,0,AL$110))/(INDEX($F$4:$N$4,0,AL$110+1)-INDEX($F$4:$N$4,0,AL$110))+AK111)))</f>
        <v>86.790947211899905</v>
      </c>
      <c r="AM111" s="5" cm="1">
        <f t="array" ref="AM111">IF(AM$110=-1,AN111,IF(AM$110=99,AL111,IF(AM$110=0,INDEX($F92:$N92,0,AM$108),(INDEX($F92:$N92,0,AM$110+1)-INDEX($F92:$N92,0,AM$110))/(INDEX($F$4:$N$4,0,AM$110+1)-INDEX($F$4:$N$4,0,AM$110))+AL111)))</f>
        <v>89.327254794910402</v>
      </c>
      <c r="AN111" s="5" cm="1">
        <f t="array" ref="AN111">IF(AN$110=-1,AO111,IF(AN$110=99,AM111,IF(AN$110=0,INDEX($F92:$N92,0,AN$108),(INDEX($F92:$N92,0,AN$110+1)-INDEX($F92:$N92,0,AN$110))/(INDEX($F$4:$N$4,0,AN$110+1)-INDEX($F$4:$N$4,0,AN$110))+AM111)))</f>
        <v>91.863562377920857</v>
      </c>
      <c r="AO111" s="5" cm="1">
        <f t="array" ref="AO111">IF(AO$110=-1,AP111,IF(AO$110=99,AN111,IF(AO$110=0,INDEX($F92:$N92,0,AO$108),(INDEX($F92:$N92,0,AO$110+1)-INDEX($F92:$N92,0,AO$110))/(INDEX($F$4:$N$4,0,AO$110+1)-INDEX($F$4:$N$4,0,AO$110))+AN111)))</f>
        <v>94.195649325037778</v>
      </c>
      <c r="AP111" s="5" cm="1">
        <f t="array" ref="AP111">IF(AP$110=-1,AQ111,IF(AP$110=99,AO111,IF(AP$110=0,INDEX($F92:$N92,0,AP$108),(INDEX($F92:$N92,0,AP$110+1)-INDEX($F92:$N92,0,AP$110))/(INDEX($F$4:$N$4,0,AP$110+1)-INDEX($F$4:$N$4,0,AP$110))+AO111)))</f>
        <v>96.527736272154698</v>
      </c>
      <c r="AQ111" s="5" cm="1">
        <f t="array" ref="AQ111">IF(AQ$110=-1,AR111,IF(AQ$110=99,AP111,IF(AQ$110=0,INDEX($F92:$N92,0,AQ$108),(INDEX($F92:$N92,0,AQ$110+1)-INDEX($F92:$N92,0,AQ$110))/(INDEX($F$4:$N$4,0,AQ$110+1)-INDEX($F$4:$N$4,0,AQ$110))+AP111)))</f>
        <v>98.859823219271618</v>
      </c>
      <c r="AR111" s="5" cm="1">
        <f t="array" ref="AR111">IF(AR$110=-1,AS111,IF(AR$110=99,AQ111,IF(AR$110=0,INDEX($F92:$N92,0,AR$108),(INDEX($F92:$N92,0,AR$110+1)-INDEX($F92:$N92,0,AR$110))/(INDEX($F$4:$N$4,0,AR$110+1)-INDEX($F$4:$N$4,0,AR$110))+AQ111)))</f>
        <v>101.19191016638854</v>
      </c>
      <c r="AS111" s="5" cm="1">
        <f t="array" ref="AS111">IF(AS$110=-1,AT111,IF(AS$110=99,AR111,IF(AS$110=0,INDEX($F92:$N92,0,AS$108),(INDEX($F92:$N92,0,AS$110+1)-INDEX($F92:$N92,0,AS$110))/(INDEX($F$4:$N$4,0,AS$110+1)-INDEX($F$4:$N$4,0,AS$110))+AR111)))</f>
        <v>103.52399711350546</v>
      </c>
      <c r="AT111" s="5" cm="1">
        <f t="array" ref="AT111">IF(AT$110=-1,AU111,IF(AT$110=99,AS111,IF(AT$110=0,INDEX($F92:$N92,0,AT$108),(INDEX($F92:$N92,0,AT$110+1)-INDEX($F92:$N92,0,AT$110))/(INDEX($F$4:$N$4,0,AT$110+1)-INDEX($F$4:$N$4,0,AT$110))+AS111)))</f>
        <v>105.85608406062238</v>
      </c>
      <c r="AU111" s="5" cm="1">
        <f t="array" ref="AU111">IF(AU$110=-1,AV111,IF(AU$110=99,AT111,IF(AU$110=0,INDEX($F92:$N92,0,AU$108),(INDEX($F92:$N92,0,AU$110+1)-INDEX($F92:$N92,0,AU$110))/(INDEX($F$4:$N$4,0,AU$110+1)-INDEX($F$4:$N$4,0,AU$110))+AT111)))</f>
        <v>108.1881710077393</v>
      </c>
      <c r="AV111" s="5" cm="1">
        <f t="array" ref="AV111">IF(AV$110=-1,AW111,IF(AV$110=99,AU111,IF(AV$110=0,INDEX($F92:$N92,0,AV$108),(INDEX($F92:$N92,0,AV$110+1)-INDEX($F92:$N92,0,AV$110))/(INDEX($F$4:$N$4,0,AV$110+1)-INDEX($F$4:$N$4,0,AV$110))+AU111)))</f>
        <v>110.52025795485622</v>
      </c>
      <c r="AW111" s="5" cm="1">
        <f t="array" ref="AW111">IF(AW$110=-1,AX111,IF(AW$110=99,AV111,IF(AW$110=0,INDEX($F92:$N92,0,AW$108),(INDEX($F92:$N92,0,AW$110+1)-INDEX($F92:$N92,0,AW$110))/(INDEX($F$4:$N$4,0,AW$110+1)-INDEX($F$4:$N$4,0,AW$110))+AV111)))</f>
        <v>112.85234490197314</v>
      </c>
      <c r="AX111" s="5" cm="1">
        <f t="array" ref="AX111">IF(AX$110=-1,AY111,IF(AX$110=99,AW111,IF(AX$110=0,INDEX($F92:$N92,0,AX$108),(INDEX($F92:$N92,0,AX$110+1)-INDEX($F92:$N92,0,AX$110))/(INDEX($F$4:$N$4,0,AX$110+1)-INDEX($F$4:$N$4,0,AX$110))+AW111)))</f>
        <v>115.18443184909002</v>
      </c>
      <c r="AY111" s="5" cm="1">
        <f t="array" ref="AY111">IF(AY$110=-1,AZ111,IF(AY$110=99,AX111,IF(AY$110=0,INDEX($F92:$N92,0,AY$108),(INDEX($F92:$N92,0,AY$110+1)-INDEX($F92:$N92,0,AY$110))/(INDEX($F$4:$N$4,0,AY$110+1)-INDEX($F$4:$N$4,0,AY$110))+AX111)))</f>
        <v>138.87434908340714</v>
      </c>
      <c r="AZ111" s="5" cm="1">
        <f t="array" ref="AZ111">IF(AZ$110=-1,BA111,IF(AZ$110=99,AY111,IF(AZ$110=0,INDEX($F92:$N92,0,AZ$108),(INDEX($F92:$N92,0,AZ$110+1)-INDEX($F92:$N92,0,AZ$110))/(INDEX($F$4:$N$4,0,AZ$110+1)-INDEX($F$4:$N$4,0,AZ$110))+AY111)))</f>
        <v>149.18753233213039</v>
      </c>
    </row>
    <row r="112" spans="1:77">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3.9360166491438862</v>
      </c>
      <c r="O112" s="5" cm="1">
        <f t="array" ref="O112">IF(O$110=-1,P112,IF(O$110=99,N112,IF(O$110=0,INDEX($F93:$N93,0,O$108),(INDEX($F93:$N93,0,O$110+1)-INDEX($F93:$N93,0,O$110))/(INDEX($F$4:$N$4,0,O$110+1)-INDEX($F$4:$N$4,0,O$110))+N112)))</f>
        <v>4.2205549275424925</v>
      </c>
      <c r="P112" s="5" cm="1">
        <f t="array" ref="P112">IF(P$110=-1,S112,IF(P$110=99,O112,IF(P$110=0,INDEX($F93:$N93,0,P$108),(INDEX($F93:$N93,0,P$110+1)-INDEX($F93:$N93,0,P$110))/(INDEX($F$4:$N$4,0,P$110+1)-INDEX($F$4:$N$4,0,P$110))+O112)))</f>
        <v>4.0637011052209129</v>
      </c>
      <c r="Q112" s="5" cm="1">
        <f t="array" ref="Q112">IF(Q$110=-1,R112,IF(Q$110=99,N112,IF(Q$110=0,INDEX($F93:$N93,0,Q$108),(INDEX($F93:$N93,0,Q$110+1)-INDEX($F93:$N93,0,Q$110))/(INDEX($F$4:$N$4,0,Q$110+1)-INDEX($F$4:$N$4,0,Q$110))+N112)))</f>
        <v>4.2205549275424925</v>
      </c>
      <c r="R112" s="5" cm="1">
        <f t="array" ref="R112">IF(R$110=-1,S112,IF(R$110=99,O112,IF(R$110=0,INDEX($F93:$N93,0,R$108),(INDEX($F93:$N93,0,R$110+1)-INDEX($F93:$N93,0,R$110))/(INDEX($F$4:$N$4,0,R$110+1)-INDEX($F$4:$N$4,0,R$110))+O112)))</f>
        <v>4.0637011052209129</v>
      </c>
      <c r="S112" s="5" cm="1">
        <f t="array" ref="S112">IF(S$110=-1,T112,IF(S$110=99,P112,IF(S$110=0,INDEX($F93:$N93,0,S$108),(INDEX($F93:$N93,0,S$110+1)-INDEX($F93:$N93,0,S$110))/(INDEX($F$4:$N$4,0,S$110+1)-INDEX($F$4:$N$4,0,S$110))+P112)))</f>
        <v>4.3033826580898404</v>
      </c>
      <c r="T112" s="5" cm="1">
        <f t="array" ref="T112">IF(T$110=-1,U112,IF(T$110=99,S112,IF(T$110=0,INDEX($F93:$N93,0,T$108),(INDEX($F93:$N93,0,T$110+1)-INDEX($F93:$N93,0,T$110))/(INDEX($F$4:$N$4,0,T$110+1)-INDEX($F$4:$N$4,0,T$110))+S112)))</f>
        <v>4.4725369350565183</v>
      </c>
      <c r="U112" s="5" cm="1">
        <f t="array" ref="U112">IF(U$110=-1,V112,IF(U$110=99,T112,IF(U$110=0,INDEX($F93:$N93,0,U$108),(INDEX($F93:$N93,0,U$110+1)-INDEX($F93:$N93,0,U$110))/(INDEX($F$4:$N$4,0,U$110+1)-INDEX($F$4:$N$4,0,U$110))+T112)))</f>
        <v>4.6416912120231961</v>
      </c>
      <c r="V112" s="5" cm="1">
        <f t="array" ref="V112">IF(V$110=-1,W112,IF(V$110=99,U112,IF(V$110=0,INDEX($F93:$N93,0,V$108),(INDEX($F93:$N93,0,V$110+1)-INDEX($F93:$N93,0,V$110))/(INDEX($F$4:$N$4,0,V$110+1)-INDEX($F$4:$N$4,0,V$110))+U112)))</f>
        <v>4.810845488989874</v>
      </c>
      <c r="W112" s="5" cm="1">
        <f t="array" ref="W112">IF(W$110=-1,X112,IF(W$110=99,V112,IF(W$110=0,INDEX($F93:$N93,0,W$108),(INDEX($F93:$N93,0,W$110+1)-INDEX($F93:$N93,0,W$110))/(INDEX($F$4:$N$4,0,W$110+1)-INDEX($F$4:$N$4,0,W$110))+V112)))</f>
        <v>4.9799997659565518</v>
      </c>
      <c r="X112" s="5" cm="1">
        <f t="array" ref="X112">IF(X$110=-1,Y112,IF(X$110=99,W112,IF(X$110=0,INDEX($F93:$N93,0,X$108),(INDEX($F93:$N93,0,X$110+1)-INDEX($F93:$N93,0,X$110))/(INDEX($F$4:$N$4,0,X$110+1)-INDEX($F$4:$N$4,0,X$110))+W112)))</f>
        <v>5.1491540429232296</v>
      </c>
      <c r="Y112" s="5" cm="1">
        <f t="array" ref="Y112">IF(Y$110=-1,Z112,IF(Y$110=99,X112,IF(Y$110=0,INDEX($F93:$N93,0,Y$108),(INDEX($F93:$N93,0,Y$110+1)-INDEX($F93:$N93,0,Y$110))/(INDEX($F$4:$N$4,0,Y$110+1)-INDEX($F$4:$N$4,0,Y$110))+X112)))</f>
        <v>5.3183083198899075</v>
      </c>
      <c r="Z112" s="5" cm="1">
        <f t="array" ref="Z112">IF(Z$110=-1,AC112,IF(Z$110=99,Y112,IF(Z$110=0,INDEX($F93:$N93,0,Z$108),(INDEX($F93:$N93,0,Z$110+1)-INDEX($F93:$N93,0,Z$110))/(INDEX($F$4:$N$4,0,Z$110+1)-INDEX($F$4:$N$4,0,Z$110))+Y112)))</f>
        <v>5.4874625968565853</v>
      </c>
      <c r="AA112" s="5" cm="1">
        <f t="array" ref="AA112">IF(AA$110=-1,AB112,IF(AA$110=99,X112,IF(AA$110=0,INDEX($F93:$N93,0,AA$108),(INDEX($F93:$N93,0,AA$110+1)-INDEX($F93:$N93,0,AA$110))/(INDEX($F$4:$N$4,0,AA$110+1)-INDEX($F$4:$N$4,0,AA$110))+X112)))</f>
        <v>5.3183083198899075</v>
      </c>
      <c r="AB112" s="5" cm="1">
        <f t="array" ref="AB112">IF(AB$110=-1,AC112,IF(AB$110=99,Y112,IF(AB$110=0,INDEX($F93:$N93,0,AB$108),(INDEX($F93:$N93,0,AB$110+1)-INDEX($F93:$N93,0,AB$110))/(INDEX($F$4:$N$4,0,AB$110+1)-INDEX($F$4:$N$4,0,AB$110))+Y112)))</f>
        <v>5.4874625968565853</v>
      </c>
      <c r="AC112" s="5" cm="1">
        <f t="array" ref="AC112">IF(AC$110=-1,AD112,IF(AC$110=99,Z112,IF(AC$110=0,INDEX($F93:$N93,0,AC$108),(INDEX($F93:$N93,0,AC$110+1)-INDEX($F93:$N93,0,AC$110))/(INDEX($F$4:$N$4,0,AC$110+1)-INDEX($F$4:$N$4,0,AC$110))+Z112)))</f>
        <v>5.6566168738232632</v>
      </c>
      <c r="AD112" s="5" cm="1">
        <f t="array" ref="AD112">IF(AD$110=-1,AE112,IF(AD$110=99,AC112,IF(AD$110=0,INDEX($F93:$N93,0,AD$108),(INDEX($F93:$N93,0,AD$110+1)-INDEX($F93:$N93,0,AD$110))/(INDEX($F$4:$N$4,0,AD$110+1)-INDEX($F$4:$N$4,0,AD$110))+AC112)))</f>
        <v>5.8257711507899437</v>
      </c>
      <c r="AE112" s="5" cm="1">
        <f t="array" ref="AE112">IF(AE$110=-1,AF112,IF(AE$110=99,AD112,IF(AE$110=0,INDEX($F93:$N93,0,AE$108),(INDEX($F93:$N93,0,AE$110+1)-INDEX($F93:$N93,0,AE$110))/(INDEX($F$4:$N$4,0,AE$110+1)-INDEX($F$4:$N$4,0,AE$110))+AD112)))</f>
        <v>5.9694991316000765</v>
      </c>
      <c r="AF112" s="5" cm="1">
        <f t="array" ref="AF112">IF(AF$110=-1,AG112,IF(AF$110=99,AE112,IF(AF$110=0,INDEX($F93:$N93,0,AF$108),(INDEX($F93:$N93,0,AF$110+1)-INDEX($F93:$N93,0,AF$110))/(INDEX($F$4:$N$4,0,AF$110+1)-INDEX($F$4:$N$4,0,AF$110))+AE112)))</f>
        <v>6.1132271124102093</v>
      </c>
      <c r="AG112" s="5" cm="1">
        <f t="array" ref="AG112">IF(AG$110=-1,AH112,IF(AG$110=99,AF112,IF(AG$110=0,INDEX($F93:$N93,0,AG$108),(INDEX($F93:$N93,0,AG$110+1)-INDEX($F93:$N93,0,AG$110))/(INDEX($F$4:$N$4,0,AG$110+1)-INDEX($F$4:$N$4,0,AG$110))+AF112)))</f>
        <v>6.2569550932203422</v>
      </c>
      <c r="AH112" s="5" cm="1">
        <f t="array" ref="AH112">IF(AH$110=-1,AI112,IF(AH$110=99,AG112,IF(AH$110=0,INDEX($F93:$N93,0,AH$108),(INDEX($F93:$N93,0,AH$110+1)-INDEX($F93:$N93,0,AH$110))/(INDEX($F$4:$N$4,0,AH$110+1)-INDEX($F$4:$N$4,0,AH$110))+AG112)))</f>
        <v>6.400683074030475</v>
      </c>
      <c r="AI112" s="5" cm="1">
        <f t="array" ref="AI112">IF(AI$110=-1,AJ112,IF(AI$110=99,AH112,IF(AI$110=0,INDEX($F93:$N93,0,AI$108),(INDEX($F93:$N93,0,AI$110+1)-INDEX($F93:$N93,0,AI$110))/(INDEX($F$4:$N$4,0,AI$110+1)-INDEX($F$4:$N$4,0,AI$110))+AH112)))</f>
        <v>6.5444110548406078</v>
      </c>
      <c r="AJ112" s="5" cm="1">
        <f t="array" ref="AJ112">IF(AJ$110=-1,AK112,IF(AJ$110=99,AI112,IF(AJ$110=0,INDEX($F93:$N93,0,AJ$108),(INDEX($F93:$N93,0,AJ$110+1)-INDEX($F93:$N93,0,AJ$110))/(INDEX($F$4:$N$4,0,AJ$110+1)-INDEX($F$4:$N$4,0,AJ$110))+AI112)))</f>
        <v>6.6881390356507406</v>
      </c>
      <c r="AK112" s="5" cm="1">
        <f t="array" ref="AK112">IF(AK$110=-1,AL112,IF(AK$110=99,AJ112,IF(AK$110=0,INDEX($F93:$N93,0,AK$108),(INDEX($F93:$N93,0,AK$110+1)-INDEX($F93:$N93,0,AK$110))/(INDEX($F$4:$N$4,0,AK$110+1)-INDEX($F$4:$N$4,0,AK$110))+AJ112)))</f>
        <v>6.8318670164608735</v>
      </c>
      <c r="AL112" s="5" cm="1">
        <f t="array" ref="AL112">IF(AL$110=-1,AM112,IF(AL$110=99,AK112,IF(AL$110=0,INDEX($F93:$N93,0,AL$108),(INDEX($F93:$N93,0,AL$110+1)-INDEX($F93:$N93,0,AL$110))/(INDEX($F$4:$N$4,0,AL$110+1)-INDEX($F$4:$N$4,0,AL$110))+AK112)))</f>
        <v>6.9755949972710063</v>
      </c>
      <c r="AM112" s="5" cm="1">
        <f t="array" ref="AM112">IF(AM$110=-1,AN112,IF(AM$110=99,AL112,IF(AM$110=0,INDEX($F93:$N93,0,AM$108),(INDEX($F93:$N93,0,AM$110+1)-INDEX($F93:$N93,0,AM$110))/(INDEX($F$4:$N$4,0,AM$110+1)-INDEX($F$4:$N$4,0,AM$110))+AL112)))</f>
        <v>7.1193229780811391</v>
      </c>
      <c r="AN112" s="5" cm="1">
        <f t="array" ref="AN112">IF(AN$110=-1,AO112,IF(AN$110=99,AM112,IF(AN$110=0,INDEX($F93:$N93,0,AN$108),(INDEX($F93:$N93,0,AN$110+1)-INDEX($F93:$N93,0,AN$110))/(INDEX($F$4:$N$4,0,AN$110+1)-INDEX($F$4:$N$4,0,AN$110))+AM112)))</f>
        <v>7.2630509588912719</v>
      </c>
      <c r="AO112" s="5" cm="1">
        <f t="array" ref="AO112">IF(AO$110=-1,AP112,IF(AO$110=99,AN112,IF(AO$110=0,INDEX($F93:$N93,0,AO$108),(INDEX($F93:$N93,0,AO$110+1)-INDEX($F93:$N93,0,AO$110))/(INDEX($F$4:$N$4,0,AO$110+1)-INDEX($F$4:$N$4,0,AO$110))+AN112)))</f>
        <v>7.4018994208532325</v>
      </c>
      <c r="AP112" s="5" cm="1">
        <f t="array" ref="AP112">IF(AP$110=-1,AQ112,IF(AP$110=99,AO112,IF(AP$110=0,INDEX($F93:$N93,0,AP$108),(INDEX($F93:$N93,0,AP$110+1)-INDEX($F93:$N93,0,AP$110))/(INDEX($F$4:$N$4,0,AP$110+1)-INDEX($F$4:$N$4,0,AP$110))+AO112)))</f>
        <v>7.540747882815193</v>
      </c>
      <c r="AQ112" s="5" cm="1">
        <f t="array" ref="AQ112">IF(AQ$110=-1,AR112,IF(AQ$110=99,AP112,IF(AQ$110=0,INDEX($F93:$N93,0,AQ$108),(INDEX($F93:$N93,0,AQ$110+1)-INDEX($F93:$N93,0,AQ$110))/(INDEX($F$4:$N$4,0,AQ$110+1)-INDEX($F$4:$N$4,0,AQ$110))+AP112)))</f>
        <v>7.6795963447771536</v>
      </c>
      <c r="AR112" s="5" cm="1">
        <f t="array" ref="AR112">IF(AR$110=-1,AS112,IF(AR$110=99,AQ112,IF(AR$110=0,INDEX($F93:$N93,0,AR$108),(INDEX($F93:$N93,0,AR$110+1)-INDEX($F93:$N93,0,AR$110))/(INDEX($F$4:$N$4,0,AR$110+1)-INDEX($F$4:$N$4,0,AR$110))+AQ112)))</f>
        <v>7.8184448067391141</v>
      </c>
      <c r="AS112" s="5" cm="1">
        <f t="array" ref="AS112">IF(AS$110=-1,AT112,IF(AS$110=99,AR112,IF(AS$110=0,INDEX($F93:$N93,0,AS$108),(INDEX($F93:$N93,0,AS$110+1)-INDEX($F93:$N93,0,AS$110))/(INDEX($F$4:$N$4,0,AS$110+1)-INDEX($F$4:$N$4,0,AS$110))+AR112)))</f>
        <v>7.9572932687010747</v>
      </c>
      <c r="AT112" s="5" cm="1">
        <f t="array" ref="AT112">IF(AT$110=-1,AU112,IF(AT$110=99,AS112,IF(AT$110=0,INDEX($F93:$N93,0,AT$108),(INDEX($F93:$N93,0,AT$110+1)-INDEX($F93:$N93,0,AT$110))/(INDEX($F$4:$N$4,0,AT$110+1)-INDEX($F$4:$N$4,0,AT$110))+AS112)))</f>
        <v>8.0961417306630352</v>
      </c>
      <c r="AU112" s="5" cm="1">
        <f t="array" ref="AU112">IF(AU$110=-1,AV112,IF(AU$110=99,AT112,IF(AU$110=0,INDEX($F93:$N93,0,AU$108),(INDEX($F93:$N93,0,AU$110+1)-INDEX($F93:$N93,0,AU$110))/(INDEX($F$4:$N$4,0,AU$110+1)-INDEX($F$4:$N$4,0,AU$110))+AT112)))</f>
        <v>8.2349901926249949</v>
      </c>
      <c r="AV112" s="5" cm="1">
        <f t="array" ref="AV112">IF(AV$110=-1,AW112,IF(AV$110=99,AU112,IF(AV$110=0,INDEX($F93:$N93,0,AV$108),(INDEX($F93:$N93,0,AV$110+1)-INDEX($F93:$N93,0,AV$110))/(INDEX($F$4:$N$4,0,AV$110+1)-INDEX($F$4:$N$4,0,AV$110))+AU112)))</f>
        <v>8.3738386545869545</v>
      </c>
      <c r="AW112" s="5" cm="1">
        <f t="array" ref="AW112">IF(AW$110=-1,AX112,IF(AW$110=99,AV112,IF(AW$110=0,INDEX($F93:$N93,0,AW$108),(INDEX($F93:$N93,0,AW$110+1)-INDEX($F93:$N93,0,AW$110))/(INDEX($F$4:$N$4,0,AW$110+1)-INDEX($F$4:$N$4,0,AW$110))+AV112)))</f>
        <v>8.5126871165489142</v>
      </c>
      <c r="AX112" s="5" cm="1">
        <f t="array" ref="AX112">IF(AX$110=-1,AY112,IF(AX$110=99,AW112,IF(AX$110=0,INDEX($F93:$N93,0,AX$108),(INDEX($F93:$N93,0,AX$110+1)-INDEX($F93:$N93,0,AX$110))/(INDEX($F$4:$N$4,0,AX$110+1)-INDEX($F$4:$N$4,0,AX$110))+AW112)))</f>
        <v>8.6515355785108756</v>
      </c>
      <c r="AY112" s="5" cm="1">
        <f t="array" ref="AY112">IF(AY$110=-1,AZ112,IF(AY$110=99,AX112,IF(AY$110=0,INDEX($F93:$N93,0,AY$108),(INDEX($F93:$N93,0,AY$110+1)-INDEX($F93:$N93,0,AY$110))/(INDEX($F$4:$N$4,0,AY$110+1)-INDEX($F$4:$N$4,0,AY$110))+AX112)))</f>
        <v>9.909347427534076</v>
      </c>
      <c r="AZ112" s="5" cm="1">
        <f t="array" ref="AZ112">IF(AZ$110=-1,BA112,IF(AZ$110=99,AY112,IF(AZ$110=0,INDEX($F93:$N93,0,AZ$108),(INDEX($F93:$N93,0,AZ$110+1)-INDEX($F93:$N93,0,AZ$110))/(INDEX($F$4:$N$4,0,AZ$110+1)-INDEX($F$4:$N$4,0,AZ$110))+AY112)))</f>
        <v>10.112980147293296</v>
      </c>
    </row>
    <row r="113" spans="1:52">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1.009261767493451</v>
      </c>
      <c r="O113" s="5" cm="1">
        <f t="array" ref="O113">IF(O$110=-1,P113,IF(O$110=99,N113,IF(O$110=0,INDEX($F94:$N94,0,O$108),(INDEX($F94:$N94,0,O$110+1)-INDEX($F94:$N94,0,O$110))/(INDEX($F$4:$N$4,0,O$110+1)-INDEX($F$4:$N$4,0,O$110))+N113)))</f>
        <v>1.0155043204894318</v>
      </c>
      <c r="P113" s="5" cm="1">
        <f t="array" ref="P113">IF(P$110=-1,S113,IF(P$110=99,O113,IF(P$110=0,INDEX($F94:$N94,0,P$108),(INDEX($F94:$N94,0,P$110+1)-INDEX($F94:$N94,0,P$110))/(INDEX($F$4:$N$4,0,P$110+1)-INDEX($F$4:$N$4,0,P$110))+O113)))</f>
        <v>0.97776384868242405</v>
      </c>
      <c r="Q113" s="5" cm="1">
        <f t="array" ref="Q113">IF(Q$110=-1,R113,IF(Q$110=99,N113,IF(Q$110=0,INDEX($F94:$N94,0,Q$108),(INDEX($F94:$N94,0,Q$110+1)-INDEX($F94:$N94,0,Q$110))/(INDEX($F$4:$N$4,0,Q$110+1)-INDEX($F$4:$N$4,0,Q$110))+N113)))</f>
        <v>1.0155043204894318</v>
      </c>
      <c r="R113" s="5" cm="1">
        <f t="array" ref="R113">IF(R$110=-1,S113,IF(R$110=99,O113,IF(R$110=0,INDEX($F94:$N94,0,R$108),(INDEX($F94:$N94,0,R$110+1)-INDEX($F94:$N94,0,R$110))/(INDEX($F$4:$N$4,0,R$110+1)-INDEX($F$4:$N$4,0,R$110))+O113)))</f>
        <v>0.97776384868242405</v>
      </c>
      <c r="S113" s="5" cm="1">
        <f t="array" ref="S113">IF(S$110=-1,T113,IF(S$110=99,P113,IF(S$110=0,INDEX($F94:$N94,0,S$108),(INDEX($F94:$N94,0,S$110+1)-INDEX($F94:$N94,0,S$110))/(INDEX($F$4:$N$4,0,S$110+1)-INDEX($F$4:$N$4,0,S$110))+P113)))</f>
        <v>1.0354334339996645</v>
      </c>
      <c r="T113" s="5" cm="1">
        <f t="array" ref="T113">IF(T$110=-1,U113,IF(T$110=99,S113,IF(T$110=0,INDEX($F94:$N94,0,T$108),(INDEX($F94:$N94,0,T$110+1)-INDEX($F94:$N94,0,T$110))/(INDEX($F$4:$N$4,0,T$110+1)-INDEX($F$4:$N$4,0,T$110))+S113)))</f>
        <v>1.0683460966069067</v>
      </c>
      <c r="U113" s="5" cm="1">
        <f t="array" ref="U113">IF(U$110=-1,V113,IF(U$110=99,T113,IF(U$110=0,INDEX($F94:$N94,0,U$108),(INDEX($F94:$N94,0,U$110+1)-INDEX($F94:$N94,0,U$110))/(INDEX($F$4:$N$4,0,U$110+1)-INDEX($F$4:$N$4,0,U$110))+T113)))</f>
        <v>1.101258759214149</v>
      </c>
      <c r="V113" s="5" cm="1">
        <f t="array" ref="V113">IF(V$110=-1,W113,IF(V$110=99,U113,IF(V$110=0,INDEX($F94:$N94,0,V$108),(INDEX($F94:$N94,0,V$110+1)-INDEX($F94:$N94,0,V$110))/(INDEX($F$4:$N$4,0,V$110+1)-INDEX($F$4:$N$4,0,V$110))+U113)))</f>
        <v>1.1341714218213912</v>
      </c>
      <c r="W113" s="5" cm="1">
        <f t="array" ref="W113">IF(W$110=-1,X113,IF(W$110=99,V113,IF(W$110=0,INDEX($F94:$N94,0,W$108),(INDEX($F94:$N94,0,W$110+1)-INDEX($F94:$N94,0,W$110))/(INDEX($F$4:$N$4,0,W$110+1)-INDEX($F$4:$N$4,0,W$110))+V113)))</f>
        <v>1.1670840844286334</v>
      </c>
      <c r="X113" s="5" cm="1">
        <f t="array" ref="X113">IF(X$110=-1,Y113,IF(X$110=99,W113,IF(X$110=0,INDEX($F94:$N94,0,X$108),(INDEX($F94:$N94,0,X$110+1)-INDEX($F94:$N94,0,X$110))/(INDEX($F$4:$N$4,0,X$110+1)-INDEX($F$4:$N$4,0,X$110))+W113)))</f>
        <v>1.1999967470358757</v>
      </c>
      <c r="Y113" s="5" cm="1">
        <f t="array" ref="Y113">IF(Y$110=-1,Z113,IF(Y$110=99,X113,IF(Y$110=0,INDEX($F94:$N94,0,Y$108),(INDEX($F94:$N94,0,Y$110+1)-INDEX($F94:$N94,0,Y$110))/(INDEX($F$4:$N$4,0,Y$110+1)-INDEX($F$4:$N$4,0,Y$110))+X113)))</f>
        <v>1.2329094096431179</v>
      </c>
      <c r="Z113" s="5" cm="1">
        <f t="array" ref="Z113">IF(Z$110=-1,AC113,IF(Z$110=99,Y113,IF(Z$110=0,INDEX($F94:$N94,0,Z$108),(INDEX($F94:$N94,0,Z$110+1)-INDEX($F94:$N94,0,Z$110))/(INDEX($F$4:$N$4,0,Z$110+1)-INDEX($F$4:$N$4,0,Z$110))+Y113)))</f>
        <v>1.2658220722503601</v>
      </c>
      <c r="AA113" s="5" cm="1">
        <f t="array" ref="AA113">IF(AA$110=-1,AB113,IF(AA$110=99,X113,IF(AA$110=0,INDEX($F94:$N94,0,AA$108),(INDEX($F94:$N94,0,AA$110+1)-INDEX($F94:$N94,0,AA$110))/(INDEX($F$4:$N$4,0,AA$110+1)-INDEX($F$4:$N$4,0,AA$110))+X113)))</f>
        <v>1.2329094096431179</v>
      </c>
      <c r="AB113" s="5" cm="1">
        <f t="array" ref="AB113">IF(AB$110=-1,AC113,IF(AB$110=99,Y113,IF(AB$110=0,INDEX($F94:$N94,0,AB$108),(INDEX($F94:$N94,0,AB$110+1)-INDEX($F94:$N94,0,AB$110))/(INDEX($F$4:$N$4,0,AB$110+1)-INDEX($F$4:$N$4,0,AB$110))+Y113)))</f>
        <v>1.2658220722503601</v>
      </c>
      <c r="AC113" s="5" cm="1">
        <f t="array" ref="AC113">IF(AC$110=-1,AD113,IF(AC$110=99,Z113,IF(AC$110=0,INDEX($F94:$N94,0,AC$108),(INDEX($F94:$N94,0,AC$110+1)-INDEX($F94:$N94,0,AC$110))/(INDEX($F$4:$N$4,0,AC$110+1)-INDEX($F$4:$N$4,0,AC$110))+Z113)))</f>
        <v>1.2987347348576024</v>
      </c>
      <c r="AD113" s="5" cm="1">
        <f t="array" ref="AD113">IF(AD$110=-1,AE113,IF(AD$110=99,AC113,IF(AD$110=0,INDEX($F94:$N94,0,AD$108),(INDEX($F94:$N94,0,AD$110+1)-INDEX($F94:$N94,0,AD$110))/(INDEX($F$4:$N$4,0,AD$110+1)-INDEX($F$4:$N$4,0,AD$110))+AC113)))</f>
        <v>1.331647397464844</v>
      </c>
      <c r="AE113" s="5" cm="1">
        <f t="array" ref="AE113">IF(AE$110=-1,AF113,IF(AE$110=99,AD113,IF(AE$110=0,INDEX($F94:$N94,0,AE$108),(INDEX($F94:$N94,0,AE$110+1)-INDEX($F94:$N94,0,AE$110))/(INDEX($F$4:$N$4,0,AE$110+1)-INDEX($F$4:$N$4,0,AE$110))+AD113)))</f>
        <v>1.3732383416346363</v>
      </c>
      <c r="AF113" s="5" cm="1">
        <f t="array" ref="AF113">IF(AF$110=-1,AG113,IF(AF$110=99,AE113,IF(AF$110=0,INDEX($F94:$N94,0,AF$108),(INDEX($F94:$N94,0,AF$110+1)-INDEX($F94:$N94,0,AF$110))/(INDEX($F$4:$N$4,0,AF$110+1)-INDEX($F$4:$N$4,0,AF$110))+AE113)))</f>
        <v>1.4148292858044287</v>
      </c>
      <c r="AG113" s="5" cm="1">
        <f t="array" ref="AG113">IF(AG$110=-1,AH113,IF(AG$110=99,AF113,IF(AG$110=0,INDEX($F94:$N94,0,AG$108),(INDEX($F94:$N94,0,AG$110+1)-INDEX($F94:$N94,0,AG$110))/(INDEX($F$4:$N$4,0,AG$110+1)-INDEX($F$4:$N$4,0,AG$110))+AF113)))</f>
        <v>1.456420229974221</v>
      </c>
      <c r="AH113" s="5" cm="1">
        <f t="array" ref="AH113">IF(AH$110=-1,AI113,IF(AH$110=99,AG113,IF(AH$110=0,INDEX($F94:$N94,0,AH$108),(INDEX($F94:$N94,0,AH$110+1)-INDEX($F94:$N94,0,AH$110))/(INDEX($F$4:$N$4,0,AH$110+1)-INDEX($F$4:$N$4,0,AH$110))+AG113)))</f>
        <v>1.4980111741440134</v>
      </c>
      <c r="AI113" s="5" cm="1">
        <f t="array" ref="AI113">IF(AI$110=-1,AJ113,IF(AI$110=99,AH113,IF(AI$110=0,INDEX($F94:$N94,0,AI$108),(INDEX($F94:$N94,0,AI$110+1)-INDEX($F94:$N94,0,AI$110))/(INDEX($F$4:$N$4,0,AI$110+1)-INDEX($F$4:$N$4,0,AI$110))+AH113)))</f>
        <v>1.5396021183138058</v>
      </c>
      <c r="AJ113" s="5" cm="1">
        <f t="array" ref="AJ113">IF(AJ$110=-1,AK113,IF(AJ$110=99,AI113,IF(AJ$110=0,INDEX($F94:$N94,0,AJ$108),(INDEX($F94:$N94,0,AJ$110+1)-INDEX($F94:$N94,0,AJ$110))/(INDEX($F$4:$N$4,0,AJ$110+1)-INDEX($F$4:$N$4,0,AJ$110))+AI113)))</f>
        <v>1.5811930624835981</v>
      </c>
      <c r="AK113" s="5" cm="1">
        <f t="array" ref="AK113">IF(AK$110=-1,AL113,IF(AK$110=99,AJ113,IF(AK$110=0,INDEX($F94:$N94,0,AK$108),(INDEX($F94:$N94,0,AK$110+1)-INDEX($F94:$N94,0,AK$110))/(INDEX($F$4:$N$4,0,AK$110+1)-INDEX($F$4:$N$4,0,AK$110))+AJ113)))</f>
        <v>1.6227840066533905</v>
      </c>
      <c r="AL113" s="5" cm="1">
        <f t="array" ref="AL113">IF(AL$110=-1,AM113,IF(AL$110=99,AK113,IF(AL$110=0,INDEX($F94:$N94,0,AL$108),(INDEX($F94:$N94,0,AL$110+1)-INDEX($F94:$N94,0,AL$110))/(INDEX($F$4:$N$4,0,AL$110+1)-INDEX($F$4:$N$4,0,AL$110))+AK113)))</f>
        <v>1.6643749508231829</v>
      </c>
      <c r="AM113" s="5" cm="1">
        <f t="array" ref="AM113">IF(AM$110=-1,AN113,IF(AM$110=99,AL113,IF(AM$110=0,INDEX($F94:$N94,0,AM$108),(INDEX($F94:$N94,0,AM$110+1)-INDEX($F94:$N94,0,AM$110))/(INDEX($F$4:$N$4,0,AM$110+1)-INDEX($F$4:$N$4,0,AM$110))+AL113)))</f>
        <v>1.7059658949929752</v>
      </c>
      <c r="AN113" s="5" cm="1">
        <f t="array" ref="AN113">IF(AN$110=-1,AO113,IF(AN$110=99,AM113,IF(AN$110=0,INDEX($F94:$N94,0,AN$108),(INDEX($F94:$N94,0,AN$110+1)-INDEX($F94:$N94,0,AN$110))/(INDEX($F$4:$N$4,0,AN$110+1)-INDEX($F$4:$N$4,0,AN$110))+AM113)))</f>
        <v>1.7475568391627665</v>
      </c>
      <c r="AO113" s="5" cm="1">
        <f t="array" ref="AO113">IF(AO$110=-1,AP113,IF(AO$110=99,AN113,IF(AO$110=0,INDEX($F94:$N94,0,AO$108),(INDEX($F94:$N94,0,AO$110+1)-INDEX($F94:$N94,0,AO$110))/(INDEX($F$4:$N$4,0,AO$110+1)-INDEX($F$4:$N$4,0,AO$110))+AN113)))</f>
        <v>1.7809650557211005</v>
      </c>
      <c r="AP113" s="5" cm="1">
        <f t="array" ref="AP113">IF(AP$110=-1,AQ113,IF(AP$110=99,AO113,IF(AP$110=0,INDEX($F94:$N94,0,AP$108),(INDEX($F94:$N94,0,AP$110+1)-INDEX($F94:$N94,0,AP$110))/(INDEX($F$4:$N$4,0,AP$110+1)-INDEX($F$4:$N$4,0,AP$110))+AO113)))</f>
        <v>1.8143732722794346</v>
      </c>
      <c r="AQ113" s="5" cm="1">
        <f t="array" ref="AQ113">IF(AQ$110=-1,AR113,IF(AQ$110=99,AP113,IF(AQ$110=0,INDEX($F94:$N94,0,AQ$108),(INDEX($F94:$N94,0,AQ$110+1)-INDEX($F94:$N94,0,AQ$110))/(INDEX($F$4:$N$4,0,AQ$110+1)-INDEX($F$4:$N$4,0,AQ$110))+AP113)))</f>
        <v>1.8477814888377686</v>
      </c>
      <c r="AR113" s="5" cm="1">
        <f t="array" ref="AR113">IF(AR$110=-1,AS113,IF(AR$110=99,AQ113,IF(AR$110=0,INDEX($F94:$N94,0,AR$108),(INDEX($F94:$N94,0,AR$110+1)-INDEX($F94:$N94,0,AR$110))/(INDEX($F$4:$N$4,0,AR$110+1)-INDEX($F$4:$N$4,0,AR$110))+AQ113)))</f>
        <v>1.8811897053961026</v>
      </c>
      <c r="AS113" s="5" cm="1">
        <f t="array" ref="AS113">IF(AS$110=-1,AT113,IF(AS$110=99,AR113,IF(AS$110=0,INDEX($F94:$N94,0,AS$108),(INDEX($F94:$N94,0,AS$110+1)-INDEX($F94:$N94,0,AS$110))/(INDEX($F$4:$N$4,0,AS$110+1)-INDEX($F$4:$N$4,0,AS$110))+AR113)))</f>
        <v>1.9145979219544367</v>
      </c>
      <c r="AT113" s="5" cm="1">
        <f t="array" ref="AT113">IF(AT$110=-1,AU113,IF(AT$110=99,AS113,IF(AT$110=0,INDEX($F94:$N94,0,AT$108),(INDEX($F94:$N94,0,AT$110+1)-INDEX($F94:$N94,0,AT$110))/(INDEX($F$4:$N$4,0,AT$110+1)-INDEX($F$4:$N$4,0,AT$110))+AS113)))</f>
        <v>1.9480061385127707</v>
      </c>
      <c r="AU113" s="5" cm="1">
        <f t="array" ref="AU113">IF(AU$110=-1,AV113,IF(AU$110=99,AT113,IF(AU$110=0,INDEX($F94:$N94,0,AU$108),(INDEX($F94:$N94,0,AU$110+1)-INDEX($F94:$N94,0,AU$110))/(INDEX($F$4:$N$4,0,AU$110+1)-INDEX($F$4:$N$4,0,AU$110))+AT113)))</f>
        <v>1.9814143550711047</v>
      </c>
      <c r="AV113" s="5" cm="1">
        <f t="array" ref="AV113">IF(AV$110=-1,AW113,IF(AV$110=99,AU113,IF(AV$110=0,INDEX($F94:$N94,0,AV$108),(INDEX($F94:$N94,0,AV$110+1)-INDEX($F94:$N94,0,AV$110))/(INDEX($F$4:$N$4,0,AV$110+1)-INDEX($F$4:$N$4,0,AV$110))+AU113)))</f>
        <v>2.014822571629439</v>
      </c>
      <c r="AW113" s="5" cm="1">
        <f t="array" ref="AW113">IF(AW$110=-1,AX113,IF(AW$110=99,AV113,IF(AW$110=0,INDEX($F94:$N94,0,AW$108),(INDEX($F94:$N94,0,AW$110+1)-INDEX($F94:$N94,0,AW$110))/(INDEX($F$4:$N$4,0,AW$110+1)-INDEX($F$4:$N$4,0,AW$110))+AV113)))</f>
        <v>2.048230788187773</v>
      </c>
      <c r="AX113" s="5" cm="1">
        <f t="array" ref="AX113">IF(AX$110=-1,AY113,IF(AX$110=99,AW113,IF(AX$110=0,INDEX($F94:$N94,0,AX$108),(INDEX($F94:$N94,0,AX$110+1)-INDEX($F94:$N94,0,AX$110))/(INDEX($F$4:$N$4,0,AX$110+1)-INDEX($F$4:$N$4,0,AX$110))+AW113)))</f>
        <v>2.0816390047461075</v>
      </c>
      <c r="AY113" s="5" cm="1">
        <f t="array" ref="AY113">IF(AY$110=-1,AZ113,IF(AY$110=99,AX113,IF(AY$110=0,INDEX($F94:$N94,0,AY$108),(INDEX($F94:$N94,0,AY$110+1)-INDEX($F94:$N94,0,AY$110))/(INDEX($F$4:$N$4,0,AY$110+1)-INDEX($F$4:$N$4,0,AY$110))+AX113)))</f>
        <v>2.3842801002831817</v>
      </c>
      <c r="AZ113" s="5" cm="1">
        <f t="array" ref="AZ113">IF(AZ$110=-1,BA113,IF(AZ$110=99,AY113,IF(AZ$110=0,INDEX($F94:$N94,0,AZ$108),(INDEX($F94:$N94,0,AZ$110+1)-INDEX($F94:$N94,0,AZ$110))/(INDEX($F$4:$N$4,0,AZ$110+1)-INDEX($F$4:$N$4,0,AZ$110))+AY113)))</f>
        <v>2.4332760049115123</v>
      </c>
    </row>
    <row r="114" spans="1:52">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3.3198887752333528</v>
      </c>
      <c r="O114" s="5" cm="1">
        <f t="array" ref="O114">IF(O$110=-1,P114,IF(O$110=99,N114,IF(O$110=0,INDEX($F95:$N95,0,O$108),(INDEX($F95:$N95,0,O$110+1)-INDEX($F95:$N95,0,O$110))/(INDEX($F$4:$N$4,0,O$110+1)-INDEX($F$4:$N$4,0,O$110))+N114)))</f>
        <v>3.3404231720446251</v>
      </c>
      <c r="P114" s="5" cm="1">
        <f t="array" ref="P114">IF(P$110=-1,S114,IF(P$110=99,O114,IF(P$110=0,INDEX($F95:$N95,0,P$108),(INDEX($F95:$N95,0,P$110+1)-INDEX($F95:$N95,0,P$110))/(INDEX($F$4:$N$4,0,P$110+1)-INDEX($F$4:$N$4,0,P$110))+O114)))</f>
        <v>3.2162787996334212</v>
      </c>
      <c r="Q114" s="5" cm="1">
        <f t="array" ref="Q114">IF(Q$110=-1,R114,IF(Q$110=99,N114,IF(Q$110=0,INDEX($F95:$N95,0,Q$108),(INDEX($F95:$N95,0,Q$110+1)-INDEX($F95:$N95,0,Q$110))/(INDEX($F$4:$N$4,0,Q$110+1)-INDEX($F$4:$N$4,0,Q$110))+N114)))</f>
        <v>3.3404231720446251</v>
      </c>
      <c r="R114" s="5" cm="1">
        <f t="array" ref="R114">IF(R$110=-1,S114,IF(R$110=99,O114,IF(R$110=0,INDEX($F95:$N95,0,R$108),(INDEX($F95:$N95,0,R$110+1)-INDEX($F95:$N95,0,R$110))/(INDEX($F$4:$N$4,0,R$110+1)-INDEX($F$4:$N$4,0,R$110))+O114)))</f>
        <v>3.2162787996334212</v>
      </c>
      <c r="S114" s="5" cm="1">
        <f t="array" ref="S114">IF(S$110=-1,T114,IF(S$110=99,P114,IF(S$110=0,INDEX($F95:$N95,0,S$108),(INDEX($F95:$N95,0,S$110+1)-INDEX($F95:$N95,0,S$110))/(INDEX($F$4:$N$4,0,S$110+1)-INDEX($F$4:$N$4,0,S$110))+P114)))</f>
        <v>3.4059784545034963</v>
      </c>
      <c r="T114" s="5" cm="1">
        <f t="array" ref="T114">IF(T$110=-1,U114,IF(T$110=99,S114,IF(T$110=0,INDEX($F95:$N95,0,T$108),(INDEX($F95:$N95,0,T$110+1)-INDEX($F95:$N95,0,T$110))/(INDEX($F$4:$N$4,0,T$110+1)-INDEX($F$4:$N$4,0,T$110))+S114)))</f>
        <v>3.5142421207515442</v>
      </c>
      <c r="U114" s="5" cm="1">
        <f t="array" ref="U114">IF(U$110=-1,V114,IF(U$110=99,T114,IF(U$110=0,INDEX($F95:$N95,0,U$108),(INDEX($F95:$N95,0,U$110+1)-INDEX($F95:$N95,0,U$110))/(INDEX($F$4:$N$4,0,U$110+1)-INDEX($F$4:$N$4,0,U$110))+T114)))</f>
        <v>3.622505786999592</v>
      </c>
      <c r="V114" s="5" cm="1">
        <f t="array" ref="V114">IF(V$110=-1,W114,IF(V$110=99,U114,IF(V$110=0,INDEX($F95:$N95,0,V$108),(INDEX($F95:$N95,0,V$110+1)-INDEX($F95:$N95,0,V$110))/(INDEX($F$4:$N$4,0,V$110+1)-INDEX($F$4:$N$4,0,V$110))+U114)))</f>
        <v>3.7307694532476399</v>
      </c>
      <c r="W114" s="5" cm="1">
        <f t="array" ref="W114">IF(W$110=-1,X114,IF(W$110=99,V114,IF(W$110=0,INDEX($F95:$N95,0,W$108),(INDEX($F95:$N95,0,W$110+1)-INDEX($F95:$N95,0,W$110))/(INDEX($F$4:$N$4,0,W$110+1)-INDEX($F$4:$N$4,0,W$110))+V114)))</f>
        <v>3.8390331194956877</v>
      </c>
      <c r="X114" s="5" cm="1">
        <f t="array" ref="X114">IF(X$110=-1,Y114,IF(X$110=99,W114,IF(X$110=0,INDEX($F95:$N95,0,X$108),(INDEX($F95:$N95,0,X$110+1)-INDEX($F95:$N95,0,X$110))/(INDEX($F$4:$N$4,0,X$110+1)-INDEX($F$4:$N$4,0,X$110))+W114)))</f>
        <v>3.9472967857437355</v>
      </c>
      <c r="Y114" s="5" cm="1">
        <f t="array" ref="Y114">IF(Y$110=-1,Z114,IF(Y$110=99,X114,IF(Y$110=0,INDEX($F95:$N95,0,Y$108),(INDEX($F95:$N95,0,Y$110+1)-INDEX($F95:$N95,0,Y$110))/(INDEX($F$4:$N$4,0,Y$110+1)-INDEX($F$4:$N$4,0,Y$110))+X114)))</f>
        <v>4.0555604519917834</v>
      </c>
      <c r="Z114" s="5" cm="1">
        <f t="array" ref="Z114">IF(Z$110=-1,AC114,IF(Z$110=99,Y114,IF(Z$110=0,INDEX($F95:$N95,0,Z$108),(INDEX($F95:$N95,0,Z$110+1)-INDEX($F95:$N95,0,Z$110))/(INDEX($F$4:$N$4,0,Z$110+1)-INDEX($F$4:$N$4,0,Z$110))+Y114)))</f>
        <v>4.1638241182398312</v>
      </c>
      <c r="AA114" s="5" cm="1">
        <f t="array" ref="AA114">IF(AA$110=-1,AB114,IF(AA$110=99,X114,IF(AA$110=0,INDEX($F95:$N95,0,AA$108),(INDEX($F95:$N95,0,AA$110+1)-INDEX($F95:$N95,0,AA$110))/(INDEX($F$4:$N$4,0,AA$110+1)-INDEX($F$4:$N$4,0,AA$110))+X114)))</f>
        <v>4.0555604519917834</v>
      </c>
      <c r="AB114" s="5" cm="1">
        <f t="array" ref="AB114">IF(AB$110=-1,AC114,IF(AB$110=99,Y114,IF(AB$110=0,INDEX($F95:$N95,0,AB$108),(INDEX($F95:$N95,0,AB$110+1)-INDEX($F95:$N95,0,AB$110))/(INDEX($F$4:$N$4,0,AB$110+1)-INDEX($F$4:$N$4,0,AB$110))+Y114)))</f>
        <v>4.1638241182398312</v>
      </c>
      <c r="AC114" s="5" cm="1">
        <f t="array" ref="AC114">IF(AC$110=-1,AD114,IF(AC$110=99,Z114,IF(AC$110=0,INDEX($F95:$N95,0,AC$108),(INDEX($F95:$N95,0,AC$110+1)-INDEX($F95:$N95,0,AC$110))/(INDEX($F$4:$N$4,0,AC$110+1)-INDEX($F$4:$N$4,0,AC$110))+Z114)))</f>
        <v>4.2720877844878791</v>
      </c>
      <c r="AD114" s="5" cm="1">
        <f t="array" ref="AD114">IF(AD$110=-1,AE114,IF(AD$110=99,AC114,IF(AD$110=0,INDEX($F95:$N95,0,AD$108),(INDEX($F95:$N95,0,AD$110+1)-INDEX($F95:$N95,0,AD$110))/(INDEX($F$4:$N$4,0,AD$110+1)-INDEX($F$4:$N$4,0,AD$110))+AC114)))</f>
        <v>4.380351450735926</v>
      </c>
      <c r="AE114" s="5" cm="1">
        <f t="array" ref="AE114">IF(AE$110=-1,AF114,IF(AE$110=99,AD114,IF(AE$110=0,INDEX($F95:$N95,0,AE$108),(INDEX($F95:$N95,0,AE$110+1)-INDEX($F95:$N95,0,AE$110))/(INDEX($F$4:$N$4,0,AE$110+1)-INDEX($F$4:$N$4,0,AE$110))+AD114)))</f>
        <v>4.5171616551327221</v>
      </c>
      <c r="AF114" s="5" cm="1">
        <f t="array" ref="AF114">IF(AF$110=-1,AG114,IF(AF$110=99,AE114,IF(AF$110=0,INDEX($F95:$N95,0,AF$108),(INDEX($F95:$N95,0,AF$110+1)-INDEX($F95:$N95,0,AF$110))/(INDEX($F$4:$N$4,0,AF$110+1)-INDEX($F$4:$N$4,0,AF$110))+AE114)))</f>
        <v>4.6539718595295181</v>
      </c>
      <c r="AG114" s="5" cm="1">
        <f t="array" ref="AG114">IF(AG$110=-1,AH114,IF(AG$110=99,AF114,IF(AG$110=0,INDEX($F95:$N95,0,AG$108),(INDEX($F95:$N95,0,AG$110+1)-INDEX($F95:$N95,0,AG$110))/(INDEX($F$4:$N$4,0,AG$110+1)-INDEX($F$4:$N$4,0,AG$110))+AF114)))</f>
        <v>4.7907820639263141</v>
      </c>
      <c r="AH114" s="5" cm="1">
        <f t="array" ref="AH114">IF(AH$110=-1,AI114,IF(AH$110=99,AG114,IF(AH$110=0,INDEX($F95:$N95,0,AH$108),(INDEX($F95:$N95,0,AH$110+1)-INDEX($F95:$N95,0,AH$110))/(INDEX($F$4:$N$4,0,AH$110+1)-INDEX($F$4:$N$4,0,AH$110))+AG114)))</f>
        <v>4.9275922683231101</v>
      </c>
      <c r="AI114" s="5" cm="1">
        <f t="array" ref="AI114">IF(AI$110=-1,AJ114,IF(AI$110=99,AH114,IF(AI$110=0,INDEX($F95:$N95,0,AI$108),(INDEX($F95:$N95,0,AI$110+1)-INDEX($F95:$N95,0,AI$110))/(INDEX($F$4:$N$4,0,AI$110+1)-INDEX($F$4:$N$4,0,AI$110))+AH114)))</f>
        <v>5.0644024727199062</v>
      </c>
      <c r="AJ114" s="5" cm="1">
        <f t="array" ref="AJ114">IF(AJ$110=-1,AK114,IF(AJ$110=99,AI114,IF(AJ$110=0,INDEX($F95:$N95,0,AJ$108),(INDEX($F95:$N95,0,AJ$110+1)-INDEX($F95:$N95,0,AJ$110))/(INDEX($F$4:$N$4,0,AJ$110+1)-INDEX($F$4:$N$4,0,AJ$110))+AI114)))</f>
        <v>5.2012126771167022</v>
      </c>
      <c r="AK114" s="5" cm="1">
        <f t="array" ref="AK114">IF(AK$110=-1,AL114,IF(AK$110=99,AJ114,IF(AK$110=0,INDEX($F95:$N95,0,AK$108),(INDEX($F95:$N95,0,AK$110+1)-INDEX($F95:$N95,0,AK$110))/(INDEX($F$4:$N$4,0,AK$110+1)-INDEX($F$4:$N$4,0,AK$110))+AJ114)))</f>
        <v>5.3380228815134982</v>
      </c>
      <c r="AL114" s="5" cm="1">
        <f t="array" ref="AL114">IF(AL$110=-1,AM114,IF(AL$110=99,AK114,IF(AL$110=0,INDEX($F95:$N95,0,AL$108),(INDEX($F95:$N95,0,AL$110+1)-INDEX($F95:$N95,0,AL$110))/(INDEX($F$4:$N$4,0,AL$110+1)-INDEX($F$4:$N$4,0,AL$110))+AK114)))</f>
        <v>5.4748330859102943</v>
      </c>
      <c r="AM114" s="5" cm="1">
        <f t="array" ref="AM114">IF(AM$110=-1,AN114,IF(AM$110=99,AL114,IF(AM$110=0,INDEX($F95:$N95,0,AM$108),(INDEX($F95:$N95,0,AM$110+1)-INDEX($F95:$N95,0,AM$110))/(INDEX($F$4:$N$4,0,AM$110+1)-INDEX($F$4:$N$4,0,AM$110))+AL114)))</f>
        <v>5.6116432903070903</v>
      </c>
      <c r="AN114" s="5" cm="1">
        <f t="array" ref="AN114">IF(AN$110=-1,AO114,IF(AN$110=99,AM114,IF(AN$110=0,INDEX($F95:$N95,0,AN$108),(INDEX($F95:$N95,0,AN$110+1)-INDEX($F95:$N95,0,AN$110))/(INDEX($F$4:$N$4,0,AN$110+1)-INDEX($F$4:$N$4,0,AN$110))+AM114)))</f>
        <v>5.7484534947038837</v>
      </c>
      <c r="AO114" s="5" cm="1">
        <f t="array" ref="AO114">IF(AO$110=-1,AP114,IF(AO$110=99,AN114,IF(AO$110=0,INDEX($F95:$N95,0,AO$108),(INDEX($F95:$N95,0,AO$110+1)-INDEX($F95:$N95,0,AO$110))/(INDEX($F$4:$N$4,0,AO$110+1)-INDEX($F$4:$N$4,0,AO$110))+AN114)))</f>
        <v>5.8583472474693652</v>
      </c>
      <c r="AP114" s="5" cm="1">
        <f t="array" ref="AP114">IF(AP$110=-1,AQ114,IF(AP$110=99,AO114,IF(AP$110=0,INDEX($F95:$N95,0,AP$108),(INDEX($F95:$N95,0,AP$110+1)-INDEX($F95:$N95,0,AP$110))/(INDEX($F$4:$N$4,0,AP$110+1)-INDEX($F$4:$N$4,0,AP$110))+AO114)))</f>
        <v>5.9682410002348467</v>
      </c>
      <c r="AQ114" s="5" cm="1">
        <f t="array" ref="AQ114">IF(AQ$110=-1,AR114,IF(AQ$110=99,AP114,IF(AQ$110=0,INDEX($F95:$N95,0,AQ$108),(INDEX($F95:$N95,0,AQ$110+1)-INDEX($F95:$N95,0,AQ$110))/(INDEX($F$4:$N$4,0,AQ$110+1)-INDEX($F$4:$N$4,0,AQ$110))+AP114)))</f>
        <v>6.0781347530003282</v>
      </c>
      <c r="AR114" s="5" cm="1">
        <f t="array" ref="AR114">IF(AR$110=-1,AS114,IF(AR$110=99,AQ114,IF(AR$110=0,INDEX($F95:$N95,0,AR$108),(INDEX($F95:$N95,0,AR$110+1)-INDEX($F95:$N95,0,AR$110))/(INDEX($F$4:$N$4,0,AR$110+1)-INDEX($F$4:$N$4,0,AR$110))+AQ114)))</f>
        <v>6.1880285057658098</v>
      </c>
      <c r="AS114" s="5" cm="1">
        <f t="array" ref="AS114">IF(AS$110=-1,AT114,IF(AS$110=99,AR114,IF(AS$110=0,INDEX($F95:$N95,0,AS$108),(INDEX($F95:$N95,0,AS$110+1)-INDEX($F95:$N95,0,AS$110))/(INDEX($F$4:$N$4,0,AS$110+1)-INDEX($F$4:$N$4,0,AS$110))+AR114)))</f>
        <v>6.2979222585312913</v>
      </c>
      <c r="AT114" s="5" cm="1">
        <f t="array" ref="AT114">IF(AT$110=-1,AU114,IF(AT$110=99,AS114,IF(AT$110=0,INDEX($F95:$N95,0,AT$108),(INDEX($F95:$N95,0,AT$110+1)-INDEX($F95:$N95,0,AT$110))/(INDEX($F$4:$N$4,0,AT$110+1)-INDEX($F$4:$N$4,0,AT$110))+AS114)))</f>
        <v>6.4078160112967728</v>
      </c>
      <c r="AU114" s="5" cm="1">
        <f t="array" ref="AU114">IF(AU$110=-1,AV114,IF(AU$110=99,AT114,IF(AU$110=0,INDEX($F95:$N95,0,AU$108),(INDEX($F95:$N95,0,AU$110+1)-INDEX($F95:$N95,0,AU$110))/(INDEX($F$4:$N$4,0,AU$110+1)-INDEX($F$4:$N$4,0,AU$110))+AT114)))</f>
        <v>6.5177097640622543</v>
      </c>
      <c r="AV114" s="5" cm="1">
        <f t="array" ref="AV114">IF(AV$110=-1,AW114,IF(AV$110=99,AU114,IF(AV$110=0,INDEX($F95:$N95,0,AV$108),(INDEX($F95:$N95,0,AV$110+1)-INDEX($F95:$N95,0,AV$110))/(INDEX($F$4:$N$4,0,AV$110+1)-INDEX($F$4:$N$4,0,AV$110))+AU114)))</f>
        <v>6.6276035168277359</v>
      </c>
      <c r="AW114" s="5" cm="1">
        <f t="array" ref="AW114">IF(AW$110=-1,AX114,IF(AW$110=99,AV114,IF(AW$110=0,INDEX($F95:$N95,0,AW$108),(INDEX($F95:$N95,0,AW$110+1)-INDEX($F95:$N95,0,AW$110))/(INDEX($F$4:$N$4,0,AW$110+1)-INDEX($F$4:$N$4,0,AW$110))+AV114)))</f>
        <v>6.7374972695932174</v>
      </c>
      <c r="AX114" s="5" cm="1">
        <f t="array" ref="AX114">IF(AX$110=-1,AY114,IF(AX$110=99,AW114,IF(AX$110=0,INDEX($F95:$N95,0,AX$108),(INDEX($F95:$N95,0,AX$110+1)-INDEX($F95:$N95,0,AX$110))/(INDEX($F$4:$N$4,0,AX$110+1)-INDEX($F$4:$N$4,0,AX$110))+AW114)))</f>
        <v>6.8473910223587025</v>
      </c>
      <c r="AY114" s="5" cm="1">
        <f t="array" ref="AY114">IF(AY$110=-1,AZ114,IF(AY$110=99,AX114,IF(AY$110=0,INDEX($F95:$N95,0,AY$108),(INDEX($F95:$N95,0,AY$110+1)-INDEX($F95:$N95,0,AY$110))/(INDEX($F$4:$N$4,0,AY$110+1)-INDEX($F$4:$N$4,0,AY$110))+AX114)))</f>
        <v>7.8429055740425184</v>
      </c>
      <c r="AZ114" s="5" cm="1">
        <f t="array" ref="AZ114">IF(AZ$110=-1,BA114,IF(AZ$110=99,AY114,IF(AZ$110=0,INDEX($F95:$N95,0,AZ$108),(INDEX($F95:$N95,0,AZ$110+1)-INDEX($F95:$N95,0,AZ$110))/(INDEX($F$4:$N$4,0,AZ$110+1)-INDEX($F$4:$N$4,0,AZ$110))+AY114)))</f>
        <v>8.0040738249829779</v>
      </c>
    </row>
    <row r="115" spans="1:52">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0.6021313318591881</v>
      </c>
      <c r="O115" s="5" cm="1">
        <f t="array" ref="O115">IF(O$110=-1,P115,IF(O$110=99,N115,IF(O$110=0,INDEX($F96:$N96,0,O$108),(INDEX($F96:$N96,0,O$110+1)-INDEX($F96:$N96,0,O$110))/(INDEX($F$4:$N$4,0,O$110+1)-INDEX($F$4:$N$4,0,O$110))+N115)))</f>
        <v>0.60585567461221534</v>
      </c>
      <c r="P115" s="5" cm="1">
        <f t="array" ref="P115">IF(P$110=-1,S115,IF(P$110=99,O115,IF(P$110=0,INDEX($F96:$N96,0,P$108),(INDEX($F96:$N96,0,P$110+1)-INDEX($F96:$N96,0,P$110))/(INDEX($F$4:$N$4,0,P$110+1)-INDEX($F$4:$N$4,0,P$110))+O115)))</f>
        <v>0.58333949369060389</v>
      </c>
      <c r="Q115" s="5" cm="1">
        <f t="array" ref="Q115">IF(Q$110=-1,R115,IF(Q$110=99,N115,IF(Q$110=0,INDEX($F96:$N96,0,Q$108),(INDEX($F96:$N96,0,Q$110+1)-INDEX($F96:$N96,0,Q$110))/(INDEX($F$4:$N$4,0,Q$110+1)-INDEX($F$4:$N$4,0,Q$110))+N115)))</f>
        <v>0.60585567461221534</v>
      </c>
      <c r="R115" s="5" cm="1">
        <f t="array" ref="R115">IF(R$110=-1,S115,IF(R$110=99,O115,IF(R$110=0,INDEX($F96:$N96,0,R$108),(INDEX($F96:$N96,0,R$110+1)-INDEX($F96:$N96,0,R$110))/(INDEX($F$4:$N$4,0,R$110+1)-INDEX($F$4:$N$4,0,R$110))+O115)))</f>
        <v>0.58333949369060389</v>
      </c>
      <c r="S115" s="5" cm="1">
        <f t="array" ref="S115">IF(S$110=-1,T115,IF(S$110=99,P115,IF(S$110=0,INDEX($F96:$N96,0,S$108),(INDEX($F96:$N96,0,S$110+1)-INDEX($F96:$N96,0,S$110))/(INDEX($F$4:$N$4,0,S$110+1)-INDEX($F$4:$N$4,0,S$110))+P115)))</f>
        <v>0.61774549749780006</v>
      </c>
      <c r="T115" s="5" cm="1">
        <f t="array" ref="T115">IF(T$110=-1,U115,IF(T$110=99,S115,IF(T$110=0,INDEX($F96:$N96,0,T$108),(INDEX($F96:$N96,0,T$110+1)-INDEX($F96:$N96,0,T$110))/(INDEX($F$4:$N$4,0,T$110+1)-INDEX($F$4:$N$4,0,T$110))+S115)))</f>
        <v>0.63738137989127375</v>
      </c>
      <c r="U115" s="5" cm="1">
        <f t="array" ref="U115">IF(U$110=-1,V115,IF(U$110=99,T115,IF(U$110=0,INDEX($F96:$N96,0,U$108),(INDEX($F96:$N96,0,U$110+1)-INDEX($F96:$N96,0,U$110))/(INDEX($F$4:$N$4,0,U$110+1)-INDEX($F$4:$N$4,0,U$110))+T115)))</f>
        <v>0.65701726228474744</v>
      </c>
      <c r="V115" s="5" cm="1">
        <f t="array" ref="V115">IF(V$110=-1,W115,IF(V$110=99,U115,IF(V$110=0,INDEX($F96:$N96,0,V$108),(INDEX($F96:$N96,0,V$110+1)-INDEX($F96:$N96,0,V$110))/(INDEX($F$4:$N$4,0,V$110+1)-INDEX($F$4:$N$4,0,V$110))+U115)))</f>
        <v>0.67665314467822113</v>
      </c>
      <c r="W115" s="5" cm="1">
        <f t="array" ref="W115">IF(W$110=-1,X115,IF(W$110=99,V115,IF(W$110=0,INDEX($F96:$N96,0,W$108),(INDEX($F96:$N96,0,W$110+1)-INDEX($F96:$N96,0,W$110))/(INDEX($F$4:$N$4,0,W$110+1)-INDEX($F$4:$N$4,0,W$110))+V115)))</f>
        <v>0.69628902707169482</v>
      </c>
      <c r="X115" s="5" cm="1">
        <f t="array" ref="X115">IF(X$110=-1,Y115,IF(X$110=99,W115,IF(X$110=0,INDEX($F96:$N96,0,X$108),(INDEX($F96:$N96,0,X$110+1)-INDEX($F96:$N96,0,X$110))/(INDEX($F$4:$N$4,0,X$110+1)-INDEX($F$4:$N$4,0,X$110))+W115)))</f>
        <v>0.71592490946516851</v>
      </c>
      <c r="Y115" s="5" cm="1">
        <f t="array" ref="Y115">IF(Y$110=-1,Z115,IF(Y$110=99,X115,IF(Y$110=0,INDEX($F96:$N96,0,Y$108),(INDEX($F96:$N96,0,Y$110+1)-INDEX($F96:$N96,0,Y$110))/(INDEX($F$4:$N$4,0,Y$110+1)-INDEX($F$4:$N$4,0,Y$110))+X115)))</f>
        <v>0.7355607918586422</v>
      </c>
      <c r="Z115" s="5" cm="1">
        <f t="array" ref="Z115">IF(Z$110=-1,AC115,IF(Z$110=99,Y115,IF(Z$110=0,INDEX($F96:$N96,0,Z$108),(INDEX($F96:$N96,0,Z$110+1)-INDEX($F96:$N96,0,Z$110))/(INDEX($F$4:$N$4,0,Z$110+1)-INDEX($F$4:$N$4,0,Z$110))+Y115)))</f>
        <v>0.7551966742521159</v>
      </c>
      <c r="AA115" s="5" cm="1">
        <f t="array" ref="AA115">IF(AA$110=-1,AB115,IF(AA$110=99,X115,IF(AA$110=0,INDEX($F96:$N96,0,AA$108),(INDEX($F96:$N96,0,AA$110+1)-INDEX($F96:$N96,0,AA$110))/(INDEX($F$4:$N$4,0,AA$110+1)-INDEX($F$4:$N$4,0,AA$110))+X115)))</f>
        <v>0.7355607918586422</v>
      </c>
      <c r="AB115" s="5" cm="1">
        <f t="array" ref="AB115">IF(AB$110=-1,AC115,IF(AB$110=99,Y115,IF(AB$110=0,INDEX($F96:$N96,0,AB$108),(INDEX($F96:$N96,0,AB$110+1)-INDEX($F96:$N96,0,AB$110))/(INDEX($F$4:$N$4,0,AB$110+1)-INDEX($F$4:$N$4,0,AB$110))+Y115)))</f>
        <v>0.7551966742521159</v>
      </c>
      <c r="AC115" s="5" cm="1">
        <f t="array" ref="AC115">IF(AC$110=-1,AD115,IF(AC$110=99,Z115,IF(AC$110=0,INDEX($F96:$N96,0,AC$108),(INDEX($F96:$N96,0,AC$110+1)-INDEX($F96:$N96,0,AC$110))/(INDEX($F$4:$N$4,0,AC$110+1)-INDEX($F$4:$N$4,0,AC$110))+Z115)))</f>
        <v>0.77483255664558959</v>
      </c>
      <c r="AD115" s="5" cm="1">
        <f t="array" ref="AD115">IF(AD$110=-1,AE115,IF(AD$110=99,AC115,IF(AD$110=0,INDEX($F96:$N96,0,AD$108),(INDEX($F96:$N96,0,AD$110+1)-INDEX($F96:$N96,0,AD$110))/(INDEX($F$4:$N$4,0,AD$110+1)-INDEX($F$4:$N$4,0,AD$110))+AC115)))</f>
        <v>0.7944684390390635</v>
      </c>
      <c r="AE115" s="5" cm="1">
        <f t="array" ref="AE115">IF(AE$110=-1,AF115,IF(AE$110=99,AD115,IF(AE$110=0,INDEX($F96:$N96,0,AE$108),(INDEX($F96:$N96,0,AE$110+1)-INDEX($F96:$N96,0,AE$110))/(INDEX($F$4:$N$4,0,AE$110+1)-INDEX($F$4:$N$4,0,AE$110))+AD115)))</f>
        <v>0.81928183375274033</v>
      </c>
      <c r="AF115" s="5" cm="1">
        <f t="array" ref="AF115">IF(AF$110=-1,AG115,IF(AF$110=99,AE115,IF(AF$110=0,INDEX($F96:$N96,0,AF$108),(INDEX($F96:$N96,0,AF$110+1)-INDEX($F96:$N96,0,AF$110))/(INDEX($F$4:$N$4,0,AF$110+1)-INDEX($F$4:$N$4,0,AF$110))+AE115)))</f>
        <v>0.84409522846641716</v>
      </c>
      <c r="AG115" s="5" cm="1">
        <f t="array" ref="AG115">IF(AG$110=-1,AH115,IF(AG$110=99,AF115,IF(AG$110=0,INDEX($F96:$N96,0,AG$108),(INDEX($F96:$N96,0,AG$110+1)-INDEX($F96:$N96,0,AG$110))/(INDEX($F$4:$N$4,0,AG$110+1)-INDEX($F$4:$N$4,0,AG$110))+AF115)))</f>
        <v>0.86890862318009399</v>
      </c>
      <c r="AH115" s="5" cm="1">
        <f t="array" ref="AH115">IF(AH$110=-1,AI115,IF(AH$110=99,AG115,IF(AH$110=0,INDEX($F96:$N96,0,AH$108),(INDEX($F96:$N96,0,AH$110+1)-INDEX($F96:$N96,0,AH$110))/(INDEX($F$4:$N$4,0,AH$110+1)-INDEX($F$4:$N$4,0,AH$110))+AG115)))</f>
        <v>0.89372201789377081</v>
      </c>
      <c r="AI115" s="5" cm="1">
        <f t="array" ref="AI115">IF(AI$110=-1,AJ115,IF(AI$110=99,AH115,IF(AI$110=0,INDEX($F96:$N96,0,AI$108),(INDEX($F96:$N96,0,AI$110+1)-INDEX($F96:$N96,0,AI$110))/(INDEX($F$4:$N$4,0,AI$110+1)-INDEX($F$4:$N$4,0,AI$110))+AH115)))</f>
        <v>0.91853541260744764</v>
      </c>
      <c r="AJ115" s="5" cm="1">
        <f t="array" ref="AJ115">IF(AJ$110=-1,AK115,IF(AJ$110=99,AI115,IF(AJ$110=0,INDEX($F96:$N96,0,AJ$108),(INDEX($F96:$N96,0,AJ$110+1)-INDEX($F96:$N96,0,AJ$110))/(INDEX($F$4:$N$4,0,AJ$110+1)-INDEX($F$4:$N$4,0,AJ$110))+AI115)))</f>
        <v>0.94334880732112447</v>
      </c>
      <c r="AK115" s="5" cm="1">
        <f t="array" ref="AK115">IF(AK$110=-1,AL115,IF(AK$110=99,AJ115,IF(AK$110=0,INDEX($F96:$N96,0,AK$108),(INDEX($F96:$N96,0,AK$110+1)-INDEX($F96:$N96,0,AK$110))/(INDEX($F$4:$N$4,0,AK$110+1)-INDEX($F$4:$N$4,0,AK$110))+AJ115)))</f>
        <v>0.9681622020348013</v>
      </c>
      <c r="AL115" s="5" cm="1">
        <f t="array" ref="AL115">IF(AL$110=-1,AM115,IF(AL$110=99,AK115,IF(AL$110=0,INDEX($F96:$N96,0,AL$108),(INDEX($F96:$N96,0,AL$110+1)-INDEX($F96:$N96,0,AL$110))/(INDEX($F$4:$N$4,0,AL$110+1)-INDEX($F$4:$N$4,0,AL$110))+AK115)))</f>
        <v>0.99297559674847813</v>
      </c>
      <c r="AM115" s="5" cm="1">
        <f t="array" ref="AM115">IF(AM$110=-1,AN115,IF(AM$110=99,AL115,IF(AM$110=0,INDEX($F96:$N96,0,AM$108),(INDEX($F96:$N96,0,AM$110+1)-INDEX($F96:$N96,0,AM$110))/(INDEX($F$4:$N$4,0,AM$110+1)-INDEX($F$4:$N$4,0,AM$110))+AL115)))</f>
        <v>1.017788991462155</v>
      </c>
      <c r="AN115" s="5" cm="1">
        <f t="array" ref="AN115">IF(AN$110=-1,AO115,IF(AN$110=99,AM115,IF(AN$110=0,INDEX($F96:$N96,0,AN$108),(INDEX($F96:$N96,0,AN$110+1)-INDEX($F96:$N96,0,AN$110))/(INDEX($F$4:$N$4,0,AN$110+1)-INDEX($F$4:$N$4,0,AN$110))+AM115)))</f>
        <v>1.0426023861758322</v>
      </c>
      <c r="AO115" s="5" cm="1">
        <f t="array" ref="AO115">IF(AO$110=-1,AP115,IF(AO$110=99,AN115,IF(AO$110=0,INDEX($F96:$N96,0,AO$108),(INDEX($F96:$N96,0,AO$110+1)-INDEX($F96:$N96,0,AO$110))/(INDEX($F$4:$N$4,0,AO$110+1)-INDEX($F$4:$N$4,0,AO$110))+AN115)))</f>
        <v>1.0625339188853979</v>
      </c>
      <c r="AP115" s="5" cm="1">
        <f t="array" ref="AP115">IF(AP$110=-1,AQ115,IF(AP$110=99,AO115,IF(AP$110=0,INDEX($F96:$N96,0,AP$108),(INDEX($F96:$N96,0,AP$110+1)-INDEX($F96:$N96,0,AP$110))/(INDEX($F$4:$N$4,0,AP$110+1)-INDEX($F$4:$N$4,0,AP$110))+AO115)))</f>
        <v>1.0824654515949637</v>
      </c>
      <c r="AQ115" s="5" cm="1">
        <f t="array" ref="AQ115">IF(AQ$110=-1,AR115,IF(AQ$110=99,AP115,IF(AQ$110=0,INDEX($F96:$N96,0,AQ$108),(INDEX($F96:$N96,0,AQ$110+1)-INDEX($F96:$N96,0,AQ$110))/(INDEX($F$4:$N$4,0,AQ$110+1)-INDEX($F$4:$N$4,0,AQ$110))+AP115)))</f>
        <v>1.1023969843045294</v>
      </c>
      <c r="AR115" s="5" cm="1">
        <f t="array" ref="AR115">IF(AR$110=-1,AS115,IF(AR$110=99,AQ115,IF(AR$110=0,INDEX($F96:$N96,0,AR$108),(INDEX($F96:$N96,0,AR$110+1)-INDEX($F96:$N96,0,AR$110))/(INDEX($F$4:$N$4,0,AR$110+1)-INDEX($F$4:$N$4,0,AR$110))+AQ115)))</f>
        <v>1.1223285170140951</v>
      </c>
      <c r="AS115" s="5" cm="1">
        <f t="array" ref="AS115">IF(AS$110=-1,AT115,IF(AS$110=99,AR115,IF(AS$110=0,INDEX($F96:$N96,0,AS$108),(INDEX($F96:$N96,0,AS$110+1)-INDEX($F96:$N96,0,AS$110))/(INDEX($F$4:$N$4,0,AS$110+1)-INDEX($F$4:$N$4,0,AS$110))+AR115)))</f>
        <v>1.1422600497236608</v>
      </c>
      <c r="AT115" s="5" cm="1">
        <f t="array" ref="AT115">IF(AT$110=-1,AU115,IF(AT$110=99,AS115,IF(AT$110=0,INDEX($F96:$N96,0,AT$108),(INDEX($F96:$N96,0,AT$110+1)-INDEX($F96:$N96,0,AT$110))/(INDEX($F$4:$N$4,0,AT$110+1)-INDEX($F$4:$N$4,0,AT$110))+AS115)))</f>
        <v>1.1621915824332265</v>
      </c>
      <c r="AU115" s="5" cm="1">
        <f t="array" ref="AU115">IF(AU$110=-1,AV115,IF(AU$110=99,AT115,IF(AU$110=0,INDEX($F96:$N96,0,AU$108),(INDEX($F96:$N96,0,AU$110+1)-INDEX($F96:$N96,0,AU$110))/(INDEX($F$4:$N$4,0,AU$110+1)-INDEX($F$4:$N$4,0,AU$110))+AT115)))</f>
        <v>1.1821231151427922</v>
      </c>
      <c r="AV115" s="5" cm="1">
        <f t="array" ref="AV115">IF(AV$110=-1,AW115,IF(AV$110=99,AU115,IF(AV$110=0,INDEX($F96:$N96,0,AV$108),(INDEX($F96:$N96,0,AV$110+1)-INDEX($F96:$N96,0,AV$110))/(INDEX($F$4:$N$4,0,AV$110+1)-INDEX($F$4:$N$4,0,AV$110))+AU115)))</f>
        <v>1.2020546478523579</v>
      </c>
      <c r="AW115" s="5" cm="1">
        <f t="array" ref="AW115">IF(AW$110=-1,AX115,IF(AW$110=99,AV115,IF(AW$110=0,INDEX($F96:$N96,0,AW$108),(INDEX($F96:$N96,0,AW$110+1)-INDEX($F96:$N96,0,AW$110))/(INDEX($F$4:$N$4,0,AW$110+1)-INDEX($F$4:$N$4,0,AW$110))+AV115)))</f>
        <v>1.2219861805619237</v>
      </c>
      <c r="AX115" s="5" cm="1">
        <f t="array" ref="AX115">IF(AX$110=-1,AY115,IF(AX$110=99,AW115,IF(AX$110=0,INDEX($F96:$N96,0,AX$108),(INDEX($F96:$N96,0,AX$110+1)-INDEX($F96:$N96,0,AX$110))/(INDEX($F$4:$N$4,0,AX$110+1)-INDEX($F$4:$N$4,0,AX$110))+AW115)))</f>
        <v>1.2419177132714898</v>
      </c>
      <c r="AY115" s="5" cm="1">
        <f t="array" ref="AY115">IF(AY$110=-1,AZ115,IF(AY$110=99,AX115,IF(AY$110=0,INDEX($F96:$N96,0,AY$108),(INDEX($F96:$N96,0,AY$110+1)-INDEX($F96:$N96,0,AY$110))/(INDEX($F$4:$N$4,0,AY$110+1)-INDEX($F$4:$N$4,0,AY$110))+AX115)))</f>
        <v>1.4224751184961413</v>
      </c>
      <c r="AZ115" s="5" cm="1">
        <f t="array" ref="AZ115">IF(AZ$110=-1,BA115,IF(AZ$110=99,AY115,IF(AZ$110=0,INDEX($F96:$N96,0,AZ$108),(INDEX($F96:$N96,0,AZ$110+1)-INDEX($F96:$N96,0,AZ$110))/(INDEX($F$4:$N$4,0,AZ$110+1)-INDEX($F$4:$N$4,0,AZ$110))+AY115)))</f>
        <v>1.4517063548906119</v>
      </c>
    </row>
    <row r="116" spans="1:52">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0.29984270307869226</v>
      </c>
      <c r="O116" s="5" cm="1">
        <f t="array" ref="O116">IF(O$110=-1,P116,IF(O$110=99,N116,IF(O$110=0,INDEX($F97:$N97,0,O$108),(INDEX($F97:$N97,0,O$110+1)-INDEX($F97:$N97,0,O$110))/(INDEX($F$4:$N$4,0,O$110+1)-INDEX($F$4:$N$4,0,O$110))+N116)))</f>
        <v>0.30169731010405854</v>
      </c>
      <c r="P116" s="5" cm="1">
        <f t="array" ref="P116">IF(P$110=-1,S116,IF(P$110=99,O116,IF(P$110=0,INDEX($F97:$N97,0,P$108),(INDEX($F97:$N97,0,P$110+1)-INDEX($F97:$N97,0,P$110))/(INDEX($F$4:$N$4,0,P$110+1)-INDEX($F$4:$N$4,0,P$110))+O116)))</f>
        <v>0.29048495128243912</v>
      </c>
      <c r="Q116" s="5" cm="1">
        <f t="array" ref="Q116">IF(Q$110=-1,R116,IF(Q$110=99,N116,IF(Q$110=0,INDEX($F97:$N97,0,Q$108),(INDEX($F97:$N97,0,Q$110+1)-INDEX($F97:$N97,0,Q$110))/(INDEX($F$4:$N$4,0,Q$110+1)-INDEX($F$4:$N$4,0,Q$110))+N116)))</f>
        <v>0.30169731010405854</v>
      </c>
      <c r="R116" s="5" cm="1">
        <f t="array" ref="R116">IF(R$110=-1,S116,IF(R$110=99,O116,IF(R$110=0,INDEX($F97:$N97,0,R$108),(INDEX($F97:$N97,0,R$110+1)-INDEX($F97:$N97,0,R$110))/(INDEX($F$4:$N$4,0,R$110+1)-INDEX($F$4:$N$4,0,R$110))+O116)))</f>
        <v>0.29048495128243912</v>
      </c>
      <c r="S116" s="5" cm="1">
        <f t="array" ref="S116">IF(S$110=-1,T116,IF(S$110=99,P116,IF(S$110=0,INDEX($F97:$N97,0,S$108),(INDEX($F97:$N97,0,S$110+1)-INDEX($F97:$N97,0,S$110))/(INDEX($F$4:$N$4,0,S$110+1)-INDEX($F$4:$N$4,0,S$110))+P116)))</f>
        <v>0.30761807264291008</v>
      </c>
      <c r="T116" s="5" cm="1">
        <f t="array" ref="T116">IF(T$110=-1,U116,IF(T$110=99,S116,IF(T$110=0,INDEX($F97:$N97,0,T$108),(INDEX($F97:$N97,0,T$110+1)-INDEX($F97:$N97,0,T$110))/(INDEX($F$4:$N$4,0,T$110+1)-INDEX($F$4:$N$4,0,T$110))+S116)))</f>
        <v>0.31739613224996494</v>
      </c>
      <c r="U116" s="5" cm="1">
        <f t="array" ref="U116">IF(U$110=-1,V116,IF(U$110=99,T116,IF(U$110=0,INDEX($F97:$N97,0,U$108),(INDEX($F97:$N97,0,U$110+1)-INDEX($F97:$N97,0,U$110))/(INDEX($F$4:$N$4,0,U$110+1)-INDEX($F$4:$N$4,0,U$110))+T116)))</f>
        <v>0.32717419185701979</v>
      </c>
      <c r="V116" s="5" cm="1">
        <f t="array" ref="V116">IF(V$110=-1,W116,IF(V$110=99,U116,IF(V$110=0,INDEX($F97:$N97,0,V$108),(INDEX($F97:$N97,0,V$110+1)-INDEX($F97:$N97,0,V$110))/(INDEX($F$4:$N$4,0,V$110+1)-INDEX($F$4:$N$4,0,V$110))+U116)))</f>
        <v>0.33695225146407465</v>
      </c>
      <c r="W116" s="5" cm="1">
        <f t="array" ref="W116">IF(W$110=-1,X116,IF(W$110=99,V116,IF(W$110=0,INDEX($F97:$N97,0,W$108),(INDEX($F97:$N97,0,W$110+1)-INDEX($F97:$N97,0,W$110))/(INDEX($F$4:$N$4,0,W$110+1)-INDEX($F$4:$N$4,0,W$110))+V116)))</f>
        <v>0.3467303110711295</v>
      </c>
      <c r="X116" s="5" cm="1">
        <f t="array" ref="X116">IF(X$110=-1,Y116,IF(X$110=99,W116,IF(X$110=0,INDEX($F97:$N97,0,X$108),(INDEX($F97:$N97,0,X$110+1)-INDEX($F97:$N97,0,X$110))/(INDEX($F$4:$N$4,0,X$110+1)-INDEX($F$4:$N$4,0,X$110))+W116)))</f>
        <v>0.35650837067818436</v>
      </c>
      <c r="Y116" s="5" cm="1">
        <f t="array" ref="Y116">IF(Y$110=-1,Z116,IF(Y$110=99,X116,IF(Y$110=0,INDEX($F97:$N97,0,Y$108),(INDEX($F97:$N97,0,Y$110+1)-INDEX($F97:$N97,0,Y$110))/(INDEX($F$4:$N$4,0,Y$110+1)-INDEX($F$4:$N$4,0,Y$110))+X116)))</f>
        <v>0.36628643028523922</v>
      </c>
      <c r="Z116" s="5" cm="1">
        <f t="array" ref="Z116">IF(Z$110=-1,AC116,IF(Z$110=99,Y116,IF(Z$110=0,INDEX($F97:$N97,0,Z$108),(INDEX($F97:$N97,0,Z$110+1)-INDEX($F97:$N97,0,Z$110))/(INDEX($F$4:$N$4,0,Z$110+1)-INDEX($F$4:$N$4,0,Z$110))+Y116)))</f>
        <v>0.37606448989229407</v>
      </c>
      <c r="AA116" s="5" cm="1">
        <f t="array" ref="AA116">IF(AA$110=-1,AB116,IF(AA$110=99,X116,IF(AA$110=0,INDEX($F97:$N97,0,AA$108),(INDEX($F97:$N97,0,AA$110+1)-INDEX($F97:$N97,0,AA$110))/(INDEX($F$4:$N$4,0,AA$110+1)-INDEX($F$4:$N$4,0,AA$110))+X116)))</f>
        <v>0.36628643028523922</v>
      </c>
      <c r="AB116" s="5" cm="1">
        <f t="array" ref="AB116">IF(AB$110=-1,AC116,IF(AB$110=99,Y116,IF(AB$110=0,INDEX($F97:$N97,0,AB$108),(INDEX($F97:$N97,0,AB$110+1)-INDEX($F97:$N97,0,AB$110))/(INDEX($F$4:$N$4,0,AB$110+1)-INDEX($F$4:$N$4,0,AB$110))+Y116)))</f>
        <v>0.37606448989229407</v>
      </c>
      <c r="AC116" s="5" cm="1">
        <f t="array" ref="AC116">IF(AC$110=-1,AD116,IF(AC$110=99,Z116,IF(AC$110=0,INDEX($F97:$N97,0,AC$108),(INDEX($F97:$N97,0,AC$110+1)-INDEX($F97:$N97,0,AC$110))/(INDEX($F$4:$N$4,0,AC$110+1)-INDEX($F$4:$N$4,0,AC$110))+Z116)))</f>
        <v>0.38584254949934893</v>
      </c>
      <c r="AD116" s="5" cm="1">
        <f t="array" ref="AD116">IF(AD$110=-1,AE116,IF(AD$110=99,AC116,IF(AD$110=0,INDEX($F97:$N97,0,AD$108),(INDEX($F97:$N97,0,AD$110+1)-INDEX($F97:$N97,0,AD$110))/(INDEX($F$4:$N$4,0,AD$110+1)-INDEX($F$4:$N$4,0,AD$110))+AC116)))</f>
        <v>0.39562060910640362</v>
      </c>
      <c r="AE116" s="5" cm="1">
        <f t="array" ref="AE116">IF(AE$110=-1,AF116,IF(AE$110=99,AD116,IF(AE$110=0,INDEX($F97:$N97,0,AE$108),(INDEX($F97:$N97,0,AE$110+1)-INDEX($F97:$N97,0,AE$110))/(INDEX($F$4:$N$4,0,AE$110+1)-INDEX($F$4:$N$4,0,AE$110))+AD116)))</f>
        <v>0.4079769090526873</v>
      </c>
      <c r="AF116" s="5" cm="1">
        <f t="array" ref="AF116">IF(AF$110=-1,AG116,IF(AF$110=99,AE116,IF(AF$110=0,INDEX($F97:$N97,0,AF$108),(INDEX($F97:$N97,0,AF$110+1)-INDEX($F97:$N97,0,AF$110))/(INDEX($F$4:$N$4,0,AF$110+1)-INDEX($F$4:$N$4,0,AF$110))+AE116)))</f>
        <v>0.42033320899897098</v>
      </c>
      <c r="AG116" s="5" cm="1">
        <f t="array" ref="AG116">IF(AG$110=-1,AH116,IF(AG$110=99,AF116,IF(AG$110=0,INDEX($F97:$N97,0,AG$108),(INDEX($F97:$N97,0,AG$110+1)-INDEX($F97:$N97,0,AG$110))/(INDEX($F$4:$N$4,0,AG$110+1)-INDEX($F$4:$N$4,0,AG$110))+AF116)))</f>
        <v>0.43268950894525465</v>
      </c>
      <c r="AH116" s="5" cm="1">
        <f t="array" ref="AH116">IF(AH$110=-1,AI116,IF(AH$110=99,AG116,IF(AH$110=0,INDEX($F97:$N97,0,AH$108),(INDEX($F97:$N97,0,AH$110+1)-INDEX($F97:$N97,0,AH$110))/(INDEX($F$4:$N$4,0,AH$110+1)-INDEX($F$4:$N$4,0,AH$110))+AG116)))</f>
        <v>0.44504580889153833</v>
      </c>
      <c r="AI116" s="5" cm="1">
        <f t="array" ref="AI116">IF(AI$110=-1,AJ116,IF(AI$110=99,AH116,IF(AI$110=0,INDEX($F97:$N97,0,AI$108),(INDEX($F97:$N97,0,AI$110+1)-INDEX($F97:$N97,0,AI$110))/(INDEX($F$4:$N$4,0,AI$110+1)-INDEX($F$4:$N$4,0,AI$110))+AH116)))</f>
        <v>0.45740210883782201</v>
      </c>
      <c r="AJ116" s="5" cm="1">
        <f t="array" ref="AJ116">IF(AJ$110=-1,AK116,IF(AJ$110=99,AI116,IF(AJ$110=0,INDEX($F97:$N97,0,AJ$108),(INDEX($F97:$N97,0,AJ$110+1)-INDEX($F97:$N97,0,AJ$110))/(INDEX($F$4:$N$4,0,AJ$110+1)-INDEX($F$4:$N$4,0,AJ$110))+AI116)))</f>
        <v>0.46975840878410569</v>
      </c>
      <c r="AK116" s="5" cm="1">
        <f t="array" ref="AK116">IF(AK$110=-1,AL116,IF(AK$110=99,AJ116,IF(AK$110=0,INDEX($F97:$N97,0,AK$108),(INDEX($F97:$N97,0,AK$110+1)-INDEX($F97:$N97,0,AK$110))/(INDEX($F$4:$N$4,0,AK$110+1)-INDEX($F$4:$N$4,0,AK$110))+AJ116)))</f>
        <v>0.48211470873038936</v>
      </c>
      <c r="AL116" s="5" cm="1">
        <f t="array" ref="AL116">IF(AL$110=-1,AM116,IF(AL$110=99,AK116,IF(AL$110=0,INDEX($F97:$N97,0,AL$108),(INDEX($F97:$N97,0,AL$110+1)-INDEX($F97:$N97,0,AL$110))/(INDEX($F$4:$N$4,0,AL$110+1)-INDEX($F$4:$N$4,0,AL$110))+AK116)))</f>
        <v>0.49447100867667304</v>
      </c>
      <c r="AM116" s="5" cm="1">
        <f t="array" ref="AM116">IF(AM$110=-1,AN116,IF(AM$110=99,AL116,IF(AM$110=0,INDEX($F97:$N97,0,AM$108),(INDEX($F97:$N97,0,AM$110+1)-INDEX($F97:$N97,0,AM$110))/(INDEX($F$4:$N$4,0,AM$110+1)-INDEX($F$4:$N$4,0,AM$110))+AL116)))</f>
        <v>0.50682730862295666</v>
      </c>
      <c r="AN116" s="5" cm="1">
        <f t="array" ref="AN116">IF(AN$110=-1,AO116,IF(AN$110=99,AM116,IF(AN$110=0,INDEX($F97:$N97,0,AN$108),(INDEX($F97:$N97,0,AN$110+1)-INDEX($F97:$N97,0,AN$110))/(INDEX($F$4:$N$4,0,AN$110+1)-INDEX($F$4:$N$4,0,AN$110))+AM116)))</f>
        <v>0.51918360856924028</v>
      </c>
      <c r="AO116" s="5" cm="1">
        <f t="array" ref="AO116">IF(AO$110=-1,AP116,IF(AO$110=99,AN116,IF(AO$110=0,INDEX($F97:$N97,0,AO$108),(INDEX($F97:$N97,0,AO$110+1)-INDEX($F97:$N97,0,AO$110))/(INDEX($F$4:$N$4,0,AO$110+1)-INDEX($F$4:$N$4,0,AO$110))+AN116)))</f>
        <v>0.52910889285179807</v>
      </c>
      <c r="AP116" s="5" cm="1">
        <f t="array" ref="AP116">IF(AP$110=-1,AQ116,IF(AP$110=99,AO116,IF(AP$110=0,INDEX($F97:$N97,0,AP$108),(INDEX($F97:$N97,0,AP$110+1)-INDEX($F97:$N97,0,AP$110))/(INDEX($F$4:$N$4,0,AP$110+1)-INDEX($F$4:$N$4,0,AP$110))+AO116)))</f>
        <v>0.53903417713435586</v>
      </c>
      <c r="AQ116" s="5" cm="1">
        <f t="array" ref="AQ116">IF(AQ$110=-1,AR116,IF(AQ$110=99,AP116,IF(AQ$110=0,INDEX($F97:$N97,0,AQ$108),(INDEX($F97:$N97,0,AQ$110+1)-INDEX($F97:$N97,0,AQ$110))/(INDEX($F$4:$N$4,0,AQ$110+1)-INDEX($F$4:$N$4,0,AQ$110))+AP116)))</f>
        <v>0.54895946141691365</v>
      </c>
      <c r="AR116" s="5" cm="1">
        <f t="array" ref="AR116">IF(AR$110=-1,AS116,IF(AR$110=99,AQ116,IF(AR$110=0,INDEX($F97:$N97,0,AR$108),(INDEX($F97:$N97,0,AR$110+1)-INDEX($F97:$N97,0,AR$110))/(INDEX($F$4:$N$4,0,AR$110+1)-INDEX($F$4:$N$4,0,AR$110))+AQ116)))</f>
        <v>0.55888474569947144</v>
      </c>
      <c r="AS116" s="5" cm="1">
        <f t="array" ref="AS116">IF(AS$110=-1,AT116,IF(AS$110=99,AR116,IF(AS$110=0,INDEX($F97:$N97,0,AS$108),(INDEX($F97:$N97,0,AS$110+1)-INDEX($F97:$N97,0,AS$110))/(INDEX($F$4:$N$4,0,AS$110+1)-INDEX($F$4:$N$4,0,AS$110))+AR116)))</f>
        <v>0.56881002998202923</v>
      </c>
      <c r="AT116" s="5" cm="1">
        <f t="array" ref="AT116">IF(AT$110=-1,AU116,IF(AT$110=99,AS116,IF(AT$110=0,INDEX($F97:$N97,0,AT$108),(INDEX($F97:$N97,0,AT$110+1)-INDEX($F97:$N97,0,AT$110))/(INDEX($F$4:$N$4,0,AT$110+1)-INDEX($F$4:$N$4,0,AT$110))+AS116)))</f>
        <v>0.57873531426458702</v>
      </c>
      <c r="AU116" s="5" cm="1">
        <f t="array" ref="AU116">IF(AU$110=-1,AV116,IF(AU$110=99,AT116,IF(AU$110=0,INDEX($F97:$N97,0,AU$108),(INDEX($F97:$N97,0,AU$110+1)-INDEX($F97:$N97,0,AU$110))/(INDEX($F$4:$N$4,0,AU$110+1)-INDEX($F$4:$N$4,0,AU$110))+AT116)))</f>
        <v>0.58866059854714481</v>
      </c>
      <c r="AV116" s="5" cm="1">
        <f t="array" ref="AV116">IF(AV$110=-1,AW116,IF(AV$110=99,AU116,IF(AV$110=0,INDEX($F97:$N97,0,AV$108),(INDEX($F97:$N97,0,AV$110+1)-INDEX($F97:$N97,0,AV$110))/(INDEX($F$4:$N$4,0,AV$110+1)-INDEX($F$4:$N$4,0,AV$110))+AU116)))</f>
        <v>0.5985858828297026</v>
      </c>
      <c r="AW116" s="5" cm="1">
        <f t="array" ref="AW116">IF(AW$110=-1,AX116,IF(AW$110=99,AV116,IF(AW$110=0,INDEX($F97:$N97,0,AW$108),(INDEX($F97:$N97,0,AW$110+1)-INDEX($F97:$N97,0,AW$110))/(INDEX($F$4:$N$4,0,AW$110+1)-INDEX($F$4:$N$4,0,AW$110))+AV116)))</f>
        <v>0.60851116711226039</v>
      </c>
      <c r="AX116" s="5" cm="1">
        <f t="array" ref="AX116">IF(AX$110=-1,AY116,IF(AX$110=99,AW116,IF(AX$110=0,INDEX($F97:$N97,0,AX$108),(INDEX($F97:$N97,0,AX$110+1)-INDEX($F97:$N97,0,AX$110))/(INDEX($F$4:$N$4,0,AX$110+1)-INDEX($F$4:$N$4,0,AX$110))+AW116)))</f>
        <v>0.61843645139481807</v>
      </c>
      <c r="AY116" s="5" cm="1">
        <f t="array" ref="AY116">IF(AY$110=-1,AZ116,IF(AY$110=99,AX116,IF(AY$110=0,INDEX($F97:$N97,0,AY$108),(INDEX($F97:$N97,0,AY$110+1)-INDEX($F97:$N97,0,AY$110))/(INDEX($F$4:$N$4,0,AY$110+1)-INDEX($F$4:$N$4,0,AY$110))+AX116)))</f>
        <v>0.70834843168700923</v>
      </c>
      <c r="AZ116" s="5" cm="1">
        <f t="array" ref="AZ116">IF(AZ$110=-1,BA116,IF(AZ$110=99,AY116,IF(AZ$110=0,INDEX($F97:$N97,0,AZ$108),(INDEX($F97:$N97,0,AZ$110+1)-INDEX($F97:$N97,0,AZ$110))/(INDEX($F$4:$N$4,0,AZ$110+1)-INDEX($F$4:$N$4,0,AZ$110))+AY116)))</f>
        <v>0.7229046795869275</v>
      </c>
    </row>
    <row r="117" spans="1:52">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6.7819219966270463</v>
      </c>
      <c r="O117" s="5" cm="1">
        <f t="array" ref="O117">IF(O$110=-1,P117,IF(O$110=99,N117,IF(O$110=0,INDEX($F98:$N98,0,O$108),(INDEX($F98:$N98,0,O$110+1)-INDEX($F98:$N98,0,O$110))/(INDEX($F$4:$N$4,0,O$110+1)-INDEX($F$4:$N$4,0,O$110))+N117)))</f>
        <v>6.9016562286169734</v>
      </c>
      <c r="P117" s="5" cm="1">
        <f t="array" ref="P117">IF(P$110=-1,S117,IF(P$110=99,O117,IF(P$110=0,INDEX($F98:$N98,0,P$108),(INDEX($F98:$N98,0,P$110+1)-INDEX($F98:$N98,0,P$110))/(INDEX($F$4:$N$4,0,P$110+1)-INDEX($F$4:$N$4,0,P$110))+O117)))</f>
        <v>6.7116128591697501</v>
      </c>
      <c r="Q117" s="5" cm="1">
        <f t="array" ref="Q117">IF(Q$110=-1,R117,IF(Q$110=99,N117,IF(Q$110=0,INDEX($F98:$N98,0,Q$108),(INDEX($F98:$N98,0,Q$110+1)-INDEX($F98:$N98,0,Q$110))/(INDEX($F$4:$N$4,0,Q$110+1)-INDEX($F$4:$N$4,0,Q$110))+N117)))</f>
        <v>6.9016562286169734</v>
      </c>
      <c r="R117" s="5" cm="1">
        <f t="array" ref="R117">IF(R$110=-1,S117,IF(R$110=99,O117,IF(R$110=0,INDEX($F98:$N98,0,R$108),(INDEX($F98:$N98,0,R$110+1)-INDEX($F98:$N98,0,R$110))/(INDEX($F$4:$N$4,0,R$110+1)-INDEX($F$4:$N$4,0,R$110))+O117)))</f>
        <v>6.7116128591697501</v>
      </c>
      <c r="S117" s="5" cm="1">
        <f t="array" ref="S117">IF(S$110=-1,T117,IF(S$110=99,P117,IF(S$110=0,INDEX($F98:$N98,0,S$108),(INDEX($F98:$N98,0,S$110+1)-INDEX($F98:$N98,0,S$110))/(INDEX($F$4:$N$4,0,S$110+1)-INDEX($F$4:$N$4,0,S$110))+P117)))</f>
        <v>7.1543851555436984</v>
      </c>
      <c r="T117" s="5" cm="1">
        <f t="array" ref="T117">IF(T$110=-1,U117,IF(T$110=99,S117,IF(T$110=0,INDEX($F98:$N98,0,T$108),(INDEX($F98:$N98,0,T$110+1)-INDEX($F98:$N98,0,T$110))/(INDEX($F$4:$N$4,0,T$110+1)-INDEX($F$4:$N$4,0,T$110))+S117)))</f>
        <v>7.3939540687914951</v>
      </c>
      <c r="U117" s="5" cm="1">
        <f t="array" ref="U117">IF(U$110=-1,V117,IF(U$110=99,T117,IF(U$110=0,INDEX($F98:$N98,0,U$108),(INDEX($F98:$N98,0,U$110+1)-INDEX($F98:$N98,0,U$110))/(INDEX($F$4:$N$4,0,U$110+1)-INDEX($F$4:$N$4,0,U$110))+T117)))</f>
        <v>7.6335229820392918</v>
      </c>
      <c r="V117" s="5" cm="1">
        <f t="array" ref="V117">IF(V$110=-1,W117,IF(V$110=99,U117,IF(V$110=0,INDEX($F98:$N98,0,V$108),(INDEX($F98:$N98,0,V$110+1)-INDEX($F98:$N98,0,V$110))/(INDEX($F$4:$N$4,0,V$110+1)-INDEX($F$4:$N$4,0,V$110))+U117)))</f>
        <v>7.8730918952870885</v>
      </c>
      <c r="W117" s="5" cm="1">
        <f t="array" ref="W117">IF(W$110=-1,X117,IF(W$110=99,V117,IF(W$110=0,INDEX($F98:$N98,0,W$108),(INDEX($F98:$N98,0,W$110+1)-INDEX($F98:$N98,0,W$110))/(INDEX($F$4:$N$4,0,W$110+1)-INDEX($F$4:$N$4,0,W$110))+V117)))</f>
        <v>8.1126608085348852</v>
      </c>
      <c r="X117" s="5" cm="1">
        <f t="array" ref="X117">IF(X$110=-1,Y117,IF(X$110=99,W117,IF(X$110=0,INDEX($F98:$N98,0,X$108),(INDEX($F98:$N98,0,X$110+1)-INDEX($F98:$N98,0,X$110))/(INDEX($F$4:$N$4,0,X$110+1)-INDEX($F$4:$N$4,0,X$110))+W117)))</f>
        <v>8.3522297217826829</v>
      </c>
      <c r="Y117" s="5" cm="1">
        <f t="array" ref="Y117">IF(Y$110=-1,Z117,IF(Y$110=99,X117,IF(Y$110=0,INDEX($F98:$N98,0,Y$108),(INDEX($F98:$N98,0,Y$110+1)-INDEX($F98:$N98,0,Y$110))/(INDEX($F$4:$N$4,0,Y$110+1)-INDEX($F$4:$N$4,0,Y$110))+X117)))</f>
        <v>8.5917986350304805</v>
      </c>
      <c r="Z117" s="5" cm="1">
        <f t="array" ref="Z117">IF(Z$110=-1,AC117,IF(Z$110=99,Y117,IF(Z$110=0,INDEX($F98:$N98,0,Z$108),(INDEX($F98:$N98,0,Z$110+1)-INDEX($F98:$N98,0,Z$110))/(INDEX($F$4:$N$4,0,Z$110+1)-INDEX($F$4:$N$4,0,Z$110))+Y117)))</f>
        <v>8.8313675482782781</v>
      </c>
      <c r="AA117" s="5" cm="1">
        <f t="array" ref="AA117">IF(AA$110=-1,AB117,IF(AA$110=99,X117,IF(AA$110=0,INDEX($F98:$N98,0,AA$108),(INDEX($F98:$N98,0,AA$110+1)-INDEX($F98:$N98,0,AA$110))/(INDEX($F$4:$N$4,0,AA$110+1)-INDEX($F$4:$N$4,0,AA$110))+X117)))</f>
        <v>8.5917986350304805</v>
      </c>
      <c r="AB117" s="5" cm="1">
        <f t="array" ref="AB117">IF(AB$110=-1,AC117,IF(AB$110=99,Y117,IF(AB$110=0,INDEX($F98:$N98,0,AB$108),(INDEX($F98:$N98,0,AB$110+1)-INDEX($F98:$N98,0,AB$110))/(INDEX($F$4:$N$4,0,AB$110+1)-INDEX($F$4:$N$4,0,AB$110))+Y117)))</f>
        <v>8.8313675482782781</v>
      </c>
      <c r="AC117" s="5" cm="1">
        <f t="array" ref="AC117">IF(AC$110=-1,AD117,IF(AC$110=99,Z117,IF(AC$110=0,INDEX($F98:$N98,0,AC$108),(INDEX($F98:$N98,0,AC$110+1)-INDEX($F98:$N98,0,AC$110))/(INDEX($F$4:$N$4,0,AC$110+1)-INDEX($F$4:$N$4,0,AC$110))+Z117)))</f>
        <v>9.0709364615260757</v>
      </c>
      <c r="AD117" s="5" cm="1">
        <f t="array" ref="AD117">IF(AD$110=-1,AE117,IF(AD$110=99,AC117,IF(AD$110=0,INDEX($F98:$N98,0,AD$108),(INDEX($F98:$N98,0,AD$110+1)-INDEX($F98:$N98,0,AD$110))/(INDEX($F$4:$N$4,0,AD$110+1)-INDEX($F$4:$N$4,0,AD$110))+AC117)))</f>
        <v>9.3105053747738697</v>
      </c>
      <c r="AE117" s="5" cm="1">
        <f t="array" ref="AE117">IF(AE$110=-1,AF117,IF(AE$110=99,AD117,IF(AE$110=0,INDEX($F98:$N98,0,AE$108),(INDEX($F98:$N98,0,AE$110+1)-INDEX($F98:$N98,0,AE$110))/(INDEX($F$4:$N$4,0,AE$110+1)-INDEX($F$4:$N$4,0,AE$110))+AD117)))</f>
        <v>9.5402054613721372</v>
      </c>
      <c r="AF117" s="5" cm="1">
        <f t="array" ref="AF117">IF(AF$110=-1,AG117,IF(AF$110=99,AE117,IF(AF$110=0,INDEX($F98:$N98,0,AF$108),(INDEX($F98:$N98,0,AF$110+1)-INDEX($F98:$N98,0,AF$110))/(INDEX($F$4:$N$4,0,AF$110+1)-INDEX($F$4:$N$4,0,AF$110))+AE117)))</f>
        <v>9.7699055479704047</v>
      </c>
      <c r="AG117" s="5" cm="1">
        <f t="array" ref="AG117">IF(AG$110=-1,AH117,IF(AG$110=99,AF117,IF(AG$110=0,INDEX($F98:$N98,0,AG$108),(INDEX($F98:$N98,0,AG$110+1)-INDEX($F98:$N98,0,AG$110))/(INDEX($F$4:$N$4,0,AG$110+1)-INDEX($F$4:$N$4,0,AG$110))+AF117)))</f>
        <v>9.9996056345686721</v>
      </c>
      <c r="AH117" s="5" cm="1">
        <f t="array" ref="AH117">IF(AH$110=-1,AI117,IF(AH$110=99,AG117,IF(AH$110=0,INDEX($F98:$N98,0,AH$108),(INDEX($F98:$N98,0,AH$110+1)-INDEX($F98:$N98,0,AH$110))/(INDEX($F$4:$N$4,0,AH$110+1)-INDEX($F$4:$N$4,0,AH$110))+AG117)))</f>
        <v>10.22930572116694</v>
      </c>
      <c r="AI117" s="5" cm="1">
        <f t="array" ref="AI117">IF(AI$110=-1,AJ117,IF(AI$110=99,AH117,IF(AI$110=0,INDEX($F98:$N98,0,AI$108),(INDEX($F98:$N98,0,AI$110+1)-INDEX($F98:$N98,0,AI$110))/(INDEX($F$4:$N$4,0,AI$110+1)-INDEX($F$4:$N$4,0,AI$110))+AH117)))</f>
        <v>10.459005807765207</v>
      </c>
      <c r="AJ117" s="5" cm="1">
        <f t="array" ref="AJ117">IF(AJ$110=-1,AK117,IF(AJ$110=99,AI117,IF(AJ$110=0,INDEX($F98:$N98,0,AJ$108),(INDEX($F98:$N98,0,AJ$110+1)-INDEX($F98:$N98,0,AJ$110))/(INDEX($F$4:$N$4,0,AJ$110+1)-INDEX($F$4:$N$4,0,AJ$110))+AI117)))</f>
        <v>10.688705894363475</v>
      </c>
      <c r="AK117" s="5" cm="1">
        <f t="array" ref="AK117">IF(AK$110=-1,AL117,IF(AK$110=99,AJ117,IF(AK$110=0,INDEX($F98:$N98,0,AK$108),(INDEX($F98:$N98,0,AK$110+1)-INDEX($F98:$N98,0,AK$110))/(INDEX($F$4:$N$4,0,AK$110+1)-INDEX($F$4:$N$4,0,AK$110))+AJ117)))</f>
        <v>10.918405980961742</v>
      </c>
      <c r="AL117" s="5" cm="1">
        <f t="array" ref="AL117">IF(AL$110=-1,AM117,IF(AL$110=99,AK117,IF(AL$110=0,INDEX($F98:$N98,0,AL$108),(INDEX($F98:$N98,0,AL$110+1)-INDEX($F98:$N98,0,AL$110))/(INDEX($F$4:$N$4,0,AL$110+1)-INDEX($F$4:$N$4,0,AL$110))+AK117)))</f>
        <v>11.148106067560009</v>
      </c>
      <c r="AM117" s="5" cm="1">
        <f t="array" ref="AM117">IF(AM$110=-1,AN117,IF(AM$110=99,AL117,IF(AM$110=0,INDEX($F98:$N98,0,AM$108),(INDEX($F98:$N98,0,AM$110+1)-INDEX($F98:$N98,0,AM$110))/(INDEX($F$4:$N$4,0,AM$110+1)-INDEX($F$4:$N$4,0,AM$110))+AL117)))</f>
        <v>11.377806154158277</v>
      </c>
      <c r="AN117" s="5" cm="1">
        <f t="array" ref="AN117">IF(AN$110=-1,AO117,IF(AN$110=99,AM117,IF(AN$110=0,INDEX($F98:$N98,0,AN$108),(INDEX($F98:$N98,0,AN$110+1)-INDEX($F98:$N98,0,AN$110))/(INDEX($F$4:$N$4,0,AN$110+1)-INDEX($F$4:$N$4,0,AN$110))+AM117)))</f>
        <v>11.607506240756543</v>
      </c>
      <c r="AO117" s="5" cm="1">
        <f t="array" ref="AO117">IF(AO$110=-1,AP117,IF(AO$110=99,AN117,IF(AO$110=0,INDEX($F98:$N98,0,AO$108),(INDEX($F98:$N98,0,AO$110+1)-INDEX($F98:$N98,0,AO$110))/(INDEX($F$4:$N$4,0,AO$110+1)-INDEX($F$4:$N$4,0,AO$110))+AN117)))</f>
        <v>11.829408083090433</v>
      </c>
      <c r="AP117" s="5" cm="1">
        <f t="array" ref="AP117">IF(AP$110=-1,AQ117,IF(AP$110=99,AO117,IF(AP$110=0,INDEX($F98:$N98,0,AP$108),(INDEX($F98:$N98,0,AP$110+1)-INDEX($F98:$N98,0,AP$110))/(INDEX($F$4:$N$4,0,AP$110+1)-INDEX($F$4:$N$4,0,AP$110))+AO117)))</f>
        <v>12.051309925424324</v>
      </c>
      <c r="AQ117" s="5" cm="1">
        <f t="array" ref="AQ117">IF(AQ$110=-1,AR117,IF(AQ$110=99,AP117,IF(AQ$110=0,INDEX($F98:$N98,0,AQ$108),(INDEX($F98:$N98,0,AQ$110+1)-INDEX($F98:$N98,0,AQ$110))/(INDEX($F$4:$N$4,0,AQ$110+1)-INDEX($F$4:$N$4,0,AQ$110))+AP117)))</f>
        <v>12.273211767758214</v>
      </c>
      <c r="AR117" s="5" cm="1">
        <f t="array" ref="AR117">IF(AR$110=-1,AS117,IF(AR$110=99,AQ117,IF(AR$110=0,INDEX($F98:$N98,0,AR$108),(INDEX($F98:$N98,0,AR$110+1)-INDEX($F98:$N98,0,AR$110))/(INDEX($F$4:$N$4,0,AR$110+1)-INDEX($F$4:$N$4,0,AR$110))+AQ117)))</f>
        <v>12.495113610092105</v>
      </c>
      <c r="AS117" s="5" cm="1">
        <f t="array" ref="AS117">IF(AS$110=-1,AT117,IF(AS$110=99,AR117,IF(AS$110=0,INDEX($F98:$N98,0,AS$108),(INDEX($F98:$N98,0,AS$110+1)-INDEX($F98:$N98,0,AS$110))/(INDEX($F$4:$N$4,0,AS$110+1)-INDEX($F$4:$N$4,0,AS$110))+AR117)))</f>
        <v>12.717015452425995</v>
      </c>
      <c r="AT117" s="5" cm="1">
        <f t="array" ref="AT117">IF(AT$110=-1,AU117,IF(AT$110=99,AS117,IF(AT$110=0,INDEX($F98:$N98,0,AT$108),(INDEX($F98:$N98,0,AT$110+1)-INDEX($F98:$N98,0,AT$110))/(INDEX($F$4:$N$4,0,AT$110+1)-INDEX($F$4:$N$4,0,AT$110))+AS117)))</f>
        <v>12.938917294759886</v>
      </c>
      <c r="AU117" s="5" cm="1">
        <f t="array" ref="AU117">IF(AU$110=-1,AV117,IF(AU$110=99,AT117,IF(AU$110=0,INDEX($F98:$N98,0,AU$108),(INDEX($F98:$N98,0,AU$110+1)-INDEX($F98:$N98,0,AU$110))/(INDEX($F$4:$N$4,0,AU$110+1)-INDEX($F$4:$N$4,0,AU$110))+AT117)))</f>
        <v>13.160819137093776</v>
      </c>
      <c r="AV117" s="5" cm="1">
        <f t="array" ref="AV117">IF(AV$110=-1,AW117,IF(AV$110=99,AU117,IF(AV$110=0,INDEX($F98:$N98,0,AV$108),(INDEX($F98:$N98,0,AV$110+1)-INDEX($F98:$N98,0,AV$110))/(INDEX($F$4:$N$4,0,AV$110+1)-INDEX($F$4:$N$4,0,AV$110))+AU117)))</f>
        <v>13.382720979427667</v>
      </c>
      <c r="AW117" s="5" cm="1">
        <f t="array" ref="AW117">IF(AW$110=-1,AX117,IF(AW$110=99,AV117,IF(AW$110=0,INDEX($F98:$N98,0,AW$108),(INDEX($F98:$N98,0,AW$110+1)-INDEX($F98:$N98,0,AW$110))/(INDEX($F$4:$N$4,0,AW$110+1)-INDEX($F$4:$N$4,0,AW$110))+AV117)))</f>
        <v>13.604622821761557</v>
      </c>
      <c r="AX117" s="5" cm="1">
        <f t="array" ref="AX117">IF(AX$110=-1,AY117,IF(AX$110=99,AW117,IF(AX$110=0,INDEX($F98:$N98,0,AX$108),(INDEX($F98:$N98,0,AX$110+1)-INDEX($F98:$N98,0,AX$110))/(INDEX($F$4:$N$4,0,AX$110+1)-INDEX($F$4:$N$4,0,AX$110))+AW117)))</f>
        <v>13.82652466409545</v>
      </c>
      <c r="AY117" s="5" cm="1">
        <f t="array" ref="AY117">IF(AY$110=-1,AZ117,IF(AY$110=99,AX117,IF(AY$110=0,INDEX($F98:$N98,0,AY$108),(INDEX($F98:$N98,0,AY$110+1)-INDEX($F98:$N98,0,AY$110))/(INDEX($F$4:$N$4,0,AY$110+1)-INDEX($F$4:$N$4,0,AY$110))+AX117)))</f>
        <v>15.836707295316179</v>
      </c>
      <c r="AZ117" s="5" cm="1">
        <f t="array" ref="AZ117">IF(AZ$110=-1,BA117,IF(AZ$110=99,AY117,IF(AZ$110=0,INDEX($F98:$N98,0,AZ$108),(INDEX($F98:$N98,0,AZ$110+1)-INDEX($F98:$N98,0,AZ$110))/(INDEX($F$4:$N$4,0,AZ$110+1)-INDEX($F$4:$N$4,0,AZ$110))+AY117)))</f>
        <v>16.162144646479717</v>
      </c>
    </row>
    <row r="118" spans="1:52">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2.2400116999821158</v>
      </c>
      <c r="O118" s="5" cm="1">
        <f t="array" ref="O118">IF(O$110=-1,P118,IF(O$110=99,N118,IF(O$110=0,INDEX($F99:$N99,0,O$108),(INDEX($F99:$N99,0,O$110+1)-INDEX($F99:$N99,0,O$110))/(INDEX($F$4:$N$4,0,O$110+1)-INDEX($F$4:$N$4,0,O$110))+N118)))</f>
        <v>2.2538667693002417</v>
      </c>
      <c r="P118" s="5" cm="1">
        <f t="array" ref="P118">IF(P$110=-1,S118,IF(P$110=99,O118,IF(P$110=0,INDEX($F99:$N99,0,P$108),(INDEX($F99:$N99,0,P$110+1)-INDEX($F99:$N99,0,P$110))/(INDEX($F$4:$N$4,0,P$110+1)-INDEX($F$4:$N$4,0,P$110))+O118)))</f>
        <v>2.1701034671189854</v>
      </c>
      <c r="Q118" s="5" cm="1">
        <f t="array" ref="Q118">IF(Q$110=-1,R118,IF(Q$110=99,N118,IF(Q$110=0,INDEX($F99:$N99,0,Q$108),(INDEX($F99:$N99,0,Q$110+1)-INDEX($F99:$N99,0,Q$110))/(INDEX($F$4:$N$4,0,Q$110+1)-INDEX($F$4:$N$4,0,Q$110))+N118)))</f>
        <v>2.2538667693002417</v>
      </c>
      <c r="R118" s="5" cm="1">
        <f t="array" ref="R118">IF(R$110=-1,S118,IF(R$110=99,O118,IF(R$110=0,INDEX($F99:$N99,0,R$108),(INDEX($F99:$N99,0,R$110+1)-INDEX($F99:$N99,0,R$110))/(INDEX($F$4:$N$4,0,R$110+1)-INDEX($F$4:$N$4,0,R$110))+O118)))</f>
        <v>2.1701034671189854</v>
      </c>
      <c r="S118" s="5" cm="1">
        <f t="array" ref="S118">IF(S$110=-1,T118,IF(S$110=99,P118,IF(S$110=0,INDEX($F99:$N99,0,S$108),(INDEX($F99:$N99,0,S$110+1)-INDEX($F99:$N99,0,S$110))/(INDEX($F$4:$N$4,0,S$110+1)-INDEX($F$4:$N$4,0,S$110))+P118)))</f>
        <v>2.2980985522439892</v>
      </c>
      <c r="T118" s="5" cm="1">
        <f t="array" ref="T118">IF(T$110=-1,U118,IF(T$110=99,S118,IF(T$110=0,INDEX($F99:$N99,0,T$108),(INDEX($F99:$N99,0,T$110+1)-INDEX($F99:$N99,0,T$110))/(INDEX($F$4:$N$4,0,T$110+1)-INDEX($F$4:$N$4,0,T$110))+S118)))</f>
        <v>2.3711467461737814</v>
      </c>
      <c r="U118" s="5" cm="1">
        <f t="array" ref="U118">IF(U$110=-1,V118,IF(U$110=99,T118,IF(U$110=0,INDEX($F99:$N99,0,U$108),(INDEX($F99:$N99,0,U$110+1)-INDEX($F99:$N99,0,U$110))/(INDEX($F$4:$N$4,0,U$110+1)-INDEX($F$4:$N$4,0,U$110))+T118)))</f>
        <v>2.4441949401035736</v>
      </c>
      <c r="V118" s="5" cm="1">
        <f t="array" ref="V118">IF(V$110=-1,W118,IF(V$110=99,U118,IF(V$110=0,INDEX($F99:$N99,0,V$108),(INDEX($F99:$N99,0,V$110+1)-INDEX($F99:$N99,0,V$110))/(INDEX($F$4:$N$4,0,V$110+1)-INDEX($F$4:$N$4,0,V$110))+U118)))</f>
        <v>2.5172431340333659</v>
      </c>
      <c r="W118" s="5" cm="1">
        <f t="array" ref="W118">IF(W$110=-1,X118,IF(W$110=99,V118,IF(W$110=0,INDEX($F99:$N99,0,W$108),(INDEX($F99:$N99,0,W$110+1)-INDEX($F99:$N99,0,W$110))/(INDEX($F$4:$N$4,0,W$110+1)-INDEX($F$4:$N$4,0,W$110))+V118)))</f>
        <v>2.5902913279631581</v>
      </c>
      <c r="X118" s="5" cm="1">
        <f t="array" ref="X118">IF(X$110=-1,Y118,IF(X$110=99,W118,IF(X$110=0,INDEX($F99:$N99,0,X$108),(INDEX($F99:$N99,0,X$110+1)-INDEX($F99:$N99,0,X$110))/(INDEX($F$4:$N$4,0,X$110+1)-INDEX($F$4:$N$4,0,X$110))+W118)))</f>
        <v>2.6633395218929503</v>
      </c>
      <c r="Y118" s="5" cm="1">
        <f t="array" ref="Y118">IF(Y$110=-1,Z118,IF(Y$110=99,X118,IF(Y$110=0,INDEX($F99:$N99,0,Y$108),(INDEX($F99:$N99,0,Y$110+1)-INDEX($F99:$N99,0,Y$110))/(INDEX($F$4:$N$4,0,Y$110+1)-INDEX($F$4:$N$4,0,Y$110))+X118)))</f>
        <v>2.7363877158227425</v>
      </c>
      <c r="Z118" s="5" cm="1">
        <f t="array" ref="Z118">IF(Z$110=-1,AC118,IF(Z$110=99,Y118,IF(Z$110=0,INDEX($F99:$N99,0,Z$108),(INDEX($F99:$N99,0,Z$110+1)-INDEX($F99:$N99,0,Z$110))/(INDEX($F$4:$N$4,0,Z$110+1)-INDEX($F$4:$N$4,0,Z$110))+Y118)))</f>
        <v>2.8094359097525348</v>
      </c>
      <c r="AA118" s="5" cm="1">
        <f t="array" ref="AA118">IF(AA$110=-1,AB118,IF(AA$110=99,X118,IF(AA$110=0,INDEX($F99:$N99,0,AA$108),(INDEX($F99:$N99,0,AA$110+1)-INDEX($F99:$N99,0,AA$110))/(INDEX($F$4:$N$4,0,AA$110+1)-INDEX($F$4:$N$4,0,AA$110))+X118)))</f>
        <v>2.7363877158227425</v>
      </c>
      <c r="AB118" s="5" cm="1">
        <f t="array" ref="AB118">IF(AB$110=-1,AC118,IF(AB$110=99,Y118,IF(AB$110=0,INDEX($F99:$N99,0,AB$108),(INDEX($F99:$N99,0,AB$110+1)-INDEX($F99:$N99,0,AB$110))/(INDEX($F$4:$N$4,0,AB$110+1)-INDEX($F$4:$N$4,0,AB$110))+Y118)))</f>
        <v>2.8094359097525348</v>
      </c>
      <c r="AC118" s="5" cm="1">
        <f t="array" ref="AC118">IF(AC$110=-1,AD118,IF(AC$110=99,Z118,IF(AC$110=0,INDEX($F99:$N99,0,AC$108),(INDEX($F99:$N99,0,AC$110+1)-INDEX($F99:$N99,0,AC$110))/(INDEX($F$4:$N$4,0,AC$110+1)-INDEX($F$4:$N$4,0,AC$110))+Z118)))</f>
        <v>2.882484103682327</v>
      </c>
      <c r="AD118" s="5" cm="1">
        <f t="array" ref="AD118">IF(AD$110=-1,AE118,IF(AD$110=99,AC118,IF(AD$110=0,INDEX($F99:$N99,0,AD$108),(INDEX($F99:$N99,0,AD$110+1)-INDEX($F99:$N99,0,AD$110))/(INDEX($F$4:$N$4,0,AD$110+1)-INDEX($F$4:$N$4,0,AD$110))+AC118)))</f>
        <v>2.9555322976121179</v>
      </c>
      <c r="AE118" s="5" cm="1">
        <f t="array" ref="AE118">IF(AE$110=-1,AF118,IF(AE$110=99,AD118,IF(AE$110=0,INDEX($F99:$N99,0,AE$108),(INDEX($F99:$N99,0,AE$110+1)-INDEX($F99:$N99,0,AE$110))/(INDEX($F$4:$N$4,0,AE$110+1)-INDEX($F$4:$N$4,0,AE$110))+AD118)))</f>
        <v>3.0478415523112385</v>
      </c>
      <c r="AF118" s="5" cm="1">
        <f t="array" ref="AF118">IF(AF$110=-1,AG118,IF(AF$110=99,AE118,IF(AF$110=0,INDEX($F99:$N99,0,AF$108),(INDEX($F99:$N99,0,AF$110+1)-INDEX($F99:$N99,0,AF$110))/(INDEX($F$4:$N$4,0,AF$110+1)-INDEX($F$4:$N$4,0,AF$110))+AE118)))</f>
        <v>3.1401508070103592</v>
      </c>
      <c r="AG118" s="5" cm="1">
        <f t="array" ref="AG118">IF(AG$110=-1,AH118,IF(AG$110=99,AF118,IF(AG$110=0,INDEX($F99:$N99,0,AG$108),(INDEX($F99:$N99,0,AG$110+1)-INDEX($F99:$N99,0,AG$110))/(INDEX($F$4:$N$4,0,AG$110+1)-INDEX($F$4:$N$4,0,AG$110))+AF118)))</f>
        <v>3.2324600617094799</v>
      </c>
      <c r="AH118" s="5" cm="1">
        <f t="array" ref="AH118">IF(AH$110=-1,AI118,IF(AH$110=99,AG118,IF(AH$110=0,INDEX($F99:$N99,0,AH$108),(INDEX($F99:$N99,0,AH$110+1)-INDEX($F99:$N99,0,AH$110))/(INDEX($F$4:$N$4,0,AH$110+1)-INDEX($F$4:$N$4,0,AH$110))+AG118)))</f>
        <v>3.3247693164086005</v>
      </c>
      <c r="AI118" s="5" cm="1">
        <f t="array" ref="AI118">IF(AI$110=-1,AJ118,IF(AI$110=99,AH118,IF(AI$110=0,INDEX($F99:$N99,0,AI$108),(INDEX($F99:$N99,0,AI$110+1)-INDEX($F99:$N99,0,AI$110))/(INDEX($F$4:$N$4,0,AI$110+1)-INDEX($F$4:$N$4,0,AI$110))+AH118)))</f>
        <v>3.4170785711077212</v>
      </c>
      <c r="AJ118" s="5" cm="1">
        <f t="array" ref="AJ118">IF(AJ$110=-1,AK118,IF(AJ$110=99,AI118,IF(AJ$110=0,INDEX($F99:$N99,0,AJ$108),(INDEX($F99:$N99,0,AJ$110+1)-INDEX($F99:$N99,0,AJ$110))/(INDEX($F$4:$N$4,0,AJ$110+1)-INDEX($F$4:$N$4,0,AJ$110))+AI118)))</f>
        <v>3.5093878258068418</v>
      </c>
      <c r="AK118" s="5" cm="1">
        <f t="array" ref="AK118">IF(AK$110=-1,AL118,IF(AK$110=99,AJ118,IF(AK$110=0,INDEX($F99:$N99,0,AK$108),(INDEX($F99:$N99,0,AK$110+1)-INDEX($F99:$N99,0,AK$110))/(INDEX($F$4:$N$4,0,AK$110+1)-INDEX($F$4:$N$4,0,AK$110))+AJ118)))</f>
        <v>3.6016970805059625</v>
      </c>
      <c r="AL118" s="5" cm="1">
        <f t="array" ref="AL118">IF(AL$110=-1,AM118,IF(AL$110=99,AK118,IF(AL$110=0,INDEX($F99:$N99,0,AL$108),(INDEX($F99:$N99,0,AL$110+1)-INDEX($F99:$N99,0,AL$110))/(INDEX($F$4:$N$4,0,AL$110+1)-INDEX($F$4:$N$4,0,AL$110))+AK118)))</f>
        <v>3.6940063352050831</v>
      </c>
      <c r="AM118" s="5" cm="1">
        <f t="array" ref="AM118">IF(AM$110=-1,AN118,IF(AM$110=99,AL118,IF(AM$110=0,INDEX($F99:$N99,0,AM$108),(INDEX($F99:$N99,0,AM$110+1)-INDEX($F99:$N99,0,AM$110))/(INDEX($F$4:$N$4,0,AM$110+1)-INDEX($F$4:$N$4,0,AM$110))+AL118)))</f>
        <v>3.7863155899042038</v>
      </c>
      <c r="AN118" s="5" cm="1">
        <f t="array" ref="AN118">IF(AN$110=-1,AO118,IF(AN$110=99,AM118,IF(AN$110=0,INDEX($F99:$N99,0,AN$108),(INDEX($F99:$N99,0,AN$110+1)-INDEX($F99:$N99,0,AN$110))/(INDEX($F$4:$N$4,0,AN$110+1)-INDEX($F$4:$N$4,0,AN$110))+AM118)))</f>
        <v>3.878624844603324</v>
      </c>
      <c r="AO118" s="5" cm="1">
        <f t="array" ref="AO118">IF(AO$110=-1,AP118,IF(AO$110=99,AN118,IF(AO$110=0,INDEX($F99:$N99,0,AO$108),(INDEX($F99:$N99,0,AO$110+1)-INDEX($F99:$N99,0,AO$110))/(INDEX($F$4:$N$4,0,AO$110+1)-INDEX($F$4:$N$4,0,AO$110))+AN118)))</f>
        <v>3.9527728985339317</v>
      </c>
      <c r="AP118" s="5" cm="1">
        <f t="array" ref="AP118">IF(AP$110=-1,AQ118,IF(AP$110=99,AO118,IF(AP$110=0,INDEX($F99:$N99,0,AP$108),(INDEX($F99:$N99,0,AP$110+1)-INDEX($F99:$N99,0,AP$110))/(INDEX($F$4:$N$4,0,AP$110+1)-INDEX($F$4:$N$4,0,AP$110))+AO118)))</f>
        <v>4.0269209524645388</v>
      </c>
      <c r="AQ118" s="5" cm="1">
        <f t="array" ref="AQ118">IF(AQ$110=-1,AR118,IF(AQ$110=99,AP118,IF(AQ$110=0,INDEX($F99:$N99,0,AQ$108),(INDEX($F99:$N99,0,AQ$110+1)-INDEX($F99:$N99,0,AQ$110))/(INDEX($F$4:$N$4,0,AQ$110+1)-INDEX($F$4:$N$4,0,AQ$110))+AP118)))</f>
        <v>4.1010690063951465</v>
      </c>
      <c r="AR118" s="5" cm="1">
        <f t="array" ref="AR118">IF(AR$110=-1,AS118,IF(AR$110=99,AQ118,IF(AR$110=0,INDEX($F99:$N99,0,AR$108),(INDEX($F99:$N99,0,AR$110+1)-INDEX($F99:$N99,0,AR$110))/(INDEX($F$4:$N$4,0,AR$110+1)-INDEX($F$4:$N$4,0,AR$110))+AQ118)))</f>
        <v>4.1752170603257541</v>
      </c>
      <c r="AS118" s="5" cm="1">
        <f t="array" ref="AS118">IF(AS$110=-1,AT118,IF(AS$110=99,AR118,IF(AS$110=0,INDEX($F99:$N99,0,AS$108),(INDEX($F99:$N99,0,AS$110+1)-INDEX($F99:$N99,0,AS$110))/(INDEX($F$4:$N$4,0,AS$110+1)-INDEX($F$4:$N$4,0,AS$110))+AR118)))</f>
        <v>4.2493651142563618</v>
      </c>
      <c r="AT118" s="5" cm="1">
        <f t="array" ref="AT118">IF(AT$110=-1,AU118,IF(AT$110=99,AS118,IF(AT$110=0,INDEX($F99:$N99,0,AT$108),(INDEX($F99:$N99,0,AT$110+1)-INDEX($F99:$N99,0,AT$110))/(INDEX($F$4:$N$4,0,AT$110+1)-INDEX($F$4:$N$4,0,AT$110))+AS118)))</f>
        <v>4.3235131681869694</v>
      </c>
      <c r="AU118" s="5" cm="1">
        <f t="array" ref="AU118">IF(AU$110=-1,AV118,IF(AU$110=99,AT118,IF(AU$110=0,INDEX($F99:$N99,0,AU$108),(INDEX($F99:$N99,0,AU$110+1)-INDEX($F99:$N99,0,AU$110))/(INDEX($F$4:$N$4,0,AU$110+1)-INDEX($F$4:$N$4,0,AU$110))+AT118)))</f>
        <v>4.397661222117577</v>
      </c>
      <c r="AV118" s="5" cm="1">
        <f t="array" ref="AV118">IF(AV$110=-1,AW118,IF(AV$110=99,AU118,IF(AV$110=0,INDEX($F99:$N99,0,AV$108),(INDEX($F99:$N99,0,AV$110+1)-INDEX($F99:$N99,0,AV$110))/(INDEX($F$4:$N$4,0,AV$110+1)-INDEX($F$4:$N$4,0,AV$110))+AU118)))</f>
        <v>4.4718092760481847</v>
      </c>
      <c r="AW118" s="5" cm="1">
        <f t="array" ref="AW118">IF(AW$110=-1,AX118,IF(AW$110=99,AV118,IF(AW$110=0,INDEX($F99:$N99,0,AW$108),(INDEX($F99:$N99,0,AW$110+1)-INDEX($F99:$N99,0,AW$110))/(INDEX($F$4:$N$4,0,AW$110+1)-INDEX($F$4:$N$4,0,AW$110))+AV118)))</f>
        <v>4.5459573299787923</v>
      </c>
      <c r="AX118" s="5" cm="1">
        <f t="array" ref="AX118">IF(AX$110=-1,AY118,IF(AX$110=99,AW118,IF(AX$110=0,INDEX($F99:$N99,0,AX$108),(INDEX($F99:$N99,0,AX$110+1)-INDEX($F99:$N99,0,AX$110))/(INDEX($F$4:$N$4,0,AX$110+1)-INDEX($F$4:$N$4,0,AX$110))+AW118)))</f>
        <v>4.6201053839093991</v>
      </c>
      <c r="AY118" s="5" cm="1">
        <f t="array" ref="AY118">IF(AY$110=-1,AZ118,IF(AY$110=99,AX118,IF(AY$110=0,INDEX($F99:$N99,0,AY$108),(INDEX($F99:$N99,0,AY$110+1)-INDEX($F99:$N99,0,AY$110))/(INDEX($F$4:$N$4,0,AY$110+1)-INDEX($F$4:$N$4,0,AY$110))+AX118)))</f>
        <v>5.2918038636626719</v>
      </c>
      <c r="AZ118" s="5" cm="1">
        <f t="array" ref="AZ118">IF(AZ$110=-1,BA118,IF(AZ$110=99,AY118,IF(AZ$110=0,INDEX($F99:$N99,0,AZ$108),(INDEX($F99:$N99,0,AZ$110+1)-INDEX($F99:$N99,0,AZ$110))/(INDEX($F$4:$N$4,0,AZ$110+1)-INDEX($F$4:$N$4,0,AZ$110))+AY118)))</f>
        <v>5.4005480994531956</v>
      </c>
    </row>
    <row r="119" spans="1:52">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0.12297430771519344</v>
      </c>
      <c r="O119" s="5" cm="1">
        <f t="array" ref="O119">IF(O$110=-1,P119,IF(O$110=99,N119,IF(O$110=0,INDEX($F100:$N100,0,O$108),(INDEX($F100:$N100,0,O$110+1)-INDEX($F100:$N100,0,O$110))/(INDEX($F$4:$N$4,0,O$110+1)-INDEX($F$4:$N$4,0,O$110))+N119)))</f>
        <v>0.12373493658054988</v>
      </c>
      <c r="P119" s="5" cm="1">
        <f t="array" ref="P119">IF(P$110=-1,S119,IF(P$110=99,O119,IF(P$110=0,INDEX($F100:$N100,0,P$108),(INDEX($F100:$N100,0,P$110+1)-INDEX($F100:$N100,0,P$110))/(INDEX($F$4:$N$4,0,P$110+1)-INDEX($F$4:$N$4,0,P$110))+O119)))</f>
        <v>0.11913641859166579</v>
      </c>
      <c r="Q119" s="5" cm="1">
        <f t="array" ref="Q119">IF(Q$110=-1,R119,IF(Q$110=99,N119,IF(Q$110=0,INDEX($F100:$N100,0,Q$108),(INDEX($F100:$N100,0,Q$110+1)-INDEX($F100:$N100,0,Q$110))/(INDEX($F$4:$N$4,0,Q$110+1)-INDEX($F$4:$N$4,0,Q$110))+N119)))</f>
        <v>0.12373493658054988</v>
      </c>
      <c r="R119" s="5" cm="1">
        <f t="array" ref="R119">IF(R$110=-1,S119,IF(R$110=99,O119,IF(R$110=0,INDEX($F100:$N100,0,R$108),(INDEX($F100:$N100,0,R$110+1)-INDEX($F100:$N100,0,R$110))/(INDEX($F$4:$N$4,0,R$110+1)-INDEX($F$4:$N$4,0,R$110))+O119)))</f>
        <v>0.11913641859166579</v>
      </c>
      <c r="S119" s="5" cm="1">
        <f t="array" ref="S119">IF(S$110=-1,T119,IF(S$110=99,P119,IF(S$110=0,INDEX($F100:$N100,0,S$108),(INDEX($F100:$N100,0,S$110+1)-INDEX($F100:$N100,0,S$110))/(INDEX($F$4:$N$4,0,S$110+1)-INDEX($F$4:$N$4,0,S$110))+P119)))</f>
        <v>0.12616321536434347</v>
      </c>
      <c r="T119" s="5" cm="1">
        <f t="array" ref="T119">IF(T$110=-1,U119,IF(T$110=99,S119,IF(T$110=0,INDEX($F100:$N100,0,T$108),(INDEX($F100:$N100,0,T$110+1)-INDEX($F100:$N100,0,T$110))/(INDEX($F$4:$N$4,0,T$110+1)-INDEX($F$4:$N$4,0,T$110))+S119)))</f>
        <v>0.1301734850778602</v>
      </c>
      <c r="U119" s="5" cm="1">
        <f t="array" ref="U119">IF(U$110=-1,V119,IF(U$110=99,T119,IF(U$110=0,INDEX($F100:$N100,0,U$108),(INDEX($F100:$N100,0,U$110+1)-INDEX($F100:$N100,0,U$110))/(INDEX($F$4:$N$4,0,U$110+1)-INDEX($F$4:$N$4,0,U$110))+T119)))</f>
        <v>0.13418375479137692</v>
      </c>
      <c r="V119" s="5" cm="1">
        <f t="array" ref="V119">IF(V$110=-1,W119,IF(V$110=99,U119,IF(V$110=0,INDEX($F100:$N100,0,V$108),(INDEX($F100:$N100,0,V$110+1)-INDEX($F100:$N100,0,V$110))/(INDEX($F$4:$N$4,0,V$110+1)-INDEX($F$4:$N$4,0,V$110))+U119)))</f>
        <v>0.13819402450489365</v>
      </c>
      <c r="W119" s="5" cm="1">
        <f t="array" ref="W119">IF(W$110=-1,X119,IF(W$110=99,V119,IF(W$110=0,INDEX($F100:$N100,0,W$108),(INDEX($F100:$N100,0,W$110+1)-INDEX($F100:$N100,0,W$110))/(INDEX($F$4:$N$4,0,W$110+1)-INDEX($F$4:$N$4,0,W$110))+V119)))</f>
        <v>0.14220429421841038</v>
      </c>
      <c r="X119" s="5" cm="1">
        <f t="array" ref="X119">IF(X$110=-1,Y119,IF(X$110=99,W119,IF(X$110=0,INDEX($F100:$N100,0,X$108),(INDEX($F100:$N100,0,X$110+1)-INDEX($F100:$N100,0,X$110))/(INDEX($F$4:$N$4,0,X$110+1)-INDEX($F$4:$N$4,0,X$110))+W119)))</f>
        <v>0.14621456393192711</v>
      </c>
      <c r="Y119" s="5" cm="1">
        <f t="array" ref="Y119">IF(Y$110=-1,Z119,IF(Y$110=99,X119,IF(Y$110=0,INDEX($F100:$N100,0,Y$108),(INDEX($F100:$N100,0,Y$110+1)-INDEX($F100:$N100,0,Y$110))/(INDEX($F$4:$N$4,0,Y$110+1)-INDEX($F$4:$N$4,0,Y$110))+X119)))</f>
        <v>0.15022483364544384</v>
      </c>
      <c r="Z119" s="5" cm="1">
        <f t="array" ref="Z119">IF(Z$110=-1,AC119,IF(Z$110=99,Y119,IF(Z$110=0,INDEX($F100:$N100,0,Z$108),(INDEX($F100:$N100,0,Z$110+1)-INDEX($F100:$N100,0,Z$110))/(INDEX($F$4:$N$4,0,Z$110+1)-INDEX($F$4:$N$4,0,Z$110))+Y119)))</f>
        <v>0.15423510335896057</v>
      </c>
      <c r="AA119" s="5" cm="1">
        <f t="array" ref="AA119">IF(AA$110=-1,AB119,IF(AA$110=99,X119,IF(AA$110=0,INDEX($F100:$N100,0,AA$108),(INDEX($F100:$N100,0,AA$110+1)-INDEX($F100:$N100,0,AA$110))/(INDEX($F$4:$N$4,0,AA$110+1)-INDEX($F$4:$N$4,0,AA$110))+X119)))</f>
        <v>0.15022483364544384</v>
      </c>
      <c r="AB119" s="5" cm="1">
        <f t="array" ref="AB119">IF(AB$110=-1,AC119,IF(AB$110=99,Y119,IF(AB$110=0,INDEX($F100:$N100,0,AB$108),(INDEX($F100:$N100,0,AB$110+1)-INDEX($F100:$N100,0,AB$110))/(INDEX($F$4:$N$4,0,AB$110+1)-INDEX($F$4:$N$4,0,AB$110))+Y119)))</f>
        <v>0.15423510335896057</v>
      </c>
      <c r="AC119" s="5" cm="1">
        <f t="array" ref="AC119">IF(AC$110=-1,AD119,IF(AC$110=99,Z119,IF(AC$110=0,INDEX($F100:$N100,0,AC$108),(INDEX($F100:$N100,0,AC$110+1)-INDEX($F100:$N100,0,AC$110))/(INDEX($F$4:$N$4,0,AC$110+1)-INDEX($F$4:$N$4,0,AC$110))+Z119)))</f>
        <v>0.1582453730724773</v>
      </c>
      <c r="AD119" s="5" cm="1">
        <f t="array" ref="AD119">IF(AD$110=-1,AE119,IF(AD$110=99,AC119,IF(AD$110=0,INDEX($F100:$N100,0,AD$108),(INDEX($F100:$N100,0,AD$110+1)-INDEX($F100:$N100,0,AD$110))/(INDEX($F$4:$N$4,0,AD$110+1)-INDEX($F$4:$N$4,0,AD$110))+AC119)))</f>
        <v>0.16225564278599394</v>
      </c>
      <c r="AE119" s="5" cm="1">
        <f t="array" ref="AE119">IF(AE$110=-1,AF119,IF(AE$110=99,AD119,IF(AE$110=0,INDEX($F100:$N100,0,AE$108),(INDEX($F100:$N100,0,AE$110+1)-INDEX($F100:$N100,0,AE$110))/(INDEX($F$4:$N$4,0,AE$110+1)-INDEX($F$4:$N$4,0,AE$110))+AD119)))</f>
        <v>0.16732332466123614</v>
      </c>
      <c r="AF119" s="5" cm="1">
        <f t="array" ref="AF119">IF(AF$110=-1,AG119,IF(AF$110=99,AE119,IF(AF$110=0,INDEX($F100:$N100,0,AF$108),(INDEX($F100:$N100,0,AF$110+1)-INDEX($F100:$N100,0,AF$110))/(INDEX($F$4:$N$4,0,AF$110+1)-INDEX($F$4:$N$4,0,AF$110))+AE119)))</f>
        <v>0.17239100653647835</v>
      </c>
      <c r="AG119" s="5" cm="1">
        <f t="array" ref="AG119">IF(AG$110=-1,AH119,IF(AG$110=99,AF119,IF(AG$110=0,INDEX($F100:$N100,0,AG$108),(INDEX($F100:$N100,0,AG$110+1)-INDEX($F100:$N100,0,AG$110))/(INDEX($F$4:$N$4,0,AG$110+1)-INDEX($F$4:$N$4,0,AG$110))+AF119)))</f>
        <v>0.17745868841172055</v>
      </c>
      <c r="AH119" s="5" cm="1">
        <f t="array" ref="AH119">IF(AH$110=-1,AI119,IF(AH$110=99,AG119,IF(AH$110=0,INDEX($F100:$N100,0,AH$108),(INDEX($F100:$N100,0,AH$110+1)-INDEX($F100:$N100,0,AH$110))/(INDEX($F$4:$N$4,0,AH$110+1)-INDEX($F$4:$N$4,0,AH$110))+AG119)))</f>
        <v>0.18252637028696275</v>
      </c>
      <c r="AI119" s="5" cm="1">
        <f t="array" ref="AI119">IF(AI$110=-1,AJ119,IF(AI$110=99,AH119,IF(AI$110=0,INDEX($F100:$N100,0,AI$108),(INDEX($F100:$N100,0,AI$110+1)-INDEX($F100:$N100,0,AI$110))/(INDEX($F$4:$N$4,0,AI$110+1)-INDEX($F$4:$N$4,0,AI$110))+AH119)))</f>
        <v>0.18759405216220496</v>
      </c>
      <c r="AJ119" s="5" cm="1">
        <f t="array" ref="AJ119">IF(AJ$110=-1,AK119,IF(AJ$110=99,AI119,IF(AJ$110=0,INDEX($F100:$N100,0,AJ$108),(INDEX($F100:$N100,0,AJ$110+1)-INDEX($F100:$N100,0,AJ$110))/(INDEX($F$4:$N$4,0,AJ$110+1)-INDEX($F$4:$N$4,0,AJ$110))+AI119)))</f>
        <v>0.19266173403744716</v>
      </c>
      <c r="AK119" s="5" cm="1">
        <f t="array" ref="AK119">IF(AK$110=-1,AL119,IF(AK$110=99,AJ119,IF(AK$110=0,INDEX($F100:$N100,0,AK$108),(INDEX($F100:$N100,0,AK$110+1)-INDEX($F100:$N100,0,AK$110))/(INDEX($F$4:$N$4,0,AK$110+1)-INDEX($F$4:$N$4,0,AK$110))+AJ119)))</f>
        <v>0.19772941591268936</v>
      </c>
      <c r="AL119" s="5" cm="1">
        <f t="array" ref="AL119">IF(AL$110=-1,AM119,IF(AL$110=99,AK119,IF(AL$110=0,INDEX($F100:$N100,0,AL$108),(INDEX($F100:$N100,0,AL$110+1)-INDEX($F100:$N100,0,AL$110))/(INDEX($F$4:$N$4,0,AL$110+1)-INDEX($F$4:$N$4,0,AL$110))+AK119)))</f>
        <v>0.20279709778793156</v>
      </c>
      <c r="AM119" s="5" cm="1">
        <f t="array" ref="AM119">IF(AM$110=-1,AN119,IF(AM$110=99,AL119,IF(AM$110=0,INDEX($F100:$N100,0,AM$108),(INDEX($F100:$N100,0,AM$110+1)-INDEX($F100:$N100,0,AM$110))/(INDEX($F$4:$N$4,0,AM$110+1)-INDEX($F$4:$N$4,0,AM$110))+AL119)))</f>
        <v>0.20786477966317377</v>
      </c>
      <c r="AN119" s="5" cm="1">
        <f t="array" ref="AN119">IF(AN$110=-1,AO119,IF(AN$110=99,AM119,IF(AN$110=0,INDEX($F100:$N100,0,AN$108),(INDEX($F100:$N100,0,AN$110+1)-INDEX($F100:$N100,0,AN$110))/(INDEX($F$4:$N$4,0,AN$110+1)-INDEX($F$4:$N$4,0,AN$110))+AM119)))</f>
        <v>0.21293246153841591</v>
      </c>
      <c r="AO119" s="5" cm="1">
        <f t="array" ref="AO119">IF(AO$110=-1,AP119,IF(AO$110=99,AN119,IF(AO$110=0,INDEX($F100:$N100,0,AO$108),(INDEX($F100:$N100,0,AO$110+1)-INDEX($F100:$N100,0,AO$110))/(INDEX($F$4:$N$4,0,AO$110+1)-INDEX($F$4:$N$4,0,AO$110))+AN119)))</f>
        <v>0.21700311241966713</v>
      </c>
      <c r="AP119" s="5" cm="1">
        <f t="array" ref="AP119">IF(AP$110=-1,AQ119,IF(AP$110=99,AO119,IF(AP$110=0,INDEX($F100:$N100,0,AP$108),(INDEX($F100:$N100,0,AP$110+1)-INDEX($F100:$N100,0,AP$110))/(INDEX($F$4:$N$4,0,AP$110+1)-INDEX($F$4:$N$4,0,AP$110))+AO119)))</f>
        <v>0.22107376330091838</v>
      </c>
      <c r="AQ119" s="5" cm="1">
        <f t="array" ref="AQ119">IF(AQ$110=-1,AR119,IF(AQ$110=99,AP119,IF(AQ$110=0,INDEX($F100:$N100,0,AQ$108),(INDEX($F100:$N100,0,AQ$110+1)-INDEX($F100:$N100,0,AQ$110))/(INDEX($F$4:$N$4,0,AQ$110+1)-INDEX($F$4:$N$4,0,AQ$110))+AP119)))</f>
        <v>0.22514441418216963</v>
      </c>
      <c r="AR119" s="5" cm="1">
        <f t="array" ref="AR119">IF(AR$110=-1,AS119,IF(AR$110=99,AQ119,IF(AR$110=0,INDEX($F100:$N100,0,AR$108),(INDEX($F100:$N100,0,AR$110+1)-INDEX($F100:$N100,0,AR$110))/(INDEX($F$4:$N$4,0,AR$110+1)-INDEX($F$4:$N$4,0,AR$110))+AQ119)))</f>
        <v>0.22921506506342088</v>
      </c>
      <c r="AS119" s="5" cm="1">
        <f t="array" ref="AS119">IF(AS$110=-1,AT119,IF(AS$110=99,AR119,IF(AS$110=0,INDEX($F100:$N100,0,AS$108),(INDEX($F100:$N100,0,AS$110+1)-INDEX($F100:$N100,0,AS$110))/(INDEX($F$4:$N$4,0,AS$110+1)-INDEX($F$4:$N$4,0,AS$110))+AR119)))</f>
        <v>0.23328571594467212</v>
      </c>
      <c r="AT119" s="5" cm="1">
        <f t="array" ref="AT119">IF(AT$110=-1,AU119,IF(AT$110=99,AS119,IF(AT$110=0,INDEX($F100:$N100,0,AT$108),(INDEX($F100:$N100,0,AT$110+1)-INDEX($F100:$N100,0,AT$110))/(INDEX($F$4:$N$4,0,AT$110+1)-INDEX($F$4:$N$4,0,AT$110))+AS119)))</f>
        <v>0.23735636682592337</v>
      </c>
      <c r="AU119" s="5" cm="1">
        <f t="array" ref="AU119">IF(AU$110=-1,AV119,IF(AU$110=99,AT119,IF(AU$110=0,INDEX($F100:$N100,0,AU$108),(INDEX($F100:$N100,0,AU$110+1)-INDEX($F100:$N100,0,AU$110))/(INDEX($F$4:$N$4,0,AU$110+1)-INDEX($F$4:$N$4,0,AU$110))+AT119)))</f>
        <v>0.24142701770717462</v>
      </c>
      <c r="AV119" s="5" cm="1">
        <f t="array" ref="AV119">IF(AV$110=-1,AW119,IF(AV$110=99,AU119,IF(AV$110=0,INDEX($F100:$N100,0,AV$108),(INDEX($F100:$N100,0,AV$110+1)-INDEX($F100:$N100,0,AV$110))/(INDEX($F$4:$N$4,0,AV$110+1)-INDEX($F$4:$N$4,0,AV$110))+AU119)))</f>
        <v>0.24549766858842587</v>
      </c>
      <c r="AW119" s="5" cm="1">
        <f t="array" ref="AW119">IF(AW$110=-1,AX119,IF(AW$110=99,AV119,IF(AW$110=0,INDEX($F100:$N100,0,AW$108),(INDEX($F100:$N100,0,AW$110+1)-INDEX($F100:$N100,0,AW$110))/(INDEX($F$4:$N$4,0,AW$110+1)-INDEX($F$4:$N$4,0,AW$110))+AV119)))</f>
        <v>0.24956831946967711</v>
      </c>
      <c r="AX119" s="5" cm="1">
        <f t="array" ref="AX119">IF(AX$110=-1,AY119,IF(AX$110=99,AW119,IF(AX$110=0,INDEX($F100:$N100,0,AX$108),(INDEX($F100:$N100,0,AX$110+1)-INDEX($F100:$N100,0,AX$110))/(INDEX($F$4:$N$4,0,AX$110+1)-INDEX($F$4:$N$4,0,AX$110))+AW119)))</f>
        <v>0.25363897035092825</v>
      </c>
      <c r="AY119" s="5" cm="1">
        <f t="array" ref="AY119">IF(AY$110=-1,AZ119,IF(AY$110=99,AX119,IF(AY$110=0,INDEX($F100:$N100,0,AY$108),(INDEX($F100:$N100,0,AY$110+1)-INDEX($F100:$N100,0,AY$110))/(INDEX($F$4:$N$4,0,AY$110+1)-INDEX($F$4:$N$4,0,AY$110))+AX119)))</f>
        <v>0.29051451682314805</v>
      </c>
      <c r="AZ119" s="5" cm="1">
        <f t="array" ref="AZ119">IF(AZ$110=-1,BA119,IF(AZ$110=99,AY119,IF(AZ$110=0,INDEX($F100:$N100,0,AZ$108),(INDEX($F100:$N100,0,AZ$110+1)-INDEX($F100:$N100,0,AZ$110))/(INDEX($F$4:$N$4,0,AZ$110+1)-INDEX($F$4:$N$4,0,AZ$110))+AY119)))</f>
        <v>0.29648446203123069</v>
      </c>
    </row>
    <row r="120" spans="1:52">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2.9412068148240201E-2</v>
      </c>
      <c r="N120" s="5" cm="1">
        <f t="array" ref="N120">IF(N$110=-1,O120,IF(N$110=99,M120,IF(N$110=0,INDEX($F101:$N101,0,N$108),(INDEX($F101:$N101,0,N$110+1)-INDEX($F101:$N101,0,N$110))/(INDEX($F$4:$N$4,0,N$110+1)-INDEX($F$4:$N$4,0,N$110))+M120)))</f>
        <v>2.9595121863944723E-2</v>
      </c>
      <c r="O120" s="5" cm="1">
        <f t="array" ref="O120">IF(O$110=-1,P120,IF(O$110=99,N120,IF(O$110=0,INDEX($F101:$N101,0,O$108),(INDEX($F101:$N101,0,O$110+1)-INDEX($F101:$N101,0,O$110))/(INDEX($F$4:$N$4,0,O$110+1)-INDEX($F$4:$N$4,0,O$110))+N120)))</f>
        <v>2.9778175579649242E-2</v>
      </c>
      <c r="P120" s="5" cm="1">
        <f t="array" ref="P120">IF(P$110=-1,S120,IF(P$110=99,O120,IF(P$110=0,INDEX($F101:$N101,0,P$108),(INDEX($F101:$N101,0,P$110+1)-INDEX($F101:$N101,0,P$110))/(INDEX($F$4:$N$4,0,P$110+1)-INDEX($F$4:$N$4,0,P$110))+O120)))</f>
        <v>2.8671491567328906E-2</v>
      </c>
      <c r="Q120" s="5" cm="1">
        <f t="array" ref="Q120">IF(Q$110=-1,R120,IF(Q$110=99,N120,IF(Q$110=0,INDEX($F101:$N101,0,Q$108),(INDEX($F101:$N101,0,Q$110+1)-INDEX($F101:$N101,0,Q$110))/(INDEX($F$4:$N$4,0,Q$110+1)-INDEX($F$4:$N$4,0,Q$110))+N120)))</f>
        <v>2.9778175579649242E-2</v>
      </c>
      <c r="R120" s="5" cm="1">
        <f t="array" ref="R120">IF(R$110=-1,S120,IF(R$110=99,O120,IF(R$110=0,INDEX($F101:$N101,0,R$108),(INDEX($F101:$N101,0,R$110+1)-INDEX($F101:$N101,0,R$110))/(INDEX($F$4:$N$4,0,R$110+1)-INDEX($F$4:$N$4,0,R$110))+O120)))</f>
        <v>2.8671491567328906E-2</v>
      </c>
      <c r="S120" s="5" cm="1">
        <f t="array" ref="S120">IF(S$110=-1,T120,IF(S$110=99,P120,IF(S$110=0,INDEX($F101:$N101,0,S$108),(INDEX($F101:$N101,0,S$110+1)-INDEX($F101:$N101,0,S$110))/(INDEX($F$4:$N$4,0,S$110+1)-INDEX($F$4:$N$4,0,S$110))+P120)))</f>
        <v>3.036256761942752E-2</v>
      </c>
      <c r="T120" s="5" cm="1">
        <f t="array" ref="T120">IF(T$110=-1,U120,IF(T$110=99,S120,IF(T$110=0,INDEX($F101:$N101,0,T$108),(INDEX($F101:$N101,0,T$110+1)-INDEX($F101:$N101,0,T$110))/(INDEX($F$4:$N$4,0,T$110+1)-INDEX($F$4:$N$4,0,T$110))+S120)))</f>
        <v>3.1327683204007063E-2</v>
      </c>
      <c r="U120" s="5" cm="1">
        <f t="array" ref="U120">IF(U$110=-1,V120,IF(U$110=99,T120,IF(U$110=0,INDEX($F101:$N101,0,U$108),(INDEX($F101:$N101,0,U$110+1)-INDEX($F101:$N101,0,U$110))/(INDEX($F$4:$N$4,0,U$110+1)-INDEX($F$4:$N$4,0,U$110))+T120)))</f>
        <v>3.229279878858661E-2</v>
      </c>
      <c r="V120" s="5" cm="1">
        <f t="array" ref="V120">IF(V$110=-1,W120,IF(V$110=99,U120,IF(V$110=0,INDEX($F101:$N101,0,V$108),(INDEX($F101:$N101,0,V$110+1)-INDEX($F101:$N101,0,V$110))/(INDEX($F$4:$N$4,0,V$110+1)-INDEX($F$4:$N$4,0,V$110))+U120)))</f>
        <v>3.3257914373166157E-2</v>
      </c>
      <c r="W120" s="5" cm="1">
        <f t="array" ref="W120">IF(W$110=-1,X120,IF(W$110=99,V120,IF(W$110=0,INDEX($F101:$N101,0,W$108),(INDEX($F101:$N101,0,W$110+1)-INDEX($F101:$N101,0,W$110))/(INDEX($F$4:$N$4,0,W$110+1)-INDEX($F$4:$N$4,0,W$110))+V120)))</f>
        <v>3.4223029957745704E-2</v>
      </c>
      <c r="X120" s="5" cm="1">
        <f t="array" ref="X120">IF(X$110=-1,Y120,IF(X$110=99,W120,IF(X$110=0,INDEX($F101:$N101,0,X$108),(INDEX($F101:$N101,0,X$110+1)-INDEX($F101:$N101,0,X$110))/(INDEX($F$4:$N$4,0,X$110+1)-INDEX($F$4:$N$4,0,X$110))+W120)))</f>
        <v>3.5188145542325251E-2</v>
      </c>
      <c r="Y120" s="5" cm="1">
        <f t="array" ref="Y120">IF(Y$110=-1,Z120,IF(Y$110=99,X120,IF(Y$110=0,INDEX($F101:$N101,0,Y$108),(INDEX($F101:$N101,0,Y$110+1)-INDEX($F101:$N101,0,Y$110))/(INDEX($F$4:$N$4,0,Y$110+1)-INDEX($F$4:$N$4,0,Y$110))+X120)))</f>
        <v>3.6153261126904798E-2</v>
      </c>
      <c r="Z120" s="5" cm="1">
        <f t="array" ref="Z120">IF(Z$110=-1,AC120,IF(Z$110=99,Y120,IF(Z$110=0,INDEX($F101:$N101,0,Z$108),(INDEX($F101:$N101,0,Z$110+1)-INDEX($F101:$N101,0,Z$110))/(INDEX($F$4:$N$4,0,Z$110+1)-INDEX($F$4:$N$4,0,Z$110))+Y120)))</f>
        <v>3.7118376711484345E-2</v>
      </c>
      <c r="AA120" s="5" cm="1">
        <f t="array" ref="AA120">IF(AA$110=-1,AB120,IF(AA$110=99,X120,IF(AA$110=0,INDEX($F101:$N101,0,AA$108),(INDEX($F101:$N101,0,AA$110+1)-INDEX($F101:$N101,0,AA$110))/(INDEX($F$4:$N$4,0,AA$110+1)-INDEX($F$4:$N$4,0,AA$110))+X120)))</f>
        <v>3.6153261126904798E-2</v>
      </c>
      <c r="AB120" s="5" cm="1">
        <f t="array" ref="AB120">IF(AB$110=-1,AC120,IF(AB$110=99,Y120,IF(AB$110=0,INDEX($F101:$N101,0,AB$108),(INDEX($F101:$N101,0,AB$110+1)-INDEX($F101:$N101,0,AB$110))/(INDEX($F$4:$N$4,0,AB$110+1)-INDEX($F$4:$N$4,0,AB$110))+Y120)))</f>
        <v>3.7118376711484345E-2</v>
      </c>
      <c r="AC120" s="5" cm="1">
        <f t="array" ref="AC120">IF(AC$110=-1,AD120,IF(AC$110=99,Z120,IF(AC$110=0,INDEX($F101:$N101,0,AC$108),(INDEX($F101:$N101,0,AC$110+1)-INDEX($F101:$N101,0,AC$110))/(INDEX($F$4:$N$4,0,AC$110+1)-INDEX($F$4:$N$4,0,AC$110))+Z120)))</f>
        <v>3.8083492296063892E-2</v>
      </c>
      <c r="AD120" s="5" cm="1">
        <f t="array" ref="AD120">IF(AD$110=-1,AE120,IF(AD$110=99,AC120,IF(AD$110=0,INDEX($F101:$N101,0,AD$108),(INDEX($F101:$N101,0,AD$110+1)-INDEX($F101:$N101,0,AD$110))/(INDEX($F$4:$N$4,0,AD$110+1)-INDEX($F$4:$N$4,0,AD$110))+AC120)))</f>
        <v>3.9048607880643432E-2</v>
      </c>
      <c r="AE120" s="5" cm="1">
        <f t="array" ref="AE120">IF(AE$110=-1,AF120,IF(AE$110=99,AD120,IF(AE$110=0,INDEX($F101:$N101,0,AE$108),(INDEX($F101:$N101,0,AE$110+1)-INDEX($F101:$N101,0,AE$110))/(INDEX($F$4:$N$4,0,AE$110+1)-INDEX($F$4:$N$4,0,AE$110))+AD120)))</f>
        <v>4.0268201350629418E-2</v>
      </c>
      <c r="AF120" s="5" cm="1">
        <f t="array" ref="AF120">IF(AF$110=-1,AG120,IF(AF$110=99,AE120,IF(AF$110=0,INDEX($F101:$N101,0,AF$108),(INDEX($F101:$N101,0,AF$110+1)-INDEX($F101:$N101,0,AF$110))/(INDEX($F$4:$N$4,0,AF$110+1)-INDEX($F$4:$N$4,0,AF$110))+AE120)))</f>
        <v>4.1487794820615403E-2</v>
      </c>
      <c r="AG120" s="5" cm="1">
        <f t="array" ref="AG120">IF(AG$110=-1,AH120,IF(AG$110=99,AF120,IF(AG$110=0,INDEX($F101:$N101,0,AG$108),(INDEX($F101:$N101,0,AG$110+1)-INDEX($F101:$N101,0,AG$110))/(INDEX($F$4:$N$4,0,AG$110+1)-INDEX($F$4:$N$4,0,AG$110))+AF120)))</f>
        <v>4.2707388290601389E-2</v>
      </c>
      <c r="AH120" s="5" cm="1">
        <f t="array" ref="AH120">IF(AH$110=-1,AI120,IF(AH$110=99,AG120,IF(AH$110=0,INDEX($F101:$N101,0,AH$108),(INDEX($F101:$N101,0,AH$110+1)-INDEX($F101:$N101,0,AH$110))/(INDEX($F$4:$N$4,0,AH$110+1)-INDEX($F$4:$N$4,0,AH$110))+AG120)))</f>
        <v>4.3926981760587375E-2</v>
      </c>
      <c r="AI120" s="5" cm="1">
        <f t="array" ref="AI120">IF(AI$110=-1,AJ120,IF(AI$110=99,AH120,IF(AI$110=0,INDEX($F101:$N101,0,AI$108),(INDEX($F101:$N101,0,AI$110+1)-INDEX($F101:$N101,0,AI$110))/(INDEX($F$4:$N$4,0,AI$110+1)-INDEX($F$4:$N$4,0,AI$110))+AH120)))</f>
        <v>4.514657523057336E-2</v>
      </c>
      <c r="AJ120" s="5" cm="1">
        <f t="array" ref="AJ120">IF(AJ$110=-1,AK120,IF(AJ$110=99,AI120,IF(AJ$110=0,INDEX($F101:$N101,0,AJ$108),(INDEX($F101:$N101,0,AJ$110+1)-INDEX($F101:$N101,0,AJ$110))/(INDEX($F$4:$N$4,0,AJ$110+1)-INDEX($F$4:$N$4,0,AJ$110))+AI120)))</f>
        <v>4.6366168700559346E-2</v>
      </c>
      <c r="AK120" s="5" cm="1">
        <f t="array" ref="AK120">IF(AK$110=-1,AL120,IF(AK$110=99,AJ120,IF(AK$110=0,INDEX($F101:$N101,0,AK$108),(INDEX($F101:$N101,0,AK$110+1)-INDEX($F101:$N101,0,AK$110))/(INDEX($F$4:$N$4,0,AK$110+1)-INDEX($F$4:$N$4,0,AK$110))+AJ120)))</f>
        <v>4.7585762170545332E-2</v>
      </c>
      <c r="AL120" s="5" cm="1">
        <f t="array" ref="AL120">IF(AL$110=-1,AM120,IF(AL$110=99,AK120,IF(AL$110=0,INDEX($F101:$N101,0,AL$108),(INDEX($F101:$N101,0,AL$110+1)-INDEX($F101:$N101,0,AL$110))/(INDEX($F$4:$N$4,0,AL$110+1)-INDEX($F$4:$N$4,0,AL$110))+AK120)))</f>
        <v>4.8805355640531317E-2</v>
      </c>
      <c r="AM120" s="5" cm="1">
        <f t="array" ref="AM120">IF(AM$110=-1,AN120,IF(AM$110=99,AL120,IF(AM$110=0,INDEX($F101:$N101,0,AM$108),(INDEX($F101:$N101,0,AM$110+1)-INDEX($F101:$N101,0,AM$110))/(INDEX($F$4:$N$4,0,AM$110+1)-INDEX($F$4:$N$4,0,AM$110))+AL120)))</f>
        <v>5.0024949110517303E-2</v>
      </c>
      <c r="AN120" s="5" cm="1">
        <f t="array" ref="AN120">IF(AN$110=-1,AO120,IF(AN$110=99,AM120,IF(AN$110=0,INDEX($F101:$N101,0,AN$108),(INDEX($F101:$N101,0,AN$110+1)-INDEX($F101:$N101,0,AN$110))/(INDEX($F$4:$N$4,0,AN$110+1)-INDEX($F$4:$N$4,0,AN$110))+AM120)))</f>
        <v>5.1244542580503254E-2</v>
      </c>
      <c r="AO120" s="5" cm="1">
        <f t="array" ref="AO120">IF(AO$110=-1,AP120,IF(AO$110=99,AN120,IF(AO$110=0,INDEX($F101:$N101,0,AO$108),(INDEX($F101:$N101,0,AO$110+1)-INDEX($F101:$N101,0,AO$110))/(INDEX($F$4:$N$4,0,AO$110+1)-INDEX($F$4:$N$4,0,AO$110))+AN120)))</f>
        <v>5.2224189558270462E-2</v>
      </c>
      <c r="AP120" s="5" cm="1">
        <f t="array" ref="AP120">IF(AP$110=-1,AQ120,IF(AP$110=99,AO120,IF(AP$110=0,INDEX($F101:$N101,0,AP$108),(INDEX($F101:$N101,0,AP$110+1)-INDEX($F101:$N101,0,AP$110))/(INDEX($F$4:$N$4,0,AP$110+1)-INDEX($F$4:$N$4,0,AP$110))+AO120)))</f>
        <v>5.320383653603767E-2</v>
      </c>
      <c r="AQ120" s="5" cm="1">
        <f t="array" ref="AQ120">IF(AQ$110=-1,AR120,IF(AQ$110=99,AP120,IF(AQ$110=0,INDEX($F101:$N101,0,AQ$108),(INDEX($F101:$N101,0,AQ$110+1)-INDEX($F101:$N101,0,AQ$110))/(INDEX($F$4:$N$4,0,AQ$110+1)-INDEX($F$4:$N$4,0,AQ$110))+AP120)))</f>
        <v>5.4183483513804878E-2</v>
      </c>
      <c r="AR120" s="5" cm="1">
        <f t="array" ref="AR120">IF(AR$110=-1,AS120,IF(AR$110=99,AQ120,IF(AR$110=0,INDEX($F101:$N101,0,AR$108),(INDEX($F101:$N101,0,AR$110+1)-INDEX($F101:$N101,0,AR$110))/(INDEX($F$4:$N$4,0,AR$110+1)-INDEX($F$4:$N$4,0,AR$110))+AQ120)))</f>
        <v>5.5163130491572086E-2</v>
      </c>
      <c r="AS120" s="5" cm="1">
        <f t="array" ref="AS120">IF(AS$110=-1,AT120,IF(AS$110=99,AR120,IF(AS$110=0,INDEX($F101:$N101,0,AS$108),(INDEX($F101:$N101,0,AS$110+1)-INDEX($F101:$N101,0,AS$110))/(INDEX($F$4:$N$4,0,AS$110+1)-INDEX($F$4:$N$4,0,AS$110))+AR120)))</f>
        <v>5.6142777469339294E-2</v>
      </c>
      <c r="AT120" s="5" cm="1">
        <f t="array" ref="AT120">IF(AT$110=-1,AU120,IF(AT$110=99,AS120,IF(AT$110=0,INDEX($F101:$N101,0,AT$108),(INDEX($F101:$N101,0,AT$110+1)-INDEX($F101:$N101,0,AT$110))/(INDEX($F$4:$N$4,0,AT$110+1)-INDEX($F$4:$N$4,0,AT$110))+AS120)))</f>
        <v>5.7122424447106503E-2</v>
      </c>
      <c r="AU120" s="5" cm="1">
        <f t="array" ref="AU120">IF(AU$110=-1,AV120,IF(AU$110=99,AT120,IF(AU$110=0,INDEX($F101:$N101,0,AU$108),(INDEX($F101:$N101,0,AU$110+1)-INDEX($F101:$N101,0,AU$110))/(INDEX($F$4:$N$4,0,AU$110+1)-INDEX($F$4:$N$4,0,AU$110))+AT120)))</f>
        <v>5.8102071424873711E-2</v>
      </c>
      <c r="AV120" s="5" cm="1">
        <f t="array" ref="AV120">IF(AV$110=-1,AW120,IF(AV$110=99,AU120,IF(AV$110=0,INDEX($F101:$N101,0,AV$108),(INDEX($F101:$N101,0,AV$110+1)-INDEX($F101:$N101,0,AV$110))/(INDEX($F$4:$N$4,0,AV$110+1)-INDEX($F$4:$N$4,0,AV$110))+AU120)))</f>
        <v>5.9081718402640919E-2</v>
      </c>
      <c r="AW120" s="5" cm="1">
        <f t="array" ref="AW120">IF(AW$110=-1,AX120,IF(AW$110=99,AV120,IF(AW$110=0,INDEX($F101:$N101,0,AW$108),(INDEX($F101:$N101,0,AW$110+1)-INDEX($F101:$N101,0,AW$110))/(INDEX($F$4:$N$4,0,AW$110+1)-INDEX($F$4:$N$4,0,AW$110))+AV120)))</f>
        <v>6.0061365380408127E-2</v>
      </c>
      <c r="AX120" s="5" cm="1">
        <f t="array" ref="AX120">IF(AX$110=-1,AY120,IF(AX$110=99,AW120,IF(AX$110=0,INDEX($F101:$N101,0,AX$108),(INDEX($F101:$N101,0,AX$110+1)-INDEX($F101:$N101,0,AX$110))/(INDEX($F$4:$N$4,0,AX$110+1)-INDEX($F$4:$N$4,0,AX$110))+AW120)))</f>
        <v>6.1041012358175363E-2</v>
      </c>
      <c r="AY120" s="5" cm="1">
        <f t="array" ref="AY120">IF(AY$110=-1,AZ120,IF(AY$110=99,AX120,IF(AY$110=0,INDEX($F101:$N101,0,AY$108),(INDEX($F101:$N101,0,AY$110+1)-INDEX($F101:$N101,0,AY$110))/(INDEX($F$4:$N$4,0,AY$110+1)-INDEX($F$4:$N$4,0,AY$110))+AX120)))</f>
        <v>6.991551884592416E-2</v>
      </c>
      <c r="AZ120" s="5" cm="1">
        <f t="array" ref="AZ120">IF(AZ$110=-1,BA120,IF(AZ$110=99,AY120,IF(AZ$110=0,INDEX($F101:$N101,0,AZ$108),(INDEX($F101:$N101,0,AZ$110+1)-INDEX($F101:$N101,0,AZ$110))/(INDEX($F$4:$N$4,0,AZ$110+1)-INDEX($F$4:$N$4,0,AZ$110))+AY120)))</f>
        <v>7.1352251926491458E-2</v>
      </c>
    </row>
    <row r="121" spans="1:52">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20.60902456349335</v>
      </c>
      <c r="O121" s="5" cm="1">
        <f t="array" ref="O121">IF(O$110=-1,P121,IF(O$110=99,N121,IF(O$110=0,INDEX($F102:$N102,0,O$108),(INDEX($F102:$N102,0,O$110+1)-INDEX($F102:$N102,0,O$110))/(INDEX($F$4:$N$4,0,O$110+1)-INDEX($F$4:$N$4,0,O$110))+N121)))</f>
        <v>19.218049126986699</v>
      </c>
      <c r="P121" s="5" cm="1">
        <f t="array" ref="P121">IF(P$110=-1,S121,IF(P$110=99,O121,IF(P$110=0,INDEX($F102:$N102,0,P$108),(INDEX($F102:$N102,0,P$110+1)-INDEX($F102:$N102,0,P$110))/(INDEX($F$4:$N$4,0,P$110+1)-INDEX($F$4:$N$4,0,P$110))+O121)))</f>
        <v>17.206637381742077</v>
      </c>
      <c r="Q121" s="5" cm="1">
        <f t="array" ref="Q121">IF(Q$110=-1,R121,IF(Q$110=99,N121,IF(Q$110=0,INDEX($F102:$N102,0,Q$108),(INDEX($F102:$N102,0,Q$110+1)-INDEX($F102:$N102,0,Q$110))/(INDEX($F$4:$N$4,0,Q$110+1)-INDEX($F$4:$N$4,0,Q$110))+N121)))</f>
        <v>19.218049126986699</v>
      </c>
      <c r="R121" s="5" cm="1">
        <f t="array" ref="R121">IF(R$110=-1,S121,IF(R$110=99,O121,IF(R$110=0,INDEX($F102:$N102,0,R$108),(INDEX($F102:$N102,0,R$110+1)-INDEX($F102:$N102,0,R$110))/(INDEX($F$4:$N$4,0,R$110+1)-INDEX($F$4:$N$4,0,R$110))+O121)))</f>
        <v>17.206637381742077</v>
      </c>
      <c r="S121" s="5" cm="1">
        <f t="array" ref="S121">IF(S$110=-1,T121,IF(S$110=99,P121,IF(S$110=0,INDEX($F102:$N102,0,S$108),(INDEX($F102:$N102,0,S$110+1)-INDEX($F102:$N102,0,S$110))/(INDEX($F$4:$N$4,0,S$110+1)-INDEX($F$4:$N$4,0,S$110))+P121)))</f>
        <v>17.305706019659819</v>
      </c>
      <c r="T121" s="5" cm="1">
        <f t="array" ref="T121">IF(T$110=-1,U121,IF(T$110=99,S121,IF(T$110=0,INDEX($F102:$N102,0,T$108),(INDEX($F102:$N102,0,T$110+1)-INDEX($F102:$N102,0,T$110))/(INDEX($F$4:$N$4,0,T$110+1)-INDEX($F$4:$N$4,0,T$110))+S121)))</f>
        <v>19.340387040183266</v>
      </c>
      <c r="U121" s="5" cm="1">
        <f t="array" ref="U121">IF(U$110=-1,V121,IF(U$110=99,T121,IF(U$110=0,INDEX($F102:$N102,0,U$108),(INDEX($F102:$N102,0,U$110+1)-INDEX($F102:$N102,0,U$110))/(INDEX($F$4:$N$4,0,U$110+1)-INDEX($F$4:$N$4,0,U$110))+T121)))</f>
        <v>21.375068060706713</v>
      </c>
      <c r="V121" s="5" cm="1">
        <f t="array" ref="V121">IF(V$110=-1,W121,IF(V$110=99,U121,IF(V$110=0,INDEX($F102:$N102,0,V$108),(INDEX($F102:$N102,0,V$110+1)-INDEX($F102:$N102,0,V$110))/(INDEX($F$4:$N$4,0,V$110+1)-INDEX($F$4:$N$4,0,V$110))+U121)))</f>
        <v>23.40974908123016</v>
      </c>
      <c r="W121" s="5" cm="1">
        <f t="array" ref="W121">IF(W$110=-1,X121,IF(W$110=99,V121,IF(W$110=0,INDEX($F102:$N102,0,W$108),(INDEX($F102:$N102,0,W$110+1)-INDEX($F102:$N102,0,W$110))/(INDEX($F$4:$N$4,0,W$110+1)-INDEX($F$4:$N$4,0,W$110))+V121)))</f>
        <v>25.444430101753607</v>
      </c>
      <c r="X121" s="5" cm="1">
        <f t="array" ref="X121">IF(X$110=-1,Y121,IF(X$110=99,W121,IF(X$110=0,INDEX($F102:$N102,0,X$108),(INDEX($F102:$N102,0,X$110+1)-INDEX($F102:$N102,0,X$110))/(INDEX($F$4:$N$4,0,X$110+1)-INDEX($F$4:$N$4,0,X$110))+W121)))</f>
        <v>27.479111122277054</v>
      </c>
      <c r="Y121" s="5" cm="1">
        <f t="array" ref="Y121">IF(Y$110=-1,Z121,IF(Y$110=99,X121,IF(Y$110=0,INDEX($F102:$N102,0,Y$108),(INDEX($F102:$N102,0,Y$110+1)-INDEX($F102:$N102,0,Y$110))/(INDEX($F$4:$N$4,0,Y$110+1)-INDEX($F$4:$N$4,0,Y$110))+X121)))</f>
        <v>29.513792142800501</v>
      </c>
      <c r="Z121" s="5" cm="1">
        <f t="array" ref="Z121">IF(Z$110=-1,AC121,IF(Z$110=99,Y121,IF(Z$110=0,INDEX($F102:$N102,0,Z$108),(INDEX($F102:$N102,0,Z$110+1)-INDEX($F102:$N102,0,Z$110))/(INDEX($F$4:$N$4,0,Z$110+1)-INDEX($F$4:$N$4,0,Z$110))+Y121)))</f>
        <v>31.548473163323948</v>
      </c>
      <c r="AA121" s="5" cm="1">
        <f t="array" ref="AA121">IF(AA$110=-1,AB121,IF(AA$110=99,X121,IF(AA$110=0,INDEX($F102:$N102,0,AA$108),(INDEX($F102:$N102,0,AA$110+1)-INDEX($F102:$N102,0,AA$110))/(INDEX($F$4:$N$4,0,AA$110+1)-INDEX($F$4:$N$4,0,AA$110))+X121)))</f>
        <v>29.513792142800501</v>
      </c>
      <c r="AB121" s="5" cm="1">
        <f t="array" ref="AB121">IF(AB$110=-1,AC121,IF(AB$110=99,Y121,IF(AB$110=0,INDEX($F102:$N102,0,AB$108),(INDEX($F102:$N102,0,AB$110+1)-INDEX($F102:$N102,0,AB$110))/(INDEX($F$4:$N$4,0,AB$110+1)-INDEX($F$4:$N$4,0,AB$110))+Y121)))</f>
        <v>31.548473163323948</v>
      </c>
      <c r="AC121" s="5" cm="1">
        <f t="array" ref="AC121">IF(AC$110=-1,AD121,IF(AC$110=99,Z121,IF(AC$110=0,INDEX($F102:$N102,0,AC$108),(INDEX($F102:$N102,0,AC$110+1)-INDEX($F102:$N102,0,AC$110))/(INDEX($F$4:$N$4,0,AC$110+1)-INDEX($F$4:$N$4,0,AC$110))+Z121)))</f>
        <v>33.583154183847398</v>
      </c>
      <c r="AD121" s="5" cm="1">
        <f t="array" ref="AD121">IF(AD$110=-1,AE121,IF(AD$110=99,AC121,IF(AD$110=0,INDEX($F102:$N102,0,AD$108),(INDEX($F102:$N102,0,AD$110+1)-INDEX($F102:$N102,0,AD$110))/(INDEX($F$4:$N$4,0,AD$110+1)-INDEX($F$4:$N$4,0,AD$110))+AC121)))</f>
        <v>35.617835204370841</v>
      </c>
      <c r="AE121" s="5" cm="1">
        <f t="array" ref="AE121">IF(AE$110=-1,AF121,IF(AE$110=99,AD121,IF(AE$110=0,INDEX($F102:$N102,0,AE$108),(INDEX($F102:$N102,0,AE$110+1)-INDEX($F102:$N102,0,AE$110))/(INDEX($F$4:$N$4,0,AE$110+1)-INDEX($F$4:$N$4,0,AE$110))+AD121)))</f>
        <v>40.063619642702491</v>
      </c>
      <c r="AF121" s="5" cm="1">
        <f t="array" ref="AF121">IF(AF$110=-1,AG121,IF(AF$110=99,AE121,IF(AF$110=0,INDEX($F102:$N102,0,AF$108),(INDEX($F102:$N102,0,AF$110+1)-INDEX($F102:$N102,0,AF$110))/(INDEX($F$4:$N$4,0,AF$110+1)-INDEX($F$4:$N$4,0,AF$110))+AE121)))</f>
        <v>44.509404081034141</v>
      </c>
      <c r="AG121" s="5" cm="1">
        <f t="array" ref="AG121">IF(AG$110=-1,AH121,IF(AG$110=99,AF121,IF(AG$110=0,INDEX($F102:$N102,0,AG$108),(INDEX($F102:$N102,0,AG$110+1)-INDEX($F102:$N102,0,AG$110))/(INDEX($F$4:$N$4,0,AG$110+1)-INDEX($F$4:$N$4,0,AG$110))+AF121)))</f>
        <v>48.955188519365791</v>
      </c>
      <c r="AH121" s="5" cm="1">
        <f t="array" ref="AH121">IF(AH$110=-1,AI121,IF(AH$110=99,AG121,IF(AH$110=0,INDEX($F102:$N102,0,AH$108),(INDEX($F102:$N102,0,AH$110+1)-INDEX($F102:$N102,0,AH$110))/(INDEX($F$4:$N$4,0,AH$110+1)-INDEX($F$4:$N$4,0,AH$110))+AG121)))</f>
        <v>53.400972957697441</v>
      </c>
      <c r="AI121" s="5" cm="1">
        <f t="array" ref="AI121">IF(AI$110=-1,AJ121,IF(AI$110=99,AH121,IF(AI$110=0,INDEX($F102:$N102,0,AI$108),(INDEX($F102:$N102,0,AI$110+1)-INDEX($F102:$N102,0,AI$110))/(INDEX($F$4:$N$4,0,AI$110+1)-INDEX($F$4:$N$4,0,AI$110))+AH121)))</f>
        <v>57.846757396029091</v>
      </c>
      <c r="AJ121" s="5" cm="1">
        <f t="array" ref="AJ121">IF(AJ$110=-1,AK121,IF(AJ$110=99,AI121,IF(AJ$110=0,INDEX($F102:$N102,0,AJ$108),(INDEX($F102:$N102,0,AJ$110+1)-INDEX($F102:$N102,0,AJ$110))/(INDEX($F$4:$N$4,0,AJ$110+1)-INDEX($F$4:$N$4,0,AJ$110))+AI121)))</f>
        <v>62.29254183436074</v>
      </c>
      <c r="AK121" s="5" cm="1">
        <f t="array" ref="AK121">IF(AK$110=-1,AL121,IF(AK$110=99,AJ121,IF(AK$110=0,INDEX($F102:$N102,0,AK$108),(INDEX($F102:$N102,0,AK$110+1)-INDEX($F102:$N102,0,AK$110))/(INDEX($F$4:$N$4,0,AK$110+1)-INDEX($F$4:$N$4,0,AK$110))+AJ121)))</f>
        <v>66.73832627269239</v>
      </c>
      <c r="AL121" s="5" cm="1">
        <f t="array" ref="AL121">IF(AL$110=-1,AM121,IF(AL$110=99,AK121,IF(AL$110=0,INDEX($F102:$N102,0,AL$108),(INDEX($F102:$N102,0,AL$110+1)-INDEX($F102:$N102,0,AL$110))/(INDEX($F$4:$N$4,0,AL$110+1)-INDEX($F$4:$N$4,0,AL$110))+AK121)))</f>
        <v>71.184110711024033</v>
      </c>
      <c r="AM121" s="5" cm="1">
        <f t="array" ref="AM121">IF(AM$110=-1,AN121,IF(AM$110=99,AL121,IF(AM$110=0,INDEX($F102:$N102,0,AM$108),(INDEX($F102:$N102,0,AM$110+1)-INDEX($F102:$N102,0,AM$110))/(INDEX($F$4:$N$4,0,AM$110+1)-INDEX($F$4:$N$4,0,AM$110))+AL121)))</f>
        <v>75.629895149355676</v>
      </c>
      <c r="AN121" s="5" cm="1">
        <f t="array" ref="AN121">IF(AN$110=-1,AO121,IF(AN$110=99,AM121,IF(AN$110=0,INDEX($F102:$N102,0,AN$108),(INDEX($F102:$N102,0,AN$110+1)-INDEX($F102:$N102,0,AN$110))/(INDEX($F$4:$N$4,0,AN$110+1)-INDEX($F$4:$N$4,0,AN$110))+AM121)))</f>
        <v>80.075679587687318</v>
      </c>
      <c r="AO121" s="5" cm="1">
        <f t="array" ref="AO121">IF(AO$110=-1,AP121,IF(AO$110=99,AN121,IF(AO$110=0,INDEX($F102:$N102,0,AO$108),(INDEX($F102:$N102,0,AO$110+1)-INDEX($F102:$N102,0,AO$110))/(INDEX($F$4:$N$4,0,AO$110+1)-INDEX($F$4:$N$4,0,AO$110))+AN121)))</f>
        <v>84.29073825658844</v>
      </c>
      <c r="AP121" s="5" cm="1">
        <f t="array" ref="AP121">IF(AP$110=-1,AQ121,IF(AP$110=99,AO121,IF(AP$110=0,INDEX($F102:$N102,0,AP$108),(INDEX($F102:$N102,0,AP$110+1)-INDEX($F102:$N102,0,AP$110))/(INDEX($F$4:$N$4,0,AP$110+1)-INDEX($F$4:$N$4,0,AP$110))+AO121)))</f>
        <v>88.505796925489562</v>
      </c>
      <c r="AQ121" s="5" cm="1">
        <f t="array" ref="AQ121">IF(AQ$110=-1,AR121,IF(AQ$110=99,AP121,IF(AQ$110=0,INDEX($F102:$N102,0,AQ$108),(INDEX($F102:$N102,0,AQ$110+1)-INDEX($F102:$N102,0,AQ$110))/(INDEX($F$4:$N$4,0,AQ$110+1)-INDEX($F$4:$N$4,0,AQ$110))+AP121)))</f>
        <v>92.720855594390684</v>
      </c>
      <c r="AR121" s="5" cm="1">
        <f t="array" ref="AR121">IF(AR$110=-1,AS121,IF(AR$110=99,AQ121,IF(AR$110=0,INDEX($F102:$N102,0,AR$108),(INDEX($F102:$N102,0,AR$110+1)-INDEX($F102:$N102,0,AR$110))/(INDEX($F$4:$N$4,0,AR$110+1)-INDEX($F$4:$N$4,0,AR$110))+AQ121)))</f>
        <v>96.935914263291806</v>
      </c>
      <c r="AS121" s="5" cm="1">
        <f t="array" ref="AS121">IF(AS$110=-1,AT121,IF(AS$110=99,AR121,IF(AS$110=0,INDEX($F102:$N102,0,AS$108),(INDEX($F102:$N102,0,AS$110+1)-INDEX($F102:$N102,0,AS$110))/(INDEX($F$4:$N$4,0,AS$110+1)-INDEX($F$4:$N$4,0,AS$110))+AR121)))</f>
        <v>101.15097293219293</v>
      </c>
      <c r="AT121" s="5" cm="1">
        <f t="array" ref="AT121">IF(AT$110=-1,AU121,IF(AT$110=99,AS121,IF(AT$110=0,INDEX($F102:$N102,0,AT$108),(INDEX($F102:$N102,0,AT$110+1)-INDEX($F102:$N102,0,AT$110))/(INDEX($F$4:$N$4,0,AT$110+1)-INDEX($F$4:$N$4,0,AT$110))+AS121)))</f>
        <v>105.36603160109405</v>
      </c>
      <c r="AU121" s="5" cm="1">
        <f t="array" ref="AU121">IF(AU$110=-1,AV121,IF(AU$110=99,AT121,IF(AU$110=0,INDEX($F102:$N102,0,AU$108),(INDEX($F102:$N102,0,AU$110+1)-INDEX($F102:$N102,0,AU$110))/(INDEX($F$4:$N$4,0,AU$110+1)-INDEX($F$4:$N$4,0,AU$110))+AT121)))</f>
        <v>109.58109026999517</v>
      </c>
      <c r="AV121" s="5" cm="1">
        <f t="array" ref="AV121">IF(AV$110=-1,AW121,IF(AV$110=99,AU121,IF(AV$110=0,INDEX($F102:$N102,0,AV$108),(INDEX($F102:$N102,0,AV$110+1)-INDEX($F102:$N102,0,AV$110))/(INDEX($F$4:$N$4,0,AV$110+1)-INDEX($F$4:$N$4,0,AV$110))+AU121)))</f>
        <v>113.79614893889629</v>
      </c>
      <c r="AW121" s="5" cm="1">
        <f t="array" ref="AW121">IF(AW$110=-1,AX121,IF(AW$110=99,AV121,IF(AW$110=0,INDEX($F102:$N102,0,AW$108),(INDEX($F102:$N102,0,AW$110+1)-INDEX($F102:$N102,0,AW$110))/(INDEX($F$4:$N$4,0,AW$110+1)-INDEX($F$4:$N$4,0,AW$110))+AV121)))</f>
        <v>118.01120760779742</v>
      </c>
      <c r="AX121" s="5" cm="1">
        <f t="array" ref="AX121">IF(AX$110=-1,AY121,IF(AX$110=99,AW121,IF(AX$110=0,INDEX($F102:$N102,0,AX$108),(INDEX($F102:$N102,0,AX$110+1)-INDEX($F102:$N102,0,AX$110))/(INDEX($F$4:$N$4,0,AX$110+1)-INDEX($F$4:$N$4,0,AX$110))+AW121)))</f>
        <v>122.22626627669857</v>
      </c>
      <c r="AY121" s="5" cm="1">
        <f t="array" ref="AY121">IF(AY$110=-1,AZ121,IF(AY$110=99,AX121,IF(AY$110=0,INDEX($F102:$N102,0,AY$108),(INDEX($F102:$N102,0,AY$110+1)-INDEX($F102:$N102,0,AY$110))/(INDEX($F$4:$N$4,0,AY$110+1)-INDEX($F$4:$N$4,0,AY$110))+AX121)))</f>
        <v>172.35935946550941</v>
      </c>
      <c r="AZ121" s="5" cm="1">
        <f t="array" ref="AZ121">IF(AZ$110=-1,BA121,IF(AZ$110=99,AY121,IF(AZ$110=0,INDEX($F102:$N102,0,AZ$108),(INDEX($F102:$N102,0,AZ$110+1)-INDEX($F102:$N102,0,AZ$110))/(INDEX($F$4:$N$4,0,AZ$110+1)-INDEX($F$4:$N$4,0,AZ$110))+AY121)))</f>
        <v>210.66774949851762</v>
      </c>
    </row>
    <row r="122" spans="1:52">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26.922878309927583</v>
      </c>
      <c r="O122" s="5" cm="1">
        <f t="array" ref="O122">IF(O$110=-1,P122,IF(O$110=99,N122,IF(O$110=0,INDEX($F103:$N103,0,O$108),(INDEX($F103:$N103,0,O$110+1)-INDEX($F103:$N103,0,O$110))/(INDEX($F$4:$N$4,0,O$110+1)-INDEX($F$4:$N$4,0,O$110))+N122)))</f>
        <v>26.703251105538467</v>
      </c>
      <c r="P122" s="5" cm="1">
        <f t="array" ref="P122">IF(P$110=-1,S122,IF(P$110=99,O122,IF(P$110=0,INDEX($F103:$N103,0,P$108),(INDEX($F103:$N103,0,P$110+1)-INDEX($F103:$N103,0,P$110))/(INDEX($F$4:$N$4,0,P$110+1)-INDEX($F$4:$N$4,0,P$110))+O122)))</f>
        <v>25.710844401627732</v>
      </c>
      <c r="Q122" s="5" cm="1">
        <f t="array" ref="Q122">IF(Q$110=-1,R122,IF(Q$110=99,N122,IF(Q$110=0,INDEX($F103:$N103,0,Q$108),(INDEX($F103:$N103,0,Q$110+1)-INDEX($F103:$N103,0,Q$110))/(INDEX($F$4:$N$4,0,Q$110+1)-INDEX($F$4:$N$4,0,Q$110))+N122)))</f>
        <v>26.703251105538467</v>
      </c>
      <c r="R122" s="5" cm="1">
        <f t="array" ref="R122">IF(R$110=-1,S122,IF(R$110=99,O122,IF(R$110=0,INDEX($F103:$N103,0,R$108),(INDEX($F103:$N103,0,R$110+1)-INDEX($F103:$N103,0,R$110))/(INDEX($F$4:$N$4,0,R$110+1)-INDEX($F$4:$N$4,0,R$110))+O122)))</f>
        <v>25.710844401627732</v>
      </c>
      <c r="S122" s="5" cm="1">
        <f t="array" ref="S122">IF(S$110=-1,T122,IF(S$110=99,P122,IF(S$110=0,INDEX($F103:$N103,0,S$108),(INDEX($F103:$N103,0,S$110+1)-INDEX($F103:$N103,0,S$110))/(INDEX($F$4:$N$4,0,S$110+1)-INDEX($F$4:$N$4,0,S$110))+P122)))</f>
        <v>27.227298233292721</v>
      </c>
      <c r="T122" s="5" cm="1">
        <f t="array" ref="T122">IF(T$110=-1,U122,IF(T$110=99,S122,IF(T$110=0,INDEX($F103:$N103,0,T$108),(INDEX($F103:$N103,0,T$110+1)-INDEX($F103:$N103,0,T$110))/(INDEX($F$4:$N$4,0,T$110+1)-INDEX($F$4:$N$4,0,T$110))+S122)))</f>
        <v>28.29752933108988</v>
      </c>
      <c r="U122" s="5" cm="1">
        <f t="array" ref="U122">IF(U$110=-1,V122,IF(U$110=99,T122,IF(U$110=0,INDEX($F103:$N103,0,U$108),(INDEX($F103:$N103,0,U$110+1)-INDEX($F103:$N103,0,U$110))/(INDEX($F$4:$N$4,0,U$110+1)-INDEX($F$4:$N$4,0,U$110))+T122)))</f>
        <v>29.367760428887038</v>
      </c>
      <c r="V122" s="5" cm="1">
        <f t="array" ref="V122">IF(V$110=-1,W122,IF(V$110=99,U122,IF(V$110=0,INDEX($F103:$N103,0,V$108),(INDEX($F103:$N103,0,V$110+1)-INDEX($F103:$N103,0,V$110))/(INDEX($F$4:$N$4,0,V$110+1)-INDEX($F$4:$N$4,0,V$110))+U122)))</f>
        <v>30.437991526684197</v>
      </c>
      <c r="W122" s="5" cm="1">
        <f t="array" ref="W122">IF(W$110=-1,X122,IF(W$110=99,V122,IF(W$110=0,INDEX($F103:$N103,0,W$108),(INDEX($F103:$N103,0,W$110+1)-INDEX($F103:$N103,0,W$110))/(INDEX($F$4:$N$4,0,W$110+1)-INDEX($F$4:$N$4,0,W$110))+V122)))</f>
        <v>31.508222624481355</v>
      </c>
      <c r="X122" s="5" cm="1">
        <f t="array" ref="X122">IF(X$110=-1,Y122,IF(X$110=99,W122,IF(X$110=0,INDEX($F103:$N103,0,X$108),(INDEX($F103:$N103,0,X$110+1)-INDEX($F103:$N103,0,X$110))/(INDEX($F$4:$N$4,0,X$110+1)-INDEX($F$4:$N$4,0,X$110))+W122)))</f>
        <v>32.57845372227851</v>
      </c>
      <c r="Y122" s="5" cm="1">
        <f t="array" ref="Y122">IF(Y$110=-1,Z122,IF(Y$110=99,X122,IF(Y$110=0,INDEX($F103:$N103,0,Y$108),(INDEX($F103:$N103,0,Y$110+1)-INDEX($F103:$N103,0,Y$110))/(INDEX($F$4:$N$4,0,Y$110+1)-INDEX($F$4:$N$4,0,Y$110))+X122)))</f>
        <v>33.648684820075665</v>
      </c>
      <c r="Z122" s="5" cm="1">
        <f t="array" ref="Z122">IF(Z$110=-1,AC122,IF(Z$110=99,Y122,IF(Z$110=0,INDEX($F103:$N103,0,Z$108),(INDEX($F103:$N103,0,Z$110+1)-INDEX($F103:$N103,0,Z$110))/(INDEX($F$4:$N$4,0,Z$110+1)-INDEX($F$4:$N$4,0,Z$110))+Y122)))</f>
        <v>34.71891591787282</v>
      </c>
      <c r="AA122" s="5" cm="1">
        <f t="array" ref="AA122">IF(AA$110=-1,AB122,IF(AA$110=99,X122,IF(AA$110=0,INDEX($F103:$N103,0,AA$108),(INDEX($F103:$N103,0,AA$110+1)-INDEX($F103:$N103,0,AA$110))/(INDEX($F$4:$N$4,0,AA$110+1)-INDEX($F$4:$N$4,0,AA$110))+X122)))</f>
        <v>33.648684820075665</v>
      </c>
      <c r="AB122" s="5" cm="1">
        <f t="array" ref="AB122">IF(AB$110=-1,AC122,IF(AB$110=99,Y122,IF(AB$110=0,INDEX($F103:$N103,0,AB$108),(INDEX($F103:$N103,0,AB$110+1)-INDEX($F103:$N103,0,AB$110))/(INDEX($F$4:$N$4,0,AB$110+1)-INDEX($F$4:$N$4,0,AB$110))+Y122)))</f>
        <v>34.71891591787282</v>
      </c>
      <c r="AC122" s="5" cm="1">
        <f t="array" ref="AC122">IF(AC$110=-1,AD122,IF(AC$110=99,Z122,IF(AC$110=0,INDEX($F103:$N103,0,AC$108),(INDEX($F103:$N103,0,AC$110+1)-INDEX($F103:$N103,0,AC$110))/(INDEX($F$4:$N$4,0,AC$110+1)-INDEX($F$4:$N$4,0,AC$110))+Z122)))</f>
        <v>35.789147015669975</v>
      </c>
      <c r="AD122" s="5" cm="1">
        <f t="array" ref="AD122">IF(AD$110=-1,AE122,IF(AD$110=99,AC122,IF(AD$110=0,INDEX($F103:$N103,0,AD$108),(INDEX($F103:$N103,0,AD$110+1)-INDEX($F103:$N103,0,AD$110))/(INDEX($F$4:$N$4,0,AD$110+1)-INDEX($F$4:$N$4,0,AD$110))+AC122)))</f>
        <v>36.859378113467145</v>
      </c>
      <c r="AE122" s="5" cm="1">
        <f t="array" ref="AE122">IF(AE$110=-1,AF122,IF(AE$110=99,AD122,IF(AE$110=0,INDEX($F103:$N103,0,AE$108),(INDEX($F103:$N103,0,AE$110+1)-INDEX($F103:$N103,0,AE$110))/(INDEX($F$4:$N$4,0,AE$110+1)-INDEX($F$4:$N$4,0,AE$110))+AD122)))</f>
        <v>38.381633214656489</v>
      </c>
      <c r="AF122" s="5" cm="1">
        <f t="array" ref="AF122">IF(AF$110=-1,AG122,IF(AF$110=99,AE122,IF(AF$110=0,INDEX($F103:$N103,0,AF$108),(INDEX($F103:$N103,0,AF$110+1)-INDEX($F103:$N103,0,AF$110))/(INDEX($F$4:$N$4,0,AF$110+1)-INDEX($F$4:$N$4,0,AF$110))+AE122)))</f>
        <v>39.903888315845833</v>
      </c>
      <c r="AG122" s="5" cm="1">
        <f t="array" ref="AG122">IF(AG$110=-1,AH122,IF(AG$110=99,AF122,IF(AG$110=0,INDEX($F103:$N103,0,AG$108),(INDEX($F103:$N103,0,AG$110+1)-INDEX($F103:$N103,0,AG$110))/(INDEX($F$4:$N$4,0,AG$110+1)-INDEX($F$4:$N$4,0,AG$110))+AF122)))</f>
        <v>41.426143417035178</v>
      </c>
      <c r="AH122" s="5" cm="1">
        <f t="array" ref="AH122">IF(AH$110=-1,AI122,IF(AH$110=99,AG122,IF(AH$110=0,INDEX($F103:$N103,0,AH$108),(INDEX($F103:$N103,0,AH$110+1)-INDEX($F103:$N103,0,AH$110))/(INDEX($F$4:$N$4,0,AH$110+1)-INDEX($F$4:$N$4,0,AH$110))+AG122)))</f>
        <v>42.948398518224522</v>
      </c>
      <c r="AI122" s="5" cm="1">
        <f t="array" ref="AI122">IF(AI$110=-1,AJ122,IF(AI$110=99,AH122,IF(AI$110=0,INDEX($F103:$N103,0,AI$108),(INDEX($F103:$N103,0,AI$110+1)-INDEX($F103:$N103,0,AI$110))/(INDEX($F$4:$N$4,0,AI$110+1)-INDEX($F$4:$N$4,0,AI$110))+AH122)))</f>
        <v>44.470653619413866</v>
      </c>
      <c r="AJ122" s="5" cm="1">
        <f t="array" ref="AJ122">IF(AJ$110=-1,AK122,IF(AJ$110=99,AI122,IF(AJ$110=0,INDEX($F103:$N103,0,AJ$108),(INDEX($F103:$N103,0,AJ$110+1)-INDEX($F103:$N103,0,AJ$110))/(INDEX($F$4:$N$4,0,AJ$110+1)-INDEX($F$4:$N$4,0,AJ$110))+AI122)))</f>
        <v>45.992908720603211</v>
      </c>
      <c r="AK122" s="5" cm="1">
        <f t="array" ref="AK122">IF(AK$110=-1,AL122,IF(AK$110=99,AJ122,IF(AK$110=0,INDEX($F103:$N103,0,AK$108),(INDEX($F103:$N103,0,AK$110+1)-INDEX($F103:$N103,0,AK$110))/(INDEX($F$4:$N$4,0,AK$110+1)-INDEX($F$4:$N$4,0,AK$110))+AJ122)))</f>
        <v>47.515163821792555</v>
      </c>
      <c r="AL122" s="5" cm="1">
        <f t="array" ref="AL122">IF(AL$110=-1,AM122,IF(AL$110=99,AK122,IF(AL$110=0,INDEX($F103:$N103,0,AL$108),(INDEX($F103:$N103,0,AL$110+1)-INDEX($F103:$N103,0,AL$110))/(INDEX($F$4:$N$4,0,AL$110+1)-INDEX($F$4:$N$4,0,AL$110))+AK122)))</f>
        <v>49.0374189229819</v>
      </c>
      <c r="AM122" s="5" cm="1">
        <f t="array" ref="AM122">IF(AM$110=-1,AN122,IF(AM$110=99,AL122,IF(AM$110=0,INDEX($F103:$N103,0,AM$108),(INDEX($F103:$N103,0,AM$110+1)-INDEX($F103:$N103,0,AM$110))/(INDEX($F$4:$N$4,0,AM$110+1)-INDEX($F$4:$N$4,0,AM$110))+AL122)))</f>
        <v>50.559674024171244</v>
      </c>
      <c r="AN122" s="5" cm="1">
        <f t="array" ref="AN122">IF(AN$110=-1,AO122,IF(AN$110=99,AM122,IF(AN$110=0,INDEX($F103:$N103,0,AN$108),(INDEX($F103:$N103,0,AN$110+1)-INDEX($F103:$N103,0,AN$110))/(INDEX($F$4:$N$4,0,AN$110+1)-INDEX($F$4:$N$4,0,AN$110))+AM122)))</f>
        <v>52.081929125360617</v>
      </c>
      <c r="AO122" s="5" cm="1">
        <f t="array" ref="AO122">IF(AO$110=-1,AP122,IF(AO$110=99,AN122,IF(AO$110=0,INDEX($F103:$N103,0,AO$108),(INDEX($F103:$N103,0,AO$110+1)-INDEX($F103:$N103,0,AO$110))/(INDEX($F$4:$N$4,0,AO$110+1)-INDEX($F$4:$N$4,0,AO$110))+AN122)))</f>
        <v>53.471680435226887</v>
      </c>
      <c r="AP122" s="5" cm="1">
        <f t="array" ref="AP122">IF(AP$110=-1,AQ122,IF(AP$110=99,AO122,IF(AP$110=0,INDEX($F103:$N103,0,AP$108),(INDEX($F103:$N103,0,AP$110+1)-INDEX($F103:$N103,0,AP$110))/(INDEX($F$4:$N$4,0,AP$110+1)-INDEX($F$4:$N$4,0,AP$110))+AO122)))</f>
        <v>54.861431745093157</v>
      </c>
      <c r="AQ122" s="5" cm="1">
        <f t="array" ref="AQ122">IF(AQ$110=-1,AR122,IF(AQ$110=99,AP122,IF(AQ$110=0,INDEX($F103:$N103,0,AQ$108),(INDEX($F103:$N103,0,AQ$110+1)-INDEX($F103:$N103,0,AQ$110))/(INDEX($F$4:$N$4,0,AQ$110+1)-INDEX($F$4:$N$4,0,AQ$110))+AP122)))</f>
        <v>56.251183054959426</v>
      </c>
      <c r="AR122" s="5" cm="1">
        <f t="array" ref="AR122">IF(AR$110=-1,AS122,IF(AR$110=99,AQ122,IF(AR$110=0,INDEX($F103:$N103,0,AR$108),(INDEX($F103:$N103,0,AR$110+1)-INDEX($F103:$N103,0,AR$110))/(INDEX($F$4:$N$4,0,AR$110+1)-INDEX($F$4:$N$4,0,AR$110))+AQ122)))</f>
        <v>57.640934364825696</v>
      </c>
      <c r="AS122" s="5" cm="1">
        <f t="array" ref="AS122">IF(AS$110=-1,AT122,IF(AS$110=99,AR122,IF(AS$110=0,INDEX($F103:$N103,0,AS$108),(INDEX($F103:$N103,0,AS$110+1)-INDEX($F103:$N103,0,AS$110))/(INDEX($F$4:$N$4,0,AS$110+1)-INDEX($F$4:$N$4,0,AS$110))+AR122)))</f>
        <v>59.030685674691966</v>
      </c>
      <c r="AT122" s="5" cm="1">
        <f t="array" ref="AT122">IF(AT$110=-1,AU122,IF(AT$110=99,AS122,IF(AT$110=0,INDEX($F103:$N103,0,AT$108),(INDEX($F103:$N103,0,AT$110+1)-INDEX($F103:$N103,0,AT$110))/(INDEX($F$4:$N$4,0,AT$110+1)-INDEX($F$4:$N$4,0,AT$110))+AS122)))</f>
        <v>60.420436984558236</v>
      </c>
      <c r="AU122" s="5" cm="1">
        <f t="array" ref="AU122">IF(AU$110=-1,AV122,IF(AU$110=99,AT122,IF(AU$110=0,INDEX($F103:$N103,0,AU$108),(INDEX($F103:$N103,0,AU$110+1)-INDEX($F103:$N103,0,AU$110))/(INDEX($F$4:$N$4,0,AU$110+1)-INDEX($F$4:$N$4,0,AU$110))+AT122)))</f>
        <v>61.810188294424506</v>
      </c>
      <c r="AV122" s="5" cm="1">
        <f t="array" ref="AV122">IF(AV$110=-1,AW122,IF(AV$110=99,AU122,IF(AV$110=0,INDEX($F103:$N103,0,AV$108),(INDEX($F103:$N103,0,AV$110+1)-INDEX($F103:$N103,0,AV$110))/(INDEX($F$4:$N$4,0,AV$110+1)-INDEX($F$4:$N$4,0,AV$110))+AU122)))</f>
        <v>63.199939604290776</v>
      </c>
      <c r="AW122" s="5" cm="1">
        <f t="array" ref="AW122">IF(AW$110=-1,AX122,IF(AW$110=99,AV122,IF(AW$110=0,INDEX($F103:$N103,0,AW$108),(INDEX($F103:$N103,0,AW$110+1)-INDEX($F103:$N103,0,AW$110))/(INDEX($F$4:$N$4,0,AW$110+1)-INDEX($F$4:$N$4,0,AW$110))+AV122)))</f>
        <v>64.589690914157046</v>
      </c>
      <c r="AX122" s="5" cm="1">
        <f t="array" ref="AX122">IF(AX$110=-1,AY122,IF(AX$110=99,AW122,IF(AX$110=0,INDEX($F103:$N103,0,AX$108),(INDEX($F103:$N103,0,AX$110+1)-INDEX($F103:$N103,0,AX$110))/(INDEX($F$4:$N$4,0,AX$110+1)-INDEX($F$4:$N$4,0,AX$110))+AW122)))</f>
        <v>65.979442224023316</v>
      </c>
      <c r="AY122" s="5" cm="1">
        <f t="array" ref="AY122">IF(AY$110=-1,AZ122,IF(AY$110=99,AX122,IF(AY$110=0,INDEX($F103:$N103,0,AY$108),(INDEX($F103:$N103,0,AY$110+1)-INDEX($F103:$N103,0,AY$110))/(INDEX($F$4:$N$4,0,AY$110+1)-INDEX($F$4:$N$4,0,AY$110))+AX122)))</f>
        <v>80.32342129408741</v>
      </c>
      <c r="AZ122" s="5" cm="1">
        <f t="array" ref="AZ122">IF(AZ$110=-1,BA122,IF(AZ$110=99,AY122,IF(AZ$110=0,INDEX($F103:$N103,0,AZ$108),(INDEX($F103:$N103,0,AZ$110+1)-INDEX($F103:$N103,0,AZ$110))/(INDEX($F$4:$N$4,0,AZ$110+1)-INDEX($F$4:$N$4,0,AZ$110))+AY122)))</f>
        <v>87.078385128486644</v>
      </c>
    </row>
    <row r="123" spans="1:52">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88.015304929890732</v>
      </c>
      <c r="O123" s="5" cm="1">
        <f t="array" ref="O123">IF(O$110=-1,P123,IF(O$110=99,N123,IF(O$110=0,INDEX($F104:$N104,0,O$108),(INDEX($F104:$N104,0,O$110+1)-INDEX($F104:$N104,0,O$110))/(INDEX($F$4:$N$4,0,O$110+1)-INDEX($F$4:$N$4,0,O$110))+N123)))</f>
        <v>87.357882681535756</v>
      </c>
      <c r="P123" s="5" cm="1">
        <f t="array" ref="P123">IF(P$110=-1,S123,IF(P$110=99,O123,IF(P$110=0,INDEX($F104:$N104,0,P$108),(INDEX($F104:$N104,0,P$110+1)-INDEX($F104:$N104,0,P$110))/(INDEX($F$4:$N$4,0,P$110+1)-INDEX($F$4:$N$4,0,P$110))+O123)))</f>
        <v>84.559607459462228</v>
      </c>
      <c r="Q123" s="5" cm="1">
        <f t="array" ref="Q123">IF(Q$110=-1,R123,IF(Q$110=99,N123,IF(Q$110=0,INDEX($F104:$N104,0,Q$108),(INDEX($F104:$N104,0,Q$110+1)-INDEX($F104:$N104,0,Q$110))/(INDEX($F$4:$N$4,0,Q$110+1)-INDEX($F$4:$N$4,0,Q$110))+N123)))</f>
        <v>87.357882681535756</v>
      </c>
      <c r="R123" s="5" cm="1">
        <f t="array" ref="R123">IF(R$110=-1,S123,IF(R$110=99,O123,IF(R$110=0,INDEX($F104:$N104,0,R$108),(INDEX($F104:$N104,0,R$110+1)-INDEX($F104:$N104,0,R$110))/(INDEX($F$4:$N$4,0,R$110+1)-INDEX($F$4:$N$4,0,R$110))+O123)))</f>
        <v>84.559607459462228</v>
      </c>
      <c r="S123" s="5" cm="1">
        <f t="array" ref="S123">IF(S$110=-1,T123,IF(S$110=99,P123,IF(S$110=0,INDEX($F104:$N104,0,S$108),(INDEX($F104:$N104,0,S$110+1)-INDEX($F104:$N104,0,S$110))/(INDEX($F$4:$N$4,0,S$110+1)-INDEX($F$4:$N$4,0,S$110))+P123)))</f>
        <v>89.797718408758314</v>
      </c>
      <c r="T123" s="5" cm="1">
        <f t="array" ref="T123">IF(T$110=-1,U123,IF(T$110=99,S123,IF(T$110=0,INDEX($F104:$N104,0,T$108),(INDEX($F104:$N104,0,T$110+1)-INDEX($F104:$N104,0,T$110))/(INDEX($F$4:$N$4,0,T$110+1)-INDEX($F$4:$N$4,0,T$110))+S123)))</f>
        <v>90.08827546499478</v>
      </c>
      <c r="U123" s="5" cm="1">
        <f t="array" ref="U123">IF(U$110=-1,V123,IF(U$110=99,T123,IF(U$110=0,INDEX($F104:$N104,0,U$108),(INDEX($F104:$N104,0,U$110+1)-INDEX($F104:$N104,0,U$110))/(INDEX($F$4:$N$4,0,U$110+1)-INDEX($F$4:$N$4,0,U$110))+T123)))</f>
        <v>90.378832521231246</v>
      </c>
      <c r="V123" s="5" cm="1">
        <f t="array" ref="V123">IF(V$110=-1,W123,IF(V$110=99,U123,IF(V$110=0,INDEX($F104:$N104,0,V$108),(INDEX($F104:$N104,0,V$110+1)-INDEX($F104:$N104,0,V$110))/(INDEX($F$4:$N$4,0,V$110+1)-INDEX($F$4:$N$4,0,V$110))+U123)))</f>
        <v>90.669389577467712</v>
      </c>
      <c r="W123" s="5" cm="1">
        <f t="array" ref="W123">IF(W$110=-1,X123,IF(W$110=99,V123,IF(W$110=0,INDEX($F104:$N104,0,W$108),(INDEX($F104:$N104,0,W$110+1)-INDEX($F104:$N104,0,W$110))/(INDEX($F$4:$N$4,0,W$110+1)-INDEX($F$4:$N$4,0,W$110))+V123)))</f>
        <v>90.959946633704178</v>
      </c>
      <c r="X123" s="5" cm="1">
        <f t="array" ref="X123">IF(X$110=-1,Y123,IF(X$110=99,W123,IF(X$110=0,INDEX($F104:$N104,0,X$108),(INDEX($F104:$N104,0,X$110+1)-INDEX($F104:$N104,0,X$110))/(INDEX($F$4:$N$4,0,X$110+1)-INDEX($F$4:$N$4,0,X$110))+W123)))</f>
        <v>91.250503689940643</v>
      </c>
      <c r="Y123" s="5" cm="1">
        <f t="array" ref="Y123">IF(Y$110=-1,Z123,IF(Y$110=99,X123,IF(Y$110=0,INDEX($F104:$N104,0,Y$108),(INDEX($F104:$N104,0,Y$110+1)-INDEX($F104:$N104,0,Y$110))/(INDEX($F$4:$N$4,0,Y$110+1)-INDEX($F$4:$N$4,0,Y$110))+X123)))</f>
        <v>91.541060746177109</v>
      </c>
      <c r="Z123" s="5" cm="1">
        <f t="array" ref="Z123">IF(Z$110=-1,AC123,IF(Z$110=99,Y123,IF(Z$110=0,INDEX($F104:$N104,0,Z$108),(INDEX($F104:$N104,0,Z$110+1)-INDEX($F104:$N104,0,Z$110))/(INDEX($F$4:$N$4,0,Z$110+1)-INDEX($F$4:$N$4,0,Z$110))+Y123)))</f>
        <v>91.831617802413575</v>
      </c>
      <c r="AA123" s="5" cm="1">
        <f t="array" ref="AA123">IF(AA$110=-1,AB123,IF(AA$110=99,X123,IF(AA$110=0,INDEX($F104:$N104,0,AA$108),(INDEX($F104:$N104,0,AA$110+1)-INDEX($F104:$N104,0,AA$110))/(INDEX($F$4:$N$4,0,AA$110+1)-INDEX($F$4:$N$4,0,AA$110))+X123)))</f>
        <v>91.541060746177109</v>
      </c>
      <c r="AB123" s="5" cm="1">
        <f t="array" ref="AB123">IF(AB$110=-1,AC123,IF(AB$110=99,Y123,IF(AB$110=0,INDEX($F104:$N104,0,AB$108),(INDEX($F104:$N104,0,AB$110+1)-INDEX($F104:$N104,0,AB$110))/(INDEX($F$4:$N$4,0,AB$110+1)-INDEX($F$4:$N$4,0,AB$110))+Y123)))</f>
        <v>91.831617802413575</v>
      </c>
      <c r="AC123" s="5" cm="1">
        <f t="array" ref="AC123">IF(AC$110=-1,AD123,IF(AC$110=99,Z123,IF(AC$110=0,INDEX($F104:$N104,0,AC$108),(INDEX($F104:$N104,0,AC$110+1)-INDEX($F104:$N104,0,AC$110))/(INDEX($F$4:$N$4,0,AC$110+1)-INDEX($F$4:$N$4,0,AC$110))+Z123)))</f>
        <v>92.122174858650041</v>
      </c>
      <c r="AD123" s="5" cm="1">
        <f t="array" ref="AD123">IF(AD$110=-1,AE123,IF(AD$110=99,AC123,IF(AD$110=0,INDEX($F104:$N104,0,AD$108),(INDEX($F104:$N104,0,AD$110+1)-INDEX($F104:$N104,0,AD$110))/(INDEX($F$4:$N$4,0,AD$110+1)-INDEX($F$4:$N$4,0,AD$110))+AC123)))</f>
        <v>92.412731914886479</v>
      </c>
      <c r="AE123" s="5" cm="1">
        <f t="array" ref="AE123">IF(AE$110=-1,AF123,IF(AE$110=99,AD123,IF(AE$110=0,INDEX($F104:$N104,0,AE$108),(INDEX($F104:$N104,0,AE$110+1)-INDEX($F104:$N104,0,AE$110))/(INDEX($F$4:$N$4,0,AE$110+1)-INDEX($F$4:$N$4,0,AE$110))+AD123)))</f>
        <v>94.235705174545956</v>
      </c>
      <c r="AF123" s="5" cm="1">
        <f t="array" ref="AF123">IF(AF$110=-1,AG123,IF(AF$110=99,AE123,IF(AF$110=0,INDEX($F104:$N104,0,AF$108),(INDEX($F104:$N104,0,AF$110+1)-INDEX($F104:$N104,0,AF$110))/(INDEX($F$4:$N$4,0,AF$110+1)-INDEX($F$4:$N$4,0,AF$110))+AE123)))</f>
        <v>96.058678434205433</v>
      </c>
      <c r="AG123" s="5" cm="1">
        <f t="array" ref="AG123">IF(AG$110=-1,AH123,IF(AG$110=99,AF123,IF(AG$110=0,INDEX($F104:$N104,0,AG$108),(INDEX($F104:$N104,0,AG$110+1)-INDEX($F104:$N104,0,AG$110))/(INDEX($F$4:$N$4,0,AG$110+1)-INDEX($F$4:$N$4,0,AG$110))+AF123)))</f>
        <v>97.88165169386491</v>
      </c>
      <c r="AH123" s="5" cm="1">
        <f t="array" ref="AH123">IF(AH$110=-1,AI123,IF(AH$110=99,AG123,IF(AH$110=0,INDEX($F104:$N104,0,AH$108),(INDEX($F104:$N104,0,AH$110+1)-INDEX($F104:$N104,0,AH$110))/(INDEX($F$4:$N$4,0,AH$110+1)-INDEX($F$4:$N$4,0,AH$110))+AG123)))</f>
        <v>99.704624953524387</v>
      </c>
      <c r="AI123" s="5" cm="1">
        <f t="array" ref="AI123">IF(AI$110=-1,AJ123,IF(AI$110=99,AH123,IF(AI$110=0,INDEX($F104:$N104,0,AI$108),(INDEX($F104:$N104,0,AI$110+1)-INDEX($F104:$N104,0,AI$110))/(INDEX($F$4:$N$4,0,AI$110+1)-INDEX($F$4:$N$4,0,AI$110))+AH123)))</f>
        <v>101.52759821318386</v>
      </c>
      <c r="AJ123" s="5" cm="1">
        <f t="array" ref="AJ123">IF(AJ$110=-1,AK123,IF(AJ$110=99,AI123,IF(AJ$110=0,INDEX($F104:$N104,0,AJ$108),(INDEX($F104:$N104,0,AJ$110+1)-INDEX($F104:$N104,0,AJ$110))/(INDEX($F$4:$N$4,0,AJ$110+1)-INDEX($F$4:$N$4,0,AJ$110))+AI123)))</f>
        <v>103.35057147284334</v>
      </c>
      <c r="AK123" s="5" cm="1">
        <f t="array" ref="AK123">IF(AK$110=-1,AL123,IF(AK$110=99,AJ123,IF(AK$110=0,INDEX($F104:$N104,0,AK$108),(INDEX($F104:$N104,0,AK$110+1)-INDEX($F104:$N104,0,AK$110))/(INDEX($F$4:$N$4,0,AK$110+1)-INDEX($F$4:$N$4,0,AK$110))+AJ123)))</f>
        <v>105.17354473250282</v>
      </c>
      <c r="AL123" s="5" cm="1">
        <f t="array" ref="AL123">IF(AL$110=-1,AM123,IF(AL$110=99,AK123,IF(AL$110=0,INDEX($F104:$N104,0,AL$108),(INDEX($F104:$N104,0,AL$110+1)-INDEX($F104:$N104,0,AL$110))/(INDEX($F$4:$N$4,0,AL$110+1)-INDEX($F$4:$N$4,0,AL$110))+AK123)))</f>
        <v>106.9965179921623</v>
      </c>
      <c r="AM123" s="5" cm="1">
        <f t="array" ref="AM123">IF(AM$110=-1,AN123,IF(AM$110=99,AL123,IF(AM$110=0,INDEX($F104:$N104,0,AM$108),(INDEX($F104:$N104,0,AM$110+1)-INDEX($F104:$N104,0,AM$110))/(INDEX($F$4:$N$4,0,AM$110+1)-INDEX($F$4:$N$4,0,AM$110))+AL123)))</f>
        <v>108.81949125182177</v>
      </c>
      <c r="AN123" s="5" cm="1">
        <f t="array" ref="AN123">IF(AN$110=-1,AO123,IF(AN$110=99,AM123,IF(AN$110=0,INDEX($F104:$N104,0,AN$108),(INDEX($F104:$N104,0,AN$110+1)-INDEX($F104:$N104,0,AN$110))/(INDEX($F$4:$N$4,0,AN$110+1)-INDEX($F$4:$N$4,0,AN$110))+AM123)))</f>
        <v>110.64246451148132</v>
      </c>
      <c r="AO123" s="5" cm="1">
        <f t="array" ref="AO123">IF(AO$110=-1,AP123,IF(AO$110=99,AN123,IF(AO$110=0,INDEX($F104:$N104,0,AO$108),(INDEX($F104:$N104,0,AO$110+1)-INDEX($F104:$N104,0,AO$110))/(INDEX($F$4:$N$4,0,AO$110+1)-INDEX($F$4:$N$4,0,AO$110))+AN123)))</f>
        <v>113.75086873243424</v>
      </c>
      <c r="AP123" s="5" cm="1">
        <f t="array" ref="AP123">IF(AP$110=-1,AQ123,IF(AP$110=99,AO123,IF(AP$110=0,INDEX($F104:$N104,0,AP$108),(INDEX($F104:$N104,0,AP$110+1)-INDEX($F104:$N104,0,AP$110))/(INDEX($F$4:$N$4,0,AP$110+1)-INDEX($F$4:$N$4,0,AP$110))+AO123)))</f>
        <v>116.85927295338716</v>
      </c>
      <c r="AQ123" s="5" cm="1">
        <f t="array" ref="AQ123">IF(AQ$110=-1,AR123,IF(AQ$110=99,AP123,IF(AQ$110=0,INDEX($F104:$N104,0,AQ$108),(INDEX($F104:$N104,0,AQ$110+1)-INDEX($F104:$N104,0,AQ$110))/(INDEX($F$4:$N$4,0,AQ$110+1)-INDEX($F$4:$N$4,0,AQ$110))+AP123)))</f>
        <v>119.96767717434008</v>
      </c>
      <c r="AR123" s="5" cm="1">
        <f t="array" ref="AR123">IF(AR$110=-1,AS123,IF(AR$110=99,AQ123,IF(AR$110=0,INDEX($F104:$N104,0,AR$108),(INDEX($F104:$N104,0,AR$110+1)-INDEX($F104:$N104,0,AR$110))/(INDEX($F$4:$N$4,0,AR$110+1)-INDEX($F$4:$N$4,0,AR$110))+AQ123)))</f>
        <v>123.076081395293</v>
      </c>
      <c r="AS123" s="5" cm="1">
        <f t="array" ref="AS123">IF(AS$110=-1,AT123,IF(AS$110=99,AR123,IF(AS$110=0,INDEX($F104:$N104,0,AS$108),(INDEX($F104:$N104,0,AS$110+1)-INDEX($F104:$N104,0,AS$110))/(INDEX($F$4:$N$4,0,AS$110+1)-INDEX($F$4:$N$4,0,AS$110))+AR123)))</f>
        <v>126.18448561624592</v>
      </c>
      <c r="AT123" s="5" cm="1">
        <f t="array" ref="AT123">IF(AT$110=-1,AU123,IF(AT$110=99,AS123,IF(AT$110=0,INDEX($F104:$N104,0,AT$108),(INDEX($F104:$N104,0,AT$110+1)-INDEX($F104:$N104,0,AT$110))/(INDEX($F$4:$N$4,0,AT$110+1)-INDEX($F$4:$N$4,0,AT$110))+AS123)))</f>
        <v>129.29288983719883</v>
      </c>
      <c r="AU123" s="5" cm="1">
        <f t="array" ref="AU123">IF(AU$110=-1,AV123,IF(AU$110=99,AT123,IF(AU$110=0,INDEX($F104:$N104,0,AU$108),(INDEX($F104:$N104,0,AU$110+1)-INDEX($F104:$N104,0,AU$110))/(INDEX($F$4:$N$4,0,AU$110+1)-INDEX($F$4:$N$4,0,AU$110))+AT123)))</f>
        <v>132.40129405815173</v>
      </c>
      <c r="AV123" s="5" cm="1">
        <f t="array" ref="AV123">IF(AV$110=-1,AW123,IF(AV$110=99,AU123,IF(AV$110=0,INDEX($F104:$N104,0,AV$108),(INDEX($F104:$N104,0,AV$110+1)-INDEX($F104:$N104,0,AV$110))/(INDEX($F$4:$N$4,0,AV$110+1)-INDEX($F$4:$N$4,0,AV$110))+AU123)))</f>
        <v>135.50969827910464</v>
      </c>
      <c r="AW123" s="5" cm="1">
        <f t="array" ref="AW123">IF(AW$110=-1,AX123,IF(AW$110=99,AV123,IF(AW$110=0,INDEX($F104:$N104,0,AW$108),(INDEX($F104:$N104,0,AW$110+1)-INDEX($F104:$N104,0,AW$110))/(INDEX($F$4:$N$4,0,AW$110+1)-INDEX($F$4:$N$4,0,AW$110))+AV123)))</f>
        <v>138.61810250005755</v>
      </c>
      <c r="AX123" s="5" cm="1">
        <f t="array" ref="AX123">IF(AX$110=-1,AY123,IF(AX$110=99,AW123,IF(AX$110=0,INDEX($F104:$N104,0,AX$108),(INDEX($F104:$N104,0,AX$110+1)-INDEX($F104:$N104,0,AX$110))/(INDEX($F$4:$N$4,0,AX$110+1)-INDEX($F$4:$N$4,0,AX$110))+AW123)))</f>
        <v>141.72650672101051</v>
      </c>
      <c r="AY123" s="5" cm="1">
        <f t="array" ref="AY123">IF(AY$110=-1,AZ123,IF(AY$110=99,AX123,IF(AY$110=0,INDEX($F104:$N104,0,AY$108),(INDEX($F104:$N104,0,AY$110+1)-INDEX($F104:$N104,0,AY$110))/(INDEX($F$4:$N$4,0,AY$110+1)-INDEX($F$4:$N$4,0,AY$110))+AX123)))</f>
        <v>173.87745919247294</v>
      </c>
      <c r="AZ123" s="5" cm="1">
        <f t="array" ref="AZ123">IF(AZ$110=-1,BA123,IF(AZ$110=99,AY123,IF(AZ$110=0,INDEX($F104:$N104,0,AZ$108),(INDEX($F104:$N104,0,AZ$110+1)-INDEX($F104:$N104,0,AZ$110))/(INDEX($F$4:$N$4,0,AZ$110+1)-INDEX($F$4:$N$4,0,AZ$110))+AY123)))</f>
        <v>186.24392762406274</v>
      </c>
    </row>
    <row r="124" spans="1:52">
      <c r="A124" t="s">
        <v>16</v>
      </c>
      <c r="B124" s="5"/>
      <c r="C124" s="5"/>
      <c r="J124" s="8"/>
      <c r="K124" s="8"/>
      <c r="L124" s="8"/>
      <c r="M124" s="8"/>
      <c r="N124" s="8"/>
      <c r="O124" s="8"/>
      <c r="P124" s="8"/>
      <c r="R124" s="8"/>
    </row>
    <row r="125" spans="1:52">
      <c r="A125" t="s">
        <v>16</v>
      </c>
      <c r="B125" s="5"/>
      <c r="C125" s="5"/>
      <c r="H125" s="8"/>
      <c r="I125" s="8"/>
      <c r="J125" s="8"/>
      <c r="K125" s="8"/>
      <c r="L125" s="8"/>
      <c r="N125" s="8"/>
      <c r="O125" s="8"/>
      <c r="P125" s="8"/>
    </row>
    <row r="126" spans="1:52">
      <c r="A126" t="s">
        <v>16</v>
      </c>
      <c r="B126" s="5"/>
      <c r="C126" s="5"/>
      <c r="H126" s="8"/>
      <c r="I126" s="8"/>
      <c r="J126" s="8"/>
      <c r="K126" s="8"/>
      <c r="L126" s="8"/>
      <c r="N126" s="8"/>
      <c r="O126" s="8"/>
      <c r="P126" s="8"/>
    </row>
    <row r="127" spans="1:52" ht="23.25">
      <c r="A127" s="97" t="s">
        <v>16</v>
      </c>
      <c r="B127" s="101" t="s">
        <v>19</v>
      </c>
      <c r="C127" s="101" t="s">
        <v>20</v>
      </c>
      <c r="D127" s="101" t="s">
        <v>21</v>
      </c>
      <c r="E127" s="101" t="s">
        <v>22</v>
      </c>
      <c r="F127" s="101" t="s">
        <v>23</v>
      </c>
      <c r="G127" s="101" t="s">
        <v>24</v>
      </c>
      <c r="H127" s="101" t="s">
        <v>591</v>
      </c>
      <c r="I127" s="101" t="s">
        <v>591</v>
      </c>
      <c r="J127" s="101" t="s">
        <v>619</v>
      </c>
      <c r="K127" s="102" t="s">
        <v>25</v>
      </c>
      <c r="L127" s="8"/>
      <c r="N127" s="8"/>
      <c r="O127" s="8"/>
      <c r="P127" s="8"/>
      <c r="U127" s="5"/>
      <c r="V127" s="5"/>
    </row>
    <row r="128" spans="1:52">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7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75">
      <c r="A130" s="32" t="s">
        <v>16</v>
      </c>
      <c r="B130">
        <v>-1</v>
      </c>
      <c r="C130">
        <v>0</v>
      </c>
      <c r="D130">
        <v>1</v>
      </c>
      <c r="E130">
        <v>2</v>
      </c>
      <c r="F130">
        <v>3</v>
      </c>
      <c r="G130">
        <v>4</v>
      </c>
      <c r="H130">
        <v>5</v>
      </c>
      <c r="I130">
        <v>6</v>
      </c>
      <c r="J130">
        <v>7</v>
      </c>
      <c r="K130">
        <v>8</v>
      </c>
      <c r="L130" s="8"/>
      <c r="N130" s="8"/>
      <c r="O130" s="8"/>
      <c r="P130" s="8"/>
    </row>
    <row r="131" spans="1:75">
      <c r="A131" s="99" t="s">
        <v>16</v>
      </c>
      <c r="B131" s="100"/>
      <c r="C131" s="100"/>
      <c r="D131" s="100"/>
      <c r="E131" s="100"/>
      <c r="F131" s="100"/>
      <c r="G131" s="100"/>
      <c r="H131" s="100"/>
      <c r="I131" s="100"/>
      <c r="J131" s="100"/>
      <c r="K131" s="105"/>
      <c r="L131" s="8"/>
      <c r="N131" s="8"/>
      <c r="O131" s="8"/>
      <c r="P131" s="8"/>
    </row>
    <row r="132" spans="1:7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7">
        <f t="shared" ref="J136:AO136" si="327">IF(ISNA(J133),-1,IF(ISNA(J135),99,IF(ISNA(J134),J133,0)))</f>
        <v>0</v>
      </c>
      <c r="K136" s="67">
        <f t="shared" si="327"/>
        <v>1</v>
      </c>
      <c r="L136" s="67">
        <f t="shared" si="327"/>
        <v>0</v>
      </c>
      <c r="M136" s="67">
        <f t="shared" si="327"/>
        <v>0</v>
      </c>
      <c r="N136" s="67">
        <f t="shared" si="327"/>
        <v>0</v>
      </c>
      <c r="O136" s="67">
        <f t="shared" si="327"/>
        <v>4</v>
      </c>
      <c r="P136" s="67">
        <f t="shared" si="327"/>
        <v>4</v>
      </c>
      <c r="Q136" s="67">
        <f t="shared" ref="Q136:R136" si="328">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ref="AA136:AB136" si="329">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2" t="s">
        <v>113</v>
      </c>
      <c r="B137" s="16" t="str">
        <f t="shared" ref="B137:B149" si="330">IF(A137="*","","COM_PROJ")</f>
        <v>COM_PROJ</v>
      </c>
      <c r="C137" s="17" t="str">
        <f t="shared" ref="C137:C149" si="331">IF($A137="*","","-")</f>
        <v>-</v>
      </c>
      <c r="D137" s="44" t="s">
        <v>139</v>
      </c>
      <c r="E137" s="17" t="str">
        <f t="shared" ref="E137:H149" si="332">IF($A137="*","","-")</f>
        <v>-</v>
      </c>
      <c r="F137" s="17" t="str">
        <f t="shared" si="332"/>
        <v>-</v>
      </c>
      <c r="G137" s="17" t="str">
        <f t="shared" si="332"/>
        <v>-</v>
      </c>
      <c r="H137" s="17" t="str">
        <f t="shared" si="332"/>
        <v>-</v>
      </c>
      <c r="I137" s="106">
        <f t="shared" ref="I137:I149" si="333">IF(A137="*","",0)</f>
        <v>0</v>
      </c>
      <c r="J137" s="5">
        <f t="shared" ref="J137:AO137" si="334">INDEX($M111:$AZ111,MATCH(J$132,$M$106:$AZ$106,0))</f>
        <v>47.584820585749902</v>
      </c>
      <c r="K137" s="5">
        <f t="shared" si="334"/>
        <v>47.880977189748378</v>
      </c>
      <c r="L137" s="5">
        <f t="shared" si="334"/>
        <v>48.177133793746854</v>
      </c>
      <c r="M137" s="5">
        <f t="shared" si="334"/>
        <v>46.38666602024783</v>
      </c>
      <c r="N137" s="5">
        <f t="shared" si="334"/>
        <v>49.122602511704166</v>
      </c>
      <c r="O137" s="5">
        <f t="shared" si="334"/>
        <v>51.053478515716584</v>
      </c>
      <c r="P137" s="5">
        <f t="shared" si="334"/>
        <v>52.984354519729003</v>
      </c>
      <c r="Q137" s="5">
        <f t="shared" si="334"/>
        <v>54.915230523741421</v>
      </c>
      <c r="R137" s="5">
        <f t="shared" si="334"/>
        <v>54.915230523741421</v>
      </c>
      <c r="S137" s="5">
        <f t="shared" si="334"/>
        <v>54.915230523741421</v>
      </c>
      <c r="T137" s="5">
        <f t="shared" si="334"/>
        <v>56.84610652775384</v>
      </c>
      <c r="U137" s="5">
        <f t="shared" si="334"/>
        <v>58.776982531766258</v>
      </c>
      <c r="V137" s="5">
        <f t="shared" si="334"/>
        <v>60.707858535778676</v>
      </c>
      <c r="W137" s="5">
        <f t="shared" si="334"/>
        <v>62.638734539791095</v>
      </c>
      <c r="X137" s="5">
        <f t="shared" si="334"/>
        <v>64.569610543803506</v>
      </c>
      <c r="Y137" s="5">
        <f t="shared" si="334"/>
        <v>66.500486547815925</v>
      </c>
      <c r="Z137" s="5">
        <f t="shared" si="334"/>
        <v>69.036794130826422</v>
      </c>
      <c r="AA137" s="5">
        <f t="shared" si="334"/>
        <v>71.57310171383692</v>
      </c>
      <c r="AB137" s="5">
        <f t="shared" si="334"/>
        <v>71.57310171383692</v>
      </c>
      <c r="AC137" s="5">
        <f t="shared" si="334"/>
        <v>71.57310171383692</v>
      </c>
      <c r="AD137" s="5">
        <f t="shared" si="334"/>
        <v>74.109409296847417</v>
      </c>
      <c r="AE137" s="5">
        <f t="shared" si="334"/>
        <v>76.645716879857915</v>
      </c>
      <c r="AF137" s="5">
        <f t="shared" si="334"/>
        <v>79.182024462868412</v>
      </c>
      <c r="AG137" s="5">
        <f t="shared" si="334"/>
        <v>81.71833204587891</v>
      </c>
      <c r="AH137" s="5">
        <f t="shared" si="334"/>
        <v>84.254639628889407</v>
      </c>
      <c r="AI137" s="5">
        <f t="shared" si="334"/>
        <v>86.790947211899905</v>
      </c>
      <c r="AJ137" s="5">
        <f t="shared" si="334"/>
        <v>89.327254794910402</v>
      </c>
      <c r="AK137" s="5">
        <f t="shared" si="334"/>
        <v>91.863562377920857</v>
      </c>
      <c r="AL137" s="5">
        <f t="shared" si="334"/>
        <v>103.52399711350546</v>
      </c>
      <c r="AM137" s="5">
        <f t="shared" si="334"/>
        <v>115.18443184909002</v>
      </c>
      <c r="AN137" s="5">
        <f t="shared" si="334"/>
        <v>138.87434908340714</v>
      </c>
      <c r="AO137" s="5">
        <f t="shared" si="334"/>
        <v>149.18753233213039</v>
      </c>
    </row>
    <row r="138" spans="1:7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ref="J138:AO138" si="335">INDEX($M112:$AZ112,MATCH(J$132,$M$106:$AZ$106,0))</f>
        <v>3.6514783707452798</v>
      </c>
      <c r="K138" s="5">
        <f t="shared" si="335"/>
        <v>3.9360166491438862</v>
      </c>
      <c r="L138" s="5">
        <f t="shared" si="335"/>
        <v>4.2205549275424925</v>
      </c>
      <c r="M138" s="5">
        <f t="shared" si="335"/>
        <v>4.0637011052209129</v>
      </c>
      <c r="N138" s="5">
        <f t="shared" si="335"/>
        <v>4.3033826580898404</v>
      </c>
      <c r="O138" s="5">
        <f t="shared" si="335"/>
        <v>4.4725369350565183</v>
      </c>
      <c r="P138" s="5">
        <f t="shared" si="335"/>
        <v>4.6416912120231961</v>
      </c>
      <c r="Q138" s="5">
        <f t="shared" si="335"/>
        <v>4.810845488989874</v>
      </c>
      <c r="R138" s="5">
        <f t="shared" si="335"/>
        <v>4.810845488989874</v>
      </c>
      <c r="S138" s="5">
        <f t="shared" si="335"/>
        <v>4.810845488989874</v>
      </c>
      <c r="T138" s="5">
        <f t="shared" si="335"/>
        <v>4.9799997659565518</v>
      </c>
      <c r="U138" s="5">
        <f t="shared" si="335"/>
        <v>5.1491540429232296</v>
      </c>
      <c r="V138" s="5">
        <f t="shared" si="335"/>
        <v>5.3183083198899075</v>
      </c>
      <c r="W138" s="5">
        <f t="shared" si="335"/>
        <v>5.4874625968565853</v>
      </c>
      <c r="X138" s="5">
        <f t="shared" si="335"/>
        <v>5.6566168738232632</v>
      </c>
      <c r="Y138" s="5">
        <f t="shared" si="335"/>
        <v>5.8257711507899437</v>
      </c>
      <c r="Z138" s="5">
        <f t="shared" si="335"/>
        <v>5.9694991316000765</v>
      </c>
      <c r="AA138" s="5">
        <f t="shared" si="335"/>
        <v>6.1132271124102093</v>
      </c>
      <c r="AB138" s="5">
        <f t="shared" si="335"/>
        <v>6.1132271124102093</v>
      </c>
      <c r="AC138" s="5">
        <f t="shared" si="335"/>
        <v>6.1132271124102093</v>
      </c>
      <c r="AD138" s="5">
        <f t="shared" si="335"/>
        <v>6.2569550932203422</v>
      </c>
      <c r="AE138" s="5">
        <f t="shared" si="335"/>
        <v>6.400683074030475</v>
      </c>
      <c r="AF138" s="5">
        <f t="shared" si="335"/>
        <v>6.5444110548406078</v>
      </c>
      <c r="AG138" s="5">
        <f t="shared" si="335"/>
        <v>6.6881390356507406</v>
      </c>
      <c r="AH138" s="5">
        <f t="shared" si="335"/>
        <v>6.8318670164608735</v>
      </c>
      <c r="AI138" s="5">
        <f t="shared" si="335"/>
        <v>6.9755949972710063</v>
      </c>
      <c r="AJ138" s="5">
        <f t="shared" si="335"/>
        <v>7.1193229780811391</v>
      </c>
      <c r="AK138" s="5">
        <f t="shared" si="335"/>
        <v>7.2630509588912719</v>
      </c>
      <c r="AL138" s="5">
        <f t="shared" si="335"/>
        <v>7.9572932687010747</v>
      </c>
      <c r="AM138" s="5">
        <f t="shared" si="335"/>
        <v>8.6515355785108756</v>
      </c>
      <c r="AN138" s="5">
        <f t="shared" si="335"/>
        <v>9.909347427534076</v>
      </c>
      <c r="AO138" s="5">
        <f t="shared" si="335"/>
        <v>10.112980147293296</v>
      </c>
    </row>
    <row r="139" spans="1:7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ref="J139:AO139" si="336">INDEX($M113:$AZ113,MATCH(J$132,$M$106:$AZ$106,0))</f>
        <v>1.0030192144974699</v>
      </c>
      <c r="K139" s="5">
        <f t="shared" si="336"/>
        <v>1.009261767493451</v>
      </c>
      <c r="L139" s="5">
        <f t="shared" si="336"/>
        <v>1.0155043204894318</v>
      </c>
      <c r="M139" s="5">
        <f t="shared" si="336"/>
        <v>0.97776384868242405</v>
      </c>
      <c r="N139" s="5">
        <f t="shared" si="336"/>
        <v>1.0354334339996645</v>
      </c>
      <c r="O139" s="5">
        <f t="shared" si="336"/>
        <v>1.0683460966069067</v>
      </c>
      <c r="P139" s="5">
        <f t="shared" si="336"/>
        <v>1.101258759214149</v>
      </c>
      <c r="Q139" s="5">
        <f t="shared" si="336"/>
        <v>1.1341714218213912</v>
      </c>
      <c r="R139" s="5">
        <f t="shared" si="336"/>
        <v>1.1341714218213912</v>
      </c>
      <c r="S139" s="5">
        <f t="shared" si="336"/>
        <v>1.1341714218213912</v>
      </c>
      <c r="T139" s="5">
        <f t="shared" si="336"/>
        <v>1.1670840844286334</v>
      </c>
      <c r="U139" s="5">
        <f t="shared" si="336"/>
        <v>1.1999967470358757</v>
      </c>
      <c r="V139" s="5">
        <f t="shared" si="336"/>
        <v>1.2329094096431179</v>
      </c>
      <c r="W139" s="5">
        <f t="shared" si="336"/>
        <v>1.2658220722503601</v>
      </c>
      <c r="X139" s="5">
        <f t="shared" si="336"/>
        <v>1.2987347348576024</v>
      </c>
      <c r="Y139" s="5">
        <f t="shared" si="336"/>
        <v>1.331647397464844</v>
      </c>
      <c r="Z139" s="5">
        <f t="shared" si="336"/>
        <v>1.3732383416346363</v>
      </c>
      <c r="AA139" s="5">
        <f t="shared" si="336"/>
        <v>1.4148292858044287</v>
      </c>
      <c r="AB139" s="5">
        <f t="shared" si="336"/>
        <v>1.4148292858044287</v>
      </c>
      <c r="AC139" s="5">
        <f t="shared" si="336"/>
        <v>1.4148292858044287</v>
      </c>
      <c r="AD139" s="5">
        <f t="shared" si="336"/>
        <v>1.456420229974221</v>
      </c>
      <c r="AE139" s="5">
        <f t="shared" si="336"/>
        <v>1.4980111741440134</v>
      </c>
      <c r="AF139" s="5">
        <f t="shared" si="336"/>
        <v>1.5396021183138058</v>
      </c>
      <c r="AG139" s="5">
        <f t="shared" si="336"/>
        <v>1.5811930624835981</v>
      </c>
      <c r="AH139" s="5">
        <f t="shared" si="336"/>
        <v>1.6227840066533905</v>
      </c>
      <c r="AI139" s="5">
        <f t="shared" si="336"/>
        <v>1.6643749508231829</v>
      </c>
      <c r="AJ139" s="5">
        <f t="shared" si="336"/>
        <v>1.7059658949929752</v>
      </c>
      <c r="AK139" s="5">
        <f t="shared" si="336"/>
        <v>1.7475568391627665</v>
      </c>
      <c r="AL139" s="5">
        <f t="shared" si="336"/>
        <v>1.9145979219544367</v>
      </c>
      <c r="AM139" s="5">
        <f t="shared" si="336"/>
        <v>2.0816390047461075</v>
      </c>
      <c r="AN139" s="5">
        <f t="shared" si="336"/>
        <v>2.3842801002831817</v>
      </c>
      <c r="AO139" s="5">
        <f t="shared" si="336"/>
        <v>2.4332760049115123</v>
      </c>
    </row>
    <row r="140" spans="1:7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ref="J140:AO140" si="337">INDEX($M114:$AZ114,MATCH(J$132,$M$106:$AZ$106,0))</f>
        <v>3.29935437842208</v>
      </c>
      <c r="K140" s="5">
        <f t="shared" si="337"/>
        <v>3.3198887752333528</v>
      </c>
      <c r="L140" s="5">
        <f t="shared" si="337"/>
        <v>3.3404231720446251</v>
      </c>
      <c r="M140" s="5">
        <f t="shared" si="337"/>
        <v>3.2162787996334212</v>
      </c>
      <c r="N140" s="5">
        <f t="shared" si="337"/>
        <v>3.4059784545034963</v>
      </c>
      <c r="O140" s="5">
        <f t="shared" si="337"/>
        <v>3.5142421207515442</v>
      </c>
      <c r="P140" s="5">
        <f t="shared" si="337"/>
        <v>3.622505786999592</v>
      </c>
      <c r="Q140" s="5">
        <f t="shared" si="337"/>
        <v>3.7307694532476399</v>
      </c>
      <c r="R140" s="5">
        <f t="shared" si="337"/>
        <v>3.7307694532476399</v>
      </c>
      <c r="S140" s="5">
        <f t="shared" si="337"/>
        <v>3.7307694532476399</v>
      </c>
      <c r="T140" s="5">
        <f t="shared" si="337"/>
        <v>3.8390331194956877</v>
      </c>
      <c r="U140" s="5">
        <f t="shared" si="337"/>
        <v>3.9472967857437355</v>
      </c>
      <c r="V140" s="5">
        <f t="shared" si="337"/>
        <v>4.0555604519917834</v>
      </c>
      <c r="W140" s="5">
        <f t="shared" si="337"/>
        <v>4.1638241182398312</v>
      </c>
      <c r="X140" s="5">
        <f t="shared" si="337"/>
        <v>4.2720877844878791</v>
      </c>
      <c r="Y140" s="5">
        <f t="shared" si="337"/>
        <v>4.380351450735926</v>
      </c>
      <c r="Z140" s="5">
        <f t="shared" si="337"/>
        <v>4.5171616551327221</v>
      </c>
      <c r="AA140" s="5">
        <f t="shared" si="337"/>
        <v>4.6539718595295181</v>
      </c>
      <c r="AB140" s="5">
        <f t="shared" si="337"/>
        <v>4.6539718595295181</v>
      </c>
      <c r="AC140" s="5">
        <f t="shared" si="337"/>
        <v>4.6539718595295181</v>
      </c>
      <c r="AD140" s="5">
        <f t="shared" si="337"/>
        <v>4.7907820639263141</v>
      </c>
      <c r="AE140" s="5">
        <f t="shared" si="337"/>
        <v>4.9275922683231101</v>
      </c>
      <c r="AF140" s="5">
        <f t="shared" si="337"/>
        <v>5.0644024727199062</v>
      </c>
      <c r="AG140" s="5">
        <f t="shared" si="337"/>
        <v>5.2012126771167022</v>
      </c>
      <c r="AH140" s="5">
        <f t="shared" si="337"/>
        <v>5.3380228815134982</v>
      </c>
      <c r="AI140" s="5">
        <f t="shared" si="337"/>
        <v>5.4748330859102943</v>
      </c>
      <c r="AJ140" s="5">
        <f t="shared" si="337"/>
        <v>5.6116432903070903</v>
      </c>
      <c r="AK140" s="5">
        <f t="shared" si="337"/>
        <v>5.7484534947038837</v>
      </c>
      <c r="AL140" s="5">
        <f t="shared" si="337"/>
        <v>6.2979222585312913</v>
      </c>
      <c r="AM140" s="5">
        <f t="shared" si="337"/>
        <v>6.8473910223587025</v>
      </c>
      <c r="AN140" s="5">
        <f t="shared" si="337"/>
        <v>7.8429055740425184</v>
      </c>
      <c r="AO140" s="5">
        <f t="shared" si="337"/>
        <v>8.0040738249829779</v>
      </c>
    </row>
    <row r="141" spans="1:7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ref="J141:AO141" si="338">INDEX($M115:$AZ115,MATCH(J$132,$M$106:$AZ$106,0))</f>
        <v>0.59840698910616097</v>
      </c>
      <c r="K141" s="5">
        <f t="shared" si="338"/>
        <v>0.6021313318591881</v>
      </c>
      <c r="L141" s="5">
        <f t="shared" si="338"/>
        <v>0.60585567461221534</v>
      </c>
      <c r="M141" s="5">
        <f t="shared" si="338"/>
        <v>0.58333949369060389</v>
      </c>
      <c r="N141" s="5">
        <f t="shared" si="338"/>
        <v>0.61774549749780006</v>
      </c>
      <c r="O141" s="5">
        <f t="shared" si="338"/>
        <v>0.63738137989127375</v>
      </c>
      <c r="P141" s="5">
        <f t="shared" si="338"/>
        <v>0.65701726228474744</v>
      </c>
      <c r="Q141" s="5">
        <f t="shared" si="338"/>
        <v>0.67665314467822113</v>
      </c>
      <c r="R141" s="5">
        <f t="shared" si="338"/>
        <v>0.67665314467822113</v>
      </c>
      <c r="S141" s="5">
        <f t="shared" si="338"/>
        <v>0.67665314467822113</v>
      </c>
      <c r="T141" s="5">
        <f t="shared" si="338"/>
        <v>0.69628902707169482</v>
      </c>
      <c r="U141" s="5">
        <f t="shared" si="338"/>
        <v>0.71592490946516851</v>
      </c>
      <c r="V141" s="5">
        <f t="shared" si="338"/>
        <v>0.7355607918586422</v>
      </c>
      <c r="W141" s="5">
        <f t="shared" si="338"/>
        <v>0.7551966742521159</v>
      </c>
      <c r="X141" s="5">
        <f t="shared" si="338"/>
        <v>0.77483255664558959</v>
      </c>
      <c r="Y141" s="5">
        <f t="shared" si="338"/>
        <v>0.7944684390390635</v>
      </c>
      <c r="Z141" s="5">
        <f t="shared" si="338"/>
        <v>0.81928183375274033</v>
      </c>
      <c r="AA141" s="5">
        <f t="shared" si="338"/>
        <v>0.84409522846641716</v>
      </c>
      <c r="AB141" s="5">
        <f t="shared" si="338"/>
        <v>0.84409522846641716</v>
      </c>
      <c r="AC141" s="5">
        <f t="shared" si="338"/>
        <v>0.84409522846641716</v>
      </c>
      <c r="AD141" s="5">
        <f t="shared" si="338"/>
        <v>0.86890862318009399</v>
      </c>
      <c r="AE141" s="5">
        <f t="shared" si="338"/>
        <v>0.89372201789377081</v>
      </c>
      <c r="AF141" s="5">
        <f t="shared" si="338"/>
        <v>0.91853541260744764</v>
      </c>
      <c r="AG141" s="5">
        <f t="shared" si="338"/>
        <v>0.94334880732112447</v>
      </c>
      <c r="AH141" s="5">
        <f t="shared" si="338"/>
        <v>0.9681622020348013</v>
      </c>
      <c r="AI141" s="5">
        <f t="shared" si="338"/>
        <v>0.99297559674847813</v>
      </c>
      <c r="AJ141" s="5">
        <f t="shared" si="338"/>
        <v>1.017788991462155</v>
      </c>
      <c r="AK141" s="5">
        <f t="shared" si="338"/>
        <v>1.0426023861758322</v>
      </c>
      <c r="AL141" s="5">
        <f t="shared" si="338"/>
        <v>1.1422600497236608</v>
      </c>
      <c r="AM141" s="5">
        <f t="shared" si="338"/>
        <v>1.2419177132714898</v>
      </c>
      <c r="AN141" s="5">
        <f t="shared" si="338"/>
        <v>1.4224751184961413</v>
      </c>
      <c r="AO141" s="5">
        <f t="shared" si="338"/>
        <v>1.4517063548906119</v>
      </c>
    </row>
    <row r="142" spans="1:7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ref="J142:AO142" si="339">INDEX($M116:$AZ116,MATCH(J$132,$M$106:$AZ$106,0))</f>
        <v>0.29798809605332599</v>
      </c>
      <c r="K142" s="5">
        <f t="shared" si="339"/>
        <v>0.29984270307869226</v>
      </c>
      <c r="L142" s="5">
        <f t="shared" si="339"/>
        <v>0.30169731010405854</v>
      </c>
      <c r="M142" s="5">
        <f t="shared" si="339"/>
        <v>0.29048495128243912</v>
      </c>
      <c r="N142" s="5">
        <f t="shared" si="339"/>
        <v>0.30761807264291008</v>
      </c>
      <c r="O142" s="5">
        <f t="shared" si="339"/>
        <v>0.31739613224996494</v>
      </c>
      <c r="P142" s="5">
        <f t="shared" si="339"/>
        <v>0.32717419185701979</v>
      </c>
      <c r="Q142" s="5">
        <f t="shared" si="339"/>
        <v>0.33695225146407465</v>
      </c>
      <c r="R142" s="5">
        <f t="shared" si="339"/>
        <v>0.33695225146407465</v>
      </c>
      <c r="S142" s="5">
        <f t="shared" si="339"/>
        <v>0.33695225146407465</v>
      </c>
      <c r="T142" s="5">
        <f t="shared" si="339"/>
        <v>0.3467303110711295</v>
      </c>
      <c r="U142" s="5">
        <f t="shared" si="339"/>
        <v>0.35650837067818436</v>
      </c>
      <c r="V142" s="5">
        <f t="shared" si="339"/>
        <v>0.36628643028523922</v>
      </c>
      <c r="W142" s="5">
        <f t="shared" si="339"/>
        <v>0.37606448989229407</v>
      </c>
      <c r="X142" s="5">
        <f t="shared" si="339"/>
        <v>0.38584254949934893</v>
      </c>
      <c r="Y142" s="5">
        <f t="shared" si="339"/>
        <v>0.39562060910640362</v>
      </c>
      <c r="Z142" s="5">
        <f t="shared" si="339"/>
        <v>0.4079769090526873</v>
      </c>
      <c r="AA142" s="5">
        <f t="shared" si="339"/>
        <v>0.42033320899897098</v>
      </c>
      <c r="AB142" s="5">
        <f t="shared" si="339"/>
        <v>0.42033320899897098</v>
      </c>
      <c r="AC142" s="5">
        <f t="shared" si="339"/>
        <v>0.42033320899897098</v>
      </c>
      <c r="AD142" s="5">
        <f t="shared" si="339"/>
        <v>0.43268950894525465</v>
      </c>
      <c r="AE142" s="5">
        <f t="shared" si="339"/>
        <v>0.44504580889153833</v>
      </c>
      <c r="AF142" s="5">
        <f t="shared" si="339"/>
        <v>0.45740210883782201</v>
      </c>
      <c r="AG142" s="5">
        <f t="shared" si="339"/>
        <v>0.46975840878410569</v>
      </c>
      <c r="AH142" s="5">
        <f t="shared" si="339"/>
        <v>0.48211470873038936</v>
      </c>
      <c r="AI142" s="5">
        <f t="shared" si="339"/>
        <v>0.49447100867667304</v>
      </c>
      <c r="AJ142" s="5">
        <f t="shared" si="339"/>
        <v>0.50682730862295666</v>
      </c>
      <c r="AK142" s="5">
        <f t="shared" si="339"/>
        <v>0.51918360856924028</v>
      </c>
      <c r="AL142" s="5">
        <f t="shared" si="339"/>
        <v>0.56881002998202923</v>
      </c>
      <c r="AM142" s="5">
        <f t="shared" si="339"/>
        <v>0.61843645139481807</v>
      </c>
      <c r="AN142" s="5">
        <f t="shared" si="339"/>
        <v>0.70834843168700923</v>
      </c>
      <c r="AO142" s="5">
        <f t="shared" si="339"/>
        <v>0.7229046795869275</v>
      </c>
    </row>
    <row r="143" spans="1:7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ref="J143:AO143" si="340">INDEX($M117:$AZ117,MATCH(J$132,$M$106:$AZ$106,0))</f>
        <v>6.6621877646371201</v>
      </c>
      <c r="K143" s="5">
        <f t="shared" si="340"/>
        <v>6.7819219966270463</v>
      </c>
      <c r="L143" s="5">
        <f t="shared" si="340"/>
        <v>6.9016562286169734</v>
      </c>
      <c r="M143" s="5">
        <f t="shared" si="340"/>
        <v>6.7116128591697501</v>
      </c>
      <c r="N143" s="5">
        <f t="shared" si="340"/>
        <v>7.1543851555436984</v>
      </c>
      <c r="O143" s="5">
        <f t="shared" si="340"/>
        <v>7.3939540687914951</v>
      </c>
      <c r="P143" s="5">
        <f t="shared" si="340"/>
        <v>7.6335229820392918</v>
      </c>
      <c r="Q143" s="5">
        <f t="shared" si="340"/>
        <v>7.8730918952870885</v>
      </c>
      <c r="R143" s="5">
        <f t="shared" si="340"/>
        <v>7.8730918952870885</v>
      </c>
      <c r="S143" s="5">
        <f t="shared" si="340"/>
        <v>7.8730918952870885</v>
      </c>
      <c r="T143" s="5">
        <f t="shared" si="340"/>
        <v>8.1126608085348852</v>
      </c>
      <c r="U143" s="5">
        <f t="shared" si="340"/>
        <v>8.3522297217826829</v>
      </c>
      <c r="V143" s="5">
        <f t="shared" si="340"/>
        <v>8.5917986350304805</v>
      </c>
      <c r="W143" s="5">
        <f t="shared" si="340"/>
        <v>8.8313675482782781</v>
      </c>
      <c r="X143" s="5">
        <f t="shared" si="340"/>
        <v>9.0709364615260757</v>
      </c>
      <c r="Y143" s="5">
        <f t="shared" si="340"/>
        <v>9.3105053747738697</v>
      </c>
      <c r="Z143" s="5">
        <f t="shared" si="340"/>
        <v>9.5402054613721372</v>
      </c>
      <c r="AA143" s="5">
        <f t="shared" si="340"/>
        <v>9.7699055479704047</v>
      </c>
      <c r="AB143" s="5">
        <f t="shared" si="340"/>
        <v>9.7699055479704047</v>
      </c>
      <c r="AC143" s="5">
        <f t="shared" si="340"/>
        <v>9.7699055479704047</v>
      </c>
      <c r="AD143" s="5">
        <f t="shared" si="340"/>
        <v>9.9996056345686721</v>
      </c>
      <c r="AE143" s="5">
        <f t="shared" si="340"/>
        <v>10.22930572116694</v>
      </c>
      <c r="AF143" s="5">
        <f t="shared" si="340"/>
        <v>10.459005807765207</v>
      </c>
      <c r="AG143" s="5">
        <f t="shared" si="340"/>
        <v>10.688705894363475</v>
      </c>
      <c r="AH143" s="5">
        <f t="shared" si="340"/>
        <v>10.918405980961742</v>
      </c>
      <c r="AI143" s="5">
        <f t="shared" si="340"/>
        <v>11.148106067560009</v>
      </c>
      <c r="AJ143" s="5">
        <f t="shared" si="340"/>
        <v>11.377806154158277</v>
      </c>
      <c r="AK143" s="5">
        <f t="shared" si="340"/>
        <v>11.607506240756543</v>
      </c>
      <c r="AL143" s="5">
        <f t="shared" si="340"/>
        <v>12.717015452425995</v>
      </c>
      <c r="AM143" s="5">
        <f t="shared" si="340"/>
        <v>13.82652466409545</v>
      </c>
      <c r="AN143" s="5">
        <f t="shared" si="340"/>
        <v>15.836707295316179</v>
      </c>
      <c r="AO143" s="5">
        <f t="shared" si="340"/>
        <v>16.162144646479717</v>
      </c>
    </row>
    <row r="144" spans="1:7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ref="J144:AO144" si="341">INDEX($M118:$AZ118,MATCH(J$132,$M$106:$AZ$106,0))</f>
        <v>2.2261566306639899</v>
      </c>
      <c r="K144" s="5">
        <f t="shared" si="341"/>
        <v>2.2400116999821158</v>
      </c>
      <c r="L144" s="5">
        <f t="shared" si="341"/>
        <v>2.2538667693002417</v>
      </c>
      <c r="M144" s="5">
        <f t="shared" si="341"/>
        <v>2.1701034671189854</v>
      </c>
      <c r="N144" s="5">
        <f t="shared" si="341"/>
        <v>2.2980985522439892</v>
      </c>
      <c r="O144" s="5">
        <f t="shared" si="341"/>
        <v>2.3711467461737814</v>
      </c>
      <c r="P144" s="5">
        <f t="shared" si="341"/>
        <v>2.4441949401035736</v>
      </c>
      <c r="Q144" s="5">
        <f t="shared" si="341"/>
        <v>2.5172431340333659</v>
      </c>
      <c r="R144" s="5">
        <f t="shared" si="341"/>
        <v>2.5172431340333659</v>
      </c>
      <c r="S144" s="5">
        <f t="shared" si="341"/>
        <v>2.5172431340333659</v>
      </c>
      <c r="T144" s="5">
        <f t="shared" si="341"/>
        <v>2.5902913279631581</v>
      </c>
      <c r="U144" s="5">
        <f t="shared" si="341"/>
        <v>2.6633395218929503</v>
      </c>
      <c r="V144" s="5">
        <f t="shared" si="341"/>
        <v>2.7363877158227425</v>
      </c>
      <c r="W144" s="5">
        <f t="shared" si="341"/>
        <v>2.8094359097525348</v>
      </c>
      <c r="X144" s="5">
        <f t="shared" si="341"/>
        <v>2.882484103682327</v>
      </c>
      <c r="Y144" s="5">
        <f t="shared" si="341"/>
        <v>2.9555322976121179</v>
      </c>
      <c r="Z144" s="5">
        <f t="shared" si="341"/>
        <v>3.0478415523112385</v>
      </c>
      <c r="AA144" s="5">
        <f t="shared" si="341"/>
        <v>3.1401508070103592</v>
      </c>
      <c r="AB144" s="5">
        <f t="shared" si="341"/>
        <v>3.1401508070103592</v>
      </c>
      <c r="AC144" s="5">
        <f t="shared" si="341"/>
        <v>3.1401508070103592</v>
      </c>
      <c r="AD144" s="5">
        <f t="shared" si="341"/>
        <v>3.2324600617094799</v>
      </c>
      <c r="AE144" s="5">
        <f t="shared" si="341"/>
        <v>3.3247693164086005</v>
      </c>
      <c r="AF144" s="5">
        <f t="shared" si="341"/>
        <v>3.4170785711077212</v>
      </c>
      <c r="AG144" s="5">
        <f t="shared" si="341"/>
        <v>3.5093878258068418</v>
      </c>
      <c r="AH144" s="5">
        <f t="shared" si="341"/>
        <v>3.6016970805059625</v>
      </c>
      <c r="AI144" s="5">
        <f t="shared" si="341"/>
        <v>3.6940063352050831</v>
      </c>
      <c r="AJ144" s="5">
        <f t="shared" si="341"/>
        <v>3.7863155899042038</v>
      </c>
      <c r="AK144" s="5">
        <f t="shared" si="341"/>
        <v>3.878624844603324</v>
      </c>
      <c r="AL144" s="5">
        <f t="shared" si="341"/>
        <v>4.2493651142563618</v>
      </c>
      <c r="AM144" s="5">
        <f t="shared" si="341"/>
        <v>4.6201053839093991</v>
      </c>
      <c r="AN144" s="5">
        <f t="shared" si="341"/>
        <v>5.2918038636626719</v>
      </c>
      <c r="AO144" s="5">
        <f t="shared" si="341"/>
        <v>5.4005480994531956</v>
      </c>
    </row>
    <row r="145" spans="1:57">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ref="J145:AO145" si="342">INDEX($M119:$AZ119,MATCH(J$132,$M$106:$AZ$106,0))</f>
        <v>0.122213678849837</v>
      </c>
      <c r="K145" s="5">
        <f t="shared" si="342"/>
        <v>0.12297430771519344</v>
      </c>
      <c r="L145" s="5">
        <f t="shared" si="342"/>
        <v>0.12373493658054988</v>
      </c>
      <c r="M145" s="5">
        <f t="shared" si="342"/>
        <v>0.11913641859166579</v>
      </c>
      <c r="N145" s="5">
        <f t="shared" si="342"/>
        <v>0.12616321536434347</v>
      </c>
      <c r="O145" s="5">
        <f t="shared" si="342"/>
        <v>0.1301734850778602</v>
      </c>
      <c r="P145" s="5">
        <f t="shared" si="342"/>
        <v>0.13418375479137692</v>
      </c>
      <c r="Q145" s="5">
        <f t="shared" si="342"/>
        <v>0.13819402450489365</v>
      </c>
      <c r="R145" s="5">
        <f t="shared" si="342"/>
        <v>0.13819402450489365</v>
      </c>
      <c r="S145" s="5">
        <f t="shared" si="342"/>
        <v>0.13819402450489365</v>
      </c>
      <c r="T145" s="5">
        <f t="shared" si="342"/>
        <v>0.14220429421841038</v>
      </c>
      <c r="U145" s="5">
        <f t="shared" si="342"/>
        <v>0.14621456393192711</v>
      </c>
      <c r="V145" s="5">
        <f t="shared" si="342"/>
        <v>0.15022483364544384</v>
      </c>
      <c r="W145" s="5">
        <f t="shared" si="342"/>
        <v>0.15423510335896057</v>
      </c>
      <c r="X145" s="5">
        <f t="shared" si="342"/>
        <v>0.1582453730724773</v>
      </c>
      <c r="Y145" s="5">
        <f t="shared" si="342"/>
        <v>0.16225564278599394</v>
      </c>
      <c r="Z145" s="5">
        <f t="shared" si="342"/>
        <v>0.16732332466123614</v>
      </c>
      <c r="AA145" s="5">
        <f t="shared" si="342"/>
        <v>0.17239100653647835</v>
      </c>
      <c r="AB145" s="5">
        <f t="shared" si="342"/>
        <v>0.17239100653647835</v>
      </c>
      <c r="AC145" s="5">
        <f t="shared" si="342"/>
        <v>0.17239100653647835</v>
      </c>
      <c r="AD145" s="5">
        <f t="shared" si="342"/>
        <v>0.17745868841172055</v>
      </c>
      <c r="AE145" s="5">
        <f t="shared" si="342"/>
        <v>0.18252637028696275</v>
      </c>
      <c r="AF145" s="5">
        <f t="shared" si="342"/>
        <v>0.18759405216220496</v>
      </c>
      <c r="AG145" s="5">
        <f t="shared" si="342"/>
        <v>0.19266173403744716</v>
      </c>
      <c r="AH145" s="5">
        <f t="shared" si="342"/>
        <v>0.19772941591268936</v>
      </c>
      <c r="AI145" s="5">
        <f t="shared" si="342"/>
        <v>0.20279709778793156</v>
      </c>
      <c r="AJ145" s="5">
        <f t="shared" si="342"/>
        <v>0.20786477966317377</v>
      </c>
      <c r="AK145" s="5">
        <f t="shared" si="342"/>
        <v>0.21293246153841591</v>
      </c>
      <c r="AL145" s="5">
        <f t="shared" si="342"/>
        <v>0.23328571594467212</v>
      </c>
      <c r="AM145" s="5">
        <f t="shared" si="342"/>
        <v>0.25363897035092825</v>
      </c>
      <c r="AN145" s="5">
        <f t="shared" si="342"/>
        <v>0.29051451682314805</v>
      </c>
      <c r="AO145" s="5">
        <f t="shared" si="342"/>
        <v>0.29648446203123069</v>
      </c>
    </row>
    <row r="146" spans="1:57">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ref="J146:AO146" si="343">INDEX($M120:$AZ120,MATCH(J$132,$M$106:$AZ$106,0))</f>
        <v>2.9412068148240201E-2</v>
      </c>
      <c r="K146" s="5">
        <f t="shared" si="343"/>
        <v>2.9595121863944723E-2</v>
      </c>
      <c r="L146" s="5">
        <f t="shared" si="343"/>
        <v>2.9778175579649242E-2</v>
      </c>
      <c r="M146" s="5">
        <f t="shared" si="343"/>
        <v>2.8671491567328906E-2</v>
      </c>
      <c r="N146" s="5">
        <f t="shared" si="343"/>
        <v>3.036256761942752E-2</v>
      </c>
      <c r="O146" s="5">
        <f t="shared" si="343"/>
        <v>3.1327683204007063E-2</v>
      </c>
      <c r="P146" s="5">
        <f t="shared" si="343"/>
        <v>3.229279878858661E-2</v>
      </c>
      <c r="Q146" s="5">
        <f t="shared" si="343"/>
        <v>3.3257914373166157E-2</v>
      </c>
      <c r="R146" s="5">
        <f t="shared" si="343"/>
        <v>3.3257914373166157E-2</v>
      </c>
      <c r="S146" s="5">
        <f t="shared" si="343"/>
        <v>3.3257914373166157E-2</v>
      </c>
      <c r="T146" s="5">
        <f t="shared" si="343"/>
        <v>3.4223029957745704E-2</v>
      </c>
      <c r="U146" s="5">
        <f t="shared" si="343"/>
        <v>3.5188145542325251E-2</v>
      </c>
      <c r="V146" s="5">
        <f t="shared" si="343"/>
        <v>3.6153261126904798E-2</v>
      </c>
      <c r="W146" s="5">
        <f t="shared" si="343"/>
        <v>3.7118376711484345E-2</v>
      </c>
      <c r="X146" s="5">
        <f t="shared" si="343"/>
        <v>3.8083492296063892E-2</v>
      </c>
      <c r="Y146" s="5">
        <f t="shared" si="343"/>
        <v>3.9048607880643432E-2</v>
      </c>
      <c r="Z146" s="5">
        <f t="shared" si="343"/>
        <v>4.0268201350629418E-2</v>
      </c>
      <c r="AA146" s="5">
        <f t="shared" si="343"/>
        <v>4.1487794820615403E-2</v>
      </c>
      <c r="AB146" s="5">
        <f t="shared" si="343"/>
        <v>4.1487794820615403E-2</v>
      </c>
      <c r="AC146" s="5">
        <f t="shared" si="343"/>
        <v>4.1487794820615403E-2</v>
      </c>
      <c r="AD146" s="5">
        <f t="shared" si="343"/>
        <v>4.2707388290601389E-2</v>
      </c>
      <c r="AE146" s="5">
        <f t="shared" si="343"/>
        <v>4.3926981760587375E-2</v>
      </c>
      <c r="AF146" s="5">
        <f t="shared" si="343"/>
        <v>4.514657523057336E-2</v>
      </c>
      <c r="AG146" s="5">
        <f t="shared" si="343"/>
        <v>4.6366168700559346E-2</v>
      </c>
      <c r="AH146" s="5">
        <f t="shared" si="343"/>
        <v>4.7585762170545332E-2</v>
      </c>
      <c r="AI146" s="5">
        <f t="shared" si="343"/>
        <v>4.8805355640531317E-2</v>
      </c>
      <c r="AJ146" s="5">
        <f t="shared" si="343"/>
        <v>5.0024949110517303E-2</v>
      </c>
      <c r="AK146" s="5">
        <f t="shared" si="343"/>
        <v>5.1244542580503254E-2</v>
      </c>
      <c r="AL146" s="5">
        <f t="shared" si="343"/>
        <v>5.6142777469339294E-2</v>
      </c>
      <c r="AM146" s="5">
        <f t="shared" si="343"/>
        <v>6.1041012358175363E-2</v>
      </c>
      <c r="AN146" s="5">
        <f t="shared" si="343"/>
        <v>6.991551884592416E-2</v>
      </c>
      <c r="AO146" s="5">
        <f t="shared" si="343"/>
        <v>7.1352251926491458E-2</v>
      </c>
    </row>
    <row r="147" spans="1:57">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ref="J147:AO147" si="344">INDEX($M121:$AZ121,MATCH(J$132,$M$106:$AZ$106,0))</f>
        <v>22</v>
      </c>
      <c r="K147" s="5">
        <f t="shared" si="344"/>
        <v>20.60902456349335</v>
      </c>
      <c r="L147" s="5">
        <f t="shared" si="344"/>
        <v>19.218049126986699</v>
      </c>
      <c r="M147" s="5">
        <f t="shared" si="344"/>
        <v>17.206637381742077</v>
      </c>
      <c r="N147" s="5">
        <f t="shared" si="344"/>
        <v>17.305706019659819</v>
      </c>
      <c r="O147" s="5">
        <f t="shared" si="344"/>
        <v>19.340387040183266</v>
      </c>
      <c r="P147" s="5">
        <f t="shared" si="344"/>
        <v>21.375068060706713</v>
      </c>
      <c r="Q147" s="5">
        <f t="shared" si="344"/>
        <v>23.40974908123016</v>
      </c>
      <c r="R147" s="5">
        <f t="shared" si="344"/>
        <v>23.40974908123016</v>
      </c>
      <c r="S147" s="5">
        <f t="shared" si="344"/>
        <v>23.40974908123016</v>
      </c>
      <c r="T147" s="5">
        <f t="shared" si="344"/>
        <v>25.444430101753607</v>
      </c>
      <c r="U147" s="5">
        <f t="shared" si="344"/>
        <v>27.479111122277054</v>
      </c>
      <c r="V147" s="5">
        <f t="shared" si="344"/>
        <v>29.513792142800501</v>
      </c>
      <c r="W147" s="5">
        <f t="shared" si="344"/>
        <v>31.548473163323948</v>
      </c>
      <c r="X147" s="5">
        <f t="shared" si="344"/>
        <v>33.583154183847398</v>
      </c>
      <c r="Y147" s="5">
        <f t="shared" si="344"/>
        <v>35.617835204370841</v>
      </c>
      <c r="Z147" s="5">
        <f t="shared" si="344"/>
        <v>40.063619642702491</v>
      </c>
      <c r="AA147" s="5">
        <f t="shared" si="344"/>
        <v>44.509404081034141</v>
      </c>
      <c r="AB147" s="5">
        <f t="shared" si="344"/>
        <v>44.509404081034141</v>
      </c>
      <c r="AC147" s="5">
        <f t="shared" si="344"/>
        <v>44.509404081034141</v>
      </c>
      <c r="AD147" s="5">
        <f t="shared" si="344"/>
        <v>48.955188519365791</v>
      </c>
      <c r="AE147" s="5">
        <f t="shared" si="344"/>
        <v>53.400972957697441</v>
      </c>
      <c r="AF147" s="5">
        <f t="shared" si="344"/>
        <v>57.846757396029091</v>
      </c>
      <c r="AG147" s="5">
        <f t="shared" si="344"/>
        <v>62.29254183436074</v>
      </c>
      <c r="AH147" s="5">
        <f t="shared" si="344"/>
        <v>66.73832627269239</v>
      </c>
      <c r="AI147" s="5">
        <f t="shared" si="344"/>
        <v>71.184110711024033</v>
      </c>
      <c r="AJ147" s="5">
        <f t="shared" si="344"/>
        <v>75.629895149355676</v>
      </c>
      <c r="AK147" s="5">
        <f t="shared" si="344"/>
        <v>80.075679587687318</v>
      </c>
      <c r="AL147" s="5">
        <f t="shared" si="344"/>
        <v>101.15097293219293</v>
      </c>
      <c r="AM147" s="5">
        <f t="shared" si="344"/>
        <v>122.22626627669857</v>
      </c>
      <c r="AN147" s="5">
        <f t="shared" si="344"/>
        <v>172.35935946550941</v>
      </c>
      <c r="AO147" s="5">
        <f t="shared" si="344"/>
        <v>210.66774949851762</v>
      </c>
    </row>
    <row r="148" spans="1:57">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ref="J148:AO148" si="345">INDEX($M122:$AZ122,MATCH(J$132,$M$106:$AZ$106,0))</f>
        <v>27.142505514316699</v>
      </c>
      <c r="K148" s="5">
        <f t="shared" si="345"/>
        <v>26.922878309927583</v>
      </c>
      <c r="L148" s="5">
        <f t="shared" si="345"/>
        <v>26.703251105538467</v>
      </c>
      <c r="M148" s="5">
        <f t="shared" si="345"/>
        <v>25.710844401627732</v>
      </c>
      <c r="N148" s="5">
        <f t="shared" si="345"/>
        <v>27.227298233292721</v>
      </c>
      <c r="O148" s="5">
        <f t="shared" si="345"/>
        <v>28.29752933108988</v>
      </c>
      <c r="P148" s="5">
        <f t="shared" si="345"/>
        <v>29.367760428887038</v>
      </c>
      <c r="Q148" s="5">
        <f t="shared" si="345"/>
        <v>30.437991526684197</v>
      </c>
      <c r="R148" s="5">
        <f t="shared" si="345"/>
        <v>30.437991526684197</v>
      </c>
      <c r="S148" s="5">
        <f t="shared" si="345"/>
        <v>30.437991526684197</v>
      </c>
      <c r="T148" s="5">
        <f t="shared" si="345"/>
        <v>31.508222624481355</v>
      </c>
      <c r="U148" s="5">
        <f t="shared" si="345"/>
        <v>32.57845372227851</v>
      </c>
      <c r="V148" s="5">
        <f t="shared" si="345"/>
        <v>33.648684820075665</v>
      </c>
      <c r="W148" s="5">
        <f t="shared" si="345"/>
        <v>34.71891591787282</v>
      </c>
      <c r="X148" s="5">
        <f t="shared" si="345"/>
        <v>35.789147015669975</v>
      </c>
      <c r="Y148" s="5">
        <f t="shared" si="345"/>
        <v>36.859378113467145</v>
      </c>
      <c r="Z148" s="5">
        <f t="shared" si="345"/>
        <v>38.381633214656489</v>
      </c>
      <c r="AA148" s="5">
        <f t="shared" si="345"/>
        <v>39.903888315845833</v>
      </c>
      <c r="AB148" s="5">
        <f t="shared" si="345"/>
        <v>39.903888315845833</v>
      </c>
      <c r="AC148" s="5">
        <f t="shared" si="345"/>
        <v>39.903888315845833</v>
      </c>
      <c r="AD148" s="5">
        <f t="shared" si="345"/>
        <v>41.426143417035178</v>
      </c>
      <c r="AE148" s="5">
        <f t="shared" si="345"/>
        <v>42.948398518224522</v>
      </c>
      <c r="AF148" s="5">
        <f t="shared" si="345"/>
        <v>44.470653619413866</v>
      </c>
      <c r="AG148" s="5">
        <f t="shared" si="345"/>
        <v>45.992908720603211</v>
      </c>
      <c r="AH148" s="5">
        <f t="shared" si="345"/>
        <v>47.515163821792555</v>
      </c>
      <c r="AI148" s="5">
        <f t="shared" si="345"/>
        <v>49.0374189229819</v>
      </c>
      <c r="AJ148" s="5">
        <f t="shared" si="345"/>
        <v>50.559674024171244</v>
      </c>
      <c r="AK148" s="5">
        <f t="shared" si="345"/>
        <v>52.081929125360617</v>
      </c>
      <c r="AL148" s="5">
        <f t="shared" si="345"/>
        <v>59.030685674691966</v>
      </c>
      <c r="AM148" s="5">
        <f t="shared" si="345"/>
        <v>65.979442224023316</v>
      </c>
      <c r="AN148" s="5">
        <f t="shared" si="345"/>
        <v>80.32342129408741</v>
      </c>
      <c r="AO148" s="5">
        <f t="shared" si="345"/>
        <v>87.078385128486644</v>
      </c>
    </row>
    <row r="149" spans="1:57">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ref="J149:AO149" si="346">INDEX($M123:$AZ123,MATCH(J$132,$M$106:$AZ$106,0))</f>
        <v>88.672727178245694</v>
      </c>
      <c r="K149" s="5">
        <f t="shared" si="346"/>
        <v>88.015304929890732</v>
      </c>
      <c r="L149" s="5">
        <f t="shared" si="346"/>
        <v>87.357882681535756</v>
      </c>
      <c r="M149" s="5">
        <f t="shared" si="346"/>
        <v>84.559607459462228</v>
      </c>
      <c r="N149" s="5">
        <f t="shared" si="346"/>
        <v>89.797718408758314</v>
      </c>
      <c r="O149" s="5">
        <f t="shared" si="346"/>
        <v>90.08827546499478</v>
      </c>
      <c r="P149" s="5">
        <f t="shared" si="346"/>
        <v>90.378832521231246</v>
      </c>
      <c r="Q149" s="5">
        <f t="shared" si="346"/>
        <v>90.669389577467712</v>
      </c>
      <c r="R149" s="5">
        <f t="shared" si="346"/>
        <v>90.669389577467712</v>
      </c>
      <c r="S149" s="5">
        <f t="shared" si="346"/>
        <v>90.669389577467712</v>
      </c>
      <c r="T149" s="5">
        <f t="shared" si="346"/>
        <v>90.959946633704178</v>
      </c>
      <c r="U149" s="5">
        <f t="shared" si="346"/>
        <v>91.250503689940643</v>
      </c>
      <c r="V149" s="5">
        <f t="shared" si="346"/>
        <v>91.541060746177109</v>
      </c>
      <c r="W149" s="5">
        <f t="shared" si="346"/>
        <v>91.831617802413575</v>
      </c>
      <c r="X149" s="5">
        <f t="shared" si="346"/>
        <v>92.122174858650041</v>
      </c>
      <c r="Y149" s="5">
        <f t="shared" si="346"/>
        <v>92.412731914886479</v>
      </c>
      <c r="Z149" s="5">
        <f t="shared" si="346"/>
        <v>94.235705174545956</v>
      </c>
      <c r="AA149" s="5">
        <f t="shared" si="346"/>
        <v>96.058678434205433</v>
      </c>
      <c r="AB149" s="5">
        <f t="shared" si="346"/>
        <v>96.058678434205433</v>
      </c>
      <c r="AC149" s="5">
        <f t="shared" si="346"/>
        <v>96.058678434205433</v>
      </c>
      <c r="AD149" s="5">
        <f t="shared" si="346"/>
        <v>97.88165169386491</v>
      </c>
      <c r="AE149" s="5">
        <f t="shared" si="346"/>
        <v>99.704624953524387</v>
      </c>
      <c r="AF149" s="5">
        <f t="shared" si="346"/>
        <v>101.52759821318386</v>
      </c>
      <c r="AG149" s="5">
        <f t="shared" si="346"/>
        <v>103.35057147284334</v>
      </c>
      <c r="AH149" s="5">
        <f t="shared" si="346"/>
        <v>105.17354473250282</v>
      </c>
      <c r="AI149" s="5">
        <f t="shared" si="346"/>
        <v>106.9965179921623</v>
      </c>
      <c r="AJ149" s="5">
        <f t="shared" si="346"/>
        <v>108.81949125182177</v>
      </c>
      <c r="AK149" s="5">
        <f t="shared" si="346"/>
        <v>110.64246451148132</v>
      </c>
      <c r="AL149" s="5">
        <f t="shared" si="346"/>
        <v>126.18448561624592</v>
      </c>
      <c r="AM149" s="5">
        <f t="shared" si="346"/>
        <v>141.72650672101051</v>
      </c>
      <c r="AN149" s="5">
        <f t="shared" si="346"/>
        <v>173.87745919247294</v>
      </c>
      <c r="AO149" s="5">
        <f t="shared" si="346"/>
        <v>186.24392762406274</v>
      </c>
    </row>
    <row r="150" spans="1:57">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84">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84">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84">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84">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84">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84">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84">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84">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84">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2" t="s">
        <v>16</v>
      </c>
      <c r="B174" t="s">
        <v>378</v>
      </c>
      <c r="C174"/>
      <c r="D174"/>
      <c r="E174"/>
      <c r="F174"/>
      <c r="G174"/>
      <c r="H174"/>
      <c r="I174"/>
      <c r="J174" s="105"/>
      <c r="K174" s="67">
        <f>IF(ISNA(K171),-1,IF(ISNA(K173),99,IF(ISNA(K172),K171,0)))</f>
        <v>0</v>
      </c>
      <c r="L174" s="67">
        <f t="shared" ref="L174:AW174" si="355">IF(ISNA(L171),-1,IF(ISNA(L173),99,IF(ISNA(L172),L171,0)))</f>
        <v>0</v>
      </c>
      <c r="M174" s="67">
        <f t="shared" si="355"/>
        <v>0</v>
      </c>
      <c r="N174" s="67">
        <f t="shared" ref="N174:O174" si="356">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ref="X174:Y174" si="357">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ref="AH174:AI174" si="358">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6" t="str">
        <f t="shared" ref="B175:B184" si="359">IF(A175="*","","COM_PROJ")</f>
        <v/>
      </c>
      <c r="C175" s="17" t="str">
        <f t="shared" ref="C175:C184" si="360">IF($A175="*","","-")</f>
        <v/>
      </c>
      <c r="D175" s="44"/>
      <c r="E175" s="17" t="str">
        <f t="shared" ref="E175:I184" si="361">IF($A175="*","","-")</f>
        <v/>
      </c>
      <c r="F175" s="17" t="str">
        <f t="shared" si="361"/>
        <v/>
      </c>
      <c r="G175" s="17" t="str">
        <f t="shared" si="361"/>
        <v/>
      </c>
      <c r="H175" s="17"/>
      <c r="I175" s="17" t="str">
        <f t="shared" si="361"/>
        <v/>
      </c>
      <c r="K175" s="17">
        <f>K170</f>
        <v>2012</v>
      </c>
      <c r="L175" s="17">
        <f t="shared" ref="L175:AW175" si="362">L170</f>
        <v>2013</v>
      </c>
      <c r="M175" s="17">
        <f t="shared" si="362"/>
        <v>2014</v>
      </c>
      <c r="N175" s="17">
        <f t="shared" ref="N175:O175" si="363">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ref="X175:Y175" si="364">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ref="AH175:AI175" si="36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84">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ref="J176:J188" si="366">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19.048967965169496</v>
      </c>
      <c r="T176" s="5" cm="1">
        <f t="array" ref="T176">IF(T$174=-1,U176,IF(T$174=99,S176,IF(T$174=0,INDEX($F43:$N43,0,T$172),(INDEX($F43:$N43,0,T$174+1)-INDEX($F43:$N43,0,T$174))/(INDEX($F$4:$N$4,0,T$174+1)-INDEX($F$4:$N$4,0,T$174))+S176)))</f>
        <v>19.16679090850425</v>
      </c>
      <c r="U176" s="5" cm="1">
        <f t="array" ref="U176">IF(U$174=-1,V176,IF(U$174=99,T176,IF(U$174=0,INDEX($F43:$N43,0,U$172),(INDEX($F43:$N43,0,U$174+1)-INDEX($F43:$N43,0,U$174))/(INDEX($F$4:$N$4,0,U$174+1)-INDEX($F$4:$N$4,0,U$174))+T176)))</f>
        <v>18.454471209495399</v>
      </c>
      <c r="V176" s="5" cm="1">
        <f t="array" ref="V176">IF(V$174=-1,W176,IF(V$174=99,U176,IF(V$174=0,INDEX($F43:$N43,0,V$172),(INDEX($F43:$N43,0,V$174+1)-INDEX($F43:$N43,0,V$174))/(INDEX($F$4:$N$4,0,V$174+1)-INDEX($F$4:$N$4,0,V$174))+U176)))</f>
        <v>19.542936183256387</v>
      </c>
      <c r="W176" s="5" cm="1">
        <f t="array" ref="W176">IF(W$174=-1,Z176,IF(W$174=99,V176,IF(W$174=0,INDEX($F43:$N43,0,W$172),(INDEX($F43:$N43,0,W$174+1)-INDEX($F43:$N43,0,W$174))/(INDEX($F$4:$N$4,0,W$174+1)-INDEX($F$4:$N$4,0,W$174))+V176)))</f>
        <v>20.311115892692687</v>
      </c>
      <c r="X176" s="5" cm="1">
        <f t="array" ref="X176">IF(X$174=-1,Y176,IF(X$174=99,U176,IF(X$174=0,INDEX($F43:$N43,0,X$172),(INDEX($F43:$N43,0,X$174+1)-INDEX($F43:$N43,0,X$174))/(INDEX($F$4:$N$4,0,X$174+1)-INDEX($F$4:$N$4,0,X$174))+U176)))</f>
        <v>19.542936183256387</v>
      </c>
      <c r="Y176" s="5" cm="1">
        <f t="array" ref="Y176">IF(Y$174=-1,Z176,IF(Y$174=99,V176,IF(Y$174=0,INDEX($F43:$N43,0,Y$172),(INDEX($F43:$N43,0,Y$174+1)-INDEX($F43:$N43,0,Y$174))/(INDEX($F$4:$N$4,0,Y$174+1)-INDEX($F$4:$N$4,0,Y$174))+V176)))</f>
        <v>20.311115892692687</v>
      </c>
      <c r="Z176" s="5" cm="1">
        <f t="array" ref="Z176">IF(Z$174=-1,AA176,IF(Z$174=99,W176,IF(Z$174=0,INDEX($F43:$N43,0,Z$172),(INDEX($F43:$N43,0,Z$174+1)-INDEX($F43:$N43,0,Z$174))/(INDEX($F$4:$N$4,0,Z$174+1)-INDEX($F$4:$N$4,0,Z$174))+W176)))</f>
        <v>21.079295602128987</v>
      </c>
      <c r="AA176" s="5" cm="1">
        <f t="array" ref="AA176">IF(AA$174=-1,AB176,IF(AA$174=99,Z176,IF(AA$174=0,INDEX($F43:$N43,0,AA$172),(INDEX($F43:$N43,0,AA$174+1)-INDEX($F43:$N43,0,AA$174))/(INDEX($F$4:$N$4,0,AA$174+1)-INDEX($F$4:$N$4,0,AA$174))+Z176)))</f>
        <v>21.847475311565287</v>
      </c>
      <c r="AB176" s="5" cm="1">
        <f t="array" ref="AB176">IF(AB$174=-1,AC176,IF(AB$174=99,AA176,IF(AB$174=0,INDEX($F43:$N43,0,AB$172),(INDEX($F43:$N43,0,AB$174+1)-INDEX($F43:$N43,0,AB$174))/(INDEX($F$4:$N$4,0,AB$174+1)-INDEX($F$4:$N$4,0,AB$174))+AA176)))</f>
        <v>22.615655021001587</v>
      </c>
      <c r="AC176" s="5" cm="1">
        <f t="array" ref="AC176">IF(AC$174=-1,AD176,IF(AC$174=99,AB176,IF(AC$174=0,INDEX($F43:$N43,0,AC$172),(INDEX($F43:$N43,0,AC$174+1)-INDEX($F43:$N43,0,AC$174))/(INDEX($F$4:$N$4,0,AC$174+1)-INDEX($F$4:$N$4,0,AC$174))+AB176)))</f>
        <v>23.383834730437886</v>
      </c>
      <c r="AD176" s="5" cm="1">
        <f t="array" ref="AD176">IF(AD$174=-1,AE176,IF(AD$174=99,AC176,IF(AD$174=0,INDEX($F43:$N43,0,AD$172),(INDEX($F43:$N43,0,AD$174+1)-INDEX($F43:$N43,0,AD$174))/(INDEX($F$4:$N$4,0,AD$174+1)-INDEX($F$4:$N$4,0,AD$174))+AC176)))</f>
        <v>24.152014439874186</v>
      </c>
      <c r="AE176" s="5" cm="1">
        <f t="array" ref="AE176">IF(AE$174=-1,AF176,IF(AE$174=99,AD176,IF(AE$174=0,INDEX($F43:$N43,0,AE$172),(INDEX($F43:$N43,0,AE$174+1)-INDEX($F43:$N43,0,AE$174))/(INDEX($F$4:$N$4,0,AE$174+1)-INDEX($F$4:$N$4,0,AE$174))+AD176)))</f>
        <v>24.920194149310486</v>
      </c>
      <c r="AF176" s="5" cm="1">
        <f t="array" ref="AF176">IF(AF$174=-1,AG176,IF(AF$174=99,AE176,IF(AF$174=0,INDEX($F43:$N43,0,AF$172),(INDEX($F43:$N43,0,AF$174+1)-INDEX($F43:$N43,0,AF$174))/(INDEX($F$4:$N$4,0,AF$174+1)-INDEX($F$4:$N$4,0,AF$174))+AE176)))</f>
        <v>25.688373858746786</v>
      </c>
      <c r="AG176" s="5" cm="1">
        <f t="array" ref="AG176">IF(AG$174=-1,AJ176,IF(AG$174=99,AF176,IF(AG$174=0,INDEX($F43:$N43,0,AG$172),(INDEX($F43:$N43,0,AG$174+1)-INDEX($F43:$N43,0,AG$174))/(INDEX($F$4:$N$4,0,AG$174+1)-INDEX($F$4:$N$4,0,AG$174))+AF176)))</f>
        <v>26.456553568183089</v>
      </c>
      <c r="AH176" s="5" cm="1">
        <f t="array" ref="AH176">IF(AH$174=-1,AI176,IF(AH$174=99,AE176,IF(AH$174=0,INDEX($F43:$N43,0,AH$172),(INDEX($F43:$N43,0,AH$174+1)-INDEX($F43:$N43,0,AH$174))/(INDEX($F$4:$N$4,0,AH$174+1)-INDEX($F$4:$N$4,0,AH$174))+AE176)))</f>
        <v>25.688373858746786</v>
      </c>
      <c r="AI176" s="5" cm="1">
        <f t="array" ref="AI176">IF(AI$174=-1,AJ176,IF(AI$174=99,AF176,IF(AI$174=0,INDEX($F43:$N43,0,AI$172),(INDEX($F43:$N43,0,AI$174+1)-INDEX($F43:$N43,0,AI$174))/(INDEX($F$4:$N$4,0,AI$174+1)-INDEX($F$4:$N$4,0,AI$174))+AF176)))</f>
        <v>26.456553568183089</v>
      </c>
      <c r="AJ176" s="5" cm="1">
        <f t="array" ref="AJ176">IF(AJ$174=-1,AK176,IF(AJ$174=99,AG176,IF(AJ$174=0,INDEX($F43:$N43,0,AJ$172),(INDEX($F43:$N43,0,AJ$174+1)-INDEX($F43:$N43,0,AJ$174))/(INDEX($F$4:$N$4,0,AJ$174+1)-INDEX($F$4:$N$4,0,AJ$174))+AG176)))</f>
        <v>27.465598177007983</v>
      </c>
      <c r="AK176" s="5" cm="1">
        <f t="array" ref="AK176">IF(AK$174=-1,AL176,IF(AK$174=99,AJ176,IF(AK$174=0,INDEX($F43:$N43,0,AK$172),(INDEX($F43:$N43,0,AK$174+1)-INDEX($F43:$N43,0,AK$174))/(INDEX($F$4:$N$4,0,AK$174+1)-INDEX($F$4:$N$4,0,AK$174))+AJ176)))</f>
        <v>28.474642785832877</v>
      </c>
      <c r="AL176" s="5" cm="1">
        <f t="array" ref="AL176">IF(AL$174=-1,AM176,IF(AL$174=99,AK176,IF(AL$174=0,INDEX($F43:$N43,0,AL$172),(INDEX($F43:$N43,0,AL$174+1)-INDEX($F43:$N43,0,AL$174))/(INDEX($F$4:$N$4,0,AL$174+1)-INDEX($F$4:$N$4,0,AL$174))+AK176)))</f>
        <v>29.483687394657771</v>
      </c>
      <c r="AM176" s="5" cm="1">
        <f t="array" ref="AM176">IF(AM$174=-1,AN176,IF(AM$174=99,AL176,IF(AM$174=0,INDEX($F43:$N43,0,AM$172),(INDEX($F43:$N43,0,AM$174+1)-INDEX($F43:$N43,0,AM$174))/(INDEX($F$4:$N$4,0,AM$174+1)-INDEX($F$4:$N$4,0,AM$174))+AL176)))</f>
        <v>30.492732003482665</v>
      </c>
      <c r="AN176" s="5" cm="1">
        <f t="array" ref="AN176">IF(AN$174=-1,AO176,IF(AN$174=99,AM176,IF(AN$174=0,INDEX($F43:$N43,0,AN$172),(INDEX($F43:$N43,0,AN$174+1)-INDEX($F43:$N43,0,AN$174))/(INDEX($F$4:$N$4,0,AN$174+1)-INDEX($F$4:$N$4,0,AN$174))+AM176)))</f>
        <v>31.501776612307559</v>
      </c>
      <c r="AO176" s="5" cm="1">
        <f t="array" ref="AO176">IF(AO$174=-1,AP176,IF(AO$174=99,AN176,IF(AO$174=0,INDEX($F43:$N43,0,AO$172),(INDEX($F43:$N43,0,AO$174+1)-INDEX($F43:$N43,0,AO$174))/(INDEX($F$4:$N$4,0,AO$174+1)-INDEX($F$4:$N$4,0,AO$174))+AN176)))</f>
        <v>32.510821221132453</v>
      </c>
      <c r="AP176" s="5" cm="1">
        <f t="array" ref="AP176">IF(AP$174=-1,AQ176,IF(AP$174=99,AO176,IF(AP$174=0,INDEX($F43:$N43,0,AP$172),(INDEX($F43:$N43,0,AP$174+1)-INDEX($F43:$N43,0,AP$174))/(INDEX($F$4:$N$4,0,AP$174+1)-INDEX($F$4:$N$4,0,AP$174))+AO176)))</f>
        <v>33.519865829957347</v>
      </c>
      <c r="AQ176" s="5" cm="1">
        <f t="array" ref="AQ176">IF(AQ$174=-1,AR176,IF(AQ$174=99,AP176,IF(AQ$174=0,INDEX($F43:$N43,0,AQ$172),(INDEX($F43:$N43,0,AQ$174+1)-INDEX($F43:$N43,0,AQ$174))/(INDEX($F$4:$N$4,0,AQ$174+1)-INDEX($F$4:$N$4,0,AQ$174))+AP176)))</f>
        <v>34.528910438782241</v>
      </c>
      <c r="AR176" s="5" cm="1">
        <f t="array" ref="AR176">IF(AR$174=-1,AS176,IF(AR$174=99,AQ176,IF(AR$174=0,INDEX($F43:$N43,0,AR$172),(INDEX($F43:$N43,0,AR$174+1)-INDEX($F43:$N43,0,AR$174))/(INDEX($F$4:$N$4,0,AR$174+1)-INDEX($F$4:$N$4,0,AR$174))+AQ176)))</f>
        <v>35.537955047607134</v>
      </c>
      <c r="AS176" s="5" cm="1">
        <f t="array" ref="AS176">IF(AS$174=-1,AT176,IF(AS$174=99,AR176,IF(AS$174=0,INDEX($F43:$N43,0,AS$172),(INDEX($F43:$N43,0,AS$174+1)-INDEX($F43:$N43,0,AS$174))/(INDEX($F$4:$N$4,0,AS$174+1)-INDEX($F$4:$N$4,0,AS$174))+AR176)))</f>
        <v>36.546999656432035</v>
      </c>
      <c r="AT176" s="5" cm="1">
        <f t="array" ref="AT176">IF(AT$174=-1,AU176,IF(AT$174=99,AS176,IF(AT$174=0,INDEX($F43:$N43,0,AT$172),(INDEX($F43:$N43,0,AT$174+1)-INDEX($F43:$N43,0,AT$174))/(INDEX($F$4:$N$4,0,AT$174+1)-INDEX($F$4:$N$4,0,AT$174))+AS176)))</f>
        <v>37.474797127473032</v>
      </c>
      <c r="AU176" s="5" cm="1">
        <f t="array" ref="AU176">IF(AU$174=-1,AV176,IF(AU$174=99,AT176,IF(AU$174=0,INDEX($F43:$N43,0,AU$172),(INDEX($F43:$N43,0,AU$174+1)-INDEX($F43:$N43,0,AU$174))/(INDEX($F$4:$N$4,0,AU$174+1)-INDEX($F$4:$N$4,0,AU$174))+AT176)))</f>
        <v>45.824974366841978</v>
      </c>
      <c r="AV176" s="5" cm="1">
        <f t="array" ref="AV176">IF(AV$174=-1,AW176,IF(AV$174=99,AU176,IF(AV$174=0,INDEX($F43:$N43,0,AV$172),(INDEX($F43:$N43,0,AV$174+1)-INDEX($F43:$N43,0,AV$174))/(INDEX($F$4:$N$4,0,AV$174+1)-INDEX($F$4:$N$4,0,AV$174))+AU176)))</f>
        <v>55.249771039342697</v>
      </c>
      <c r="AW176" s="5" cm="1">
        <f t="array" ref="AW176">IF(AW$174=-1,AX176,IF(AW$174=99,AV176,IF(AW$174=0,INDEX($F43:$N43,0,AW$172),(INDEX($F43:$N43,0,AW$174+1)-INDEX($F43:$N43,0,AW$174))/(INDEX($F$4:$N$4,0,AW$174+1)-INDEX($F$4:$N$4,0,AW$174))+AV176)))</f>
        <v>59.352767863014755</v>
      </c>
    </row>
    <row r="177" spans="1:63">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5.8414423089944414</v>
      </c>
      <c r="T177" s="5" cm="1">
        <f t="array" ref="T177">IF(T$174=-1,U177,IF(T$174=99,S177,IF(T$174=0,INDEX($F46:$N46,0,T$172),(INDEX($F46:$N46,0,T$174+1)-INDEX($F46:$N46,0,T$174))/(INDEX($F$4:$N$4,0,T$174+1)-INDEX($F$4:$N$4,0,T$174))+S177)))</f>
        <v>6.263725567965813</v>
      </c>
      <c r="U177" s="5" cm="1">
        <f t="array" ref="U177">IF(U$174=-1,V177,IF(U$174=99,T177,IF(U$174=0,INDEX($F46:$N46,0,U$172),(INDEX($F46:$N46,0,U$174+1)-INDEX($F46:$N46,0,U$174))/(INDEX($F$4:$N$4,0,U$174+1)-INDEX($F$4:$N$4,0,U$174))+T177)))</f>
        <v>6.0309388102583563</v>
      </c>
      <c r="V177" s="5" cm="1">
        <f t="array" ref="V177">IF(V$174=-1,W177,IF(V$174=99,U177,IF(V$174=0,INDEX($F46:$N46,0,V$172),(INDEX($F46:$N46,0,V$174+1)-INDEX($F46:$N46,0,V$174))/(INDEX($F$4:$N$4,0,V$174+1)-INDEX($F$4:$N$4,0,V$174))+U177)))</f>
        <v>6.3866502028711318</v>
      </c>
      <c r="W177" s="5" cm="1">
        <f t="array" ref="W177">IF(W$174=-1,Z177,IF(W$174=99,V177,IF(W$174=0,INDEX($F46:$N46,0,W$172),(INDEX($F46:$N46,0,W$174+1)-INDEX($F46:$N46,0,W$174))/(INDEX($F$4:$N$4,0,W$174+1)-INDEX($F$4:$N$4,0,W$174))+V177)))</f>
        <v>6.6376920653173785</v>
      </c>
      <c r="X177" s="5" cm="1">
        <f t="array" ref="X177">IF(X$174=-1,Y177,IF(X$174=99,U177,IF(X$174=0,INDEX($F46:$N46,0,X$172),(INDEX($F46:$N46,0,X$174+1)-INDEX($F46:$N46,0,X$174))/(INDEX($F$4:$N$4,0,X$174+1)-INDEX($F$4:$N$4,0,X$174))+U177)))</f>
        <v>6.3866502028711318</v>
      </c>
      <c r="Y177" s="5" cm="1">
        <f t="array" ref="Y177">IF(Y$174=-1,Z177,IF(Y$174=99,V177,IF(Y$174=0,INDEX($F46:$N46,0,Y$172),(INDEX($F46:$N46,0,Y$174+1)-INDEX($F46:$N46,0,Y$174))/(INDEX($F$4:$N$4,0,Y$174+1)-INDEX($F$4:$N$4,0,Y$174))+V177)))</f>
        <v>6.6376920653173785</v>
      </c>
      <c r="Z177" s="5" cm="1">
        <f t="array" ref="Z177">IF(Z$174=-1,AA177,IF(Z$174=99,W177,IF(Z$174=0,INDEX($F46:$N46,0,Z$172),(INDEX($F46:$N46,0,Z$174+1)-INDEX($F46:$N46,0,Z$174))/(INDEX($F$4:$N$4,0,Z$174+1)-INDEX($F$4:$N$4,0,Z$174))+W177)))</f>
        <v>6.8887339277636253</v>
      </c>
      <c r="AA177" s="5" cm="1">
        <f t="array" ref="AA177">IF(AA$174=-1,AB177,IF(AA$174=99,Z177,IF(AA$174=0,INDEX($F46:$N46,0,AA$172),(INDEX($F46:$N46,0,AA$174+1)-INDEX($F46:$N46,0,AA$174))/(INDEX($F$4:$N$4,0,AA$174+1)-INDEX($F$4:$N$4,0,AA$174))+Z177)))</f>
        <v>7.139775790209872</v>
      </c>
      <c r="AB177" s="5" cm="1">
        <f t="array" ref="AB177">IF(AB$174=-1,AC177,IF(AB$174=99,AA177,IF(AB$174=0,INDEX($F46:$N46,0,AB$172),(INDEX($F46:$N46,0,AB$174+1)-INDEX($F46:$N46,0,AB$174))/(INDEX($F$4:$N$4,0,AB$174+1)-INDEX($F$4:$N$4,0,AB$174))+AA177)))</f>
        <v>7.3908176526561187</v>
      </c>
      <c r="AC177" s="5" cm="1">
        <f t="array" ref="AC177">IF(AC$174=-1,AD177,IF(AC$174=99,AB177,IF(AC$174=0,INDEX($F46:$N46,0,AC$172),(INDEX($F46:$N46,0,AC$174+1)-INDEX($F46:$N46,0,AC$174))/(INDEX($F$4:$N$4,0,AC$174+1)-INDEX($F$4:$N$4,0,AC$174))+AB177)))</f>
        <v>7.6418595151023654</v>
      </c>
      <c r="AD177" s="5" cm="1">
        <f t="array" ref="AD177">IF(AD$174=-1,AE177,IF(AD$174=99,AC177,IF(AD$174=0,INDEX($F46:$N46,0,AD$172),(INDEX($F46:$N46,0,AD$174+1)-INDEX($F46:$N46,0,AD$174))/(INDEX($F$4:$N$4,0,AD$174+1)-INDEX($F$4:$N$4,0,AD$174))+AC177)))</f>
        <v>7.8929013775486121</v>
      </c>
      <c r="AE177" s="5" cm="1">
        <f t="array" ref="AE177">IF(AE$174=-1,AF177,IF(AE$174=99,AD177,IF(AE$174=0,INDEX($F46:$N46,0,AE$172),(INDEX($F46:$N46,0,AE$174+1)-INDEX($F46:$N46,0,AE$174))/(INDEX($F$4:$N$4,0,AE$174+1)-INDEX($F$4:$N$4,0,AE$174))+AD177)))</f>
        <v>8.1439432399948597</v>
      </c>
      <c r="AF177" s="5" cm="1">
        <f t="array" ref="AF177">IF(AF$174=-1,AG177,IF(AF$174=99,AE177,IF(AF$174=0,INDEX($F46:$N46,0,AF$172),(INDEX($F46:$N46,0,AF$174+1)-INDEX($F46:$N46,0,AF$174))/(INDEX($F$4:$N$4,0,AF$174+1)-INDEX($F$4:$N$4,0,AF$174))+AE177)))</f>
        <v>8.3949851024411064</v>
      </c>
      <c r="AG177" s="5" cm="1">
        <f t="array" ref="AG177">IF(AG$174=-1,AJ177,IF(AG$174=99,AF177,IF(AG$174=0,INDEX($F46:$N46,0,AG$172),(INDEX($F46:$N46,0,AG$174+1)-INDEX($F46:$N46,0,AG$174))/(INDEX($F$4:$N$4,0,AG$174+1)-INDEX($F$4:$N$4,0,AG$174))+AF177)))</f>
        <v>8.6460269648873549</v>
      </c>
      <c r="AH177" s="5" cm="1">
        <f t="array" ref="AH177">IF(AH$174=-1,AI177,IF(AH$174=99,AE177,IF(AH$174=0,INDEX($F46:$N46,0,AH$172),(INDEX($F46:$N46,0,AH$174+1)-INDEX($F46:$N46,0,AH$174))/(INDEX($F$4:$N$4,0,AH$174+1)-INDEX($F$4:$N$4,0,AH$174))+AE177)))</f>
        <v>8.3949851024411064</v>
      </c>
      <c r="AI177" s="5" cm="1">
        <f t="array" ref="AI177">IF(AI$174=-1,AJ177,IF(AI$174=99,AF177,IF(AI$174=0,INDEX($F46:$N46,0,AI$172),(INDEX($F46:$N46,0,AI$174+1)-INDEX($F46:$N46,0,AI$174))/(INDEX($F$4:$N$4,0,AI$174+1)-INDEX($F$4:$N$4,0,AI$174))+AF177)))</f>
        <v>8.6460269648873549</v>
      </c>
      <c r="AJ177" s="5" cm="1">
        <f t="array" ref="AJ177">IF(AJ$174=-1,AK177,IF(AJ$174=99,AG177,IF(AJ$174=0,INDEX($F46:$N46,0,AJ$172),(INDEX($F46:$N46,0,AJ$174+1)-INDEX($F46:$N46,0,AJ$174))/(INDEX($F$4:$N$4,0,AJ$174+1)-INDEX($F$4:$N$4,0,AJ$174))+AG177)))</f>
        <v>8.859333661207673</v>
      </c>
      <c r="AK177" s="5" cm="1">
        <f t="array" ref="AK177">IF(AK$174=-1,AL177,IF(AK$174=99,AJ177,IF(AK$174=0,INDEX($F46:$N46,0,AK$172),(INDEX($F46:$N46,0,AK$174+1)-INDEX($F46:$N46,0,AK$174))/(INDEX($F$4:$N$4,0,AK$174+1)-INDEX($F$4:$N$4,0,AK$174))+AJ177)))</f>
        <v>9.072640357527991</v>
      </c>
      <c r="AL177" s="5" cm="1">
        <f t="array" ref="AL177">IF(AL$174=-1,AM177,IF(AL$174=99,AK177,IF(AL$174=0,INDEX($F46:$N46,0,AL$172),(INDEX($F46:$N46,0,AL$174+1)-INDEX($F46:$N46,0,AL$174))/(INDEX($F$4:$N$4,0,AL$174+1)-INDEX($F$4:$N$4,0,AL$174))+AK177)))</f>
        <v>9.2859470538483091</v>
      </c>
      <c r="AM177" s="5" cm="1">
        <f t="array" ref="AM177">IF(AM$174=-1,AN177,IF(AM$174=99,AL177,IF(AM$174=0,INDEX($F46:$N46,0,AM$172),(INDEX($F46:$N46,0,AM$174+1)-INDEX($F46:$N46,0,AM$174))/(INDEX($F$4:$N$4,0,AM$174+1)-INDEX($F$4:$N$4,0,AM$174))+AL177)))</f>
        <v>9.4992537501686272</v>
      </c>
      <c r="AN177" s="5" cm="1">
        <f t="array" ref="AN177">IF(AN$174=-1,AO177,IF(AN$174=99,AM177,IF(AN$174=0,INDEX($F46:$N46,0,AN$172),(INDEX($F46:$N46,0,AN$174+1)-INDEX($F46:$N46,0,AN$174))/(INDEX($F$4:$N$4,0,AN$174+1)-INDEX($F$4:$N$4,0,AN$174))+AM177)))</f>
        <v>9.7125604464889452</v>
      </c>
      <c r="AO177" s="5" cm="1">
        <f t="array" ref="AO177">IF(AO$174=-1,AP177,IF(AO$174=99,AN177,IF(AO$174=0,INDEX($F46:$N46,0,AO$172),(INDEX($F46:$N46,0,AO$174+1)-INDEX($F46:$N46,0,AO$174))/(INDEX($F$4:$N$4,0,AO$174+1)-INDEX($F$4:$N$4,0,AO$174))+AN177)))</f>
        <v>9.9258671428092633</v>
      </c>
      <c r="AP177" s="5" cm="1">
        <f t="array" ref="AP177">IF(AP$174=-1,AQ177,IF(AP$174=99,AO177,IF(AP$174=0,INDEX($F46:$N46,0,AP$172),(INDEX($F46:$N46,0,AP$174+1)-INDEX($F46:$N46,0,AP$174))/(INDEX($F$4:$N$4,0,AP$174+1)-INDEX($F$4:$N$4,0,AP$174))+AO177)))</f>
        <v>10.139173839129581</v>
      </c>
      <c r="AQ177" s="5" cm="1">
        <f t="array" ref="AQ177">IF(AQ$174=-1,AR177,IF(AQ$174=99,AP177,IF(AQ$174=0,INDEX($F46:$N46,0,AQ$172),(INDEX($F46:$N46,0,AQ$174+1)-INDEX($F46:$N46,0,AQ$174))/(INDEX($F$4:$N$4,0,AQ$174+1)-INDEX($F$4:$N$4,0,AQ$174))+AP177)))</f>
        <v>10.352480535449899</v>
      </c>
      <c r="AR177" s="5" cm="1">
        <f t="array" ref="AR177">IF(AR$174=-1,AS177,IF(AR$174=99,AQ177,IF(AR$174=0,INDEX($F46:$N46,0,AR$172),(INDEX($F46:$N46,0,AR$174+1)-INDEX($F46:$N46,0,AR$174))/(INDEX($F$4:$N$4,0,AR$174+1)-INDEX($F$4:$N$4,0,AR$174))+AQ177)))</f>
        <v>10.565787231770218</v>
      </c>
      <c r="AS177" s="5" cm="1">
        <f t="array" ref="AS177">IF(AS$174=-1,AT177,IF(AS$174=99,AR177,IF(AS$174=0,INDEX($F46:$N46,0,AS$172),(INDEX($F46:$N46,0,AS$174+1)-INDEX($F46:$N46,0,AS$174))/(INDEX($F$4:$N$4,0,AS$174+1)-INDEX($F$4:$N$4,0,AS$174))+AR177)))</f>
        <v>10.779093928090536</v>
      </c>
      <c r="AT177" s="5" cm="1">
        <f t="array" ref="AT177">IF(AT$174=-1,AU177,IF(AT$174=99,AS177,IF(AT$174=0,INDEX($F46:$N46,0,AT$172),(INDEX($F46:$N46,0,AT$174+1)-INDEX($F46:$N46,0,AT$174))/(INDEX($F$4:$N$4,0,AT$174+1)-INDEX($F$4:$N$4,0,AT$174))+AS177)))</f>
        <v>10.98515893048828</v>
      </c>
      <c r="AU177" s="5" cm="1">
        <f t="array" ref="AU177">IF(AU$174=-1,AV177,IF(AU$174=99,AT177,IF(AU$174=0,INDEX($F46:$N46,0,AU$172),(INDEX($F46:$N46,0,AU$174+1)-INDEX($F46:$N46,0,AU$174))/(INDEX($F$4:$N$4,0,AU$174+1)-INDEX($F$4:$N$4,0,AU$174))+AT177)))</f>
        <v>12.839743952067991</v>
      </c>
      <c r="AV177" s="5" cm="1">
        <f t="array" ref="AV177">IF(AV$174=-1,AW177,IF(AV$174=99,AU177,IF(AV$174=0,INDEX($F46:$N46,0,AV$172),(INDEX($F46:$N46,0,AV$174+1)-INDEX($F46:$N46,0,AV$174))/(INDEX($F$4:$N$4,0,AV$174+1)-INDEX($F$4:$N$4,0,AV$174))+AU177)))</f>
        <v>14.70646251720332</v>
      </c>
      <c r="AW177" s="5" cm="1">
        <f t="array" ref="AW177">IF(AW$174=-1,AX177,IF(AW$174=99,AV177,IF(AW$174=0,INDEX($F46:$N46,0,AW$172),(INDEX($F46:$N46,0,AW$174+1)-INDEX($F46:$N46,0,AW$174))/(INDEX($F$4:$N$4,0,AW$174+1)-INDEX($F$4:$N$4,0,AW$174))+AV177)))</f>
        <v>15.008673836597978</v>
      </c>
      <c r="BF177" s="5"/>
      <c r="BG177" s="5"/>
      <c r="BH177" s="5"/>
      <c r="BI177" s="5"/>
      <c r="BJ177" s="5"/>
      <c r="BK177" s="5"/>
    </row>
    <row r="178" spans="1:63">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2.5241636805011205</v>
      </c>
      <c r="T178" s="5" cm="1">
        <f t="array" ref="T178">IF(T$174=-1,U178,IF(T$174=99,S178,IF(T$174=0,INDEX($F51:$N51,0,T$172),(INDEX($F51:$N51,0,T$174+1)-INDEX($F51:$N51,0,T$174))/(INDEX($F$4:$N$4,0,T$174+1)-INDEX($F$4:$N$4,0,T$174))+S178)))</f>
        <v>2.539776305544069</v>
      </c>
      <c r="U178" s="5" cm="1">
        <f t="array" ref="U178">IF(U$174=-1,V178,IF(U$174=99,T178,IF(U$174=0,INDEX($F51:$N51,0,U$172),(INDEX($F51:$N51,0,U$174+1)-INDEX($F51:$N51,0,U$174))/(INDEX($F$4:$N$4,0,U$174+1)-INDEX($F$4:$N$4,0,U$174))+T178)))</f>
        <v>2.4453873855547426</v>
      </c>
      <c r="V178" s="5" cm="1">
        <f t="array" ref="V178">IF(V$174=-1,W178,IF(V$174=99,U178,IF(V$174=0,INDEX($F51:$N51,0,V$172),(INDEX($F51:$N51,0,V$174+1)-INDEX($F51:$N51,0,V$174))/(INDEX($F$4:$N$4,0,V$174+1)-INDEX($F$4:$N$4,0,V$174))+U178)))</f>
        <v>2.5896190184331611</v>
      </c>
      <c r="W178" s="5" cm="1">
        <f t="array" ref="W178">IF(W$174=-1,Z178,IF(W$174=99,V178,IF(W$174=0,INDEX($F51:$N51,0,W$172),(INDEX($F51:$N51,0,W$174+1)-INDEX($F51:$N51,0,W$174))/(INDEX($F$4:$N$4,0,W$174+1)-INDEX($F$4:$N$4,0,W$174))+V178)))</f>
        <v>2.6719335876138737</v>
      </c>
      <c r="X178" s="5" cm="1">
        <f t="array" ref="X178">IF(X$174=-1,Y178,IF(X$174=99,U178,IF(X$174=0,INDEX($F51:$N51,0,X$172),(INDEX($F51:$N51,0,X$174+1)-INDEX($F51:$N51,0,X$174))/(INDEX($F$4:$N$4,0,X$174+1)-INDEX($F$4:$N$4,0,X$174))+U178)))</f>
        <v>2.5896190184331611</v>
      </c>
      <c r="Y178" s="5" cm="1">
        <f t="array" ref="Y178">IF(Y$174=-1,Z178,IF(Y$174=99,V178,IF(Y$174=0,INDEX($F51:$N51,0,Y$172),(INDEX($F51:$N51,0,Y$174+1)-INDEX($F51:$N51,0,Y$174))/(INDEX($F$4:$N$4,0,Y$174+1)-INDEX($F$4:$N$4,0,Y$174))+V178)))</f>
        <v>2.6719335876138737</v>
      </c>
      <c r="Z178" s="5" cm="1">
        <f t="array" ref="Z178">IF(Z$174=-1,AA178,IF(Z$174=99,W178,IF(Z$174=0,INDEX($F51:$N51,0,Z$172),(INDEX($F51:$N51,0,Z$174+1)-INDEX($F51:$N51,0,Z$174))/(INDEX($F$4:$N$4,0,Z$174+1)-INDEX($F$4:$N$4,0,Z$174))+W178)))</f>
        <v>2.7542481567945862</v>
      </c>
      <c r="AA178" s="5" cm="1">
        <f t="array" ref="AA178">IF(AA$174=-1,AB178,IF(AA$174=99,Z178,IF(AA$174=0,INDEX($F51:$N51,0,AA$172),(INDEX($F51:$N51,0,AA$174+1)-INDEX($F51:$N51,0,AA$174))/(INDEX($F$4:$N$4,0,AA$174+1)-INDEX($F$4:$N$4,0,AA$174))+Z178)))</f>
        <v>2.8365627259752988</v>
      </c>
      <c r="AB178" s="5" cm="1">
        <f t="array" ref="AB178">IF(AB$174=-1,AC178,IF(AB$174=99,AA178,IF(AB$174=0,INDEX($F51:$N51,0,AB$172),(INDEX($F51:$N51,0,AB$174+1)-INDEX($F51:$N51,0,AB$174))/(INDEX($F$4:$N$4,0,AB$174+1)-INDEX($F$4:$N$4,0,AB$174))+AA178)))</f>
        <v>2.9188772951560114</v>
      </c>
      <c r="AC178" s="5" cm="1">
        <f t="array" ref="AC178">IF(AC$174=-1,AD178,IF(AC$174=99,AB178,IF(AC$174=0,INDEX($F51:$N51,0,AC$172),(INDEX($F51:$N51,0,AC$174+1)-INDEX($F51:$N51,0,AC$174))/(INDEX($F$4:$N$4,0,AC$174+1)-INDEX($F$4:$N$4,0,AC$174))+AB178)))</f>
        <v>3.0011918643367239</v>
      </c>
      <c r="AD178" s="5" cm="1">
        <f t="array" ref="AD178">IF(AD$174=-1,AE178,IF(AD$174=99,AC178,IF(AD$174=0,INDEX($F51:$N51,0,AD$172),(INDEX($F51:$N51,0,AD$174+1)-INDEX($F51:$N51,0,AD$174))/(INDEX($F$4:$N$4,0,AD$174+1)-INDEX($F$4:$N$4,0,AD$174))+AC178)))</f>
        <v>3.0835064335174365</v>
      </c>
      <c r="AE178" s="5" cm="1">
        <f t="array" ref="AE178">IF(AE$174=-1,AF178,IF(AE$174=99,AD178,IF(AE$174=0,INDEX($F51:$N51,0,AE$172),(INDEX($F51:$N51,0,AE$174+1)-INDEX($F51:$N51,0,AE$174))/(INDEX($F$4:$N$4,0,AE$174+1)-INDEX($F$4:$N$4,0,AE$174))+AD178)))</f>
        <v>3.165821002698149</v>
      </c>
      <c r="AF178" s="5" cm="1">
        <f t="array" ref="AF178">IF(AF$174=-1,AG178,IF(AF$174=99,AE178,IF(AF$174=0,INDEX($F51:$N51,0,AF$172),(INDEX($F51:$N51,0,AF$174+1)-INDEX($F51:$N51,0,AF$174))/(INDEX($F$4:$N$4,0,AF$174+1)-INDEX($F$4:$N$4,0,AF$174))+AE178)))</f>
        <v>3.2481355718788616</v>
      </c>
      <c r="AG178" s="5" cm="1">
        <f t="array" ref="AG178">IF(AG$174=-1,AJ178,IF(AG$174=99,AF178,IF(AG$174=0,INDEX($F51:$N51,0,AG$172),(INDEX($F51:$N51,0,AG$174+1)-INDEX($F51:$N51,0,AG$174))/(INDEX($F$4:$N$4,0,AG$174+1)-INDEX($F$4:$N$4,0,AG$174))+AF178)))</f>
        <v>3.330450141059575</v>
      </c>
      <c r="AH178" s="5" cm="1">
        <f t="array" ref="AH178">IF(AH$174=-1,AI178,IF(AH$174=99,AE178,IF(AH$174=0,INDEX($F51:$N51,0,AH$172),(INDEX($F51:$N51,0,AH$174+1)-INDEX($F51:$N51,0,AH$174))/(INDEX($F$4:$N$4,0,AH$174+1)-INDEX($F$4:$N$4,0,AH$174))+AE178)))</f>
        <v>3.2481355718788616</v>
      </c>
      <c r="AI178" s="5" cm="1">
        <f t="array" ref="AI178">IF(AI$174=-1,AJ178,IF(AI$174=99,AF178,IF(AI$174=0,INDEX($F51:$N51,0,AI$172),(INDEX($F51:$N51,0,AI$174+1)-INDEX($F51:$N51,0,AI$174))/(INDEX($F$4:$N$4,0,AI$174+1)-INDEX($F$4:$N$4,0,AI$174))+AF178)))</f>
        <v>3.330450141059575</v>
      </c>
      <c r="AJ178" s="5" cm="1">
        <f t="array" ref="AJ178">IF(AJ$174=-1,AK178,IF(AJ$174=99,AG178,IF(AJ$174=0,INDEX($F51:$N51,0,AJ$172),(INDEX($F51:$N51,0,AJ$174+1)-INDEX($F51:$N51,0,AJ$174))/(INDEX($F$4:$N$4,0,AJ$174+1)-INDEX($F$4:$N$4,0,AJ$174))+AG178)))</f>
        <v>3.4344690924282255</v>
      </c>
      <c r="AK178" s="5" cm="1">
        <f t="array" ref="AK178">IF(AK$174=-1,AL178,IF(AK$174=99,AJ178,IF(AK$174=0,INDEX($F51:$N51,0,AK$172),(INDEX($F51:$N51,0,AK$174+1)-INDEX($F51:$N51,0,AK$174))/(INDEX($F$4:$N$4,0,AK$174+1)-INDEX($F$4:$N$4,0,AK$174))+AJ178)))</f>
        <v>3.538488043796876</v>
      </c>
      <c r="AL178" s="5" cm="1">
        <f t="array" ref="AL178">IF(AL$174=-1,AM178,IF(AL$174=99,AK178,IF(AL$174=0,INDEX($F51:$N51,0,AL$172),(INDEX($F51:$N51,0,AL$174+1)-INDEX($F51:$N51,0,AL$174))/(INDEX($F$4:$N$4,0,AL$174+1)-INDEX($F$4:$N$4,0,AL$174))+AK178)))</f>
        <v>3.6425069951655265</v>
      </c>
      <c r="AM178" s="5" cm="1">
        <f t="array" ref="AM178">IF(AM$174=-1,AN178,IF(AM$174=99,AL178,IF(AM$174=0,INDEX($F51:$N51,0,AM$172),(INDEX($F51:$N51,0,AM$174+1)-INDEX($F51:$N51,0,AM$174))/(INDEX($F$4:$N$4,0,AM$174+1)-INDEX($F$4:$N$4,0,AM$174))+AL178)))</f>
        <v>3.7465259465341769</v>
      </c>
      <c r="AN178" s="5" cm="1">
        <f t="array" ref="AN178">IF(AN$174=-1,AO178,IF(AN$174=99,AM178,IF(AN$174=0,INDEX($F51:$N51,0,AN$172),(INDEX($F51:$N51,0,AN$174+1)-INDEX($F51:$N51,0,AN$174))/(INDEX($F$4:$N$4,0,AN$174+1)-INDEX($F$4:$N$4,0,AN$174))+AM178)))</f>
        <v>3.8505448979028274</v>
      </c>
      <c r="AO178" s="5" cm="1">
        <f t="array" ref="AO178">IF(AO$174=-1,AP178,IF(AO$174=99,AN178,IF(AO$174=0,INDEX($F51:$N51,0,AO$172),(INDEX($F51:$N51,0,AO$174+1)-INDEX($F51:$N51,0,AO$174))/(INDEX($F$4:$N$4,0,AO$174+1)-INDEX($F$4:$N$4,0,AO$174))+AN178)))</f>
        <v>3.9545638492714779</v>
      </c>
      <c r="AP178" s="5" cm="1">
        <f t="array" ref="AP178">IF(AP$174=-1,AQ178,IF(AP$174=99,AO178,IF(AP$174=0,INDEX($F51:$N51,0,AP$172),(INDEX($F51:$N51,0,AP$174+1)-INDEX($F51:$N51,0,AP$174))/(INDEX($F$4:$N$4,0,AP$174+1)-INDEX($F$4:$N$4,0,AP$174))+AO178)))</f>
        <v>4.0585828006401279</v>
      </c>
      <c r="AQ178" s="5" cm="1">
        <f t="array" ref="AQ178">IF(AQ$174=-1,AR178,IF(AQ$174=99,AP178,IF(AQ$174=0,INDEX($F51:$N51,0,AQ$172),(INDEX($F51:$N51,0,AQ$174+1)-INDEX($F51:$N51,0,AQ$174))/(INDEX($F$4:$N$4,0,AQ$174+1)-INDEX($F$4:$N$4,0,AQ$174))+AP178)))</f>
        <v>4.1626017520087784</v>
      </c>
      <c r="AR178" s="5" cm="1">
        <f t="array" ref="AR178">IF(AR$174=-1,AS178,IF(AR$174=99,AQ178,IF(AR$174=0,INDEX($F51:$N51,0,AR$172),(INDEX($F51:$N51,0,AR$174+1)-INDEX($F51:$N51,0,AR$174))/(INDEX($F$4:$N$4,0,AR$174+1)-INDEX($F$4:$N$4,0,AR$174))+AQ178)))</f>
        <v>4.2666207033774288</v>
      </c>
      <c r="AS178" s="5" cm="1">
        <f t="array" ref="AS178">IF(AS$174=-1,AT178,IF(AS$174=99,AR178,IF(AS$174=0,INDEX($F51:$N51,0,AS$172),(INDEX($F51:$N51,0,AS$174+1)-INDEX($F51:$N51,0,AS$174))/(INDEX($F$4:$N$4,0,AS$174+1)-INDEX($F$4:$N$4,0,AS$174))+AR178)))</f>
        <v>4.3706396547460793</v>
      </c>
      <c r="AT178" s="5" cm="1">
        <f t="array" ref="AT178">IF(AT$174=-1,AU178,IF(AT$174=99,AS178,IF(AT$174=0,INDEX($F51:$N51,0,AT$172),(INDEX($F51:$N51,0,AT$174+1)-INDEX($F51:$N51,0,AT$174))/(INDEX($F$4:$N$4,0,AT$174+1)-INDEX($F$4:$N$4,0,AT$174))+AS178)))</f>
        <v>4.4541936043584727</v>
      </c>
      <c r="AU178" s="5" cm="1">
        <f t="array" ref="AU178">IF(AU$174=-1,AV178,IF(AU$174=99,AT178,IF(AU$174=0,INDEX($F51:$N51,0,AU$172),(INDEX($F51:$N51,0,AU$174+1)-INDEX($F51:$N51,0,AU$174))/(INDEX($F$4:$N$4,0,AU$174+1)-INDEX($F$4:$N$4,0,AU$174))+AT178)))</f>
        <v>5.2061791508700148</v>
      </c>
      <c r="AV178" s="5" cm="1">
        <f t="array" ref="AV178">IF(AV$174=-1,AW178,IF(AV$174=99,AU178,IF(AV$174=0,INDEX($F51:$N51,0,AV$172),(INDEX($F51:$N51,0,AV$174+1)-INDEX($F51:$N51,0,AV$174))/(INDEX($F$4:$N$4,0,AV$174+1)-INDEX($F$4:$N$4,0,AV$174))+AU178)))</f>
        <v>5.9630845308082385</v>
      </c>
      <c r="AW178" s="5" cm="1">
        <f t="array" ref="AW178">IF(AW$174=-1,AX178,IF(AW$174=99,AV178,IF(AW$174=0,INDEX($F51:$N51,0,AW$172),(INDEX($F51:$N51,0,AW$174+1)-INDEX($F51:$N51,0,AW$174))/(INDEX($F$4:$N$4,0,AW$174+1)-INDEX($F$4:$N$4,0,AW$174))+AV178)))</f>
        <v>6.0856232882836929</v>
      </c>
      <c r="BF178" s="5"/>
      <c r="BG178" s="5"/>
      <c r="BH178" s="5"/>
      <c r="BI178" s="5"/>
      <c r="BJ178" s="5"/>
      <c r="BK178" s="5"/>
    </row>
    <row r="179" spans="1:63">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16.623000390656244</v>
      </c>
      <c r="T179" s="5" cm="1">
        <f t="array" ref="T179">IF(T$174=-1,U179,IF(T$174=99,S179,IF(T$174=0,INDEX($F52:$N52,0,T$172),(INDEX($F52:$N52,0,T$174+1)-INDEX($F52:$N52,0,T$174))/(INDEX($F$4:$N$4,0,T$174+1)-INDEX($F$4:$N$4,0,T$174))+S179)))</f>
        <v>16.725818078032439</v>
      </c>
      <c r="U179" s="5" cm="1">
        <f t="array" ref="U179">IF(U$174=-1,V179,IF(U$174=99,T179,IF(U$174=0,INDEX($F52:$N52,0,U$172),(INDEX($F52:$N52,0,U$174+1)-INDEX($F52:$N52,0,U$174))/(INDEX($F$4:$N$4,0,U$174+1)-INDEX($F$4:$N$4,0,U$174))+T179)))</f>
        <v>16.104215340469594</v>
      </c>
      <c r="V179" s="5" cm="1">
        <f t="array" ref="V179">IF(V$174=-1,W179,IF(V$174=99,U179,IF(V$174=0,INDEX($F52:$N52,0,V$172),(INDEX($F52:$N52,0,V$174+1)-INDEX($F52:$N52,0,V$174))/(INDEX($F$4:$N$4,0,V$174+1)-INDEX($F$4:$N$4,0,V$174))+U179)))</f>
        <v>17.054059642645338</v>
      </c>
      <c r="W179" s="5" cm="1">
        <f t="array" ref="W179">IF(W$174=-1,Z179,IF(W$174=99,V179,IF(W$174=0,INDEX($F52:$N52,0,W$172),(INDEX($F52:$N52,0,W$174+1)-INDEX($F52:$N52,0,W$174))/(INDEX($F$4:$N$4,0,W$174+1)-INDEX($F$4:$N$4,0,W$174))+V179)))</f>
        <v>17.596146166676156</v>
      </c>
      <c r="X179" s="5" cm="1">
        <f t="array" ref="X179">IF(X$174=-1,Y179,IF(X$174=99,U179,IF(X$174=0,INDEX($F52:$N52,0,X$172),(INDEX($F52:$N52,0,X$174+1)-INDEX($F52:$N52,0,X$174))/(INDEX($F$4:$N$4,0,X$174+1)-INDEX($F$4:$N$4,0,X$174))+U179)))</f>
        <v>17.054059642645338</v>
      </c>
      <c r="Y179" s="5" cm="1">
        <f t="array" ref="Y179">IF(Y$174=-1,Z179,IF(Y$174=99,V179,IF(Y$174=0,INDEX($F52:$N52,0,Y$172),(INDEX($F52:$N52,0,Y$174+1)-INDEX($F52:$N52,0,Y$174))/(INDEX($F$4:$N$4,0,Y$174+1)-INDEX($F$4:$N$4,0,Y$174))+V179)))</f>
        <v>17.596146166676156</v>
      </c>
      <c r="Z179" s="5" cm="1">
        <f t="array" ref="Z179">IF(Z$174=-1,AA179,IF(Z$174=99,W179,IF(Z$174=0,INDEX($F52:$N52,0,Z$172),(INDEX($F52:$N52,0,Z$174+1)-INDEX($F52:$N52,0,Z$174))/(INDEX($F$4:$N$4,0,Z$174+1)-INDEX($F$4:$N$4,0,Z$174))+W179)))</f>
        <v>18.138232690706975</v>
      </c>
      <c r="AA179" s="5" cm="1">
        <f t="array" ref="AA179">IF(AA$174=-1,AB179,IF(AA$174=99,Z179,IF(AA$174=0,INDEX($F52:$N52,0,AA$172),(INDEX($F52:$N52,0,AA$174+1)-INDEX($F52:$N52,0,AA$174))/(INDEX($F$4:$N$4,0,AA$174+1)-INDEX($F$4:$N$4,0,AA$174))+Z179)))</f>
        <v>18.680319214737793</v>
      </c>
      <c r="AB179" s="5" cm="1">
        <f t="array" ref="AB179">IF(AB$174=-1,AC179,IF(AB$174=99,AA179,IF(AB$174=0,INDEX($F52:$N52,0,AB$172),(INDEX($F52:$N52,0,AB$174+1)-INDEX($F52:$N52,0,AB$174))/(INDEX($F$4:$N$4,0,AB$174+1)-INDEX($F$4:$N$4,0,AB$174))+AA179)))</f>
        <v>19.222405738768611</v>
      </c>
      <c r="AC179" s="5" cm="1">
        <f t="array" ref="AC179">IF(AC$174=-1,AD179,IF(AC$174=99,AB179,IF(AC$174=0,INDEX($F52:$N52,0,AC$172),(INDEX($F52:$N52,0,AC$174+1)-INDEX($F52:$N52,0,AC$174))/(INDEX($F$4:$N$4,0,AC$174+1)-INDEX($F$4:$N$4,0,AC$174))+AB179)))</f>
        <v>19.764492262799429</v>
      </c>
      <c r="AD179" s="5" cm="1">
        <f t="array" ref="AD179">IF(AD$174=-1,AE179,IF(AD$174=99,AC179,IF(AD$174=0,INDEX($F52:$N52,0,AD$172),(INDEX($F52:$N52,0,AD$174+1)-INDEX($F52:$N52,0,AD$174))/(INDEX($F$4:$N$4,0,AD$174+1)-INDEX($F$4:$N$4,0,AD$174))+AC179)))</f>
        <v>20.306578786830247</v>
      </c>
      <c r="AE179" s="5" cm="1">
        <f t="array" ref="AE179">IF(AE$174=-1,AF179,IF(AE$174=99,AD179,IF(AE$174=0,INDEX($F52:$N52,0,AE$172),(INDEX($F52:$N52,0,AE$174+1)-INDEX($F52:$N52,0,AE$174))/(INDEX($F$4:$N$4,0,AE$174+1)-INDEX($F$4:$N$4,0,AE$174))+AD179)))</f>
        <v>20.848665310861065</v>
      </c>
      <c r="AF179" s="5" cm="1">
        <f t="array" ref="AF179">IF(AF$174=-1,AG179,IF(AF$174=99,AE179,IF(AF$174=0,INDEX($F52:$N52,0,AF$172),(INDEX($F52:$N52,0,AF$174+1)-INDEX($F52:$N52,0,AF$174))/(INDEX($F$4:$N$4,0,AF$174+1)-INDEX($F$4:$N$4,0,AF$174))+AE179)))</f>
        <v>21.390751834891883</v>
      </c>
      <c r="AG179" s="5" cm="1">
        <f t="array" ref="AG179">IF(AG$174=-1,AJ179,IF(AG$174=99,AF179,IF(AG$174=0,INDEX($F52:$N52,0,AG$172),(INDEX($F52:$N52,0,AG$174+1)-INDEX($F52:$N52,0,AG$174))/(INDEX($F$4:$N$4,0,AG$174+1)-INDEX($F$4:$N$4,0,AG$174))+AF179)))</f>
        <v>21.932838358922695</v>
      </c>
      <c r="AH179" s="5" cm="1">
        <f t="array" ref="AH179">IF(AH$174=-1,AI179,IF(AH$174=99,AE179,IF(AH$174=0,INDEX($F52:$N52,0,AH$172),(INDEX($F52:$N52,0,AH$174+1)-INDEX($F52:$N52,0,AH$174))/(INDEX($F$4:$N$4,0,AH$174+1)-INDEX($F$4:$N$4,0,AH$174))+AE179)))</f>
        <v>21.390751834891883</v>
      </c>
      <c r="AI179" s="5" cm="1">
        <f t="array" ref="AI179">IF(AI$174=-1,AJ179,IF(AI$174=99,AF179,IF(AI$174=0,INDEX($F52:$N52,0,AI$172),(INDEX($F52:$N52,0,AI$174+1)-INDEX($F52:$N52,0,AI$174))/(INDEX($F$4:$N$4,0,AI$174+1)-INDEX($F$4:$N$4,0,AI$174))+AF179)))</f>
        <v>21.932838358922695</v>
      </c>
      <c r="AJ179" s="5" cm="1">
        <f t="array" ref="AJ179">IF(AJ$174=-1,AK179,IF(AJ$174=99,AG179,IF(AJ$174=0,INDEX($F52:$N52,0,AJ$172),(INDEX($F52:$N52,0,AJ$174+1)-INDEX($F52:$N52,0,AJ$174))/(INDEX($F$4:$N$4,0,AJ$174+1)-INDEX($F$4:$N$4,0,AJ$174))+AG179)))</f>
        <v>22.617860127754046</v>
      </c>
      <c r="AK179" s="5" cm="1">
        <f t="array" ref="AK179">IF(AK$174=-1,AL179,IF(AK$174=99,AJ179,IF(AK$174=0,INDEX($F52:$N52,0,AK$172),(INDEX($F52:$N52,0,AK$174+1)-INDEX($F52:$N52,0,AK$174))/(INDEX($F$4:$N$4,0,AK$174+1)-INDEX($F$4:$N$4,0,AK$174))+AJ179)))</f>
        <v>23.302881896585397</v>
      </c>
      <c r="AL179" s="5" cm="1">
        <f t="array" ref="AL179">IF(AL$174=-1,AM179,IF(AL$174=99,AK179,IF(AL$174=0,INDEX($F52:$N52,0,AL$172),(INDEX($F52:$N52,0,AL$174+1)-INDEX($F52:$N52,0,AL$174))/(INDEX($F$4:$N$4,0,AL$174+1)-INDEX($F$4:$N$4,0,AL$174))+AK179)))</f>
        <v>23.987903665416749</v>
      </c>
      <c r="AM179" s="5" cm="1">
        <f t="array" ref="AM179">IF(AM$174=-1,AN179,IF(AM$174=99,AL179,IF(AM$174=0,INDEX($F52:$N52,0,AM$172),(INDEX($F52:$N52,0,AM$174+1)-INDEX($F52:$N52,0,AM$174))/(INDEX($F$4:$N$4,0,AM$174+1)-INDEX($F$4:$N$4,0,AM$174))+AL179)))</f>
        <v>24.6729254342481</v>
      </c>
      <c r="AN179" s="5" cm="1">
        <f t="array" ref="AN179">IF(AN$174=-1,AO179,IF(AN$174=99,AM179,IF(AN$174=0,INDEX($F52:$N52,0,AN$172),(INDEX($F52:$N52,0,AN$174+1)-INDEX($F52:$N52,0,AN$174))/(INDEX($F$4:$N$4,0,AN$174+1)-INDEX($F$4:$N$4,0,AN$174))+AM179)))</f>
        <v>25.357947203079451</v>
      </c>
      <c r="AO179" s="5" cm="1">
        <f t="array" ref="AO179">IF(AO$174=-1,AP179,IF(AO$174=99,AN179,IF(AO$174=0,INDEX($F52:$N52,0,AO$172),(INDEX($F52:$N52,0,AO$174+1)-INDEX($F52:$N52,0,AO$174))/(INDEX($F$4:$N$4,0,AO$174+1)-INDEX($F$4:$N$4,0,AO$174))+AN179)))</f>
        <v>26.042968971910803</v>
      </c>
      <c r="AP179" s="5" cm="1">
        <f t="array" ref="AP179">IF(AP$174=-1,AQ179,IF(AP$174=99,AO179,IF(AP$174=0,INDEX($F52:$N52,0,AP$172),(INDEX($F52:$N52,0,AP$174+1)-INDEX($F52:$N52,0,AP$174))/(INDEX($F$4:$N$4,0,AP$174+1)-INDEX($F$4:$N$4,0,AP$174))+AO179)))</f>
        <v>26.727990740742154</v>
      </c>
      <c r="AQ179" s="5" cm="1">
        <f t="array" ref="AQ179">IF(AQ$174=-1,AR179,IF(AQ$174=99,AP179,IF(AQ$174=0,INDEX($F52:$N52,0,AQ$172),(INDEX($F52:$N52,0,AQ$174+1)-INDEX($F52:$N52,0,AQ$174))/(INDEX($F$4:$N$4,0,AQ$174+1)-INDEX($F$4:$N$4,0,AQ$174))+AP179)))</f>
        <v>27.413012509573505</v>
      </c>
      <c r="AR179" s="5" cm="1">
        <f t="array" ref="AR179">IF(AR$174=-1,AS179,IF(AR$174=99,AQ179,IF(AR$174=0,INDEX($F52:$N52,0,AR$172),(INDEX($F52:$N52,0,AR$174+1)-INDEX($F52:$N52,0,AR$174))/(INDEX($F$4:$N$4,0,AR$174+1)-INDEX($F$4:$N$4,0,AR$174))+AQ179)))</f>
        <v>28.098034278404857</v>
      </c>
      <c r="AS179" s="5" cm="1">
        <f t="array" ref="AS179">IF(AS$174=-1,AT179,IF(AS$174=99,AR179,IF(AS$174=0,INDEX($F52:$N52,0,AS$172),(INDEX($F52:$N52,0,AS$174+1)-INDEX($F52:$N52,0,AS$174))/(INDEX($F$4:$N$4,0,AS$174+1)-INDEX($F$4:$N$4,0,AS$174))+AR179)))</f>
        <v>28.783056047236201</v>
      </c>
      <c r="AT179" s="5" cm="1">
        <f t="array" ref="AT179">IF(AT$174=-1,AU179,IF(AT$174=99,AS179,IF(AT$174=0,INDEX($F52:$N52,0,AT$172),(INDEX($F52:$N52,0,AT$174+1)-INDEX($F52:$N52,0,AT$174))/(INDEX($F$4:$N$4,0,AT$174+1)-INDEX($F$4:$N$4,0,AT$174))+AS179)))</f>
        <v>29.333304570252725</v>
      </c>
      <c r="AU179" s="5" cm="1">
        <f t="array" ref="AU179">IF(AU$174=-1,AV179,IF(AU$174=99,AT179,IF(AU$174=0,INDEX($F52:$N52,0,AU$172),(INDEX($F52:$N52,0,AU$174+1)-INDEX($F52:$N52,0,AU$174))/(INDEX($F$4:$N$4,0,AU$174+1)-INDEX($F$4:$N$4,0,AU$174))+AT179)))</f>
        <v>34.285541277401428</v>
      </c>
      <c r="AV179" s="5" cm="1">
        <f t="array" ref="AV179">IF(AV$174=-1,AW179,IF(AV$174=99,AU179,IF(AV$174=0,INDEX($F52:$N52,0,AV$172),(INDEX($F52:$N52,0,AV$174+1)-INDEX($F52:$N52,0,AV$174))/(INDEX($F$4:$N$4,0,AV$174+1)-INDEX($F$4:$N$4,0,AV$174))+AU179)))</f>
        <v>39.270177782394242</v>
      </c>
      <c r="AW179" s="5" cm="1">
        <f t="array" ref="AW179">IF(AW$174=-1,AX179,IF(AW$174=99,AV179,IF(AW$174=0,INDEX($F52:$N52,0,AW$172),(INDEX($F52:$N52,0,AW$174+1)-INDEX($F52:$N52,0,AW$174))/(INDEX($F$4:$N$4,0,AW$174+1)-INDEX($F$4:$N$4,0,AW$174))+AV179)))</f>
        <v>40.077162618251087</v>
      </c>
      <c r="BF179" s="5"/>
      <c r="BG179" s="5"/>
      <c r="BH179" s="5"/>
      <c r="BI179" s="5"/>
      <c r="BJ179" s="5"/>
      <c r="BK179" s="5"/>
    </row>
    <row r="180" spans="1:63">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4.768493869151099</v>
      </c>
      <c r="T180" s="5" cm="1">
        <f t="array" ref="T180">IF(T$174=-1,U180,IF(T$174=99,S180,IF(T$174=0,INDEX($F53:$N53,0,T$172),(INDEX($F53:$N53,0,T$174+1)-INDEX($F53:$N53,0,T$174))/(INDEX($F$4:$N$4,0,T$174+1)-INDEX($F$4:$N$4,0,T$174))+S180)))</f>
        <v>4.7979882745154434</v>
      </c>
      <c r="U180" s="5" cm="1">
        <f t="array" ref="U180">IF(U$174=-1,V180,IF(U$174=99,T180,IF(U$174=0,INDEX($F53:$N53,0,U$172),(INDEX($F53:$N53,0,U$174+1)-INDEX($F53:$N53,0,U$174))/(INDEX($F$4:$N$4,0,U$174+1)-INDEX($F$4:$N$4,0,U$174))+T180)))</f>
        <v>4.6196745661922405</v>
      </c>
      <c r="V180" s="5" cm="1">
        <f t="array" ref="V180">IF(V$174=-1,W180,IF(V$174=99,U180,IF(V$174=0,INDEX($F53:$N53,0,V$172),(INDEX($F53:$N53,0,V$174+1)-INDEX($F53:$N53,0,V$174))/(INDEX($F$4:$N$4,0,V$174+1)-INDEX($F$4:$N$4,0,V$174))+U180)))</f>
        <v>4.8921480442124343</v>
      </c>
      <c r="W180" s="5" cm="1">
        <f t="array" ref="W180">IF(W$174=-1,Z180,IF(W$174=99,V180,IF(W$174=0,INDEX($F53:$N53,0,W$172),(INDEX($F53:$N53,0,W$174+1)-INDEX($F53:$N53,0,W$174))/(INDEX($F$4:$N$4,0,W$174+1)-INDEX($F$4:$N$4,0,W$174))+V180)))</f>
        <v>5.0476516359613326</v>
      </c>
      <c r="X180" s="5" cm="1">
        <f t="array" ref="X180">IF(X$174=-1,Y180,IF(X$174=99,U180,IF(X$174=0,INDEX($F53:$N53,0,X$172),(INDEX($F53:$N53,0,X$174+1)-INDEX($F53:$N53,0,X$174))/(INDEX($F$4:$N$4,0,X$174+1)-INDEX($F$4:$N$4,0,X$174))+U180)))</f>
        <v>4.8921480442124343</v>
      </c>
      <c r="Y180" s="5" cm="1">
        <f t="array" ref="Y180">IF(Y$174=-1,Z180,IF(Y$174=99,V180,IF(Y$174=0,INDEX($F53:$N53,0,Y$172),(INDEX($F53:$N53,0,Y$174+1)-INDEX($F53:$N53,0,Y$174))/(INDEX($F$4:$N$4,0,Y$174+1)-INDEX($F$4:$N$4,0,Y$174))+V180)))</f>
        <v>5.0476516359613326</v>
      </c>
      <c r="Z180" s="5" cm="1">
        <f t="array" ref="Z180">IF(Z$174=-1,AA180,IF(Z$174=99,W180,IF(Z$174=0,INDEX($F53:$N53,0,Z$172),(INDEX($F53:$N53,0,Z$174+1)-INDEX($F53:$N53,0,Z$174))/(INDEX($F$4:$N$4,0,Z$174+1)-INDEX($F$4:$N$4,0,Z$174))+W180)))</f>
        <v>5.2031552277102309</v>
      </c>
      <c r="AA180" s="5" cm="1">
        <f t="array" ref="AA180">IF(AA$174=-1,AB180,IF(AA$174=99,Z180,IF(AA$174=0,INDEX($F53:$N53,0,AA$172),(INDEX($F53:$N53,0,AA$174+1)-INDEX($F53:$N53,0,AA$174))/(INDEX($F$4:$N$4,0,AA$174+1)-INDEX($F$4:$N$4,0,AA$174))+Z180)))</f>
        <v>5.3586588194591291</v>
      </c>
      <c r="AB180" s="5" cm="1">
        <f t="array" ref="AB180">IF(AB$174=-1,AC180,IF(AB$174=99,AA180,IF(AB$174=0,INDEX($F53:$N53,0,AB$172),(INDEX($F53:$N53,0,AB$174+1)-INDEX($F53:$N53,0,AB$174))/(INDEX($F$4:$N$4,0,AB$174+1)-INDEX($F$4:$N$4,0,AB$174))+AA180)))</f>
        <v>5.5141624112080274</v>
      </c>
      <c r="AC180" s="5" cm="1">
        <f t="array" ref="AC180">IF(AC$174=-1,AD180,IF(AC$174=99,AB180,IF(AC$174=0,INDEX($F53:$N53,0,AC$172),(INDEX($F53:$N53,0,AC$174+1)-INDEX($F53:$N53,0,AC$174))/(INDEX($F$4:$N$4,0,AC$174+1)-INDEX($F$4:$N$4,0,AC$174))+AB180)))</f>
        <v>5.6696660029569257</v>
      </c>
      <c r="AD180" s="5" cm="1">
        <f t="array" ref="AD180">IF(AD$174=-1,AE180,IF(AD$174=99,AC180,IF(AD$174=0,INDEX($F53:$N53,0,AD$172),(INDEX($F53:$N53,0,AD$174+1)-INDEX($F53:$N53,0,AD$174))/(INDEX($F$4:$N$4,0,AD$174+1)-INDEX($F$4:$N$4,0,AD$174))+AC180)))</f>
        <v>5.825169594705824</v>
      </c>
      <c r="AE180" s="5" cm="1">
        <f t="array" ref="AE180">IF(AE$174=-1,AF180,IF(AE$174=99,AD180,IF(AE$174=0,INDEX($F53:$N53,0,AE$172),(INDEX($F53:$N53,0,AE$174+1)-INDEX($F53:$N53,0,AE$174))/(INDEX($F$4:$N$4,0,AE$174+1)-INDEX($F$4:$N$4,0,AE$174))+AD180)))</f>
        <v>5.9806731864547222</v>
      </c>
      <c r="AF180" s="5" cm="1">
        <f t="array" ref="AF180">IF(AF$174=-1,AG180,IF(AF$174=99,AE180,IF(AF$174=0,INDEX($F53:$N53,0,AF$172),(INDEX($F53:$N53,0,AF$174+1)-INDEX($F53:$N53,0,AF$174))/(INDEX($F$4:$N$4,0,AF$174+1)-INDEX($F$4:$N$4,0,AF$174))+AE180)))</f>
        <v>6.1361767782036205</v>
      </c>
      <c r="AG180" s="5" cm="1">
        <f t="array" ref="AG180">IF(AG$174=-1,AJ180,IF(AG$174=99,AF180,IF(AG$174=0,INDEX($F53:$N53,0,AG$172),(INDEX($F53:$N53,0,AG$174+1)-INDEX($F53:$N53,0,AG$174))/(INDEX($F$4:$N$4,0,AG$174+1)-INDEX($F$4:$N$4,0,AG$174))+AF180)))</f>
        <v>6.2916803699525161</v>
      </c>
      <c r="AH180" s="5" cm="1">
        <f t="array" ref="AH180">IF(AH$174=-1,AI180,IF(AH$174=99,AE180,IF(AH$174=0,INDEX($F53:$N53,0,AH$172),(INDEX($F53:$N53,0,AH$174+1)-INDEX($F53:$N53,0,AH$174))/(INDEX($F$4:$N$4,0,AH$174+1)-INDEX($F$4:$N$4,0,AH$174))+AE180)))</f>
        <v>6.1361767782036205</v>
      </c>
      <c r="AI180" s="5" cm="1">
        <f t="array" ref="AI180">IF(AI$174=-1,AJ180,IF(AI$174=99,AF180,IF(AI$174=0,INDEX($F53:$N53,0,AI$172),(INDEX($F53:$N53,0,AI$174+1)-INDEX($F53:$N53,0,AI$174))/(INDEX($F$4:$N$4,0,AI$174+1)-INDEX($F$4:$N$4,0,AI$174))+AF180)))</f>
        <v>6.2916803699525161</v>
      </c>
      <c r="AJ180" s="5" cm="1">
        <f t="array" ref="AJ180">IF(AJ$174=-1,AK180,IF(AJ$174=99,AG180,IF(AJ$174=0,INDEX($F53:$N53,0,AJ$172),(INDEX($F53:$N53,0,AJ$174+1)-INDEX($F53:$N53,0,AJ$174))/(INDEX($F$4:$N$4,0,AJ$174+1)-INDEX($F$4:$N$4,0,AJ$174))+AG180)))</f>
        <v>6.4881865378007371</v>
      </c>
      <c r="AK180" s="5" cm="1">
        <f t="array" ref="AK180">IF(AK$174=-1,AL180,IF(AK$174=99,AJ180,IF(AK$174=0,INDEX($F53:$N53,0,AK$172),(INDEX($F53:$N53,0,AK$174+1)-INDEX($F53:$N53,0,AK$174))/(INDEX($F$4:$N$4,0,AK$174+1)-INDEX($F$4:$N$4,0,AK$174))+AJ180)))</f>
        <v>6.684692705648958</v>
      </c>
      <c r="AL180" s="5" cm="1">
        <f t="array" ref="AL180">IF(AL$174=-1,AM180,IF(AL$174=99,AK180,IF(AL$174=0,INDEX($F53:$N53,0,AL$172),(INDEX($F53:$N53,0,AL$174+1)-INDEX($F53:$N53,0,AL$174))/(INDEX($F$4:$N$4,0,AL$174+1)-INDEX($F$4:$N$4,0,AL$174))+AK180)))</f>
        <v>6.881198873497179</v>
      </c>
      <c r="AM180" s="5" cm="1">
        <f t="array" ref="AM180">IF(AM$174=-1,AN180,IF(AM$174=99,AL180,IF(AM$174=0,INDEX($F53:$N53,0,AM$172),(INDEX($F53:$N53,0,AM$174+1)-INDEX($F53:$N53,0,AM$174))/(INDEX($F$4:$N$4,0,AM$174+1)-INDEX($F$4:$N$4,0,AM$174))+AL180)))</f>
        <v>7.0777050413453999</v>
      </c>
      <c r="AN180" s="5" cm="1">
        <f t="array" ref="AN180">IF(AN$174=-1,AO180,IF(AN$174=99,AM180,IF(AN$174=0,INDEX($F53:$N53,0,AN$172),(INDEX($F53:$N53,0,AN$174+1)-INDEX($F53:$N53,0,AN$174))/(INDEX($F$4:$N$4,0,AN$174+1)-INDEX($F$4:$N$4,0,AN$174))+AM180)))</f>
        <v>7.2742112091936209</v>
      </c>
      <c r="AO180" s="5" cm="1">
        <f t="array" ref="AO180">IF(AO$174=-1,AP180,IF(AO$174=99,AN180,IF(AO$174=0,INDEX($F53:$N53,0,AO$172),(INDEX($F53:$N53,0,AO$174+1)-INDEX($F53:$N53,0,AO$174))/(INDEX($F$4:$N$4,0,AO$174+1)-INDEX($F$4:$N$4,0,AO$174))+AN180)))</f>
        <v>7.4707173770418418</v>
      </c>
      <c r="AP180" s="5" cm="1">
        <f t="array" ref="AP180">IF(AP$174=-1,AQ180,IF(AP$174=99,AO180,IF(AP$174=0,INDEX($F53:$N53,0,AP$172),(INDEX($F53:$N53,0,AP$174+1)-INDEX($F53:$N53,0,AP$174))/(INDEX($F$4:$N$4,0,AP$174+1)-INDEX($F$4:$N$4,0,AP$174))+AO180)))</f>
        <v>7.6672235448900627</v>
      </c>
      <c r="AQ180" s="5" cm="1">
        <f t="array" ref="AQ180">IF(AQ$174=-1,AR180,IF(AQ$174=99,AP180,IF(AQ$174=0,INDEX($F53:$N53,0,AQ$172),(INDEX($F53:$N53,0,AQ$174+1)-INDEX($F53:$N53,0,AQ$174))/(INDEX($F$4:$N$4,0,AQ$174+1)-INDEX($F$4:$N$4,0,AQ$174))+AP180)))</f>
        <v>7.8637297127382837</v>
      </c>
      <c r="AR180" s="5" cm="1">
        <f t="array" ref="AR180">IF(AR$174=-1,AS180,IF(AR$174=99,AQ180,IF(AR$174=0,INDEX($F53:$N53,0,AR$172),(INDEX($F53:$N53,0,AR$174+1)-INDEX($F53:$N53,0,AR$174))/(INDEX($F$4:$N$4,0,AR$174+1)-INDEX($F$4:$N$4,0,AR$174))+AQ180)))</f>
        <v>8.0602358805865038</v>
      </c>
      <c r="AS180" s="5" cm="1">
        <f t="array" ref="AS180">IF(AS$174=-1,AT180,IF(AS$174=99,AR180,IF(AS$174=0,INDEX($F53:$N53,0,AS$172),(INDEX($F53:$N53,0,AS$174+1)-INDEX($F53:$N53,0,AS$174))/(INDEX($F$4:$N$4,0,AS$174+1)-INDEX($F$4:$N$4,0,AS$174))+AR180)))</f>
        <v>8.2567420484347256</v>
      </c>
      <c r="AT180" s="5" cm="1">
        <f t="array" ref="AT180">IF(AT$174=-1,AU180,IF(AT$174=99,AS180,IF(AT$174=0,INDEX($F53:$N53,0,AT$172),(INDEX($F53:$N53,0,AT$174+1)-INDEX($F53:$N53,0,AT$174))/(INDEX($F$4:$N$4,0,AT$174+1)-INDEX($F$4:$N$4,0,AT$174))+AS180)))</f>
        <v>8.4145870010215393</v>
      </c>
      <c r="AU180" s="5" cm="1">
        <f t="array" ref="AU180">IF(AU$174=-1,AV180,IF(AU$174=99,AT180,IF(AU$174=0,INDEX($F53:$N53,0,AU$172),(INDEX($F53:$N53,0,AU$174+1)-INDEX($F53:$N53,0,AU$174))/(INDEX($F$4:$N$4,0,AU$174+1)-INDEX($F$4:$N$4,0,AU$174))+AT180)))</f>
        <v>9.8351915743028702</v>
      </c>
      <c r="AV180" s="5" cm="1">
        <f t="array" ref="AV180">IF(AV$174=-1,AW180,IF(AV$174=99,AU180,IF(AV$174=0,INDEX($F53:$N53,0,AV$172),(INDEX($F53:$N53,0,AV$174+1)-INDEX($F53:$N53,0,AV$174))/(INDEX($F$4:$N$4,0,AV$174+1)-INDEX($F$4:$N$4,0,AV$174))+AU180)))</f>
        <v>11.265090392530995</v>
      </c>
      <c r="AW180" s="5" cm="1">
        <f t="array" ref="AW180">IF(AW$174=-1,AX180,IF(AW$174=99,AV180,IF(AW$174=0,INDEX($F53:$N53,0,AW$172),(INDEX($F53:$N53,0,AW$174+1)-INDEX($F53:$N53,0,AW$174))/(INDEX($F$4:$N$4,0,AW$174+1)-INDEX($F$4:$N$4,0,AW$174))+AV180)))</f>
        <v>11.496583032358176</v>
      </c>
      <c r="BF180" s="5"/>
      <c r="BG180" s="5"/>
      <c r="BH180" s="5"/>
      <c r="BI180" s="5"/>
      <c r="BJ180" s="5"/>
      <c r="BK180" s="5"/>
    </row>
    <row r="181" spans="1:63">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3.2643680625208726</v>
      </c>
      <c r="T181" s="5" cm="1">
        <f t="array" ref="T181">IF(T$174=-1,U181,IF(T$174=99,S181,IF(T$174=0,INDEX($F54:$N54,0,T$172),(INDEX($F54:$N54,0,T$174+1)-INDEX($F54:$N54,0,T$174))/(INDEX($F$4:$N$4,0,T$174+1)-INDEX($F$4:$N$4,0,T$174))+S181)))</f>
        <v>3.284559048927981</v>
      </c>
      <c r="U181" s="5" cm="1">
        <f t="array" ref="U181">IF(U$174=-1,V181,IF(U$174=99,T181,IF(U$174=0,INDEX($F54:$N54,0,U$172),(INDEX($F54:$N54,0,U$174+1)-INDEX($F54:$N54,0,U$174))/(INDEX($F$4:$N$4,0,U$174+1)-INDEX($F$4:$N$4,0,U$174))+T181)))</f>
        <v>3.1624908255995221</v>
      </c>
      <c r="V181" s="5" cm="1">
        <f t="array" ref="V181">IF(V$174=-1,W181,IF(V$174=99,U181,IF(V$174=0,INDEX($F54:$N54,0,V$172),(INDEX($F54:$N54,0,V$174+1)-INDEX($F54:$N54,0,V$174))/(INDEX($F$4:$N$4,0,V$174+1)-INDEX($F$4:$N$4,0,V$174))+U181)))</f>
        <v>3.3490180067053346</v>
      </c>
      <c r="W181" s="5" cm="1">
        <f t="array" ref="W181">IF(W$174=-1,Z181,IF(W$174=99,V181,IF(W$174=0,INDEX($F54:$N54,0,W$172),(INDEX($F54:$N54,0,W$174+1)-INDEX($F54:$N54,0,W$174))/(INDEX($F$4:$N$4,0,W$174+1)-INDEX($F$4:$N$4,0,W$174))+V181)))</f>
        <v>3.4554711075043834</v>
      </c>
      <c r="X181" s="5" cm="1">
        <f t="array" ref="X181">IF(X$174=-1,Y181,IF(X$174=99,U181,IF(X$174=0,INDEX($F54:$N54,0,X$172),(INDEX($F54:$N54,0,X$174+1)-INDEX($F54:$N54,0,X$174))/(INDEX($F$4:$N$4,0,X$174+1)-INDEX($F$4:$N$4,0,X$174))+U181)))</f>
        <v>3.3490180067053346</v>
      </c>
      <c r="Y181" s="5" cm="1">
        <f t="array" ref="Y181">IF(Y$174=-1,Z181,IF(Y$174=99,V181,IF(Y$174=0,INDEX($F54:$N54,0,Y$172),(INDEX($F54:$N54,0,Y$174+1)-INDEX($F54:$N54,0,Y$174))/(INDEX($F$4:$N$4,0,Y$174+1)-INDEX($F$4:$N$4,0,Y$174))+V181)))</f>
        <v>3.4554711075043834</v>
      </c>
      <c r="Z181" s="5" cm="1">
        <f t="array" ref="Z181">IF(Z$174=-1,AA181,IF(Z$174=99,W181,IF(Z$174=0,INDEX($F54:$N54,0,Z$172),(INDEX($F54:$N54,0,Z$174+1)-INDEX($F54:$N54,0,Z$174))/(INDEX($F$4:$N$4,0,Z$174+1)-INDEX($F$4:$N$4,0,Z$174))+W181)))</f>
        <v>3.5619242083034321</v>
      </c>
      <c r="AA181" s="5" cm="1">
        <f t="array" ref="AA181">IF(AA$174=-1,AB181,IF(AA$174=99,Z181,IF(AA$174=0,INDEX($F54:$N54,0,AA$172),(INDEX($F54:$N54,0,AA$174+1)-INDEX($F54:$N54,0,AA$174))/(INDEX($F$4:$N$4,0,AA$174+1)-INDEX($F$4:$N$4,0,AA$174))+Z181)))</f>
        <v>3.6683773091024809</v>
      </c>
      <c r="AB181" s="5" cm="1">
        <f t="array" ref="AB181">IF(AB$174=-1,AC181,IF(AB$174=99,AA181,IF(AB$174=0,INDEX($F54:$N54,0,AB$172),(INDEX($F54:$N54,0,AB$174+1)-INDEX($F54:$N54,0,AB$174))/(INDEX($F$4:$N$4,0,AB$174+1)-INDEX($F$4:$N$4,0,AB$174))+AA181)))</f>
        <v>3.7748304099015297</v>
      </c>
      <c r="AC181" s="5" cm="1">
        <f t="array" ref="AC181">IF(AC$174=-1,AD181,IF(AC$174=99,AB181,IF(AC$174=0,INDEX($F54:$N54,0,AC$172),(INDEX($F54:$N54,0,AC$174+1)-INDEX($F54:$N54,0,AC$174))/(INDEX($F$4:$N$4,0,AC$174+1)-INDEX($F$4:$N$4,0,AC$174))+AB181)))</f>
        <v>3.8812835107005785</v>
      </c>
      <c r="AD181" s="5" cm="1">
        <f t="array" ref="AD181">IF(AD$174=-1,AE181,IF(AD$174=99,AC181,IF(AD$174=0,INDEX($F54:$N54,0,AD$172),(INDEX($F54:$N54,0,AD$174+1)-INDEX($F54:$N54,0,AD$174))/(INDEX($F$4:$N$4,0,AD$174+1)-INDEX($F$4:$N$4,0,AD$174))+AC181)))</f>
        <v>3.9877366114996273</v>
      </c>
      <c r="AE181" s="5" cm="1">
        <f t="array" ref="AE181">IF(AE$174=-1,AF181,IF(AE$174=99,AD181,IF(AE$174=0,INDEX($F54:$N54,0,AE$172),(INDEX($F54:$N54,0,AE$174+1)-INDEX($F54:$N54,0,AE$174))/(INDEX($F$4:$N$4,0,AE$174+1)-INDEX($F$4:$N$4,0,AE$174))+AD181)))</f>
        <v>4.0941897122986761</v>
      </c>
      <c r="AF181" s="5" cm="1">
        <f t="array" ref="AF181">IF(AF$174=-1,AG181,IF(AF$174=99,AE181,IF(AF$174=0,INDEX($F54:$N54,0,AF$172),(INDEX($F54:$N54,0,AF$174+1)-INDEX($F54:$N54,0,AF$174))/(INDEX($F$4:$N$4,0,AF$174+1)-INDEX($F$4:$N$4,0,AF$174))+AE181)))</f>
        <v>4.2006428130977245</v>
      </c>
      <c r="AG181" s="5" cm="1">
        <f t="array" ref="AG181">IF(AG$174=-1,AJ181,IF(AG$174=99,AF181,IF(AG$174=0,INDEX($F54:$N54,0,AG$172),(INDEX($F54:$N54,0,AG$174+1)-INDEX($F54:$N54,0,AG$174))/(INDEX($F$4:$N$4,0,AG$174+1)-INDEX($F$4:$N$4,0,AG$174))+AF181)))</f>
        <v>4.3070959138967719</v>
      </c>
      <c r="AH181" s="5" cm="1">
        <f t="array" ref="AH181">IF(AH$174=-1,AI181,IF(AH$174=99,AE181,IF(AH$174=0,INDEX($F54:$N54,0,AH$172),(INDEX($F54:$N54,0,AH$174+1)-INDEX($F54:$N54,0,AH$174))/(INDEX($F$4:$N$4,0,AH$174+1)-INDEX($F$4:$N$4,0,AH$174))+AE181)))</f>
        <v>4.2006428130977245</v>
      </c>
      <c r="AI181" s="5" cm="1">
        <f t="array" ref="AI181">IF(AI$174=-1,AJ181,IF(AI$174=99,AF181,IF(AI$174=0,INDEX($F54:$N54,0,AI$172),(INDEX($F54:$N54,0,AI$174+1)-INDEX($F54:$N54,0,AI$174))/(INDEX($F$4:$N$4,0,AI$174+1)-INDEX($F$4:$N$4,0,AI$174))+AF181)))</f>
        <v>4.3070959138967719</v>
      </c>
      <c r="AJ181" s="5" cm="1">
        <f t="array" ref="AJ181">IF(AJ$174=-1,AK181,IF(AJ$174=99,AG181,IF(AJ$174=0,INDEX($F54:$N54,0,AJ$172),(INDEX($F54:$N54,0,AJ$174+1)-INDEX($F54:$N54,0,AJ$174))/(INDEX($F$4:$N$4,0,AJ$174+1)-INDEX($F$4:$N$4,0,AJ$174))+AG181)))</f>
        <v>4.4416181500606813</v>
      </c>
      <c r="AK181" s="5" cm="1">
        <f t="array" ref="AK181">IF(AK$174=-1,AL181,IF(AK$174=99,AJ181,IF(AK$174=0,INDEX($F54:$N54,0,AK$172),(INDEX($F54:$N54,0,AK$174+1)-INDEX($F54:$N54,0,AK$174))/(INDEX($F$4:$N$4,0,AK$174+1)-INDEX($F$4:$N$4,0,AK$174))+AJ181)))</f>
        <v>4.5761403862245906</v>
      </c>
      <c r="AL181" s="5" cm="1">
        <f t="array" ref="AL181">IF(AL$174=-1,AM181,IF(AL$174=99,AK181,IF(AL$174=0,INDEX($F54:$N54,0,AL$172),(INDEX($F54:$N54,0,AL$174+1)-INDEX($F54:$N54,0,AL$174))/(INDEX($F$4:$N$4,0,AL$174+1)-INDEX($F$4:$N$4,0,AL$174))+AK181)))</f>
        <v>4.7106626223885</v>
      </c>
      <c r="AM181" s="5" cm="1">
        <f t="array" ref="AM181">IF(AM$174=-1,AN181,IF(AM$174=99,AL181,IF(AM$174=0,INDEX($F54:$N54,0,AM$172),(INDEX($F54:$N54,0,AM$174+1)-INDEX($F54:$N54,0,AM$174))/(INDEX($F$4:$N$4,0,AM$174+1)-INDEX($F$4:$N$4,0,AM$174))+AL181)))</f>
        <v>4.8451848585524093</v>
      </c>
      <c r="AN181" s="5" cm="1">
        <f t="array" ref="AN181">IF(AN$174=-1,AO181,IF(AN$174=99,AM181,IF(AN$174=0,INDEX($F54:$N54,0,AN$172),(INDEX($F54:$N54,0,AN$174+1)-INDEX($F54:$N54,0,AN$174))/(INDEX($F$4:$N$4,0,AN$174+1)-INDEX($F$4:$N$4,0,AN$174))+AM181)))</f>
        <v>4.9797070947163187</v>
      </c>
      <c r="AO181" s="5" cm="1">
        <f t="array" ref="AO181">IF(AO$174=-1,AP181,IF(AO$174=99,AN181,IF(AO$174=0,INDEX($F54:$N54,0,AO$172),(INDEX($F54:$N54,0,AO$174+1)-INDEX($F54:$N54,0,AO$174))/(INDEX($F$4:$N$4,0,AO$174+1)-INDEX($F$4:$N$4,0,AO$174))+AN181)))</f>
        <v>5.114229330880228</v>
      </c>
      <c r="AP181" s="5" cm="1">
        <f t="array" ref="AP181">IF(AP$174=-1,AQ181,IF(AP$174=99,AO181,IF(AP$174=0,INDEX($F54:$N54,0,AP$172),(INDEX($F54:$N54,0,AP$174+1)-INDEX($F54:$N54,0,AP$174))/(INDEX($F$4:$N$4,0,AP$174+1)-INDEX($F$4:$N$4,0,AP$174))+AO181)))</f>
        <v>5.2487515670441374</v>
      </c>
      <c r="AQ181" s="5" cm="1">
        <f t="array" ref="AQ181">IF(AQ$174=-1,AR181,IF(AQ$174=99,AP181,IF(AQ$174=0,INDEX($F54:$N54,0,AQ$172),(INDEX($F54:$N54,0,AQ$174+1)-INDEX($F54:$N54,0,AQ$174))/(INDEX($F$4:$N$4,0,AQ$174+1)-INDEX($F$4:$N$4,0,AQ$174))+AP181)))</f>
        <v>5.3832738032080467</v>
      </c>
      <c r="AR181" s="5" cm="1">
        <f t="array" ref="AR181">IF(AR$174=-1,AS181,IF(AR$174=99,AQ181,IF(AR$174=0,INDEX($F54:$N54,0,AR$172),(INDEX($F54:$N54,0,AR$174+1)-INDEX($F54:$N54,0,AR$174))/(INDEX($F$4:$N$4,0,AR$174+1)-INDEX($F$4:$N$4,0,AR$174))+AQ181)))</f>
        <v>5.5177960393719561</v>
      </c>
      <c r="AS181" s="5" cm="1">
        <f t="array" ref="AS181">IF(AS$174=-1,AT181,IF(AS$174=99,AR181,IF(AS$174=0,INDEX($F54:$N54,0,AS$172),(INDEX($F54:$N54,0,AS$174+1)-INDEX($F54:$N54,0,AS$174))/(INDEX($F$4:$N$4,0,AS$174+1)-INDEX($F$4:$N$4,0,AS$174))+AR181)))</f>
        <v>5.6523182755358654</v>
      </c>
      <c r="AT181" s="5" cm="1">
        <f t="array" ref="AT181">IF(AT$174=-1,AU181,IF(AT$174=99,AS181,IF(AT$174=0,INDEX($F54:$N54,0,AT$172),(INDEX($F54:$N54,0,AT$174+1)-INDEX($F54:$N54,0,AT$174))/(INDEX($F$4:$N$4,0,AT$174+1)-INDEX($F$4:$N$4,0,AT$174))+AS181)))</f>
        <v>5.7603742018290554</v>
      </c>
      <c r="AU181" s="5" cm="1">
        <f t="array" ref="AU181">IF(AU$174=-1,AV181,IF(AU$174=99,AT181,IF(AU$174=0,INDEX($F54:$N54,0,AU$172),(INDEX($F54:$N54,0,AU$174+1)-INDEX($F54:$N54,0,AU$174))/(INDEX($F$4:$N$4,0,AU$174+1)-INDEX($F$4:$N$4,0,AU$174))+AT181)))</f>
        <v>6.7328775384677639</v>
      </c>
      <c r="AV181" s="5" cm="1">
        <f t="array" ref="AV181">IF(AV$174=-1,AW181,IF(AV$174=99,AU181,IF(AV$174=0,INDEX($F54:$N54,0,AV$172),(INDEX($F54:$N54,0,AV$174+1)-INDEX($F54:$N54,0,AV$174))/(INDEX($F$4:$N$4,0,AV$174+1)-INDEX($F$4:$N$4,0,AV$174))+AU181)))</f>
        <v>7.7117434367878106</v>
      </c>
      <c r="AW181" s="5" cm="1">
        <f t="array" ref="AW181">IF(AW$174=-1,AX181,IF(AW$174=99,AV181,IF(AW$174=0,INDEX($F54:$N54,0,AW$172),(INDEX($F54:$N54,0,AW$174+1)-INDEX($F54:$N54,0,AW$174))/(INDEX($F$4:$N$4,0,AW$174+1)-INDEX($F$4:$N$4,0,AW$174))+AV181)))</f>
        <v>7.8702163636482627</v>
      </c>
      <c r="BF181" s="5"/>
      <c r="BG181" s="5"/>
      <c r="BH181" s="5"/>
      <c r="BI181" s="5"/>
      <c r="BJ181" s="5"/>
      <c r="BK181" s="5"/>
    </row>
    <row r="182" spans="1:63">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132.38838324884392</v>
      </c>
      <c r="T182" s="5" cm="1">
        <f t="array" ref="T182">IF(T$174=-1,U182,IF(T$174=99,S182,IF(T$174=0,INDEX($F55:$N55,0,T$172),(INDEX($F55:$N55,0,T$174+1)-INDEX($F55:$N55,0,T$174))/(INDEX($F$4:$N$4,0,T$174+1)-INDEX($F$4:$N$4,0,T$174))+S182)))</f>
        <v>134.72568842583829</v>
      </c>
      <c r="U182" s="5" cm="1">
        <f t="array" ref="U182">IF(U$174=-1,V182,IF(U$174=99,T182,IF(U$174=0,INDEX($F55:$N55,0,U$172),(INDEX($F55:$N55,0,U$174+1)-INDEX($F55:$N55,0,U$174))/(INDEX($F$4:$N$4,0,U$174+1)-INDEX($F$4:$N$4,0,U$174))+T182)))</f>
        <v>131.01589429361536</v>
      </c>
      <c r="V182" s="5" cm="1">
        <f t="array" ref="V182">IF(V$174=-1,W182,IF(V$174=99,U182,IF(V$174=0,INDEX($F55:$N55,0,V$172),(INDEX($F55:$N55,0,V$174+1)-INDEX($F55:$N55,0,V$174))/(INDEX($F$4:$N$4,0,V$174+1)-INDEX($F$4:$N$4,0,V$174))+U182)))</f>
        <v>139.65915331273681</v>
      </c>
      <c r="W182" s="5" cm="1">
        <f t="array" ref="W182">IF(W$174=-1,Z182,IF(W$174=99,V182,IF(W$174=0,INDEX($F55:$N55,0,W$172),(INDEX($F55:$N55,0,W$174+1)-INDEX($F55:$N55,0,W$174))/(INDEX($F$4:$N$4,0,W$174+1)-INDEX($F$4:$N$4,0,W$174))+V182)))</f>
        <v>144.33572451443041</v>
      </c>
      <c r="X182" s="5" cm="1">
        <f t="array" ref="X182">IF(X$174=-1,Y182,IF(X$174=99,U182,IF(X$174=0,INDEX($F55:$N55,0,X$172),(INDEX($F55:$N55,0,X$174+1)-INDEX($F55:$N55,0,X$174))/(INDEX($F$4:$N$4,0,X$174+1)-INDEX($F$4:$N$4,0,X$174))+U182)))</f>
        <v>139.65915331273681</v>
      </c>
      <c r="Y182" s="5" cm="1">
        <f t="array" ref="Y182">IF(Y$174=-1,Z182,IF(Y$174=99,V182,IF(Y$174=0,INDEX($F55:$N55,0,Y$172),(INDEX($F55:$N55,0,Y$174+1)-INDEX($F55:$N55,0,Y$174))/(INDEX($F$4:$N$4,0,Y$174+1)-INDEX($F$4:$N$4,0,Y$174))+V182)))</f>
        <v>144.33572451443041</v>
      </c>
      <c r="Z182" s="5" cm="1">
        <f t="array" ref="Z182">IF(Z$174=-1,AA182,IF(Z$174=99,W182,IF(Z$174=0,INDEX($F55:$N55,0,Z$172),(INDEX($F55:$N55,0,Z$174+1)-INDEX($F55:$N55,0,Z$174))/(INDEX($F$4:$N$4,0,Z$174+1)-INDEX($F$4:$N$4,0,Z$174))+W182)))</f>
        <v>149.01229571612402</v>
      </c>
      <c r="AA182" s="5" cm="1">
        <f t="array" ref="AA182">IF(AA$174=-1,AB182,IF(AA$174=99,Z182,IF(AA$174=0,INDEX($F55:$N55,0,AA$172),(INDEX($F55:$N55,0,AA$174+1)-INDEX($F55:$N55,0,AA$174))/(INDEX($F$4:$N$4,0,AA$174+1)-INDEX($F$4:$N$4,0,AA$174))+Z182)))</f>
        <v>153.68886691781762</v>
      </c>
      <c r="AB182" s="5" cm="1">
        <f t="array" ref="AB182">IF(AB$174=-1,AC182,IF(AB$174=99,AA182,IF(AB$174=0,INDEX($F55:$N55,0,AB$172),(INDEX($F55:$N55,0,AB$174+1)-INDEX($F55:$N55,0,AB$174))/(INDEX($F$4:$N$4,0,AB$174+1)-INDEX($F$4:$N$4,0,AB$174))+AA182)))</f>
        <v>158.36543811951123</v>
      </c>
      <c r="AC182" s="5" cm="1">
        <f t="array" ref="AC182">IF(AC$174=-1,AD182,IF(AC$174=99,AB182,IF(AC$174=0,INDEX($F55:$N55,0,AC$172),(INDEX($F55:$N55,0,AC$174+1)-INDEX($F55:$N55,0,AC$174))/(INDEX($F$4:$N$4,0,AC$174+1)-INDEX($F$4:$N$4,0,AC$174))+AB182)))</f>
        <v>163.04200932120483</v>
      </c>
      <c r="AD182" s="5" cm="1">
        <f t="array" ref="AD182">IF(AD$174=-1,AE182,IF(AD$174=99,AC182,IF(AD$174=0,INDEX($F55:$N55,0,AD$172),(INDEX($F55:$N55,0,AD$174+1)-INDEX($F55:$N55,0,AD$174))/(INDEX($F$4:$N$4,0,AD$174+1)-INDEX($F$4:$N$4,0,AD$174))+AC182)))</f>
        <v>167.71858052289843</v>
      </c>
      <c r="AE182" s="5" cm="1">
        <f t="array" ref="AE182">IF(AE$174=-1,AF182,IF(AE$174=99,AD182,IF(AE$174=0,INDEX($F55:$N55,0,AE$172),(INDEX($F55:$N55,0,AE$174+1)-INDEX($F55:$N55,0,AE$174))/(INDEX($F$4:$N$4,0,AE$174+1)-INDEX($F$4:$N$4,0,AE$174))+AD182)))</f>
        <v>172.39515172459204</v>
      </c>
      <c r="AF182" s="5" cm="1">
        <f t="array" ref="AF182">IF(AF$174=-1,AG182,IF(AF$174=99,AE182,IF(AF$174=0,INDEX($F55:$N55,0,AF$172),(INDEX($F55:$N55,0,AF$174+1)-INDEX($F55:$N55,0,AF$174))/(INDEX($F$4:$N$4,0,AF$174+1)-INDEX($F$4:$N$4,0,AF$174))+AE182)))</f>
        <v>177.07172292628564</v>
      </c>
      <c r="AG182" s="5" cm="1">
        <f t="array" ref="AG182">IF(AG$174=-1,AJ182,IF(AG$174=99,AF182,IF(AG$174=0,INDEX($F55:$N55,0,AG$172),(INDEX($F55:$N55,0,AG$174+1)-INDEX($F55:$N55,0,AG$174))/(INDEX($F$4:$N$4,0,AG$174+1)-INDEX($F$4:$N$4,0,AG$174))+AF182)))</f>
        <v>181.74829412797916</v>
      </c>
      <c r="AH182" s="5" cm="1">
        <f t="array" ref="AH182">IF(AH$174=-1,AI182,IF(AH$174=99,AE182,IF(AH$174=0,INDEX($F55:$N55,0,AH$172),(INDEX($F55:$N55,0,AH$174+1)-INDEX($F55:$N55,0,AH$174))/(INDEX($F$4:$N$4,0,AH$174+1)-INDEX($F$4:$N$4,0,AH$174))+AE182)))</f>
        <v>177.07172292628564</v>
      </c>
      <c r="AI182" s="5" cm="1">
        <f t="array" ref="AI182">IF(AI$174=-1,AJ182,IF(AI$174=99,AF182,IF(AI$174=0,INDEX($F55:$N55,0,AI$172),(INDEX($F55:$N55,0,AI$174+1)-INDEX($F55:$N55,0,AI$174))/(INDEX($F$4:$N$4,0,AI$174+1)-INDEX($F$4:$N$4,0,AI$174))+AF182)))</f>
        <v>181.74829412797916</v>
      </c>
      <c r="AJ182" s="5" cm="1">
        <f t="array" ref="AJ182">IF(AJ$174=-1,AK182,IF(AJ$174=99,AG182,IF(AJ$174=0,INDEX($F55:$N55,0,AJ$172),(INDEX($F55:$N55,0,AJ$174+1)-INDEX($F55:$N55,0,AJ$174))/(INDEX($F$4:$N$4,0,AJ$174+1)-INDEX($F$4:$N$4,0,AJ$174))+AG182)))</f>
        <v>186.23221817074875</v>
      </c>
      <c r="AK182" s="5" cm="1">
        <f t="array" ref="AK182">IF(AK$174=-1,AL182,IF(AK$174=99,AJ182,IF(AK$174=0,INDEX($F55:$N55,0,AK$172),(INDEX($F55:$N55,0,AK$174+1)-INDEX($F55:$N55,0,AK$174))/(INDEX($F$4:$N$4,0,AK$174+1)-INDEX($F$4:$N$4,0,AK$174))+AJ182)))</f>
        <v>190.71614221351837</v>
      </c>
      <c r="AL182" s="5" cm="1">
        <f t="array" ref="AL182">IF(AL$174=-1,AM182,IF(AL$174=99,AK182,IF(AL$174=0,INDEX($F55:$N55,0,AL$172),(INDEX($F55:$N55,0,AL$174+1)-INDEX($F55:$N55,0,AL$174))/(INDEX($F$4:$N$4,0,AL$174+1)-INDEX($F$4:$N$4,0,AL$174))+AK182)))</f>
        <v>195.20006625628798</v>
      </c>
      <c r="AM182" s="5" cm="1">
        <f t="array" ref="AM182">IF(AM$174=-1,AN182,IF(AM$174=99,AL182,IF(AM$174=0,INDEX($F55:$N55,0,AM$172),(INDEX($F55:$N55,0,AM$174+1)-INDEX($F55:$N55,0,AM$174))/(INDEX($F$4:$N$4,0,AM$174+1)-INDEX($F$4:$N$4,0,AM$174))+AL182)))</f>
        <v>199.6839902990576</v>
      </c>
      <c r="AN182" s="5" cm="1">
        <f t="array" ref="AN182">IF(AN$174=-1,AO182,IF(AN$174=99,AM182,IF(AN$174=0,INDEX($F55:$N55,0,AN$172),(INDEX($F55:$N55,0,AN$174+1)-INDEX($F55:$N55,0,AN$174))/(INDEX($F$4:$N$4,0,AN$174+1)-INDEX($F$4:$N$4,0,AN$174))+AM182)))</f>
        <v>204.16791434182721</v>
      </c>
      <c r="AO182" s="5" cm="1">
        <f t="array" ref="AO182">IF(AO$174=-1,AP182,IF(AO$174=99,AN182,IF(AO$174=0,INDEX($F55:$N55,0,AO$172),(INDEX($F55:$N55,0,AO$174+1)-INDEX($F55:$N55,0,AO$174))/(INDEX($F$4:$N$4,0,AO$174+1)-INDEX($F$4:$N$4,0,AO$174))+AN182)))</f>
        <v>208.65183838459683</v>
      </c>
      <c r="AP182" s="5" cm="1">
        <f t="array" ref="AP182">IF(AP$174=-1,AQ182,IF(AP$174=99,AO182,IF(AP$174=0,INDEX($F55:$N55,0,AP$172),(INDEX($F55:$N55,0,AP$174+1)-INDEX($F55:$N55,0,AP$174))/(INDEX($F$4:$N$4,0,AP$174+1)-INDEX($F$4:$N$4,0,AP$174))+AO182)))</f>
        <v>213.13576242736644</v>
      </c>
      <c r="AQ182" s="5" cm="1">
        <f t="array" ref="AQ182">IF(AQ$174=-1,AR182,IF(AQ$174=99,AP182,IF(AQ$174=0,INDEX($F55:$N55,0,AQ$172),(INDEX($F55:$N55,0,AQ$174+1)-INDEX($F55:$N55,0,AQ$174))/(INDEX($F$4:$N$4,0,AQ$174+1)-INDEX($F$4:$N$4,0,AQ$174))+AP182)))</f>
        <v>217.61968647013606</v>
      </c>
      <c r="AR182" s="5" cm="1">
        <f t="array" ref="AR182">IF(AR$174=-1,AS182,IF(AR$174=99,AQ182,IF(AR$174=0,INDEX($F55:$N55,0,AR$172),(INDEX($F55:$N55,0,AR$174+1)-INDEX($F55:$N55,0,AR$174))/(INDEX($F$4:$N$4,0,AR$174+1)-INDEX($F$4:$N$4,0,AR$174))+AQ182)))</f>
        <v>222.10361051290568</v>
      </c>
      <c r="AS182" s="5" cm="1">
        <f t="array" ref="AS182">IF(AS$174=-1,AT182,IF(AS$174=99,AR182,IF(AS$174=0,INDEX($F55:$N55,0,AS$172),(INDEX($F55:$N55,0,AS$174+1)-INDEX($F55:$N55,0,AS$174))/(INDEX($F$4:$N$4,0,AS$174+1)-INDEX($F$4:$N$4,0,AS$174))+AR182)))</f>
        <v>226.58753455567518</v>
      </c>
      <c r="AT182" s="5" cm="1">
        <f t="array" ref="AT182">IF(AT$174=-1,AU182,IF(AT$174=99,AS182,IF(AT$174=0,INDEX($F55:$N55,0,AT$172),(INDEX($F55:$N55,0,AT$174+1)-INDEX($F55:$N55,0,AT$174))/(INDEX($F$4:$N$4,0,AT$174+1)-INDEX($F$4:$N$4,0,AT$174))+AS182)))</f>
        <v>230.91923081539835</v>
      </c>
      <c r="AU182" s="5" cm="1">
        <f t="array" ref="AU182">IF(AU$174=-1,AV182,IF(AU$174=99,AT182,IF(AU$174=0,INDEX($F55:$N55,0,AU$172),(INDEX($F55:$N55,0,AU$174+1)-INDEX($F55:$N55,0,AU$174))/(INDEX($F$4:$N$4,0,AU$174+1)-INDEX($F$4:$N$4,0,AU$174))+AT182)))</f>
        <v>269.90449715290686</v>
      </c>
      <c r="AV182" s="5" cm="1">
        <f t="array" ref="AV182">IF(AV$174=-1,AW182,IF(AV$174=99,AU182,IF(AV$174=0,INDEX($F55:$N55,0,AV$172),(INDEX($F55:$N55,0,AV$174+1)-INDEX($F55:$N55,0,AV$174))/(INDEX($F$4:$N$4,0,AV$174+1)-INDEX($F$4:$N$4,0,AV$174))+AU182)))</f>
        <v>309.14482293585974</v>
      </c>
      <c r="AW182" s="5" cm="1">
        <f t="array" ref="AW182">IF(AW$174=-1,AX182,IF(AW$174=99,AV182,IF(AW$174=0,INDEX($F55:$N55,0,AW$172),(INDEX($F55:$N55,0,AW$174+1)-INDEX($F55:$N55,0,AW$174))/(INDEX($F$4:$N$4,0,AW$174+1)-INDEX($F$4:$N$4,0,AW$174))+AV182)))</f>
        <v>315.49761271886734</v>
      </c>
      <c r="BF182" s="5"/>
      <c r="BG182" s="5"/>
      <c r="BH182" s="5"/>
      <c r="BI182" s="5"/>
      <c r="BJ182" s="5"/>
      <c r="BK182" s="5"/>
    </row>
    <row r="183" spans="1:63">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40.073626745765331</v>
      </c>
      <c r="T183" s="5" cm="1">
        <f t="array" ref="T183">IF(T$174=-1,U183,IF(T$174=99,S183,IF(T$174=0,INDEX($F56:$N56,0,T$172),(INDEX($F56:$N56,0,T$174+1)-INDEX($F56:$N56,0,T$174))/(INDEX($F$4:$N$4,0,T$174+1)-INDEX($F$4:$N$4,0,T$174))+S183)))</f>
        <v>40.321492806641579</v>
      </c>
      <c r="U183" s="5" cm="1">
        <f t="array" ref="U183">IF(U$174=-1,V183,IF(U$174=99,T183,IF(U$174=0,INDEX($F56:$N56,0,U$172),(INDEX($F56:$N56,0,U$174+1)-INDEX($F56:$N56,0,U$174))/(INDEX($F$4:$N$4,0,U$174+1)-INDEX($F$4:$N$4,0,U$174))+T183)))</f>
        <v>38.822974157550945</v>
      </c>
      <c r="V183" s="5" cm="1">
        <f t="array" ref="V183">IF(V$174=-1,W183,IF(V$174=99,U183,IF(V$174=0,INDEX($F56:$N56,0,V$172),(INDEX($F56:$N56,0,V$174+1)-INDEX($F56:$N56,0,V$174))/(INDEX($F$4:$N$4,0,V$174+1)-INDEX($F$4:$N$4,0,V$174))+U183)))</f>
        <v>41.112795798497203</v>
      </c>
      <c r="W183" s="5" cm="1">
        <f t="array" ref="W183">IF(W$174=-1,Z183,IF(W$174=99,V183,IF(W$174=0,INDEX($F56:$N56,0,W$172),(INDEX($F56:$N56,0,W$174+1)-INDEX($F56:$N56,0,W$174))/(INDEX($F$4:$N$4,0,W$174+1)-INDEX($F$4:$N$4,0,W$174))+V183)))</f>
        <v>42.41962203427898</v>
      </c>
      <c r="X183" s="5" cm="1">
        <f t="array" ref="X183">IF(X$174=-1,Y183,IF(X$174=99,U183,IF(X$174=0,INDEX($F56:$N56,0,X$172),(INDEX($F56:$N56,0,X$174+1)-INDEX($F56:$N56,0,X$174))/(INDEX($F$4:$N$4,0,X$174+1)-INDEX($F$4:$N$4,0,X$174))+U183)))</f>
        <v>41.112795798497203</v>
      </c>
      <c r="Y183" s="5" cm="1">
        <f t="array" ref="Y183">IF(Y$174=-1,Z183,IF(Y$174=99,V183,IF(Y$174=0,INDEX($F56:$N56,0,Y$172),(INDEX($F56:$N56,0,Y$174+1)-INDEX($F56:$N56,0,Y$174))/(INDEX($F$4:$N$4,0,Y$174+1)-INDEX($F$4:$N$4,0,Y$174))+V183)))</f>
        <v>42.41962203427898</v>
      </c>
      <c r="Z183" s="5" cm="1">
        <f t="array" ref="Z183">IF(Z$174=-1,AA183,IF(Z$174=99,W183,IF(Z$174=0,INDEX($F56:$N56,0,Z$172),(INDEX($F56:$N56,0,Z$174+1)-INDEX($F56:$N56,0,Z$174))/(INDEX($F$4:$N$4,0,Z$174+1)-INDEX($F$4:$N$4,0,Z$174))+W183)))</f>
        <v>43.726448270060757</v>
      </c>
      <c r="AA183" s="5" cm="1">
        <f t="array" ref="AA183">IF(AA$174=-1,AB183,IF(AA$174=99,Z183,IF(AA$174=0,INDEX($F56:$N56,0,AA$172),(INDEX($F56:$N56,0,AA$174+1)-INDEX($F56:$N56,0,AA$174))/(INDEX($F$4:$N$4,0,AA$174+1)-INDEX($F$4:$N$4,0,AA$174))+Z183)))</f>
        <v>45.033274505842535</v>
      </c>
      <c r="AB183" s="5" cm="1">
        <f t="array" ref="AB183">IF(AB$174=-1,AC183,IF(AB$174=99,AA183,IF(AB$174=0,INDEX($F56:$N56,0,AB$172),(INDEX($F56:$N56,0,AB$174+1)-INDEX($F56:$N56,0,AB$174))/(INDEX($F$4:$N$4,0,AB$174+1)-INDEX($F$4:$N$4,0,AB$174))+AA183)))</f>
        <v>46.340100741624312</v>
      </c>
      <c r="AC183" s="5" cm="1">
        <f t="array" ref="AC183">IF(AC$174=-1,AD183,IF(AC$174=99,AB183,IF(AC$174=0,INDEX($F56:$N56,0,AC$172),(INDEX($F56:$N56,0,AC$174+1)-INDEX($F56:$N56,0,AC$174))/(INDEX($F$4:$N$4,0,AC$174+1)-INDEX($F$4:$N$4,0,AC$174))+AB183)))</f>
        <v>47.646926977406089</v>
      </c>
      <c r="AD183" s="5" cm="1">
        <f t="array" ref="AD183">IF(AD$174=-1,AE183,IF(AD$174=99,AC183,IF(AD$174=0,INDEX($F56:$N56,0,AD$172),(INDEX($F56:$N56,0,AD$174+1)-INDEX($F56:$N56,0,AD$174))/(INDEX($F$4:$N$4,0,AD$174+1)-INDEX($F$4:$N$4,0,AD$174))+AC183)))</f>
        <v>48.953753213187866</v>
      </c>
      <c r="AE183" s="5" cm="1">
        <f t="array" ref="AE183">IF(AE$174=-1,AF183,IF(AE$174=99,AD183,IF(AE$174=0,INDEX($F56:$N56,0,AE$172),(INDEX($F56:$N56,0,AE$174+1)-INDEX($F56:$N56,0,AE$174))/(INDEX($F$4:$N$4,0,AE$174+1)-INDEX($F$4:$N$4,0,AE$174))+AD183)))</f>
        <v>50.260579448969644</v>
      </c>
      <c r="AF183" s="5" cm="1">
        <f t="array" ref="AF183">IF(AF$174=-1,AG183,IF(AF$174=99,AE183,IF(AF$174=0,INDEX($F56:$N56,0,AF$172),(INDEX($F56:$N56,0,AF$174+1)-INDEX($F56:$N56,0,AF$174))/(INDEX($F$4:$N$4,0,AF$174+1)-INDEX($F$4:$N$4,0,AF$174))+AE183)))</f>
        <v>51.567405684751421</v>
      </c>
      <c r="AG183" s="5" cm="1">
        <f t="array" ref="AG183">IF(AG$174=-1,AJ183,IF(AG$174=99,AF183,IF(AG$174=0,INDEX($F56:$N56,0,AG$172),(INDEX($F56:$N56,0,AG$174+1)-INDEX($F56:$N56,0,AG$174))/(INDEX($F$4:$N$4,0,AG$174+1)-INDEX($F$4:$N$4,0,AG$174))+AF183)))</f>
        <v>52.874231920533198</v>
      </c>
      <c r="AH183" s="5" cm="1">
        <f t="array" ref="AH183">IF(AH$174=-1,AI183,IF(AH$174=99,AE183,IF(AH$174=0,INDEX($F56:$N56,0,AH$172),(INDEX($F56:$N56,0,AH$174+1)-INDEX($F56:$N56,0,AH$174))/(INDEX($F$4:$N$4,0,AH$174+1)-INDEX($F$4:$N$4,0,AH$174))+AE183)))</f>
        <v>51.567405684751421</v>
      </c>
      <c r="AI183" s="5" cm="1">
        <f t="array" ref="AI183">IF(AI$174=-1,AJ183,IF(AI$174=99,AF183,IF(AI$174=0,INDEX($F56:$N56,0,AI$172),(INDEX($F56:$N56,0,AI$174+1)-INDEX($F56:$N56,0,AI$174))/(INDEX($F$4:$N$4,0,AI$174+1)-INDEX($F$4:$N$4,0,AI$174))+AF183)))</f>
        <v>52.874231920533198</v>
      </c>
      <c r="AJ183" s="5" cm="1">
        <f t="array" ref="AJ183">IF(AJ$174=-1,AK183,IF(AJ$174=99,AG183,IF(AJ$174=0,INDEX($F56:$N56,0,AJ$172),(INDEX($F56:$N56,0,AJ$174+1)-INDEX($F56:$N56,0,AJ$174))/(INDEX($F$4:$N$4,0,AJ$174+1)-INDEX($F$4:$N$4,0,AJ$174))+AG183)))</f>
        <v>54.525636963650555</v>
      </c>
      <c r="AK183" s="5" cm="1">
        <f t="array" ref="AK183">IF(AK$174=-1,AL183,IF(AK$174=99,AJ183,IF(AK$174=0,INDEX($F56:$N56,0,AK$172),(INDEX($F56:$N56,0,AK$174+1)-INDEX($F56:$N56,0,AK$174))/(INDEX($F$4:$N$4,0,AK$174+1)-INDEX($F$4:$N$4,0,AK$174))+AJ183)))</f>
        <v>56.177042006767905</v>
      </c>
      <c r="AL183" s="5" cm="1">
        <f t="array" ref="AL183">IF(AL$174=-1,AM183,IF(AL$174=99,AK183,IF(AL$174=0,INDEX($F56:$N56,0,AL$172),(INDEX($F56:$N56,0,AL$174+1)-INDEX($F56:$N56,0,AL$174))/(INDEX($F$4:$N$4,0,AL$174+1)-INDEX($F$4:$N$4,0,AL$174))+AK183)))</f>
        <v>57.828447049885256</v>
      </c>
      <c r="AM183" s="5" cm="1">
        <f t="array" ref="AM183">IF(AM$174=-1,AN183,IF(AM$174=99,AL183,IF(AM$174=0,INDEX($F56:$N56,0,AM$172),(INDEX($F56:$N56,0,AM$174+1)-INDEX($F56:$N56,0,AM$174))/(INDEX($F$4:$N$4,0,AM$174+1)-INDEX($F$4:$N$4,0,AM$174))+AL183)))</f>
        <v>59.479852093002606</v>
      </c>
      <c r="AN183" s="5" cm="1">
        <f t="array" ref="AN183">IF(AN$174=-1,AO183,IF(AN$174=99,AM183,IF(AN$174=0,INDEX($F56:$N56,0,AN$172),(INDEX($F56:$N56,0,AN$174+1)-INDEX($F56:$N56,0,AN$174))/(INDEX($F$4:$N$4,0,AN$174+1)-INDEX($F$4:$N$4,0,AN$174))+AM183)))</f>
        <v>61.131257136119956</v>
      </c>
      <c r="AO183" s="5" cm="1">
        <f t="array" ref="AO183">IF(AO$174=-1,AP183,IF(AO$174=99,AN183,IF(AO$174=0,INDEX($F56:$N56,0,AO$172),(INDEX($F56:$N56,0,AO$174+1)-INDEX($F56:$N56,0,AO$174))/(INDEX($F$4:$N$4,0,AO$174+1)-INDEX($F$4:$N$4,0,AO$174))+AN183)))</f>
        <v>62.782662179237306</v>
      </c>
      <c r="AP183" s="5" cm="1">
        <f t="array" ref="AP183">IF(AP$174=-1,AQ183,IF(AP$174=99,AO183,IF(AP$174=0,INDEX($F56:$N56,0,AP$172),(INDEX($F56:$N56,0,AP$174+1)-INDEX($F56:$N56,0,AP$174))/(INDEX($F$4:$N$4,0,AP$174+1)-INDEX($F$4:$N$4,0,AP$174))+AO183)))</f>
        <v>64.434067222354656</v>
      </c>
      <c r="AQ183" s="5" cm="1">
        <f t="array" ref="AQ183">IF(AQ$174=-1,AR183,IF(AQ$174=99,AP183,IF(AQ$174=0,INDEX($F56:$N56,0,AQ$172),(INDEX($F56:$N56,0,AQ$174+1)-INDEX($F56:$N56,0,AQ$174))/(INDEX($F$4:$N$4,0,AQ$174+1)-INDEX($F$4:$N$4,0,AQ$174))+AP183)))</f>
        <v>66.085472265472006</v>
      </c>
      <c r="AR183" s="5" cm="1">
        <f t="array" ref="AR183">IF(AR$174=-1,AS183,IF(AR$174=99,AQ183,IF(AR$174=0,INDEX($F56:$N56,0,AR$172),(INDEX($F56:$N56,0,AR$174+1)-INDEX($F56:$N56,0,AR$174))/(INDEX($F$4:$N$4,0,AR$174+1)-INDEX($F$4:$N$4,0,AR$174))+AQ183)))</f>
        <v>67.736877308589357</v>
      </c>
      <c r="AS183" s="5" cm="1">
        <f t="array" ref="AS183">IF(AS$174=-1,AT183,IF(AS$174=99,AR183,IF(AS$174=0,INDEX($F56:$N56,0,AS$172),(INDEX($F56:$N56,0,AS$174+1)-INDEX($F56:$N56,0,AS$174))/(INDEX($F$4:$N$4,0,AS$174+1)-INDEX($F$4:$N$4,0,AS$174))+AR183)))</f>
        <v>69.388282351706735</v>
      </c>
      <c r="AT183" s="5" cm="1">
        <f t="array" ref="AT183">IF(AT$174=-1,AU183,IF(AT$174=99,AS183,IF(AT$174=0,INDEX($F56:$N56,0,AT$172),(INDEX($F56:$N56,0,AT$174+1)-INDEX($F56:$N56,0,AT$174))/(INDEX($F$4:$N$4,0,AT$174+1)-INDEX($F$4:$N$4,0,AT$174))+AS183)))</f>
        <v>70.714784993261588</v>
      </c>
      <c r="AU183" s="5" cm="1">
        <f t="array" ref="AU183">IF(AU$174=-1,AV183,IF(AU$174=99,AT183,IF(AU$174=0,INDEX($F56:$N56,0,AU$172),(INDEX($F56:$N56,0,AU$174+1)-INDEX($F56:$N56,0,AU$174))/(INDEX($F$4:$N$4,0,AU$174+1)-INDEX($F$4:$N$4,0,AU$174))+AT183)))</f>
        <v>82.653308767255211</v>
      </c>
      <c r="AV183" s="5" cm="1">
        <f t="array" ref="AV183">IF(AV$174=-1,AW183,IF(AV$174=99,AU183,IF(AV$174=0,INDEX($F56:$N56,0,AV$172),(INDEX($F56:$N56,0,AV$174+1)-INDEX($F56:$N56,0,AV$174))/(INDEX($F$4:$N$4,0,AV$174+1)-INDEX($F$4:$N$4,0,AV$174))+AU183)))</f>
        <v>94.669939824827637</v>
      </c>
      <c r="AW183" s="5" cm="1">
        <f t="array" ref="AW183">IF(AW$174=-1,AX183,IF(AW$174=99,AV183,IF(AW$174=0,INDEX($F56:$N56,0,AW$172),(INDEX($F56:$N56,0,AW$174+1)-INDEX($F56:$N56,0,AW$174))/(INDEX($F$4:$N$4,0,AW$174+1)-INDEX($F$4:$N$4,0,AW$174))+AV183)))</f>
        <v>96.615365340175487</v>
      </c>
      <c r="BF183" s="5"/>
      <c r="BG183" s="5"/>
      <c r="BH183" s="5"/>
      <c r="BI183" s="5"/>
      <c r="BJ183" s="5"/>
      <c r="BK183" s="5"/>
    </row>
    <row r="184" spans="1:63">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2.2630931427940508</v>
      </c>
      <c r="T184" s="5" cm="1">
        <f t="array" ref="T184">IF(T$174=-1,U184,IF(T$174=99,S184,IF(T$174=0,INDEX($F57:$N57,0,T$172),(INDEX($F57:$N57,0,T$174+1)-INDEX($F57:$N57,0,T$174))/(INDEX($F$4:$N$4,0,T$174+1)-INDEX($F$4:$N$4,0,T$174))+S184)))</f>
        <v>2.2770909769870764</v>
      </c>
      <c r="U184" s="5" cm="1">
        <f t="array" ref="U184">IF(U$174=-1,V184,IF(U$174=99,T184,IF(U$174=0,INDEX($F57:$N57,0,U$172),(INDEX($F57:$N57,0,U$174+1)-INDEX($F57:$N57,0,U$174))/(INDEX($F$4:$N$4,0,U$174+1)-INDEX($F$4:$N$4,0,U$174))+T184)))</f>
        <v>2.1924645641939198</v>
      </c>
      <c r="V184" s="5" cm="1">
        <f t="array" ref="V184">IF(V$174=-1,W184,IF(V$174=99,U184,IF(V$174=0,INDEX($F57:$N57,0,V$172),(INDEX($F57:$N57,0,V$174+1)-INDEX($F57:$N57,0,V$174))/(INDEX($F$4:$N$4,0,V$174+1)-INDEX($F$4:$N$4,0,V$174))+U184)))</f>
        <v>2.3217785313754526</v>
      </c>
      <c r="W184" s="5" cm="1">
        <f t="array" ref="W184">IF(W$174=-1,Z184,IF(W$174=99,V184,IF(W$174=0,INDEX($F57:$N57,0,W$172),(INDEX($F57:$N57,0,W$174+1)-INDEX($F57:$N57,0,W$174))/(INDEX($F$4:$N$4,0,W$174+1)-INDEX($F$4:$N$4,0,W$174))+V184)))</f>
        <v>2.3955794257088718</v>
      </c>
      <c r="X184" s="5" cm="1">
        <f t="array" ref="X184">IF(X$174=-1,Y184,IF(X$174=99,U184,IF(X$174=0,INDEX($F57:$N57,0,X$172),(INDEX($F57:$N57,0,X$174+1)-INDEX($F57:$N57,0,X$174))/(INDEX($F$4:$N$4,0,X$174+1)-INDEX($F$4:$N$4,0,X$174))+U184)))</f>
        <v>2.3217785313754526</v>
      </c>
      <c r="Y184" s="5" cm="1">
        <f t="array" ref="Y184">IF(Y$174=-1,Z184,IF(Y$174=99,V184,IF(Y$174=0,INDEX($F57:$N57,0,Y$172),(INDEX($F57:$N57,0,Y$174+1)-INDEX($F57:$N57,0,Y$174))/(INDEX($F$4:$N$4,0,Y$174+1)-INDEX($F$4:$N$4,0,Y$174))+V184)))</f>
        <v>2.3955794257088718</v>
      </c>
      <c r="Z184" s="5" cm="1">
        <f t="array" ref="Z184">IF(Z$174=-1,AA184,IF(Z$174=99,W184,IF(Z$174=0,INDEX($F57:$N57,0,Z$172),(INDEX($F57:$N57,0,Z$174+1)-INDEX($F57:$N57,0,Z$174))/(INDEX($F$4:$N$4,0,Z$174+1)-INDEX($F$4:$N$4,0,Z$174))+W184)))</f>
        <v>2.469380320042291</v>
      </c>
      <c r="AA184" s="5" cm="1">
        <f t="array" ref="AA184">IF(AA$174=-1,AB184,IF(AA$174=99,Z184,IF(AA$174=0,INDEX($F57:$N57,0,AA$172),(INDEX($F57:$N57,0,AA$174+1)-INDEX($F57:$N57,0,AA$174))/(INDEX($F$4:$N$4,0,AA$174+1)-INDEX($F$4:$N$4,0,AA$174))+Z184)))</f>
        <v>2.5431812143757102</v>
      </c>
      <c r="AB184" s="5" cm="1">
        <f t="array" ref="AB184">IF(AB$174=-1,AC184,IF(AB$174=99,AA184,IF(AB$174=0,INDEX($F57:$N57,0,AB$172),(INDEX($F57:$N57,0,AB$174+1)-INDEX($F57:$N57,0,AB$174))/(INDEX($F$4:$N$4,0,AB$174+1)-INDEX($F$4:$N$4,0,AB$174))+AA184)))</f>
        <v>2.6169821087091294</v>
      </c>
      <c r="AC184" s="5" cm="1">
        <f t="array" ref="AC184">IF(AC$174=-1,AD184,IF(AC$174=99,AB184,IF(AC$174=0,INDEX($F57:$N57,0,AC$172),(INDEX($F57:$N57,0,AC$174+1)-INDEX($F57:$N57,0,AC$174))/(INDEX($F$4:$N$4,0,AC$174+1)-INDEX($F$4:$N$4,0,AC$174))+AB184)))</f>
        <v>2.6907830030425486</v>
      </c>
      <c r="AD184" s="5" cm="1">
        <f t="array" ref="AD184">IF(AD$174=-1,AE184,IF(AD$174=99,AC184,IF(AD$174=0,INDEX($F57:$N57,0,AD$172),(INDEX($F57:$N57,0,AD$174+1)-INDEX($F57:$N57,0,AD$174))/(INDEX($F$4:$N$4,0,AD$174+1)-INDEX($F$4:$N$4,0,AD$174))+AC184)))</f>
        <v>2.7645838973759678</v>
      </c>
      <c r="AE184" s="5" cm="1">
        <f t="array" ref="AE184">IF(AE$174=-1,AF184,IF(AE$174=99,AD184,IF(AE$174=0,INDEX($F57:$N57,0,AE$172),(INDEX($F57:$N57,0,AE$174+1)-INDEX($F57:$N57,0,AE$174))/(INDEX($F$4:$N$4,0,AE$174+1)-INDEX($F$4:$N$4,0,AE$174))+AD184)))</f>
        <v>2.838384791709387</v>
      </c>
      <c r="AF184" s="5" cm="1">
        <f t="array" ref="AF184">IF(AF$174=-1,AG184,IF(AF$174=99,AE184,IF(AF$174=0,INDEX($F57:$N57,0,AF$172),(INDEX($F57:$N57,0,AF$174+1)-INDEX($F57:$N57,0,AF$174))/(INDEX($F$4:$N$4,0,AF$174+1)-INDEX($F$4:$N$4,0,AF$174))+AE184)))</f>
        <v>2.9121856860428061</v>
      </c>
      <c r="AG184" s="5" cm="1">
        <f t="array" ref="AG184">IF(AG$174=-1,AJ184,IF(AG$174=99,AF184,IF(AG$174=0,INDEX($F57:$N57,0,AG$172),(INDEX($F57:$N57,0,AG$174+1)-INDEX($F57:$N57,0,AG$174))/(INDEX($F$4:$N$4,0,AG$174+1)-INDEX($F$4:$N$4,0,AG$174))+AF184)))</f>
        <v>2.9859865803762244</v>
      </c>
      <c r="AH184" s="5" cm="1">
        <f t="array" ref="AH184">IF(AH$174=-1,AI184,IF(AH$174=99,AE184,IF(AH$174=0,INDEX($F57:$N57,0,AH$172),(INDEX($F57:$N57,0,AH$174+1)-INDEX($F57:$N57,0,AH$174))/(INDEX($F$4:$N$4,0,AH$174+1)-INDEX($F$4:$N$4,0,AH$174))+AE184)))</f>
        <v>2.9121856860428061</v>
      </c>
      <c r="AI184" s="5" cm="1">
        <f t="array" ref="AI184">IF(AI$174=-1,AJ184,IF(AI$174=99,AF184,IF(AI$174=0,INDEX($F57:$N57,0,AI$172),(INDEX($F57:$N57,0,AI$174+1)-INDEX($F57:$N57,0,AI$174))/(INDEX($F$4:$N$4,0,AI$174+1)-INDEX($F$4:$N$4,0,AI$174))+AF184)))</f>
        <v>2.9859865803762244</v>
      </c>
      <c r="AJ184" s="5" cm="1">
        <f t="array" ref="AJ184">IF(AJ$174=-1,AK184,IF(AJ$174=99,AG184,IF(AJ$174=0,INDEX($F57:$N57,0,AJ$172),(INDEX($F57:$N57,0,AJ$174+1)-INDEX($F57:$N57,0,AJ$174))/(INDEX($F$4:$N$4,0,AJ$174+1)-INDEX($F$4:$N$4,0,AJ$174))+AG184)))</f>
        <v>3.0792470045640434</v>
      </c>
      <c r="AK184" s="5" cm="1">
        <f t="array" ref="AK184">IF(AK$174=-1,AL184,IF(AK$174=99,AJ184,IF(AK$174=0,INDEX($F57:$N57,0,AK$172),(INDEX($F57:$N57,0,AK$174+1)-INDEX($F57:$N57,0,AK$174))/(INDEX($F$4:$N$4,0,AK$174+1)-INDEX($F$4:$N$4,0,AK$174))+AJ184)))</f>
        <v>3.1725074287518624</v>
      </c>
      <c r="AL184" s="5" cm="1">
        <f t="array" ref="AL184">IF(AL$174=-1,AM184,IF(AL$174=99,AK184,IF(AL$174=0,INDEX($F57:$N57,0,AL$172),(INDEX($F57:$N57,0,AL$174+1)-INDEX($F57:$N57,0,AL$174))/(INDEX($F$4:$N$4,0,AL$174+1)-INDEX($F$4:$N$4,0,AL$174))+AK184)))</f>
        <v>3.2657678529396814</v>
      </c>
      <c r="AM184" s="5" cm="1">
        <f t="array" ref="AM184">IF(AM$174=-1,AN184,IF(AM$174=99,AL184,IF(AM$174=0,INDEX($F57:$N57,0,AM$172),(INDEX($F57:$N57,0,AM$174+1)-INDEX($F57:$N57,0,AM$174))/(INDEX($F$4:$N$4,0,AM$174+1)-INDEX($F$4:$N$4,0,AM$174))+AL184)))</f>
        <v>3.3590282771275004</v>
      </c>
      <c r="AN184" s="5" cm="1">
        <f t="array" ref="AN184">IF(AN$174=-1,AO184,IF(AN$174=99,AM184,IF(AN$174=0,INDEX($F57:$N57,0,AN$172),(INDEX($F57:$N57,0,AN$174+1)-INDEX($F57:$N57,0,AN$174))/(INDEX($F$4:$N$4,0,AN$174+1)-INDEX($F$4:$N$4,0,AN$174))+AM184)))</f>
        <v>3.4522887013153194</v>
      </c>
      <c r="AO184" s="5" cm="1">
        <f t="array" ref="AO184">IF(AO$174=-1,AP184,IF(AO$174=99,AN184,IF(AO$174=0,INDEX($F57:$N57,0,AO$172),(INDEX($F57:$N57,0,AO$174+1)-INDEX($F57:$N57,0,AO$174))/(INDEX($F$4:$N$4,0,AO$174+1)-INDEX($F$4:$N$4,0,AO$174))+AN184)))</f>
        <v>3.5455491255031384</v>
      </c>
      <c r="AP184" s="5" cm="1">
        <f t="array" ref="AP184">IF(AP$174=-1,AQ184,IF(AP$174=99,AO184,IF(AP$174=0,INDEX($F57:$N57,0,AP$172),(INDEX($F57:$N57,0,AP$174+1)-INDEX($F57:$N57,0,AP$174))/(INDEX($F$4:$N$4,0,AP$174+1)-INDEX($F$4:$N$4,0,AP$174))+AO184)))</f>
        <v>3.6388095496909574</v>
      </c>
      <c r="AQ184" s="5" cm="1">
        <f t="array" ref="AQ184">IF(AQ$174=-1,AR184,IF(AQ$174=99,AP184,IF(AQ$174=0,INDEX($F57:$N57,0,AQ$172),(INDEX($F57:$N57,0,AQ$174+1)-INDEX($F57:$N57,0,AQ$174))/(INDEX($F$4:$N$4,0,AQ$174+1)-INDEX($F$4:$N$4,0,AQ$174))+AP184)))</f>
        <v>3.7320699738787764</v>
      </c>
      <c r="AR184" s="5" cm="1">
        <f t="array" ref="AR184">IF(AR$174=-1,AS184,IF(AR$174=99,AQ184,IF(AR$174=0,INDEX($F57:$N57,0,AR$172),(INDEX($F57:$N57,0,AR$174+1)-INDEX($F57:$N57,0,AR$174))/(INDEX($F$4:$N$4,0,AR$174+1)-INDEX($F$4:$N$4,0,AR$174))+AQ184)))</f>
        <v>3.8253303980665954</v>
      </c>
      <c r="AS184" s="5" cm="1">
        <f t="array" ref="AS184">IF(AS$174=-1,AT184,IF(AS$174=99,AR184,IF(AS$174=0,INDEX($F57:$N57,0,AS$172),(INDEX($F57:$N57,0,AS$174+1)-INDEX($F57:$N57,0,AS$174))/(INDEX($F$4:$N$4,0,AS$174+1)-INDEX($F$4:$N$4,0,AS$174))+AR184)))</f>
        <v>3.9185908222544139</v>
      </c>
      <c r="AT184" s="5" cm="1">
        <f t="array" ref="AT184">IF(AT$174=-1,AU184,IF(AT$174=99,AS184,IF(AT$174=0,INDEX($F57:$N57,0,AT$172),(INDEX($F57:$N57,0,AT$174+1)-INDEX($F57:$N57,0,AT$174))/(INDEX($F$4:$N$4,0,AT$174+1)-INDEX($F$4:$N$4,0,AT$174))+AS184)))</f>
        <v>3.9935029097239663</v>
      </c>
      <c r="AU184" s="5" cm="1">
        <f t="array" ref="AU184">IF(AU$174=-1,AV184,IF(AU$174=99,AT184,IF(AU$174=0,INDEX($F57:$N57,0,AU$172),(INDEX($F57:$N57,0,AU$174+1)-INDEX($F57:$N57,0,AU$174))/(INDEX($F$4:$N$4,0,AU$174+1)-INDEX($F$4:$N$4,0,AU$174))+AT184)))</f>
        <v>4.6677116969499384</v>
      </c>
      <c r="AV184" s="5" cm="1">
        <f t="array" ref="AV184">IF(AV$174=-1,AW184,IF(AV$174=99,AU184,IF(AV$174=0,INDEX($F57:$N57,0,AV$172),(INDEX($F57:$N57,0,AV$174+1)-INDEX($F57:$N57,0,AV$174))/(INDEX($F$4:$N$4,0,AV$174+1)-INDEX($F$4:$N$4,0,AV$174))+AU184)))</f>
        <v>5.3463314664658554</v>
      </c>
      <c r="AW184" s="5" cm="1">
        <f t="array" ref="AW184">IF(AW$174=-1,AX184,IF(AW$174=99,AV184,IF(AW$174=0,INDEX($F57:$N57,0,AW$172),(INDEX($F57:$N57,0,AW$174+1)-INDEX($F57:$N57,0,AW$174))/(INDEX($F$4:$N$4,0,AW$174+1)-INDEX($F$4:$N$4,0,AW$174))+AV184)))</f>
        <v>5.4561962204481125</v>
      </c>
      <c r="BF184" s="5"/>
      <c r="BG184" s="5"/>
      <c r="BH184" s="5"/>
      <c r="BI184" s="5"/>
      <c r="BJ184" s="5"/>
      <c r="BK184" s="5"/>
    </row>
    <row r="185" spans="1:63">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0.64834083872263215</v>
      </c>
      <c r="T185" s="5" cm="1">
        <f t="array" ref="T185">IF(T$174=-1,U185,IF(T$174=99,S185,IF(T$174=0,INDEX($F58:$N58,0,T$172),(INDEX($F58:$N58,0,T$174+1)-INDEX($F58:$N58,0,T$174))/(INDEX($F$4:$N$4,0,T$174+1)-INDEX($F$4:$N$4,0,T$174))+S185)))</f>
        <v>0.65235099959024967</v>
      </c>
      <c r="U185" s="5" cm="1">
        <f t="array" ref="U185">IF(U$174=-1,V185,IF(U$174=99,T185,IF(U$174=0,INDEX($F58:$N58,0,U$172),(INDEX($F58:$N58,0,U$174+1)-INDEX($F58:$N58,0,U$174))/(INDEX($F$4:$N$4,0,U$174+1)-INDEX($F$4:$N$4,0,U$174))+T185)))</f>
        <v>0.62810685408386391</v>
      </c>
      <c r="V185" s="5" cm="1">
        <f t="array" ref="V185">IF(V$174=-1,W185,IF(V$174=99,U185,IF(V$174=0,INDEX($F58:$N58,0,V$172),(INDEX($F58:$N58,0,V$174+1)-INDEX($F58:$N58,0,V$174))/(INDEX($F$4:$N$4,0,V$174+1)-INDEX($F$4:$N$4,0,V$174))+U185)))</f>
        <v>0.66515328595874301</v>
      </c>
      <c r="W185" s="5" cm="1">
        <f t="array" ref="W185">IF(W$174=-1,Z185,IF(W$174=99,V185,IF(W$174=0,INDEX($F58:$N58,0,W$172),(INDEX($F58:$N58,0,W$174+1)-INDEX($F58:$N58,0,W$174))/(INDEX($F$4:$N$4,0,W$174+1)-INDEX($F$4:$N$4,0,W$174))+V185)))</f>
        <v>0.68629608950748922</v>
      </c>
      <c r="X185" s="5" cm="1">
        <f t="array" ref="X185">IF(X$174=-1,Y185,IF(X$174=99,U185,IF(X$174=0,INDEX($F58:$N58,0,X$172),(INDEX($F58:$N58,0,X$174+1)-INDEX($F58:$N58,0,X$174))/(INDEX($F$4:$N$4,0,X$174+1)-INDEX($F$4:$N$4,0,X$174))+U185)))</f>
        <v>0.66515328595874301</v>
      </c>
      <c r="Y185" s="5" cm="1">
        <f t="array" ref="Y185">IF(Y$174=-1,Z185,IF(Y$174=99,V185,IF(Y$174=0,INDEX($F58:$N58,0,Y$172),(INDEX($F58:$N58,0,Y$174+1)-INDEX($F58:$N58,0,Y$174))/(INDEX($F$4:$N$4,0,Y$174+1)-INDEX($F$4:$N$4,0,Y$174))+V185)))</f>
        <v>0.68629608950748922</v>
      </c>
      <c r="Z185" s="5" cm="1">
        <f t="array" ref="Z185">IF(Z$174=-1,AA185,IF(Z$174=99,W185,IF(Z$174=0,INDEX($F58:$N58,0,Z$172),(INDEX($F58:$N58,0,Z$174+1)-INDEX($F58:$N58,0,Z$174))/(INDEX($F$4:$N$4,0,Z$174+1)-INDEX($F$4:$N$4,0,Z$174))+W185)))</f>
        <v>0.70743889305623542</v>
      </c>
      <c r="AA185" s="5" cm="1">
        <f t="array" ref="AA185">IF(AA$174=-1,AB185,IF(AA$174=99,Z185,IF(AA$174=0,INDEX($F58:$N58,0,AA$172),(INDEX($F58:$N58,0,AA$174+1)-INDEX($F58:$N58,0,AA$174))/(INDEX($F$4:$N$4,0,AA$174+1)-INDEX($F$4:$N$4,0,AA$174))+Z185)))</f>
        <v>0.72858169660498162</v>
      </c>
      <c r="AB185" s="5" cm="1">
        <f t="array" ref="AB185">IF(AB$174=-1,AC185,IF(AB$174=99,AA185,IF(AB$174=0,INDEX($F58:$N58,0,AB$172),(INDEX($F58:$N58,0,AB$174+1)-INDEX($F58:$N58,0,AB$174))/(INDEX($F$4:$N$4,0,AB$174+1)-INDEX($F$4:$N$4,0,AB$174))+AA185)))</f>
        <v>0.74972450015372782</v>
      </c>
      <c r="AC185" s="5" cm="1">
        <f t="array" ref="AC185">IF(AC$174=-1,AD185,IF(AC$174=99,AB185,IF(AC$174=0,INDEX($F58:$N58,0,AC$172),(INDEX($F58:$N58,0,AC$174+1)-INDEX($F58:$N58,0,AC$174))/(INDEX($F$4:$N$4,0,AC$174+1)-INDEX($F$4:$N$4,0,AC$174))+AB185)))</f>
        <v>0.77086730370247403</v>
      </c>
      <c r="AD185" s="5" cm="1">
        <f t="array" ref="AD185">IF(AD$174=-1,AE185,IF(AD$174=99,AC185,IF(AD$174=0,INDEX($F58:$N58,0,AD$172),(INDEX($F58:$N58,0,AD$174+1)-INDEX($F58:$N58,0,AD$174))/(INDEX($F$4:$N$4,0,AD$174+1)-INDEX($F$4:$N$4,0,AD$174))+AC185)))</f>
        <v>0.79201010725122023</v>
      </c>
      <c r="AE185" s="5" cm="1">
        <f t="array" ref="AE185">IF(AE$174=-1,AF185,IF(AE$174=99,AD185,IF(AE$174=0,INDEX($F58:$N58,0,AE$172),(INDEX($F58:$N58,0,AE$174+1)-INDEX($F58:$N58,0,AE$174))/(INDEX($F$4:$N$4,0,AE$174+1)-INDEX($F$4:$N$4,0,AE$174))+AD185)))</f>
        <v>0.81315291079996643</v>
      </c>
      <c r="AF185" s="5" cm="1">
        <f t="array" ref="AF185">IF(AF$174=-1,AG185,IF(AF$174=99,AE185,IF(AF$174=0,INDEX($F58:$N58,0,AF$172),(INDEX($F58:$N58,0,AF$174+1)-INDEX($F58:$N58,0,AF$174))/(INDEX($F$4:$N$4,0,AF$174+1)-INDEX($F$4:$N$4,0,AF$174))+AE185)))</f>
        <v>0.83429571434871264</v>
      </c>
      <c r="AG185" s="5" cm="1">
        <f t="array" ref="AG185">IF(AG$174=-1,AJ185,IF(AG$174=99,AF185,IF(AG$174=0,INDEX($F58:$N58,0,AG$172),(INDEX($F58:$N58,0,AG$174+1)-INDEX($F58:$N58,0,AG$174))/(INDEX($F$4:$N$4,0,AG$174+1)-INDEX($F$4:$N$4,0,AG$174))+AF185)))</f>
        <v>0.85543851789745873</v>
      </c>
      <c r="AH185" s="5" cm="1">
        <f t="array" ref="AH185">IF(AH$174=-1,AI185,IF(AH$174=99,AE185,IF(AH$174=0,INDEX($F58:$N58,0,AH$172),(INDEX($F58:$N58,0,AH$174+1)-INDEX($F58:$N58,0,AH$174))/(INDEX($F$4:$N$4,0,AH$174+1)-INDEX($F$4:$N$4,0,AH$174))+AE185)))</f>
        <v>0.83429571434871264</v>
      </c>
      <c r="AI185" s="5" cm="1">
        <f t="array" ref="AI185">IF(AI$174=-1,AJ185,IF(AI$174=99,AF185,IF(AI$174=0,INDEX($F58:$N58,0,AI$172),(INDEX($F58:$N58,0,AI$174+1)-INDEX($F58:$N58,0,AI$174))/(INDEX($F$4:$N$4,0,AI$174+1)-INDEX($F$4:$N$4,0,AI$174))+AF185)))</f>
        <v>0.85543851789745873</v>
      </c>
      <c r="AJ185" s="5" cm="1">
        <f t="array" ref="AJ185">IF(AJ$174=-1,AK185,IF(AJ$174=99,AG185,IF(AJ$174=0,INDEX($F58:$N58,0,AJ$172),(INDEX($F58:$N58,0,AJ$174+1)-INDEX($F58:$N58,0,AJ$174))/(INDEX($F$4:$N$4,0,AJ$174+1)-INDEX($F$4:$N$4,0,AJ$174))+AG185)))</f>
        <v>0.88215617281594272</v>
      </c>
      <c r="AK185" s="5" cm="1">
        <f t="array" ref="AK185">IF(AK$174=-1,AL185,IF(AK$174=99,AJ185,IF(AK$174=0,INDEX($F58:$N58,0,AK$172),(INDEX($F58:$N58,0,AK$174+1)-INDEX($F58:$N58,0,AK$174))/(INDEX($F$4:$N$4,0,AK$174+1)-INDEX($F$4:$N$4,0,AK$174))+AJ185)))</f>
        <v>0.90887382773442671</v>
      </c>
      <c r="AL185" s="5" cm="1">
        <f t="array" ref="AL185">IF(AL$174=-1,AM185,IF(AL$174=99,AK185,IF(AL$174=0,INDEX($F58:$N58,0,AL$172),(INDEX($F58:$N58,0,AL$174+1)-INDEX($F58:$N58,0,AL$174))/(INDEX($F$4:$N$4,0,AL$174+1)-INDEX($F$4:$N$4,0,AL$174))+AK185)))</f>
        <v>0.9355914826529107</v>
      </c>
      <c r="AM185" s="5" cm="1">
        <f t="array" ref="AM185">IF(AM$174=-1,AN185,IF(AM$174=99,AL185,IF(AM$174=0,INDEX($F58:$N58,0,AM$172),(INDEX($F58:$N58,0,AM$174+1)-INDEX($F58:$N58,0,AM$174))/(INDEX($F$4:$N$4,0,AM$174+1)-INDEX($F$4:$N$4,0,AM$174))+AL185)))</f>
        <v>0.96230913757139469</v>
      </c>
      <c r="AN185" s="5" cm="1">
        <f t="array" ref="AN185">IF(AN$174=-1,AO185,IF(AN$174=99,AM185,IF(AN$174=0,INDEX($F58:$N58,0,AN$172),(INDEX($F58:$N58,0,AN$174+1)-INDEX($F58:$N58,0,AN$174))/(INDEX($F$4:$N$4,0,AN$174+1)-INDEX($F$4:$N$4,0,AN$174))+AM185)))</f>
        <v>0.98902679248987868</v>
      </c>
      <c r="AO185" s="5" cm="1">
        <f t="array" ref="AO185">IF(AO$174=-1,AP185,IF(AO$174=99,AN185,IF(AO$174=0,INDEX($F58:$N58,0,AO$172),(INDEX($F58:$N58,0,AO$174+1)-INDEX($F58:$N58,0,AO$174))/(INDEX($F$4:$N$4,0,AO$174+1)-INDEX($F$4:$N$4,0,AO$174))+AN185)))</f>
        <v>1.0157444474083628</v>
      </c>
      <c r="AP185" s="5" cm="1">
        <f t="array" ref="AP185">IF(AP$174=-1,AQ185,IF(AP$174=99,AO185,IF(AP$174=0,INDEX($F58:$N58,0,AP$172),(INDEX($F58:$N58,0,AP$174+1)-INDEX($F58:$N58,0,AP$174))/(INDEX($F$4:$N$4,0,AP$174+1)-INDEX($F$4:$N$4,0,AP$174))+AO185)))</f>
        <v>1.0424621023268468</v>
      </c>
      <c r="AQ185" s="5" cm="1">
        <f t="array" ref="AQ185">IF(AQ$174=-1,AR185,IF(AQ$174=99,AP185,IF(AQ$174=0,INDEX($F58:$N58,0,AQ$172),(INDEX($F58:$N58,0,AQ$174+1)-INDEX($F58:$N58,0,AQ$174))/(INDEX($F$4:$N$4,0,AQ$174+1)-INDEX($F$4:$N$4,0,AQ$174))+AP185)))</f>
        <v>1.0691797572453308</v>
      </c>
      <c r="AR185" s="5" cm="1">
        <f t="array" ref="AR185">IF(AR$174=-1,AS185,IF(AR$174=99,AQ185,IF(AR$174=0,INDEX($F58:$N58,0,AR$172),(INDEX($F58:$N58,0,AR$174+1)-INDEX($F58:$N58,0,AR$174))/(INDEX($F$4:$N$4,0,AR$174+1)-INDEX($F$4:$N$4,0,AR$174))+AQ185)))</f>
        <v>1.0958974121638148</v>
      </c>
      <c r="AS185" s="5" cm="1">
        <f t="array" ref="AS185">IF(AS$174=-1,AT185,IF(AS$174=99,AR185,IF(AS$174=0,INDEX($F58:$N58,0,AS$172),(INDEX($F58:$N58,0,AS$174+1)-INDEX($F58:$N58,0,AS$174))/(INDEX($F$4:$N$4,0,AS$174+1)-INDEX($F$4:$N$4,0,AS$174))+AR185)))</f>
        <v>1.122615067082299</v>
      </c>
      <c r="AT185" s="5" cm="1">
        <f t="array" ref="AT185">IF(AT$174=-1,AU185,IF(AT$174=99,AS185,IF(AT$174=0,INDEX($F58:$N58,0,AT$172),(INDEX($F58:$N58,0,AT$174+1)-INDEX($F58:$N58,0,AT$174))/(INDEX($F$4:$N$4,0,AT$174+1)-INDEX($F$4:$N$4,0,AT$174))+AS185)))</f>
        <v>1.1440762101090987</v>
      </c>
      <c r="AU185" s="5" cm="1">
        <f t="array" ref="AU185">IF(AU$174=-1,AV185,IF(AU$174=99,AT185,IF(AU$174=0,INDEX($F58:$N58,0,AU$172),(INDEX($F58:$N58,0,AU$174+1)-INDEX($F58:$N58,0,AU$174))/(INDEX($F$4:$N$4,0,AU$174+1)-INDEX($F$4:$N$4,0,AU$174))+AT185)))</f>
        <v>1.3372264973502963</v>
      </c>
      <c r="AV185" s="5" cm="1">
        <f t="array" ref="AV185">IF(AV$174=-1,AW185,IF(AV$174=99,AU185,IF(AV$174=0,INDEX($F58:$N58,0,AV$172),(INDEX($F58:$N58,0,AV$174+1)-INDEX($F58:$N58,0,AV$174))/(INDEX($F$4:$N$4,0,AV$174+1)-INDEX($F$4:$N$4,0,AV$174))+AU185)))</f>
        <v>1.5316404621235298</v>
      </c>
      <c r="AW185" s="5" cm="1">
        <f t="array" ref="AW185">IF(AW$174=-1,AX185,IF(AW$174=99,AV185,IF(AW$174=0,INDEX($F58:$N58,0,AW$172),(INDEX($F58:$N58,0,AW$174+1)-INDEX($F58:$N58,0,AW$174))/(INDEX($F$4:$N$4,0,AW$174+1)-INDEX($F$4:$N$4,0,AW$174))+AV185)))</f>
        <v>1.5631149981892307</v>
      </c>
      <c r="BF185" s="5"/>
      <c r="BG185" s="5"/>
      <c r="BH185" s="5"/>
      <c r="BI185" s="5"/>
      <c r="BJ185" s="5"/>
      <c r="BK185" s="5"/>
    </row>
    <row r="186" spans="1:63">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ref="R186:W188" si="367">J147</f>
        <v>22</v>
      </c>
      <c r="S186" s="5">
        <f t="shared" si="367"/>
        <v>20.60902456349335</v>
      </c>
      <c r="T186" s="5">
        <f t="shared" si="367"/>
        <v>19.218049126986699</v>
      </c>
      <c r="U186" s="5">
        <f t="shared" si="367"/>
        <v>17.206637381742077</v>
      </c>
      <c r="V186" s="5">
        <f t="shared" si="367"/>
        <v>17.305706019659819</v>
      </c>
      <c r="W186" s="5">
        <f t="shared" si="367"/>
        <v>19.340387040183266</v>
      </c>
      <c r="X186" s="5">
        <f t="shared" ref="X186:Z188" si="368">N147</f>
        <v>17.305706019659819</v>
      </c>
      <c r="Y186" s="5">
        <f t="shared" si="368"/>
        <v>19.340387040183266</v>
      </c>
      <c r="Z186" s="5">
        <f t="shared" si="368"/>
        <v>21.375068060706713</v>
      </c>
      <c r="AA186" s="5">
        <f t="shared" ref="AA186:AG188" si="369">S147</f>
        <v>23.40974908123016</v>
      </c>
      <c r="AB186" s="5">
        <f t="shared" si="369"/>
        <v>25.444430101753607</v>
      </c>
      <c r="AC186" s="5">
        <f t="shared" si="369"/>
        <v>27.479111122277054</v>
      </c>
      <c r="AD186" s="5">
        <f t="shared" si="369"/>
        <v>29.513792142800501</v>
      </c>
      <c r="AE186" s="5">
        <f t="shared" si="369"/>
        <v>31.548473163323948</v>
      </c>
      <c r="AF186" s="5">
        <f t="shared" si="369"/>
        <v>33.583154183847398</v>
      </c>
      <c r="AG186" s="5">
        <f t="shared" si="369"/>
        <v>35.617835204370841</v>
      </c>
      <c r="AH186" s="5">
        <f t="shared" ref="AH186:AJ188" si="370">X147</f>
        <v>33.583154183847398</v>
      </c>
      <c r="AI186" s="5">
        <f t="shared" si="370"/>
        <v>35.617835204370841</v>
      </c>
      <c r="AJ186" s="5">
        <f t="shared" si="370"/>
        <v>40.063619642702491</v>
      </c>
      <c r="AK186" s="5">
        <f t="shared" ref="AK186:AW188" si="371">AC147</f>
        <v>44.509404081034141</v>
      </c>
      <c r="AL186" s="5">
        <f t="shared" si="371"/>
        <v>48.955188519365791</v>
      </c>
      <c r="AM186" s="5">
        <f t="shared" si="371"/>
        <v>53.400972957697441</v>
      </c>
      <c r="AN186" s="5">
        <f t="shared" si="371"/>
        <v>57.846757396029091</v>
      </c>
      <c r="AO186" s="5">
        <f t="shared" si="371"/>
        <v>62.29254183436074</v>
      </c>
      <c r="AP186" s="5">
        <f t="shared" si="371"/>
        <v>66.73832627269239</v>
      </c>
      <c r="AQ186" s="5">
        <f t="shared" si="371"/>
        <v>71.184110711024033</v>
      </c>
      <c r="AR186" s="5">
        <f t="shared" si="371"/>
        <v>75.629895149355676</v>
      </c>
      <c r="AS186" s="5">
        <f t="shared" si="371"/>
        <v>80.075679587687318</v>
      </c>
      <c r="AT186" s="5">
        <f t="shared" si="371"/>
        <v>101.15097293219293</v>
      </c>
      <c r="AU186" s="5">
        <f t="shared" si="371"/>
        <v>122.22626627669857</v>
      </c>
      <c r="AV186" s="5">
        <f t="shared" si="371"/>
        <v>172.35935946550941</v>
      </c>
      <c r="AW186" s="5">
        <f t="shared" si="371"/>
        <v>210.66774949851762</v>
      </c>
      <c r="BF186" s="5"/>
      <c r="BG186" s="5"/>
      <c r="BH186" s="5"/>
      <c r="BI186" s="5"/>
      <c r="BJ186" s="5"/>
      <c r="BK186" s="5"/>
    </row>
    <row r="187" spans="1:63">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26.922878309927583</v>
      </c>
      <c r="T187" s="5">
        <f t="shared" si="367"/>
        <v>26.703251105538467</v>
      </c>
      <c r="U187" s="5">
        <f t="shared" si="367"/>
        <v>25.710844401627732</v>
      </c>
      <c r="V187" s="5">
        <f t="shared" si="367"/>
        <v>27.227298233292721</v>
      </c>
      <c r="W187" s="5">
        <f t="shared" si="367"/>
        <v>28.29752933108988</v>
      </c>
      <c r="X187" s="5">
        <f t="shared" si="368"/>
        <v>27.227298233292721</v>
      </c>
      <c r="Y187" s="5">
        <f t="shared" si="368"/>
        <v>28.29752933108988</v>
      </c>
      <c r="Z187" s="5">
        <f t="shared" si="368"/>
        <v>29.367760428887038</v>
      </c>
      <c r="AA187" s="5">
        <f t="shared" si="369"/>
        <v>30.437991526684197</v>
      </c>
      <c r="AB187" s="5">
        <f t="shared" si="369"/>
        <v>31.508222624481355</v>
      </c>
      <c r="AC187" s="5">
        <f t="shared" si="369"/>
        <v>32.57845372227851</v>
      </c>
      <c r="AD187" s="5">
        <f t="shared" si="369"/>
        <v>33.648684820075665</v>
      </c>
      <c r="AE187" s="5">
        <f t="shared" si="369"/>
        <v>34.71891591787282</v>
      </c>
      <c r="AF187" s="5">
        <f t="shared" si="369"/>
        <v>35.789147015669975</v>
      </c>
      <c r="AG187" s="5">
        <f t="shared" si="369"/>
        <v>36.859378113467145</v>
      </c>
      <c r="AH187" s="5">
        <f t="shared" si="370"/>
        <v>35.789147015669975</v>
      </c>
      <c r="AI187" s="5">
        <f t="shared" si="370"/>
        <v>36.859378113467145</v>
      </c>
      <c r="AJ187" s="5">
        <f t="shared" si="370"/>
        <v>38.381633214656489</v>
      </c>
      <c r="AK187" s="5">
        <f t="shared" si="371"/>
        <v>39.903888315845833</v>
      </c>
      <c r="AL187" s="5">
        <f t="shared" si="371"/>
        <v>41.426143417035178</v>
      </c>
      <c r="AM187" s="5">
        <f t="shared" si="371"/>
        <v>42.948398518224522</v>
      </c>
      <c r="AN187" s="5">
        <f t="shared" si="371"/>
        <v>44.470653619413866</v>
      </c>
      <c r="AO187" s="5">
        <f t="shared" si="371"/>
        <v>45.992908720603211</v>
      </c>
      <c r="AP187" s="5">
        <f t="shared" si="371"/>
        <v>47.515163821792555</v>
      </c>
      <c r="AQ187" s="5">
        <f t="shared" si="371"/>
        <v>49.0374189229819</v>
      </c>
      <c r="AR187" s="5">
        <f t="shared" si="371"/>
        <v>50.559674024171244</v>
      </c>
      <c r="AS187" s="5">
        <f t="shared" si="371"/>
        <v>52.081929125360617</v>
      </c>
      <c r="AT187" s="5">
        <f t="shared" si="371"/>
        <v>59.030685674691966</v>
      </c>
      <c r="AU187" s="5">
        <f t="shared" si="371"/>
        <v>65.979442224023316</v>
      </c>
      <c r="AV187" s="5">
        <f t="shared" si="371"/>
        <v>80.32342129408741</v>
      </c>
      <c r="AW187" s="5">
        <f t="shared" si="371"/>
        <v>87.078385128486644</v>
      </c>
      <c r="BF187" s="5"/>
      <c r="BG187" s="5"/>
      <c r="BH187" s="5"/>
      <c r="BI187" s="5"/>
      <c r="BJ187" s="5"/>
      <c r="BK187" s="5"/>
    </row>
    <row r="188" spans="1:63">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88.015304929890732</v>
      </c>
      <c r="T188" s="5">
        <f t="shared" si="367"/>
        <v>87.357882681535756</v>
      </c>
      <c r="U188" s="5">
        <f t="shared" si="367"/>
        <v>84.559607459462228</v>
      </c>
      <c r="V188" s="5">
        <f t="shared" si="367"/>
        <v>89.797718408758314</v>
      </c>
      <c r="W188" s="5">
        <f t="shared" si="367"/>
        <v>90.08827546499478</v>
      </c>
      <c r="X188" s="5">
        <f t="shared" si="368"/>
        <v>89.797718408758314</v>
      </c>
      <c r="Y188" s="5">
        <f t="shared" si="368"/>
        <v>90.08827546499478</v>
      </c>
      <c r="Z188" s="5">
        <f t="shared" si="368"/>
        <v>90.378832521231246</v>
      </c>
      <c r="AA188" s="5">
        <f t="shared" si="369"/>
        <v>90.669389577467712</v>
      </c>
      <c r="AB188" s="5">
        <f t="shared" si="369"/>
        <v>90.959946633704178</v>
      </c>
      <c r="AC188" s="5">
        <f t="shared" si="369"/>
        <v>91.250503689940643</v>
      </c>
      <c r="AD188" s="5">
        <f t="shared" si="369"/>
        <v>91.541060746177109</v>
      </c>
      <c r="AE188" s="5">
        <f t="shared" si="369"/>
        <v>91.831617802413575</v>
      </c>
      <c r="AF188" s="5">
        <f t="shared" si="369"/>
        <v>92.122174858650041</v>
      </c>
      <c r="AG188" s="5">
        <f t="shared" si="369"/>
        <v>92.412731914886479</v>
      </c>
      <c r="AH188" s="5">
        <f t="shared" si="370"/>
        <v>92.122174858650041</v>
      </c>
      <c r="AI188" s="5">
        <f t="shared" si="370"/>
        <v>92.412731914886479</v>
      </c>
      <c r="AJ188" s="5">
        <f t="shared" si="370"/>
        <v>94.235705174545956</v>
      </c>
      <c r="AK188" s="5">
        <f t="shared" si="371"/>
        <v>96.058678434205433</v>
      </c>
      <c r="AL188" s="5">
        <f t="shared" si="371"/>
        <v>97.88165169386491</v>
      </c>
      <c r="AM188" s="5">
        <f t="shared" si="371"/>
        <v>99.704624953524387</v>
      </c>
      <c r="AN188" s="5">
        <f t="shared" si="371"/>
        <v>101.52759821318386</v>
      </c>
      <c r="AO188" s="5">
        <f t="shared" si="371"/>
        <v>103.35057147284334</v>
      </c>
      <c r="AP188" s="5">
        <f t="shared" si="371"/>
        <v>105.17354473250282</v>
      </c>
      <c r="AQ188" s="5">
        <f t="shared" si="371"/>
        <v>106.9965179921623</v>
      </c>
      <c r="AR188" s="5">
        <f t="shared" si="371"/>
        <v>108.81949125182177</v>
      </c>
      <c r="AS188" s="5">
        <f t="shared" si="371"/>
        <v>110.64246451148132</v>
      </c>
      <c r="AT188" s="5">
        <f t="shared" si="371"/>
        <v>126.18448561624592</v>
      </c>
      <c r="AU188" s="5">
        <f t="shared" si="371"/>
        <v>141.72650672101051</v>
      </c>
      <c r="AV188" s="5">
        <f t="shared" si="371"/>
        <v>173.87745919247294</v>
      </c>
      <c r="AW188" s="5">
        <f t="shared" si="371"/>
        <v>186.24392762406274</v>
      </c>
      <c r="BF188" s="5"/>
      <c r="BG188" s="5"/>
      <c r="BH188" s="5"/>
      <c r="BI188" s="5"/>
      <c r="BJ188" s="5"/>
      <c r="BK188" s="5"/>
    </row>
    <row r="189" spans="1:63">
      <c r="A189" t="s">
        <v>16</v>
      </c>
    </row>
    <row r="221" spans="1:43">
      <c r="A221" t="s">
        <v>16</v>
      </c>
      <c r="J221" t="s">
        <v>664</v>
      </c>
    </row>
    <row r="222" spans="1:43">
      <c r="A222" t="s">
        <v>16</v>
      </c>
      <c r="J222" t="s">
        <v>638</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639</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640</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641</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642</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643</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644</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5" t="s">
        <v>396</v>
      </c>
      <c r="J229" t="s">
        <v>645</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5" t="s">
        <v>396</v>
      </c>
      <c r="J230" t="s">
        <v>646</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5" t="s">
        <v>397</v>
      </c>
      <c r="J231" t="s">
        <v>647</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5" t="s">
        <v>398</v>
      </c>
      <c r="J232" t="s">
        <v>648</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5" t="s">
        <v>399</v>
      </c>
      <c r="J233" t="s">
        <v>649</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5" t="s">
        <v>400</v>
      </c>
      <c r="J234" t="s">
        <v>650</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5" t="s">
        <v>401</v>
      </c>
      <c r="J235" t="s">
        <v>651</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5" t="s">
        <v>402</v>
      </c>
      <c r="J236" t="s">
        <v>652</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5" t="s">
        <v>403</v>
      </c>
      <c r="J237" t="s">
        <v>653</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5" t="s">
        <v>404</v>
      </c>
      <c r="J238" t="s">
        <v>654</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5" t="s">
        <v>139</v>
      </c>
      <c r="J239" t="s">
        <v>655</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5" t="s">
        <v>139</v>
      </c>
      <c r="J240" t="s">
        <v>656</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657</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658</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659</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660</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661</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662</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663</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73296304208503"/>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2"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2"/>
      <c r="P1" s="365" t="s">
        <v>790</v>
      </c>
      <c r="Q1" s="365"/>
      <c r="R1" s="365"/>
      <c r="S1" s="365"/>
      <c r="T1" s="365"/>
      <c r="U1" s="365"/>
      <c r="V1" s="365"/>
      <c r="W1" s="365"/>
      <c r="X1" s="365"/>
      <c r="Y1" s="365"/>
      <c r="Z1" s="365"/>
    </row>
    <row r="2" spans="1:61" ht="15.75" thickBot="1">
      <c r="A2" t="s">
        <v>16</v>
      </c>
      <c r="B2" s="362" t="s">
        <v>280</v>
      </c>
      <c r="C2" s="362"/>
      <c r="J2"/>
      <c r="N2" s="119"/>
      <c r="P2" s="160" t="s">
        <v>209</v>
      </c>
      <c r="Q2" s="296" t="s">
        <v>519</v>
      </c>
      <c r="R2" s="296" t="s">
        <v>185</v>
      </c>
      <c r="S2" s="296" t="s">
        <v>523</v>
      </c>
      <c r="T2" s="296"/>
      <c r="U2" s="296"/>
      <c r="V2" s="296"/>
      <c r="W2" s="296" t="s">
        <v>597</v>
      </c>
      <c r="X2" s="296"/>
      <c r="Y2" s="296"/>
      <c r="Z2" s="296"/>
      <c r="AA2" s="25"/>
      <c r="AC2" s="25"/>
      <c r="AD2" s="25"/>
      <c r="AE2" s="25"/>
      <c r="AF2" s="25"/>
      <c r="AG2" s="25"/>
      <c r="AH2" s="25"/>
      <c r="AI2" s="25"/>
      <c r="AJ2" s="25"/>
      <c r="AK2" s="25"/>
      <c r="AL2" s="25"/>
      <c r="AM2" s="25"/>
      <c r="AN2" s="25"/>
      <c r="AO2" s="25"/>
      <c r="AP2" s="25"/>
      <c r="AQ2" s="25"/>
      <c r="AR2" s="25"/>
      <c r="AS2" s="25"/>
      <c r="AT2" s="25"/>
      <c r="AU2" s="25"/>
      <c r="AV2" s="25"/>
    </row>
    <row r="3" spans="1:61" ht="24.75">
      <c r="A3" t="s">
        <v>16</v>
      </c>
      <c r="B3" s="19"/>
      <c r="C3" s="160" t="str">
        <f>INDEX($Q$5:$Q$8,MATCH($D$3,$P$5:$P$8,0))</f>
        <v>NDC-PAMS-central</v>
      </c>
      <c r="D3" s="164">
        <f>DriversGams!C164</f>
        <v>1</v>
      </c>
      <c r="J3"/>
      <c r="N3" s="31"/>
      <c r="P3" s="160"/>
      <c r="Q3" s="296"/>
      <c r="R3" s="296"/>
      <c r="S3" s="296" t="s">
        <v>520</v>
      </c>
      <c r="T3" s="296" t="s">
        <v>520</v>
      </c>
      <c r="U3" s="296" t="s">
        <v>520</v>
      </c>
      <c r="V3" s="296" t="s">
        <v>525</v>
      </c>
      <c r="W3" s="296" t="s">
        <v>594</v>
      </c>
      <c r="X3" s="296" t="s">
        <v>595</v>
      </c>
      <c r="Y3" s="296" t="s">
        <v>596</v>
      </c>
      <c r="Z3" s="296"/>
    </row>
    <row r="4" spans="1:61" ht="24.75">
      <c r="A4" t="s">
        <v>16</v>
      </c>
      <c r="C4" s="4" t="s">
        <v>186</v>
      </c>
      <c r="D4" s="163">
        <f>INDEX($R$5:$R$8,MATCH($D$3,$P$5:$P$8,0))</f>
        <v>1</v>
      </c>
      <c r="E4">
        <v>2017</v>
      </c>
      <c r="F4">
        <v>2019</v>
      </c>
      <c r="G4">
        <v>2020</v>
      </c>
      <c r="H4">
        <v>2021</v>
      </c>
      <c r="I4">
        <v>2030</v>
      </c>
      <c r="J4">
        <v>2040</v>
      </c>
      <c r="K4" s="104">
        <v>2050</v>
      </c>
      <c r="L4">
        <v>2060</v>
      </c>
      <c r="M4" s="104">
        <v>2070</v>
      </c>
      <c r="N4" s="194"/>
      <c r="P4" s="160"/>
      <c r="Q4" s="296"/>
      <c r="R4" s="296"/>
      <c r="S4" s="296" t="s">
        <v>521</v>
      </c>
      <c r="T4" s="296" t="s">
        <v>522</v>
      </c>
      <c r="U4" s="296" t="s">
        <v>621</v>
      </c>
      <c r="V4" s="296"/>
      <c r="W4" s="296"/>
      <c r="X4" s="296"/>
      <c r="Y4" s="296"/>
      <c r="Z4" s="296"/>
      <c r="AA4" s="194"/>
      <c r="AC4" s="194"/>
      <c r="AD4" s="194"/>
      <c r="AE4" s="194"/>
      <c r="AF4" s="194"/>
      <c r="AG4" s="194"/>
      <c r="AH4" s="194"/>
      <c r="AI4" s="194"/>
      <c r="AJ4" s="194"/>
      <c r="AK4" s="194"/>
      <c r="AL4" s="194"/>
      <c r="AM4" s="194"/>
      <c r="AN4" s="194"/>
      <c r="AO4" s="194"/>
      <c r="AP4" s="194"/>
      <c r="AQ4" s="194"/>
      <c r="AR4" s="194"/>
      <c r="AS4" s="194"/>
      <c r="AT4" s="194"/>
      <c r="AU4" s="194"/>
      <c r="AV4" s="194"/>
      <c r="AW4" s="194"/>
    </row>
    <row r="5" spans="1:61" ht="15.75" thickBot="1">
      <c r="A5" t="s">
        <v>16</v>
      </c>
      <c r="B5" s="2"/>
      <c r="C5" s="2"/>
      <c r="J5"/>
      <c r="K5" s="104"/>
      <c r="L5" s="104"/>
      <c r="M5" s="104"/>
      <c r="P5" s="160">
        <v>-1</v>
      </c>
      <c r="Q5" s="160" t="s">
        <v>600</v>
      </c>
      <c r="R5" s="160">
        <v>0</v>
      </c>
      <c r="S5" s="158">
        <v>0.97499999999999998</v>
      </c>
      <c r="T5" s="159">
        <v>0.95</v>
      </c>
      <c r="U5" s="159">
        <v>0.95</v>
      </c>
      <c r="V5" s="168">
        <v>1</v>
      </c>
      <c r="W5" s="159">
        <v>0</v>
      </c>
      <c r="X5" s="156">
        <v>0</v>
      </c>
      <c r="Y5" s="159">
        <v>0</v>
      </c>
      <c r="Z5" s="160"/>
    </row>
    <row r="6" spans="1:61">
      <c r="A6" t="s">
        <v>16</v>
      </c>
      <c r="E6" s="5"/>
      <c r="G6" s="5"/>
      <c r="I6" s="5"/>
      <c r="J6" s="5"/>
      <c r="K6" s="126"/>
      <c r="L6" s="126"/>
      <c r="M6" s="126"/>
      <c r="N6" s="195"/>
      <c r="P6" s="160">
        <v>1</v>
      </c>
      <c r="Q6" s="160" t="s">
        <v>601</v>
      </c>
      <c r="R6" s="160">
        <v>1</v>
      </c>
      <c r="S6" s="354">
        <v>0.95</v>
      </c>
      <c r="T6" s="355">
        <v>0.95</v>
      </c>
      <c r="U6" s="159">
        <v>0.95</v>
      </c>
      <c r="V6" s="168">
        <v>1</v>
      </c>
      <c r="W6" s="159">
        <v>0</v>
      </c>
      <c r="X6" s="156">
        <v>0</v>
      </c>
      <c r="Y6" s="159">
        <v>0</v>
      </c>
      <c r="Z6" s="160"/>
      <c r="AA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row>
    <row r="7" spans="1:61">
      <c r="A7" t="s">
        <v>16</v>
      </c>
      <c r="J7"/>
      <c r="N7" s="32"/>
      <c r="P7" s="160">
        <v>2</v>
      </c>
      <c r="Q7" s="160" t="s">
        <v>592</v>
      </c>
      <c r="R7" s="160">
        <v>1</v>
      </c>
      <c r="S7" s="158">
        <v>0.97499999999999998</v>
      </c>
      <c r="T7" s="159">
        <v>0.95</v>
      </c>
      <c r="U7" s="159">
        <v>0.95</v>
      </c>
      <c r="V7" s="169">
        <v>1</v>
      </c>
      <c r="W7" s="159">
        <v>0</v>
      </c>
      <c r="X7" s="207">
        <v>0</v>
      </c>
      <c r="Y7" s="159">
        <v>0</v>
      </c>
      <c r="Z7" s="160"/>
    </row>
    <row r="8" spans="1:61">
      <c r="A8" t="s">
        <v>16</v>
      </c>
      <c r="J8"/>
      <c r="N8" s="32"/>
      <c r="P8" s="160">
        <v>3</v>
      </c>
      <c r="Q8" s="160" t="s">
        <v>602</v>
      </c>
      <c r="R8" s="160">
        <v>1</v>
      </c>
      <c r="S8" s="158">
        <v>0.97499999999999998</v>
      </c>
      <c r="T8" s="159">
        <v>0.95</v>
      </c>
      <c r="U8" s="159">
        <v>0.95</v>
      </c>
      <c r="V8" s="169">
        <v>1</v>
      </c>
      <c r="W8" s="158">
        <v>0.05</v>
      </c>
      <c r="X8" s="158">
        <v>2.5000000000000001E-2</v>
      </c>
      <c r="Y8" s="158">
        <v>0.2</v>
      </c>
      <c r="Z8" s="160"/>
    </row>
    <row r="9" spans="1:61">
      <c r="A9" t="s">
        <v>16</v>
      </c>
      <c r="J9"/>
      <c r="N9" s="32"/>
    </row>
    <row r="10" spans="1:61">
      <c r="A10" t="s">
        <v>16</v>
      </c>
      <c r="B10" s="19"/>
      <c r="C10" s="19"/>
      <c r="J10"/>
      <c r="N10" s="32"/>
    </row>
    <row r="11" spans="1:61" ht="15.7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61" ht="15.75" thickBot="1">
      <c r="A12" t="s">
        <v>16</v>
      </c>
      <c r="D12" s="2"/>
      <c r="E12" s="6">
        <f t="shared" ref="E12:M12" si="0">E4</f>
        <v>2017</v>
      </c>
      <c r="F12" s="6">
        <f t="shared" si="0"/>
        <v>2019</v>
      </c>
      <c r="G12" s="6">
        <f t="shared" si="0"/>
        <v>2020</v>
      </c>
      <c r="H12" s="6">
        <f t="shared" si="0"/>
        <v>2021</v>
      </c>
      <c r="I12" s="6">
        <f t="shared" si="0"/>
        <v>2030</v>
      </c>
      <c r="J12" s="6">
        <f t="shared" si="0"/>
        <v>2040</v>
      </c>
      <c r="K12" s="6">
        <f t="shared" ref="K12:L12" si="1">K4</f>
        <v>2050</v>
      </c>
      <c r="L12" s="6">
        <f t="shared" si="1"/>
        <v>2060</v>
      </c>
      <c r="M12" s="6">
        <f t="shared" si="0"/>
        <v>2070</v>
      </c>
      <c r="N12" s="32"/>
      <c r="O12" s="6">
        <f t="shared" ref="O12:R15" si="2">E12</f>
        <v>2017</v>
      </c>
      <c r="P12" s="6">
        <f t="shared" si="2"/>
        <v>2019</v>
      </c>
      <c r="Q12" s="6">
        <f t="shared" si="2"/>
        <v>2020</v>
      </c>
      <c r="R12" s="6">
        <f t="shared" si="2"/>
        <v>2021</v>
      </c>
      <c r="S12" s="6">
        <v>2030</v>
      </c>
      <c r="T12" s="6">
        <v>2040</v>
      </c>
      <c r="U12" s="6">
        <v>2050</v>
      </c>
      <c r="V12" s="6">
        <v>2060</v>
      </c>
      <c r="W12" s="6">
        <v>2070</v>
      </c>
      <c r="Y12" s="6">
        <f t="shared" ref="Y12:AD12" si="3">O12</f>
        <v>2017</v>
      </c>
      <c r="Z12" s="6">
        <f t="shared" si="3"/>
        <v>2019</v>
      </c>
      <c r="AA12" s="6">
        <f t="shared" si="3"/>
        <v>2020</v>
      </c>
      <c r="AB12" s="6">
        <f t="shared" si="3"/>
        <v>2021</v>
      </c>
      <c r="AC12" s="6">
        <f t="shared" si="3"/>
        <v>2030</v>
      </c>
      <c r="AD12" s="6">
        <f t="shared" si="3"/>
        <v>2040</v>
      </c>
      <c r="AE12" s="6">
        <v>2050</v>
      </c>
      <c r="AF12" s="6">
        <f>V12</f>
        <v>2060</v>
      </c>
      <c r="AG12" s="6">
        <f>W12</f>
        <v>2070</v>
      </c>
    </row>
    <row r="13" spans="1:61">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29.070852674872505</v>
      </c>
      <c r="I13" s="5" cm="1">
        <f t="array" ref="I13">INDEX(Drivers!$C$36:$AG$38,1,I$11)</f>
        <v>23.803114612570383</v>
      </c>
      <c r="J13" s="5" cm="1">
        <f t="array" ref="J13">INDEX(Drivers!$C$36:$AG$38,1,J$11)</f>
        <v>17.440135720439955</v>
      </c>
      <c r="K13" s="5" cm="1">
        <f t="array" ref="K13">INDEX(Drivers!$C$36:$AG$38,1,K$11)</f>
        <v>13.288634080682025</v>
      </c>
      <c r="L13" s="5" cm="1">
        <f t="array" ref="L13">INDEX(Drivers!$C$36:$AK$38,1,L$11)</f>
        <v>10.067922661841489</v>
      </c>
      <c r="M13" s="5" cm="1">
        <f t="array" ref="M13">INDEX(Drivers!$C$36:$AK$38,1,M$11)</f>
        <v>6.9423125899324098</v>
      </c>
      <c r="N13" s="32"/>
      <c r="O13" s="344">
        <f t="shared" si="2"/>
        <v>25.755361891142741</v>
      </c>
      <c r="P13" s="5">
        <f t="shared" si="2"/>
        <v>25.946710085536886</v>
      </c>
      <c r="Q13" s="5">
        <f t="shared" si="2"/>
        <v>26.998265626975765</v>
      </c>
      <c r="R13" s="5">
        <f t="shared" si="2"/>
        <v>29.070852674872505</v>
      </c>
      <c r="S13" s="5">
        <f t="shared" ref="S13:T15" si="4">I13</f>
        <v>23.803114612570383</v>
      </c>
      <c r="T13" s="5">
        <f t="shared" si="4"/>
        <v>17.440135720439955</v>
      </c>
      <c r="U13" s="5">
        <f t="shared" ref="U13:U15" si="5">K13</f>
        <v>13.288634080682025</v>
      </c>
      <c r="V13" s="5">
        <f t="shared" ref="V13:V15" si="6">L13</f>
        <v>10.067922661841489</v>
      </c>
      <c r="W13" s="5">
        <f t="shared" ref="W13:W15" si="7">M13</f>
        <v>6.9423125899324098</v>
      </c>
      <c r="Y13" s="5">
        <f t="shared" ref="Y13:AB15" si="8">E13</f>
        <v>25.755361891142741</v>
      </c>
      <c r="Z13" s="5">
        <f t="shared" si="8"/>
        <v>25.946710085536886</v>
      </c>
      <c r="AA13" s="5">
        <f t="shared" si="8"/>
        <v>26.998265626975765</v>
      </c>
      <c r="AB13" s="5">
        <f t="shared" si="8"/>
        <v>29.070852674872505</v>
      </c>
      <c r="AC13" s="6">
        <f>S13</f>
        <v>23.803114612570383</v>
      </c>
      <c r="AD13" s="5">
        <f>J13</f>
        <v>17.440135720439955</v>
      </c>
      <c r="AE13" s="5">
        <f t="shared" ref="AE13:AG15" si="9">K13</f>
        <v>13.288634080682025</v>
      </c>
      <c r="AF13" s="5">
        <f t="shared" si="9"/>
        <v>10.067922661841489</v>
      </c>
      <c r="AG13" s="5">
        <f t="shared" si="9"/>
        <v>6.9423125899324098</v>
      </c>
    </row>
    <row r="14" spans="1:61">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17.426024276026553</v>
      </c>
      <c r="I14" s="5" cm="1">
        <f t="array" ref="I14">INDEX(Drivers!$C$36:$AG$38,2,I$11)</f>
        <v>21.347980188376898</v>
      </c>
      <c r="J14" s="5" cm="1">
        <f t="array" ref="J14">INDEX(Drivers!$C$36:$AG$38,2,J$11)</f>
        <v>24.863346506211318</v>
      </c>
      <c r="K14" s="5" cm="1">
        <f t="array" ref="K14">INDEX(Drivers!$C$36:$AG$38,2,K$11)</f>
        <v>27.460718354102966</v>
      </c>
      <c r="L14" s="5" cm="1">
        <f t="array" ref="L14">INDEX(Drivers!$C$36:$AK$38,2,L$11)</f>
        <v>29.706591891277423</v>
      </c>
      <c r="M14" s="5" cm="1">
        <f t="array" ref="M14">INDEX(Drivers!$C$36:$AK$38,2,M$11)</f>
        <v>32.331119653628363</v>
      </c>
      <c r="N14" s="32"/>
      <c r="O14" s="5">
        <f t="shared" si="2"/>
        <v>17.422744808714206</v>
      </c>
      <c r="P14" s="5">
        <f t="shared" si="2"/>
        <v>18.376375848815535</v>
      </c>
      <c r="Q14" s="5">
        <f t="shared" si="2"/>
        <v>19.311259441517389</v>
      </c>
      <c r="R14" s="5">
        <f t="shared" si="2"/>
        <v>17.426024276026553</v>
      </c>
      <c r="S14" s="5">
        <f t="shared" si="4"/>
        <v>21.347980188376898</v>
      </c>
      <c r="T14" s="5">
        <f t="shared" si="4"/>
        <v>24.863346506211318</v>
      </c>
      <c r="U14" s="5">
        <f t="shared" si="5"/>
        <v>27.460718354102966</v>
      </c>
      <c r="V14" s="5">
        <f t="shared" si="6"/>
        <v>29.706591891277423</v>
      </c>
      <c r="W14" s="5">
        <f t="shared" si="7"/>
        <v>32.331119653628363</v>
      </c>
      <c r="Y14" s="5">
        <f t="shared" si="8"/>
        <v>17.422744808714206</v>
      </c>
      <c r="Z14" s="5">
        <f t="shared" si="8"/>
        <v>18.376375848815535</v>
      </c>
      <c r="AA14" s="5">
        <f t="shared" si="8"/>
        <v>19.311259441517389</v>
      </c>
      <c r="AB14" s="5">
        <f t="shared" si="8"/>
        <v>17.426024276026553</v>
      </c>
      <c r="AC14" s="6">
        <f>S14</f>
        <v>21.347980188376898</v>
      </c>
      <c r="AD14" s="5">
        <f>J14</f>
        <v>24.863346506211318</v>
      </c>
      <c r="AE14" s="5">
        <f t="shared" si="9"/>
        <v>27.460718354102966</v>
      </c>
      <c r="AF14" s="5">
        <f t="shared" si="9"/>
        <v>29.706591891277423</v>
      </c>
      <c r="AG14" s="5">
        <f t="shared" si="9"/>
        <v>32.331119653628363</v>
      </c>
    </row>
    <row r="15" spans="1:61">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12.895378049100939</v>
      </c>
      <c r="I15" s="5" cm="1">
        <f t="array" ref="I15">INDEX(Drivers!$C$36:$AG$38,3,I$11)</f>
        <v>19.50818319905272</v>
      </c>
      <c r="J15" s="5" cm="1">
        <f t="array" ref="J15">INDEX(Drivers!$C$36:$AG$38,3,J$11)</f>
        <v>27.410454773348725</v>
      </c>
      <c r="K15" s="5" cm="1">
        <f t="array" ref="K15">INDEX(Drivers!$C$36:$AG$38,3,K$11)</f>
        <v>32.780400565215011</v>
      </c>
      <c r="L15" s="5" cm="1">
        <f t="array" ref="L15">INDEX(Drivers!$C$36:$AK$38,3,L$11)</f>
        <v>35.888683446881096</v>
      </c>
      <c r="M15" s="5" cm="1">
        <f t="array" ref="M15">INDEX(Drivers!$C$36:$AK$38,3,M$11)</f>
        <v>37.228722756439225</v>
      </c>
      <c r="N15" s="32"/>
      <c r="O15" s="5">
        <f t="shared" si="2"/>
        <v>13.343841341791148</v>
      </c>
      <c r="P15" s="5">
        <f t="shared" si="2"/>
        <v>14.041748987467024</v>
      </c>
      <c r="Q15" s="5">
        <f t="shared" si="2"/>
        <v>11.858701524628284</v>
      </c>
      <c r="R15" s="5">
        <f t="shared" si="2"/>
        <v>12.895378049100939</v>
      </c>
      <c r="S15" s="5">
        <f t="shared" si="4"/>
        <v>19.50818319905272</v>
      </c>
      <c r="T15" s="5">
        <f t="shared" si="4"/>
        <v>27.410454773348725</v>
      </c>
      <c r="U15" s="5">
        <f t="shared" si="5"/>
        <v>32.780400565215011</v>
      </c>
      <c r="V15" s="5">
        <f t="shared" si="6"/>
        <v>35.888683446881096</v>
      </c>
      <c r="W15" s="5">
        <f t="shared" si="7"/>
        <v>37.228722756439225</v>
      </c>
      <c r="Y15" s="5">
        <f t="shared" si="8"/>
        <v>13.343841341791148</v>
      </c>
      <c r="Z15" s="5">
        <f t="shared" si="8"/>
        <v>14.041748987467024</v>
      </c>
      <c r="AA15" s="5">
        <f t="shared" si="8"/>
        <v>11.858701524628284</v>
      </c>
      <c r="AB15" s="5">
        <f t="shared" si="8"/>
        <v>12.895378049100939</v>
      </c>
      <c r="AC15" s="6">
        <f>S15</f>
        <v>19.50818319905272</v>
      </c>
      <c r="AD15" s="5">
        <f>J15</f>
        <v>27.410454773348725</v>
      </c>
      <c r="AE15" s="5">
        <f t="shared" si="9"/>
        <v>32.780400565215011</v>
      </c>
      <c r="AF15" s="5">
        <f t="shared" si="9"/>
        <v>35.888683446881096</v>
      </c>
      <c r="AG15" s="5">
        <f t="shared" si="9"/>
        <v>37.228722756439225</v>
      </c>
      <c r="BI15" s="22"/>
    </row>
    <row r="16" spans="1:61">
      <c r="A16" t="s">
        <v>16</v>
      </c>
      <c r="E16" s="3">
        <f t="shared" ref="E16:I16" si="10">SUM(E13:E15)</f>
        <v>56.521948041648095</v>
      </c>
      <c r="F16" s="3">
        <f t="shared" si="10"/>
        <v>58.364834921819444</v>
      </c>
      <c r="G16" s="3">
        <f t="shared" si="10"/>
        <v>58.168226593121446</v>
      </c>
      <c r="H16" s="3">
        <f t="shared" si="10"/>
        <v>59.392254999999999</v>
      </c>
      <c r="I16" s="3">
        <f t="shared" si="10"/>
        <v>64.659278</v>
      </c>
      <c r="J16" s="3">
        <f>SUM(J13:J15)</f>
        <v>69.713936999999987</v>
      </c>
      <c r="K16" s="3">
        <f>SUM(K13:K15)</f>
        <v>73.529752999999999</v>
      </c>
      <c r="L16" s="3">
        <f>SUM(L13:L15)</f>
        <v>75.663198000000008</v>
      </c>
      <c r="M16" s="3">
        <f>SUM(M13:M15)</f>
        <v>76.502155000000002</v>
      </c>
      <c r="N16" s="32"/>
      <c r="O16" s="3">
        <f t="shared" ref="O16:W16" si="11">SUM(O13:O15)</f>
        <v>56.521948041648095</v>
      </c>
      <c r="P16" s="3">
        <f t="shared" si="11"/>
        <v>58.364834921819444</v>
      </c>
      <c r="Q16" s="3">
        <f t="shared" si="11"/>
        <v>58.168226593121446</v>
      </c>
      <c r="R16" s="3">
        <f t="shared" si="11"/>
        <v>59.392254999999999</v>
      </c>
      <c r="S16" s="3">
        <f t="shared" si="11"/>
        <v>64.659278</v>
      </c>
      <c r="T16" s="3">
        <f t="shared" si="11"/>
        <v>69.713936999999987</v>
      </c>
      <c r="U16" s="3">
        <f t="shared" ref="U16:V16" si="12">SUM(U13:U15)</f>
        <v>73.529752999999999</v>
      </c>
      <c r="V16" s="3">
        <f t="shared" si="12"/>
        <v>75.663198000000008</v>
      </c>
      <c r="W16" s="3">
        <f t="shared" si="11"/>
        <v>76.502155000000002</v>
      </c>
      <c r="Y16" s="36">
        <f t="shared" ref="Y16:AG16" si="13">SUM(Y13:Y15)</f>
        <v>56.521948041648095</v>
      </c>
      <c r="Z16" s="36">
        <f t="shared" si="13"/>
        <v>58.364834921819444</v>
      </c>
      <c r="AA16" s="36">
        <f t="shared" si="13"/>
        <v>58.168226593121446</v>
      </c>
      <c r="AB16" s="36">
        <f t="shared" si="13"/>
        <v>59.392254999999999</v>
      </c>
      <c r="AC16" s="6">
        <f>S16</f>
        <v>64.659278</v>
      </c>
      <c r="AD16" s="36">
        <f t="shared" si="13"/>
        <v>69.713936999999987</v>
      </c>
      <c r="AE16" s="36">
        <f t="shared" ref="AE16:AF16" si="14">SUM(AE13:AE15)</f>
        <v>73.529752999999999</v>
      </c>
      <c r="AF16" s="36">
        <f t="shared" si="14"/>
        <v>75.663198000000008</v>
      </c>
      <c r="AG16" s="36">
        <f t="shared" si="13"/>
        <v>76.502155000000002</v>
      </c>
      <c r="BI16" s="22"/>
    </row>
    <row r="17" spans="1:61">
      <c r="A17" t="s">
        <v>16</v>
      </c>
      <c r="B17" s="19"/>
      <c r="J17"/>
      <c r="N17" s="32"/>
      <c r="BI17" s="22"/>
    </row>
    <row r="18" spans="1:61" ht="15.75" thickBot="1">
      <c r="A18" t="s">
        <v>16</v>
      </c>
      <c r="B18" s="20"/>
      <c r="C18" s="2" t="s">
        <v>49</v>
      </c>
      <c r="D18" s="2"/>
      <c r="E18" s="6">
        <f>E12</f>
        <v>2017</v>
      </c>
      <c r="F18" s="6">
        <f t="shared" ref="F18:H18" si="15">F12</f>
        <v>2019</v>
      </c>
      <c r="G18" s="6">
        <f t="shared" si="15"/>
        <v>2020</v>
      </c>
      <c r="H18" s="6">
        <f t="shared" si="15"/>
        <v>2021</v>
      </c>
      <c r="I18" s="6">
        <v>2030</v>
      </c>
      <c r="J18" s="6">
        <v>2040</v>
      </c>
      <c r="K18" s="6">
        <v>2050</v>
      </c>
      <c r="L18" s="6">
        <v>2060</v>
      </c>
      <c r="M18" s="6">
        <v>2070</v>
      </c>
      <c r="N18" s="32"/>
      <c r="O18" s="6">
        <f t="shared" ref="O18:T18" si="16">E18</f>
        <v>2017</v>
      </c>
      <c r="P18" s="6">
        <f t="shared" si="16"/>
        <v>2019</v>
      </c>
      <c r="Q18" s="6">
        <f t="shared" si="16"/>
        <v>2020</v>
      </c>
      <c r="R18" s="6">
        <f t="shared" si="16"/>
        <v>2021</v>
      </c>
      <c r="S18" s="6">
        <f t="shared" si="16"/>
        <v>2030</v>
      </c>
      <c r="T18" s="6">
        <f t="shared" si="16"/>
        <v>2040</v>
      </c>
      <c r="U18" s="6">
        <f>L18</f>
        <v>2060</v>
      </c>
      <c r="V18" s="6">
        <f>L18</f>
        <v>2060</v>
      </c>
      <c r="W18" s="6">
        <f>M18</f>
        <v>2070</v>
      </c>
    </row>
    <row r="19" spans="1:61">
      <c r="A19" t="s">
        <v>16</v>
      </c>
      <c r="B19" s="19"/>
      <c r="C19" t="s">
        <v>7</v>
      </c>
      <c r="D19" s="27" t="s">
        <v>494</v>
      </c>
      <c r="E19" s="171">
        <f>RES!E43</f>
        <v>1</v>
      </c>
      <c r="F19" s="171">
        <f>AVERAGE(E19,G19)</f>
        <v>1</v>
      </c>
      <c r="G19" s="8">
        <f>RES!F43</f>
        <v>1</v>
      </c>
      <c r="H19" s="171">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61">
      <c r="A20" t="s">
        <v>16</v>
      </c>
      <c r="B20" s="19"/>
      <c r="C20" s="19" t="s">
        <v>8</v>
      </c>
      <c r="D20" s="27" t="s">
        <v>494</v>
      </c>
      <c r="E20" s="171">
        <f>RES!E44</f>
        <v>1</v>
      </c>
      <c r="F20" s="171">
        <f t="shared" ref="F20:F21" si="17">AVERAGE(E20,G20)</f>
        <v>1</v>
      </c>
      <c r="G20" s="8">
        <f>RES!F44</f>
        <v>1</v>
      </c>
      <c r="H20" s="171">
        <f t="shared" ref="H20:H21" si="18">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61">
      <c r="A21" t="s">
        <v>16</v>
      </c>
      <c r="C21" s="19" t="s">
        <v>390</v>
      </c>
      <c r="D21" s="27" t="s">
        <v>494</v>
      </c>
      <c r="E21" s="171">
        <f>RES!E45</f>
        <v>1.0761183212512533</v>
      </c>
      <c r="F21" s="171">
        <f t="shared" si="17"/>
        <v>1.0376646442834887</v>
      </c>
      <c r="G21" s="5">
        <f>RES!F45</f>
        <v>0.99921096731572434</v>
      </c>
      <c r="H21" s="171">
        <f t="shared" si="18"/>
        <v>1.3803314383988377</v>
      </c>
      <c r="I21" s="8">
        <f>RES!G45</f>
        <v>1.761451909481951</v>
      </c>
      <c r="J21" s="8">
        <f>RES!H45</f>
        <v>2.5165952612991904</v>
      </c>
      <c r="K21" s="8">
        <f>RES!I45</f>
        <v>3.5865077534062668</v>
      </c>
      <c r="L21" s="8">
        <f>RES!J45</f>
        <v>4.1812137122895852</v>
      </c>
      <c r="M21" s="8">
        <f>RES!K45</f>
        <v>4.5622592282338905</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61">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61">
      <c r="A23" t="s">
        <v>16</v>
      </c>
      <c r="B23" s="19"/>
      <c r="C23" s="19"/>
      <c r="J23"/>
      <c r="N23" s="32"/>
      <c r="Y23" t="s">
        <v>793</v>
      </c>
    </row>
    <row r="24" spans="1:61" ht="15.75" thickBot="1">
      <c r="A24" t="s">
        <v>16</v>
      </c>
      <c r="B24" s="2" t="s">
        <v>148</v>
      </c>
      <c r="D24" s="2"/>
      <c r="E24" s="6">
        <f t="shared" ref="E24:M24" si="19">E4</f>
        <v>2017</v>
      </c>
      <c r="F24" s="6">
        <f t="shared" si="19"/>
        <v>2019</v>
      </c>
      <c r="G24" s="6">
        <f t="shared" si="19"/>
        <v>2020</v>
      </c>
      <c r="H24" s="6">
        <f t="shared" si="19"/>
        <v>2021</v>
      </c>
      <c r="I24" s="6">
        <f t="shared" si="19"/>
        <v>2030</v>
      </c>
      <c r="J24" s="6">
        <f t="shared" si="19"/>
        <v>2040</v>
      </c>
      <c r="K24" s="6">
        <f t="shared" ref="K24:L24" si="20">K4</f>
        <v>2050</v>
      </c>
      <c r="L24" s="6">
        <f t="shared" si="20"/>
        <v>2060</v>
      </c>
      <c r="M24" s="6">
        <f t="shared" si="19"/>
        <v>2070</v>
      </c>
      <c r="N24" s="32"/>
      <c r="O24" s="6">
        <f t="shared" ref="O24:T24" si="21">E24</f>
        <v>2017</v>
      </c>
      <c r="P24" s="6">
        <f t="shared" si="21"/>
        <v>2019</v>
      </c>
      <c r="Q24" s="6">
        <f t="shared" si="21"/>
        <v>2020</v>
      </c>
      <c r="R24" s="6">
        <f t="shared" si="21"/>
        <v>2021</v>
      </c>
      <c r="S24" s="6">
        <f t="shared" si="21"/>
        <v>2030</v>
      </c>
      <c r="T24" s="6">
        <f t="shared" si="21"/>
        <v>2040</v>
      </c>
      <c r="U24" s="6">
        <f>L24</f>
        <v>2060</v>
      </c>
      <c r="V24" s="6">
        <f>L24</f>
        <v>2060</v>
      </c>
      <c r="W24" s="6">
        <f>M24</f>
        <v>2070</v>
      </c>
      <c r="Y24" s="240">
        <f t="shared" ref="Y24:AG24" si="22">Y$12</f>
        <v>2017</v>
      </c>
      <c r="Z24" s="240">
        <f t="shared" si="22"/>
        <v>2019</v>
      </c>
      <c r="AA24" s="240">
        <f t="shared" si="22"/>
        <v>2020</v>
      </c>
      <c r="AB24" s="240">
        <f t="shared" si="22"/>
        <v>2021</v>
      </c>
      <c r="AC24" s="240">
        <f t="shared" si="22"/>
        <v>2030</v>
      </c>
      <c r="AD24" s="240">
        <f t="shared" si="22"/>
        <v>2040</v>
      </c>
      <c r="AE24" s="240">
        <f t="shared" si="22"/>
        <v>2050</v>
      </c>
      <c r="AF24" s="240">
        <f t="shared" si="22"/>
        <v>2060</v>
      </c>
      <c r="AG24" s="240">
        <f t="shared" si="22"/>
        <v>2070</v>
      </c>
    </row>
    <row r="25" spans="1:61">
      <c r="A25" t="s">
        <v>16</v>
      </c>
      <c r="B25" s="161">
        <f>INDEX($U$5:$U$8,MATCH($D$3,$P$5:$P$8,0))</f>
        <v>0.95</v>
      </c>
      <c r="C25" s="19" t="str">
        <f>C19</f>
        <v>Low Income</v>
      </c>
      <c r="D25" t="s">
        <v>39</v>
      </c>
      <c r="E25" s="190">
        <v>0.02</v>
      </c>
      <c r="F25" s="49">
        <f t="shared" ref="F25:J27" si="23">IF($D$4,Z25,P25)</f>
        <v>0.02</v>
      </c>
      <c r="G25" s="49">
        <f t="shared" si="23"/>
        <v>0.02</v>
      </c>
      <c r="H25" s="49">
        <f t="shared" si="23"/>
        <v>0.02</v>
      </c>
      <c r="I25" s="49">
        <f t="shared" si="23"/>
        <v>0.02</v>
      </c>
      <c r="J25" s="49">
        <f t="shared" si="23"/>
        <v>0.02</v>
      </c>
      <c r="K25" s="49">
        <f>IF($D$4,AD25,T25)</f>
        <v>0.02</v>
      </c>
      <c r="L25" s="49">
        <f>IF($D$4,AD25,T25)</f>
        <v>0.02</v>
      </c>
      <c r="M25" s="49">
        <f>IF($D$4,AG25,W25)</f>
        <v>0.02</v>
      </c>
      <c r="N25" s="196"/>
      <c r="O25" s="345">
        <f>E25</f>
        <v>0.02</v>
      </c>
      <c r="P25" s="49">
        <f>O25</f>
        <v>0.02</v>
      </c>
      <c r="Q25" s="49">
        <f t="shared" ref="Q25:T25" si="24">P25</f>
        <v>0.02</v>
      </c>
      <c r="R25" s="49">
        <f t="shared" si="24"/>
        <v>0.02</v>
      </c>
      <c r="S25" s="26">
        <f t="shared" si="24"/>
        <v>0.02</v>
      </c>
      <c r="T25" s="26">
        <f t="shared" si="24"/>
        <v>0.02</v>
      </c>
      <c r="U25" s="26">
        <f>S25</f>
        <v>0.02</v>
      </c>
      <c r="V25" s="26">
        <f t="shared" ref="V25:W27" si="25">S25</f>
        <v>0.02</v>
      </c>
      <c r="W25" s="26">
        <f t="shared" si="25"/>
        <v>0.02</v>
      </c>
      <c r="X25" s="46"/>
      <c r="Y25" s="117">
        <f t="shared" ref="Y25:AB27" si="26">O25</f>
        <v>0.02</v>
      </c>
      <c r="Z25" s="117">
        <f t="shared" si="26"/>
        <v>0.02</v>
      </c>
      <c r="AA25" s="117">
        <f t="shared" si="26"/>
        <v>0.02</v>
      </c>
      <c r="AB25" s="117">
        <f t="shared" si="26"/>
        <v>0.02</v>
      </c>
      <c r="AC25" s="57">
        <f>AB25</f>
        <v>0.02</v>
      </c>
      <c r="AD25" s="57">
        <f t="shared" ref="AD25:AG25" si="27">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61">
      <c r="A26" t="s">
        <v>16</v>
      </c>
      <c r="B26" s="161">
        <f>INDEX($T$5:$T$8,MATCH($D$3,$P$5:$P$8,0))</f>
        <v>0.95</v>
      </c>
      <c r="C26" s="19" t="str">
        <f>C20</f>
        <v>Middle Income</v>
      </c>
      <c r="D26" t="s">
        <v>39</v>
      </c>
      <c r="E26" s="190">
        <v>0.53</v>
      </c>
      <c r="F26" s="49">
        <f t="shared" si="23"/>
        <v>0.53</v>
      </c>
      <c r="G26" s="49">
        <f t="shared" si="23"/>
        <v>0.53</v>
      </c>
      <c r="H26" s="49">
        <f t="shared" si="23"/>
        <v>0.53</v>
      </c>
      <c r="I26" s="49">
        <f t="shared" si="23"/>
        <v>0.50349999999999995</v>
      </c>
      <c r="J26" s="49">
        <f t="shared" si="23"/>
        <v>0.47832499999999994</v>
      </c>
      <c r="K26" s="49">
        <f>IF($D$4,AD26,T26)</f>
        <v>0.47832499999999994</v>
      </c>
      <c r="L26" s="49">
        <f>IF($D$4,AD26,T26)</f>
        <v>0.47832499999999994</v>
      </c>
      <c r="M26" s="49">
        <f>IF($D$4,AG26,W26)</f>
        <v>0.45440874999999992</v>
      </c>
      <c r="N26" s="196"/>
      <c r="O26" s="49">
        <f>E26</f>
        <v>0.53</v>
      </c>
      <c r="P26" s="49">
        <f t="shared" ref="P26:P27" si="28">O26</f>
        <v>0.53</v>
      </c>
      <c r="Q26" s="49">
        <f t="shared" ref="Q26:T26" si="29">P26</f>
        <v>0.53</v>
      </c>
      <c r="R26" s="49">
        <f t="shared" si="29"/>
        <v>0.53</v>
      </c>
      <c r="S26" s="26">
        <f t="shared" si="29"/>
        <v>0.53</v>
      </c>
      <c r="T26" s="26">
        <f t="shared" si="29"/>
        <v>0.53</v>
      </c>
      <c r="U26" s="26">
        <f>S26</f>
        <v>0.53</v>
      </c>
      <c r="V26" s="26">
        <f t="shared" si="25"/>
        <v>0.53</v>
      </c>
      <c r="W26" s="26">
        <f t="shared" si="25"/>
        <v>0.53</v>
      </c>
      <c r="X26" s="46"/>
      <c r="Y26" s="49">
        <f t="shared" si="26"/>
        <v>0.53</v>
      </c>
      <c r="Z26" s="49">
        <f t="shared" si="26"/>
        <v>0.53</v>
      </c>
      <c r="AA26" s="49">
        <f t="shared" si="26"/>
        <v>0.53</v>
      </c>
      <c r="AB26" s="49">
        <f t="shared" si="26"/>
        <v>0.53</v>
      </c>
      <c r="AC26" s="353">
        <f>IF(INDEX($V$5:$V$8,MATCH($D$3,$P$5:$P$8,0)),AA26*$B$26,AA26)</f>
        <v>0.50349999999999995</v>
      </c>
      <c r="AD26" s="353">
        <f>IF(INDEX($V$5:$V$8,MATCH($D$3,$P$5:$P$8,0)),AC26*$B$26,AC26)</f>
        <v>0.47832499999999994</v>
      </c>
      <c r="AE26" s="353">
        <f>IF(INDEX($V$5:$V$8,MATCH($D$3,$P$5:$P$8,0)),AC26*$B$26,AC26)</f>
        <v>0.47832499999999994</v>
      </c>
      <c r="AF26" s="353">
        <f>IF(INDEX($V$5:$V$8,MATCH($D$3,$P$5:$P$8,0)),AC26*$B$26,AC26)</f>
        <v>0.47832499999999994</v>
      </c>
      <c r="AG26" s="353">
        <f>IF(INDEX($V$5:$V$8,MATCH($D$3,$P$5:$P$8,0)),AD26*$B$26,AD26)</f>
        <v>0.45440874999999992</v>
      </c>
      <c r="AH26" s="46" t="s">
        <v>791</v>
      </c>
      <c r="AI26" s="46"/>
      <c r="AJ26" s="46"/>
      <c r="AK26" s="46"/>
      <c r="AL26" s="46"/>
      <c r="AM26" s="46"/>
      <c r="AN26" s="46"/>
      <c r="AO26" s="46"/>
      <c r="AP26" s="46"/>
      <c r="AQ26" s="46"/>
      <c r="AR26" s="46"/>
      <c r="AS26" s="46"/>
      <c r="AT26" s="46"/>
      <c r="AU26" s="46"/>
      <c r="AV26" s="46"/>
      <c r="AW26" s="46"/>
      <c r="AX26" s="46"/>
      <c r="AY26" s="46"/>
    </row>
    <row r="27" spans="1:61">
      <c r="A27" t="s">
        <v>16</v>
      </c>
      <c r="B27" s="161">
        <f>INDEX($S$5:$S$8,MATCH($D$3,$P$5:$P$8,0))</f>
        <v>0.95</v>
      </c>
      <c r="C27" s="19" t="str">
        <f>C21</f>
        <v>High Income</v>
      </c>
      <c r="D27" t="s">
        <v>39</v>
      </c>
      <c r="E27" s="224">
        <v>0.76810810810810803</v>
      </c>
      <c r="F27" s="49">
        <f t="shared" si="23"/>
        <v>0.76810810810810803</v>
      </c>
      <c r="G27" s="49">
        <f t="shared" si="23"/>
        <v>0.76810810810810803</v>
      </c>
      <c r="H27" s="49">
        <f t="shared" si="23"/>
        <v>0.76810810810810803</v>
      </c>
      <c r="I27" s="49">
        <f t="shared" si="23"/>
        <v>0.72970270270270254</v>
      </c>
      <c r="J27" s="49">
        <f t="shared" si="23"/>
        <v>0.69321756756756736</v>
      </c>
      <c r="K27" s="49">
        <f>IF($D$4,AD27,T27)</f>
        <v>0.69321756756756736</v>
      </c>
      <c r="L27" s="49">
        <f>IF($D$4,AD27,T27)</f>
        <v>0.69321756756756736</v>
      </c>
      <c r="M27" s="49">
        <f>IF($D$4,AG27,W27)</f>
        <v>0.65855668918918897</v>
      </c>
      <c r="N27" s="196"/>
      <c r="O27" s="49">
        <f>E27</f>
        <v>0.76810810810810803</v>
      </c>
      <c r="P27" s="49">
        <f t="shared" si="28"/>
        <v>0.76810810810810803</v>
      </c>
      <c r="Q27" s="49">
        <f t="shared" ref="Q27:T27" si="30">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3">
        <f>IF(INDEX($V$5:$V$8,MATCH($D$3,$P$5:$P$8,0)),AA27*$B$27,AA27)</f>
        <v>0.72970270270270254</v>
      </c>
      <c r="AD27" s="353">
        <f>IF(INDEX($V$5:$V$8,MATCH($D$3,$P$5:$P$8,0)),AC27*$B$27,AC27)</f>
        <v>0.69321756756756736</v>
      </c>
      <c r="AE27" s="353">
        <f>IF(INDEX($V$5:$V$8,MATCH($D$3,$P$5:$P$8,0)),AC27*$B$27,AC27)</f>
        <v>0.69321756756756736</v>
      </c>
      <c r="AF27" s="353">
        <f>IF(INDEX($V$5:$V$8,MATCH($D$3,$P$5:$P$8,0)),AC27*$B$27,AC27)</f>
        <v>0.69321756756756736</v>
      </c>
      <c r="AG27" s="353">
        <f>IF(INDEX($V$5:$V$8,MATCH($D$3,$P$5:$P$8,0)),AD27*$B$27,AD27)</f>
        <v>0.65855668918918897</v>
      </c>
      <c r="AH27" s="46"/>
      <c r="AI27" s="46"/>
      <c r="AJ27" s="46"/>
      <c r="AK27" s="46"/>
      <c r="AL27" s="46"/>
      <c r="AM27" s="46"/>
      <c r="AN27" s="46"/>
      <c r="AO27" s="46"/>
      <c r="AP27" s="46"/>
      <c r="AQ27" s="46"/>
      <c r="AR27" s="46"/>
      <c r="AS27" s="46"/>
      <c r="AT27" s="46"/>
      <c r="AU27" s="46"/>
      <c r="AV27" s="46"/>
      <c r="AW27" s="46"/>
      <c r="AX27" s="46"/>
      <c r="AY27" s="46"/>
    </row>
    <row r="28" spans="1:61">
      <c r="A28" t="s">
        <v>16</v>
      </c>
      <c r="B28" s="19"/>
      <c r="C28" s="19"/>
      <c r="E28" s="64">
        <f t="shared" ref="E28" si="31">SUMPRODUCT(E25:E27,E13:E15)/E16</f>
        <v>0.35382139871830592</v>
      </c>
      <c r="F28" s="64">
        <f>SUMPRODUCT(F25:F27,F13:F15)/F16</f>
        <v>0.36055948207621846</v>
      </c>
      <c r="G28" s="64">
        <f t="shared" ref="G28:M28" si="32">SUMPRODUCT(G25:G27,G13:G15)/G16</f>
        <v>0.34183090621497481</v>
      </c>
      <c r="H28" s="64">
        <f t="shared" si="32"/>
        <v>0.3320677815049331</v>
      </c>
      <c r="I28" s="64">
        <f t="shared" si="32"/>
        <v>0.39375546881713397</v>
      </c>
      <c r="J28" s="64">
        <f t="shared" si="32"/>
        <v>0.44815962288708433</v>
      </c>
      <c r="K28" s="64">
        <f t="shared" ref="K28:L28" si="33">SUMPRODUCT(K25:K27,K13:K15)/K16</f>
        <v>0.49129595650958874</v>
      </c>
      <c r="L28" s="64">
        <f t="shared" si="33"/>
        <v>0.51926737040484905</v>
      </c>
      <c r="M28" s="64">
        <f t="shared" si="32"/>
        <v>0.51433341088139517</v>
      </c>
      <c r="N28" s="32"/>
      <c r="Y28" t="s">
        <v>187</v>
      </c>
      <c r="AA28" s="64"/>
      <c r="AC28" s="64"/>
      <c r="AD28" s="25"/>
    </row>
    <row r="29" spans="1:61" ht="15.75" thickBot="1">
      <c r="A29" t="s">
        <v>16</v>
      </c>
      <c r="B29" s="2" t="s">
        <v>176</v>
      </c>
      <c r="D29" s="2"/>
      <c r="E29" s="6">
        <f>E4</f>
        <v>2017</v>
      </c>
      <c r="F29" s="6">
        <f t="shared" ref="F29:H29" si="34">F4</f>
        <v>2019</v>
      </c>
      <c r="G29" s="6">
        <f t="shared" si="34"/>
        <v>2020</v>
      </c>
      <c r="H29" s="6">
        <f t="shared" si="34"/>
        <v>2021</v>
      </c>
      <c r="I29" s="6">
        <v>2030</v>
      </c>
      <c r="J29" s="6">
        <v>2040</v>
      </c>
      <c r="K29" s="6">
        <v>2050</v>
      </c>
      <c r="L29" s="6">
        <v>2050</v>
      </c>
      <c r="M29" s="6">
        <v>2050</v>
      </c>
      <c r="N29" s="32"/>
      <c r="O29" s="6">
        <f t="shared" ref="O29:W29" si="35">O24</f>
        <v>2017</v>
      </c>
      <c r="P29" s="6">
        <f t="shared" si="35"/>
        <v>2019</v>
      </c>
      <c r="Q29" s="6">
        <f t="shared" si="35"/>
        <v>2020</v>
      </c>
      <c r="R29" s="6">
        <f t="shared" si="35"/>
        <v>2021</v>
      </c>
      <c r="S29" s="6">
        <f t="shared" si="35"/>
        <v>2030</v>
      </c>
      <c r="T29" s="6">
        <f t="shared" si="35"/>
        <v>2040</v>
      </c>
      <c r="U29" s="6">
        <f t="shared" ref="U29:V29" si="36">U24</f>
        <v>2060</v>
      </c>
      <c r="V29" s="6">
        <f t="shared" si="36"/>
        <v>2060</v>
      </c>
      <c r="W29" s="6">
        <f t="shared" si="35"/>
        <v>2070</v>
      </c>
      <c r="Y29" s="6">
        <f t="shared" ref="Y29:AD29" si="37">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61">
      <c r="A30" t="s">
        <v>16</v>
      </c>
      <c r="C30" s="19" t="str">
        <f>C25</f>
        <v>Low Income</v>
      </c>
      <c r="D30" t="s">
        <v>39</v>
      </c>
      <c r="E30" s="38">
        <v>0.25</v>
      </c>
      <c r="F30" s="48">
        <f t="shared" ref="F30:J32" si="38">IF($D$4,Z30,P30)</f>
        <v>0.25</v>
      </c>
      <c r="G30" s="48">
        <f t="shared" si="38"/>
        <v>0.25</v>
      </c>
      <c r="H30" s="48">
        <f t="shared" si="38"/>
        <v>0.25</v>
      </c>
      <c r="I30" s="48">
        <f t="shared" si="38"/>
        <v>0.23749999999999999</v>
      </c>
      <c r="J30" s="48">
        <f t="shared" si="38"/>
        <v>0.23749999999999999</v>
      </c>
      <c r="K30" s="48">
        <f>IF($D$4,AD30,T30)</f>
        <v>0.23749999999999999</v>
      </c>
      <c r="L30" s="48">
        <f>IF($D$4,AD30,T30)</f>
        <v>0.23749999999999999</v>
      </c>
      <c r="M30" s="48">
        <f>IF($D$4,AG30,W30)</f>
        <v>0.21434374999999997</v>
      </c>
      <c r="N30" s="33"/>
      <c r="O30" s="346">
        <f>E30</f>
        <v>0.25</v>
      </c>
      <c r="P30" s="48">
        <f>O30</f>
        <v>0.25</v>
      </c>
      <c r="Q30" s="48">
        <f>P30</f>
        <v>0.25</v>
      </c>
      <c r="R30" s="48">
        <f>Q30</f>
        <v>0.25</v>
      </c>
      <c r="S30" s="35">
        <f t="shared" ref="S30:T30" si="39">R30</f>
        <v>0.25</v>
      </c>
      <c r="T30" s="35">
        <f t="shared" si="39"/>
        <v>0.25</v>
      </c>
      <c r="U30" s="35">
        <f>S30</f>
        <v>0.25</v>
      </c>
      <c r="V30" s="35">
        <f>S30</f>
        <v>0.25</v>
      </c>
      <c r="W30" s="35">
        <f>T30</f>
        <v>0.25</v>
      </c>
      <c r="X30" s="189"/>
      <c r="Y30" s="49">
        <f t="shared" ref="Y30:AB32" si="40">O30</f>
        <v>0.25</v>
      </c>
      <c r="Z30" s="49">
        <f t="shared" si="40"/>
        <v>0.25</v>
      </c>
      <c r="AA30" s="49">
        <f t="shared" si="40"/>
        <v>0.25</v>
      </c>
      <c r="AB30" s="49">
        <f t="shared" si="40"/>
        <v>0.25</v>
      </c>
      <c r="AC30" s="56">
        <f>AA30*$B25</f>
        <v>0.23749999999999999</v>
      </c>
      <c r="AD30" s="56">
        <f>AB30*$B25</f>
        <v>0.23749999999999999</v>
      </c>
      <c r="AE30" s="56">
        <f t="shared" ref="AE30:AG30" si="41">AC30*$B25</f>
        <v>0.22562499999999999</v>
      </c>
      <c r="AF30" s="56">
        <f t="shared" si="41"/>
        <v>0.22562499999999999</v>
      </c>
      <c r="AG30" s="56">
        <f t="shared" si="41"/>
        <v>0.21434374999999997</v>
      </c>
      <c r="AH30" s="189"/>
      <c r="AI30" s="189"/>
      <c r="AJ30" s="189"/>
      <c r="AK30" s="189"/>
      <c r="AL30" s="189"/>
      <c r="AM30" s="189"/>
      <c r="AN30" s="189"/>
      <c r="AO30" s="189"/>
      <c r="AP30" s="189"/>
      <c r="AQ30" s="189"/>
      <c r="AR30" s="189"/>
      <c r="AS30" s="189"/>
      <c r="AT30" s="189"/>
      <c r="AU30" s="189"/>
      <c r="AV30" s="189"/>
      <c r="AW30" s="189"/>
      <c r="AX30" s="189"/>
      <c r="AY30" s="189"/>
    </row>
    <row r="31" spans="1:61">
      <c r="A31" t="s">
        <v>16</v>
      </c>
      <c r="C31" s="19" t="str">
        <f>C26</f>
        <v>Middle Income</v>
      </c>
      <c r="D31" t="s">
        <v>39</v>
      </c>
      <c r="E31" s="38">
        <v>0.3</v>
      </c>
      <c r="F31" s="48">
        <f t="shared" si="38"/>
        <v>0.3</v>
      </c>
      <c r="G31" s="48">
        <f t="shared" si="38"/>
        <v>0.3</v>
      </c>
      <c r="H31" s="48">
        <f t="shared" si="38"/>
        <v>0.3</v>
      </c>
      <c r="I31" s="48">
        <f t="shared" si="38"/>
        <v>0.28499999999999998</v>
      </c>
      <c r="J31" s="48">
        <f t="shared" si="38"/>
        <v>0.28499999999999998</v>
      </c>
      <c r="K31" s="48">
        <f>IF($D$4,AD31,T31)</f>
        <v>0.28499999999999998</v>
      </c>
      <c r="L31" s="48">
        <f>IF($D$4,AD31,T31)</f>
        <v>0.28499999999999998</v>
      </c>
      <c r="M31" s="48">
        <f>IF($D$4,AG31,W31)</f>
        <v>0.28499999999999998</v>
      </c>
      <c r="N31" s="33"/>
      <c r="O31" s="48">
        <f>E31</f>
        <v>0.3</v>
      </c>
      <c r="P31" s="48">
        <f t="shared" ref="P31:P32" si="42">O31</f>
        <v>0.3</v>
      </c>
      <c r="Q31" s="48">
        <f>P31</f>
        <v>0.3</v>
      </c>
      <c r="R31" s="48">
        <f>Q31</f>
        <v>0.3</v>
      </c>
      <c r="S31" s="35">
        <f t="shared" ref="S31:T31" si="43">R31</f>
        <v>0.3</v>
      </c>
      <c r="T31" s="35">
        <f t="shared" si="43"/>
        <v>0.3</v>
      </c>
      <c r="U31" s="35">
        <f>S31</f>
        <v>0.3</v>
      </c>
      <c r="V31" s="35">
        <f>S31</f>
        <v>0.3</v>
      </c>
      <c r="W31" s="35">
        <f>T31</f>
        <v>0.3</v>
      </c>
      <c r="X31" s="189"/>
      <c r="Y31" s="49">
        <f t="shared" si="40"/>
        <v>0.3</v>
      </c>
      <c r="Z31" s="49">
        <f t="shared" si="40"/>
        <v>0.3</v>
      </c>
      <c r="AA31" s="49">
        <f t="shared" si="40"/>
        <v>0.3</v>
      </c>
      <c r="AB31" s="49">
        <f t="shared" si="40"/>
        <v>0.3</v>
      </c>
      <c r="AC31" s="356">
        <f t="shared" ref="AC31:AG31" si="44">S31*$B26</f>
        <v>0.28499999999999998</v>
      </c>
      <c r="AD31" s="356">
        <f t="shared" si="44"/>
        <v>0.28499999999999998</v>
      </c>
      <c r="AE31" s="356">
        <f t="shared" si="44"/>
        <v>0.28499999999999998</v>
      </c>
      <c r="AF31" s="356">
        <f t="shared" si="44"/>
        <v>0.28499999999999998</v>
      </c>
      <c r="AG31" s="356">
        <f t="shared" si="44"/>
        <v>0.28499999999999998</v>
      </c>
      <c r="AH31" s="357" t="s">
        <v>792</v>
      </c>
      <c r="AI31" s="189"/>
      <c r="AJ31" s="189"/>
      <c r="AK31" s="189"/>
      <c r="AL31" s="189"/>
      <c r="AM31" s="189"/>
      <c r="AN31" s="189"/>
      <c r="AO31" s="189"/>
      <c r="AP31" s="189"/>
      <c r="AQ31" s="189"/>
      <c r="AR31" s="189"/>
      <c r="AS31" s="189"/>
      <c r="AT31" s="189"/>
      <c r="AU31" s="189"/>
      <c r="AV31" s="189"/>
      <c r="AW31" s="189"/>
      <c r="AX31" s="189"/>
      <c r="AY31" s="189"/>
    </row>
    <row r="32" spans="1:61" ht="15.75" thickBot="1">
      <c r="A32" t="s">
        <v>16</v>
      </c>
      <c r="C32" s="19" t="str">
        <f>C27</f>
        <v>High Income</v>
      </c>
      <c r="D32" t="s">
        <v>39</v>
      </c>
      <c r="E32" s="38">
        <v>0.40039186287579059</v>
      </c>
      <c r="F32" s="48">
        <f t="shared" si="38"/>
        <v>0.40039186287579059</v>
      </c>
      <c r="G32" s="48">
        <f t="shared" si="38"/>
        <v>0.3966824420527032</v>
      </c>
      <c r="H32" s="48">
        <f t="shared" si="38"/>
        <v>0.4247174638136591</v>
      </c>
      <c r="I32" s="48">
        <f t="shared" si="38"/>
        <v>0.43133270840776861</v>
      </c>
      <c r="J32" s="48">
        <f t="shared" si="38"/>
        <v>0.47756133739021478</v>
      </c>
      <c r="K32" s="48">
        <f>IF($D$4,AD32,T32)</f>
        <v>0.47756133739021478</v>
      </c>
      <c r="L32" s="48">
        <f>IF($D$4,AD32,T32)</f>
        <v>0.47756133739021478</v>
      </c>
      <c r="M32" s="48">
        <f>IF($D$4,AG32,W32)</f>
        <v>0.57461011942161389</v>
      </c>
      <c r="N32" s="33"/>
      <c r="O32" s="48">
        <f>E32</f>
        <v>0.40039186287579059</v>
      </c>
      <c r="P32" s="48">
        <f t="shared" si="42"/>
        <v>0.40039186287579059</v>
      </c>
      <c r="Q32" s="48">
        <f>P32*(1+Q21*(G21/F21-1))</f>
        <v>0.3966824420527032</v>
      </c>
      <c r="R32" s="48">
        <f>Q32*(1+R21*(H21/E21-1))</f>
        <v>0.4247174638136591</v>
      </c>
      <c r="S32" s="35">
        <f>R32*(1+S21*(I21/H21-1))</f>
        <v>0.45403442990291437</v>
      </c>
      <c r="T32" s="35">
        <f>S32*(1+T21*(J21/I21-1))</f>
        <v>0.50269614462127876</v>
      </c>
      <c r="U32" s="35">
        <f>S32*(1+U21*(L21/I21-1))</f>
        <v>0.60996476849525938</v>
      </c>
      <c r="V32" s="35">
        <f>S32*(1+V21*(L21/I21-1))</f>
        <v>0.60996476849525938</v>
      </c>
      <c r="W32" s="35">
        <f>T32*(1+W21*(M21/J21-1))</f>
        <v>0.60485275728590937</v>
      </c>
      <c r="X32" s="189"/>
      <c r="Y32" s="49">
        <f t="shared" si="40"/>
        <v>0.40039186287579059</v>
      </c>
      <c r="Z32" s="49">
        <f t="shared" si="40"/>
        <v>0.40039186287579059</v>
      </c>
      <c r="AA32" s="49">
        <f t="shared" si="40"/>
        <v>0.3966824420527032</v>
      </c>
      <c r="AB32" s="49">
        <f t="shared" si="40"/>
        <v>0.4247174638136591</v>
      </c>
      <c r="AC32" s="356">
        <f>S32*$B27</f>
        <v>0.43133270840776861</v>
      </c>
      <c r="AD32" s="356">
        <f>T32*$B27</f>
        <v>0.47756133739021478</v>
      </c>
      <c r="AE32" s="356">
        <f>U32*$B27</f>
        <v>0.57946653007049642</v>
      </c>
      <c r="AF32" s="356">
        <f>V32*$B27</f>
        <v>0.57946653007049642</v>
      </c>
      <c r="AG32" s="356">
        <f>W32*$B27</f>
        <v>0.57461011942161389</v>
      </c>
      <c r="AH32" s="189"/>
      <c r="AI32" s="189"/>
      <c r="AJ32" s="189"/>
      <c r="AK32" s="189"/>
      <c r="AL32" s="189"/>
      <c r="AM32" s="189"/>
      <c r="AN32" s="189"/>
      <c r="AO32" s="189"/>
      <c r="AP32" s="189"/>
      <c r="AQ32" s="189"/>
      <c r="AR32" s="189"/>
      <c r="AS32" s="189"/>
      <c r="AT32" s="189"/>
      <c r="AU32" s="189"/>
      <c r="AV32" s="189"/>
      <c r="AW32" s="189"/>
      <c r="AX32" s="189"/>
      <c r="AY32" s="189"/>
    </row>
    <row r="33" spans="1:51" ht="48.75">
      <c r="A33" t="s">
        <v>16</v>
      </c>
      <c r="C33" s="19"/>
      <c r="D33" s="351" t="s">
        <v>789</v>
      </c>
      <c r="E33" s="189">
        <f t="shared" ref="E33:M33" si="45">SUMPRODUCT(E30:E32,E$13:E$15)/E$16</f>
        <v>0.30091725422531551</v>
      </c>
      <c r="F33" s="189">
        <f t="shared" si="45"/>
        <v>0.30192482056635134</v>
      </c>
      <c r="G33" s="189">
        <f t="shared" si="45"/>
        <v>0.29650350250840096</v>
      </c>
      <c r="H33" s="189">
        <f t="shared" si="45"/>
        <v>0.30260532642612364</v>
      </c>
      <c r="I33" s="189">
        <f t="shared" si="45"/>
        <v>0.31166341773156236</v>
      </c>
      <c r="J33" s="189">
        <f t="shared" si="45"/>
        <v>0.34882923665477578</v>
      </c>
      <c r="K33" s="189">
        <f t="shared" ref="K33:L33" si="46">SUMPRODUCT(K30:K32,K$13:K$15)/K$16</f>
        <v>0.36226161754130137</v>
      </c>
      <c r="L33" s="189">
        <f t="shared" si="46"/>
        <v>0.37001552571526269</v>
      </c>
      <c r="M33" s="189">
        <f t="shared" si="45"/>
        <v>0.41952296957483226</v>
      </c>
      <c r="N33" s="33"/>
      <c r="X33" s="189"/>
      <c r="Y33" s="6" t="s">
        <v>788</v>
      </c>
      <c r="AH33" s="189"/>
      <c r="AI33" s="189"/>
      <c r="AJ33" s="189"/>
      <c r="AK33" s="189"/>
      <c r="AL33" s="189"/>
      <c r="AM33" s="189"/>
      <c r="AN33" s="189"/>
      <c r="AO33" s="189"/>
      <c r="AP33" s="189"/>
      <c r="AQ33" s="189"/>
      <c r="AR33" s="189"/>
      <c r="AS33" s="189"/>
      <c r="AT33" s="189"/>
      <c r="AU33" s="189"/>
      <c r="AV33" s="189"/>
      <c r="AW33" s="189"/>
      <c r="AX33" s="189"/>
      <c r="AY33" s="189"/>
    </row>
    <row r="34" spans="1:51" ht="15.75" thickBot="1">
      <c r="A34" t="s">
        <v>16</v>
      </c>
      <c r="B34" s="2" t="s">
        <v>177</v>
      </c>
      <c r="D34" s="352">
        <f>INDEX($X$5:$X$8,MATCH($D$3,$P$5:$P$8,0))</f>
        <v>0</v>
      </c>
      <c r="E34" s="6">
        <f>E4</f>
        <v>2017</v>
      </c>
      <c r="F34" s="6">
        <f t="shared" ref="F34:H34" si="47">F4</f>
        <v>2019</v>
      </c>
      <c r="G34" s="6">
        <f t="shared" si="47"/>
        <v>2020</v>
      </c>
      <c r="H34" s="6">
        <f t="shared" si="47"/>
        <v>2021</v>
      </c>
      <c r="I34" s="6">
        <v>2030</v>
      </c>
      <c r="J34" s="6">
        <v>2040</v>
      </c>
      <c r="K34" s="6">
        <v>2050</v>
      </c>
      <c r="L34" s="6">
        <v>2050</v>
      </c>
      <c r="M34" s="6">
        <v>2050</v>
      </c>
      <c r="N34" s="32"/>
      <c r="O34" s="6">
        <f t="shared" ref="O34:S34" si="48">O29</f>
        <v>2017</v>
      </c>
      <c r="P34" s="6">
        <f t="shared" si="48"/>
        <v>2019</v>
      </c>
      <c r="Q34" s="6">
        <f t="shared" si="48"/>
        <v>2020</v>
      </c>
      <c r="R34" s="6">
        <f t="shared" si="48"/>
        <v>2021</v>
      </c>
      <c r="S34" s="6">
        <f t="shared" si="48"/>
        <v>2030</v>
      </c>
      <c r="T34" s="6">
        <f>J34</f>
        <v>2040</v>
      </c>
      <c r="U34" s="6">
        <f>L34</f>
        <v>2050</v>
      </c>
      <c r="V34" s="6">
        <f>L34</f>
        <v>2050</v>
      </c>
      <c r="W34" s="6">
        <f>M34</f>
        <v>2050</v>
      </c>
      <c r="X34" s="189"/>
      <c r="Y34" s="6">
        <f t="shared" ref="Y34:AD34" si="49">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c r="A35" t="s">
        <v>16</v>
      </c>
      <c r="C35" s="19" t="str">
        <f>C30</f>
        <v>Low Income</v>
      </c>
      <c r="D35" t="s">
        <v>85</v>
      </c>
      <c r="E35" s="38">
        <v>1.4</v>
      </c>
      <c r="F35" s="48">
        <f t="shared" ref="F35:J38" si="50">IF($D$4,Z35,P35)</f>
        <v>1.4</v>
      </c>
      <c r="G35" s="48">
        <f t="shared" si="50"/>
        <v>1.4</v>
      </c>
      <c r="H35" s="48">
        <f t="shared" si="50"/>
        <v>1.4</v>
      </c>
      <c r="I35" s="48">
        <f t="shared" si="50"/>
        <v>1.4</v>
      </c>
      <c r="J35" s="48">
        <f t="shared" si="50"/>
        <v>1.4</v>
      </c>
      <c r="K35" s="48">
        <f>IF($D$4,AD35,T35)</f>
        <v>1.4</v>
      </c>
      <c r="L35" s="48">
        <f>IF($D$4,AD35,T35)</f>
        <v>1.4</v>
      </c>
      <c r="M35" s="48">
        <f>IF($D$4,AG35,W35)</f>
        <v>1.4</v>
      </c>
      <c r="N35" s="33"/>
      <c r="O35" s="325">
        <f>E35</f>
        <v>1.4</v>
      </c>
      <c r="P35" s="348">
        <f t="shared" ref="P35:T35" si="51">O35</f>
        <v>1.4</v>
      </c>
      <c r="Q35" s="348">
        <f t="shared" si="51"/>
        <v>1.4</v>
      </c>
      <c r="R35" s="348">
        <f t="shared" ref="R35" si="52">Q35</f>
        <v>1.4</v>
      </c>
      <c r="S35" s="348">
        <f t="shared" si="51"/>
        <v>1.4</v>
      </c>
      <c r="T35" s="348">
        <f t="shared" si="51"/>
        <v>1.4</v>
      </c>
      <c r="U35" s="348">
        <f>S35</f>
        <v>1.4</v>
      </c>
      <c r="V35" s="348">
        <f t="shared" ref="V35:W38" si="53">S35</f>
        <v>1.4</v>
      </c>
      <c r="W35" s="348">
        <f t="shared" si="53"/>
        <v>1.4</v>
      </c>
      <c r="X35" s="349" t="s">
        <v>787</v>
      </c>
      <c r="Y35" s="348">
        <f t="shared" ref="Y35:AB38" si="54">O35</f>
        <v>1.4</v>
      </c>
      <c r="Z35" s="348">
        <f t="shared" si="54"/>
        <v>1.4</v>
      </c>
      <c r="AA35" s="348">
        <f t="shared" si="54"/>
        <v>1.4</v>
      </c>
      <c r="AB35" s="348">
        <f t="shared" si="54"/>
        <v>1.4</v>
      </c>
      <c r="AC35" s="350">
        <f>AA35*(1+$D$34)</f>
        <v>1.4</v>
      </c>
      <c r="AD35" s="350">
        <f t="shared" ref="AD35:AD38" si="55">AC35*(1+$D$34)</f>
        <v>1.4</v>
      </c>
      <c r="AE35" s="350">
        <f>AC35*(1+$D$34)</f>
        <v>1.4</v>
      </c>
      <c r="AF35" s="350">
        <f t="shared" ref="AF35:AG38" si="56">AC35*(1+$D$34)</f>
        <v>1.4</v>
      </c>
      <c r="AG35" s="350">
        <f t="shared" si="56"/>
        <v>1.4</v>
      </c>
      <c r="AH35" s="189"/>
      <c r="AI35" s="189"/>
      <c r="AJ35" s="189"/>
      <c r="AK35" s="189"/>
      <c r="AL35" s="189"/>
      <c r="AM35" s="189"/>
      <c r="AN35" s="189"/>
      <c r="AO35" s="189"/>
      <c r="AP35" s="189"/>
      <c r="AQ35" s="189"/>
      <c r="AR35" s="189"/>
      <c r="AS35" s="189"/>
      <c r="AT35" s="189"/>
      <c r="AU35" s="189"/>
      <c r="AV35" s="189"/>
      <c r="AW35" s="189"/>
      <c r="AX35" s="189"/>
      <c r="AY35" s="189"/>
    </row>
    <row r="36" spans="1:51">
      <c r="A36" t="s">
        <v>16</v>
      </c>
      <c r="C36" s="19" t="str">
        <f>C31</f>
        <v>Middle Income</v>
      </c>
      <c r="D36" t="s">
        <v>85</v>
      </c>
      <c r="E36" s="38">
        <v>1.4</v>
      </c>
      <c r="F36" s="48">
        <f t="shared" si="50"/>
        <v>1.4</v>
      </c>
      <c r="G36" s="48">
        <f t="shared" si="50"/>
        <v>1.4</v>
      </c>
      <c r="H36" s="48">
        <f t="shared" si="50"/>
        <v>1.4</v>
      </c>
      <c r="I36" s="48">
        <f t="shared" si="50"/>
        <v>1.4</v>
      </c>
      <c r="J36" s="48">
        <f t="shared" si="50"/>
        <v>1.4</v>
      </c>
      <c r="K36" s="48">
        <f>IF($D$4,AD36,T36)</f>
        <v>1.4</v>
      </c>
      <c r="L36" s="48">
        <f>IF($D$4,AD36,T36)</f>
        <v>1.4</v>
      </c>
      <c r="M36" s="48">
        <f>IF($D$4,AG36,W36)</f>
        <v>1.4</v>
      </c>
      <c r="N36" s="33"/>
      <c r="O36" s="325">
        <f t="shared" ref="O36:O38" si="57">E36</f>
        <v>1.4</v>
      </c>
      <c r="P36" s="348">
        <f t="shared" ref="P36:T38" si="58">O36</f>
        <v>1.4</v>
      </c>
      <c r="Q36" s="348">
        <f t="shared" si="58"/>
        <v>1.4</v>
      </c>
      <c r="R36" s="348">
        <f t="shared" ref="R36" si="59">Q36</f>
        <v>1.4</v>
      </c>
      <c r="S36" s="348">
        <f t="shared" si="58"/>
        <v>1.4</v>
      </c>
      <c r="T36" s="348">
        <f t="shared" si="58"/>
        <v>1.4</v>
      </c>
      <c r="U36" s="348">
        <f>S36</f>
        <v>1.4</v>
      </c>
      <c r="V36" s="348">
        <f t="shared" si="53"/>
        <v>1.4</v>
      </c>
      <c r="W36" s="348">
        <f t="shared" si="53"/>
        <v>1.4</v>
      </c>
      <c r="X36" s="349"/>
      <c r="Y36" s="348">
        <f t="shared" si="54"/>
        <v>1.4</v>
      </c>
      <c r="Z36" s="348">
        <f t="shared" si="54"/>
        <v>1.4</v>
      </c>
      <c r="AA36" s="348">
        <f t="shared" si="54"/>
        <v>1.4</v>
      </c>
      <c r="AB36" s="348">
        <f t="shared" si="54"/>
        <v>1.4</v>
      </c>
      <c r="AC36" s="350">
        <f>AA36*(1+$D$34)</f>
        <v>1.4</v>
      </c>
      <c r="AD36" s="350">
        <f t="shared" si="55"/>
        <v>1.4</v>
      </c>
      <c r="AE36" s="350">
        <f>AC36*(1+$D$34)</f>
        <v>1.4</v>
      </c>
      <c r="AF36" s="350">
        <f t="shared" si="56"/>
        <v>1.4</v>
      </c>
      <c r="AG36" s="350">
        <f t="shared" si="56"/>
        <v>1.4</v>
      </c>
      <c r="AH36" s="189"/>
      <c r="AI36" s="189"/>
      <c r="AJ36" s="189"/>
      <c r="AK36" s="189"/>
      <c r="AL36" s="189"/>
      <c r="AM36" s="189"/>
      <c r="AN36" s="189"/>
      <c r="AO36" s="189"/>
      <c r="AP36" s="189"/>
      <c r="AQ36" s="189"/>
      <c r="AR36" s="189"/>
      <c r="AS36" s="189"/>
      <c r="AT36" s="189"/>
      <c r="AU36" s="189"/>
      <c r="AV36" s="189"/>
      <c r="AW36" s="189"/>
      <c r="AX36" s="189"/>
      <c r="AY36" s="189"/>
    </row>
    <row r="37" spans="1:51">
      <c r="A37" t="s">
        <v>16</v>
      </c>
      <c r="C37" s="19" t="str">
        <f>C32</f>
        <v>High Income</v>
      </c>
      <c r="D37" t="s">
        <v>85</v>
      </c>
      <c r="E37" s="38">
        <v>1.4</v>
      </c>
      <c r="F37" s="48">
        <f t="shared" si="50"/>
        <v>1.4</v>
      </c>
      <c r="G37" s="48">
        <f t="shared" si="50"/>
        <v>1.4</v>
      </c>
      <c r="H37" s="48">
        <f t="shared" si="50"/>
        <v>1.4</v>
      </c>
      <c r="I37" s="48">
        <f t="shared" si="50"/>
        <v>1.4</v>
      </c>
      <c r="J37" s="48">
        <f t="shared" si="50"/>
        <v>1.4</v>
      </c>
      <c r="K37" s="48">
        <f>IF($D$4,AD37,T37)</f>
        <v>1.4</v>
      </c>
      <c r="L37" s="48">
        <f>IF($D$4,AD37,T37)</f>
        <v>1.4</v>
      </c>
      <c r="M37" s="48">
        <f>IF($D$4,AG37,W37)</f>
        <v>1.4</v>
      </c>
      <c r="N37" s="33"/>
      <c r="O37" s="325">
        <f t="shared" si="57"/>
        <v>1.4</v>
      </c>
      <c r="P37" s="348">
        <f t="shared" si="58"/>
        <v>1.4</v>
      </c>
      <c r="Q37" s="348">
        <f t="shared" si="58"/>
        <v>1.4</v>
      </c>
      <c r="R37" s="348">
        <f t="shared" ref="R37" si="60">Q37</f>
        <v>1.4</v>
      </c>
      <c r="S37" s="348">
        <f t="shared" si="58"/>
        <v>1.4</v>
      </c>
      <c r="T37" s="348">
        <f t="shared" si="58"/>
        <v>1.4</v>
      </c>
      <c r="U37" s="348">
        <f>S37</f>
        <v>1.4</v>
      </c>
      <c r="V37" s="348">
        <f t="shared" si="53"/>
        <v>1.4</v>
      </c>
      <c r="W37" s="348">
        <f t="shared" si="53"/>
        <v>1.4</v>
      </c>
      <c r="X37" s="349"/>
      <c r="Y37" s="348">
        <f t="shared" si="54"/>
        <v>1.4</v>
      </c>
      <c r="Z37" s="348">
        <f t="shared" si="54"/>
        <v>1.4</v>
      </c>
      <c r="AA37" s="348">
        <f t="shared" si="54"/>
        <v>1.4</v>
      </c>
      <c r="AB37" s="348">
        <f t="shared" si="54"/>
        <v>1.4</v>
      </c>
      <c r="AC37" s="350">
        <f>AA37*(1+$D$34)</f>
        <v>1.4</v>
      </c>
      <c r="AD37" s="350">
        <f t="shared" si="55"/>
        <v>1.4</v>
      </c>
      <c r="AE37" s="350">
        <f>AC37*(1+$D$34)</f>
        <v>1.4</v>
      </c>
      <c r="AF37" s="350">
        <f t="shared" si="56"/>
        <v>1.4</v>
      </c>
      <c r="AG37" s="350">
        <f t="shared" si="56"/>
        <v>1.4</v>
      </c>
      <c r="AH37" s="189"/>
      <c r="AI37" s="189"/>
      <c r="AJ37" s="189"/>
      <c r="AK37" s="189"/>
      <c r="AL37" s="189"/>
      <c r="AM37" s="189"/>
      <c r="AN37" s="189"/>
      <c r="AO37" s="189"/>
      <c r="AP37" s="189"/>
      <c r="AQ37" s="189"/>
      <c r="AR37" s="189"/>
      <c r="AS37" s="189"/>
      <c r="AT37" s="189"/>
      <c r="AU37" s="189"/>
      <c r="AV37" s="189"/>
      <c r="AW37" s="189"/>
      <c r="AX37" s="189"/>
      <c r="AY37" s="189"/>
    </row>
    <row r="38" spans="1:51">
      <c r="A38" t="s">
        <v>16</v>
      </c>
      <c r="C38" s="19" t="s">
        <v>183</v>
      </c>
      <c r="D38" t="s">
        <v>85</v>
      </c>
      <c r="E38" s="38">
        <v>1.4</v>
      </c>
      <c r="F38" s="48">
        <f t="shared" si="50"/>
        <v>1.4</v>
      </c>
      <c r="G38" s="48">
        <f t="shared" si="50"/>
        <v>1.4</v>
      </c>
      <c r="H38" s="48">
        <f t="shared" si="50"/>
        <v>1.4</v>
      </c>
      <c r="I38" s="48">
        <f t="shared" si="50"/>
        <v>1.4</v>
      </c>
      <c r="J38" s="48">
        <f t="shared" si="50"/>
        <v>1.4</v>
      </c>
      <c r="K38" s="48">
        <f>IF($D$4,AD38,T38)</f>
        <v>1.4</v>
      </c>
      <c r="L38" s="48">
        <f>IF($D$4,AD38,T38)</f>
        <v>1.4</v>
      </c>
      <c r="M38" s="48">
        <f>IF($D$4,AG38,W38)</f>
        <v>1.4</v>
      </c>
      <c r="N38" s="32"/>
      <c r="O38" s="325">
        <f t="shared" si="57"/>
        <v>1.4</v>
      </c>
      <c r="P38" s="348">
        <f t="shared" si="58"/>
        <v>1.4</v>
      </c>
      <c r="Q38" s="348">
        <f t="shared" si="58"/>
        <v>1.4</v>
      </c>
      <c r="R38" s="348">
        <f t="shared" ref="R38" si="61">Q38</f>
        <v>1.4</v>
      </c>
      <c r="S38" s="348">
        <f t="shared" si="58"/>
        <v>1.4</v>
      </c>
      <c r="T38" s="348">
        <f t="shared" si="58"/>
        <v>1.4</v>
      </c>
      <c r="U38" s="348">
        <f>S38</f>
        <v>1.4</v>
      </c>
      <c r="V38" s="348">
        <f t="shared" si="53"/>
        <v>1.4</v>
      </c>
      <c r="W38" s="348">
        <f t="shared" si="53"/>
        <v>1.4</v>
      </c>
      <c r="X38" s="273"/>
      <c r="Y38" s="348">
        <f t="shared" si="54"/>
        <v>1.4</v>
      </c>
      <c r="Z38" s="348">
        <f t="shared" si="54"/>
        <v>1.4</v>
      </c>
      <c r="AA38" s="348">
        <f t="shared" si="54"/>
        <v>1.4</v>
      </c>
      <c r="AB38" s="348">
        <f t="shared" si="54"/>
        <v>1.4</v>
      </c>
      <c r="AC38" s="350">
        <f>AA38*(1+$D$34)</f>
        <v>1.4</v>
      </c>
      <c r="AD38" s="350">
        <f t="shared" si="55"/>
        <v>1.4</v>
      </c>
      <c r="AE38" s="350">
        <f>AC38*(1+$D$34)</f>
        <v>1.4</v>
      </c>
      <c r="AF38" s="350">
        <f t="shared" si="56"/>
        <v>1.4</v>
      </c>
      <c r="AG38" s="350">
        <f t="shared" si="56"/>
        <v>1.4</v>
      </c>
    </row>
    <row r="39" spans="1:51">
      <c r="A39" t="s">
        <v>16</v>
      </c>
      <c r="C39" s="19"/>
      <c r="J39"/>
      <c r="N39" s="33"/>
      <c r="O39" s="5">
        <v>1</v>
      </c>
      <c r="P39" s="5"/>
      <c r="Q39" s="5"/>
      <c r="R39" s="5"/>
      <c r="S39" s="5"/>
      <c r="X39" s="189"/>
      <c r="Y39" t="s">
        <v>188</v>
      </c>
      <c r="AH39" s="189"/>
      <c r="AI39" s="189"/>
      <c r="AJ39" s="189"/>
      <c r="AK39" s="189"/>
      <c r="AL39" s="189"/>
      <c r="AM39" s="189"/>
      <c r="AN39" s="189"/>
      <c r="AO39" s="189"/>
      <c r="AP39" s="189"/>
      <c r="AQ39" s="189"/>
      <c r="AR39" s="189"/>
      <c r="AS39" s="189"/>
      <c r="AT39" s="189"/>
      <c r="AU39" s="189"/>
      <c r="AV39" s="189"/>
      <c r="AW39" s="189"/>
      <c r="AX39" s="189"/>
      <c r="AY39" s="189"/>
    </row>
    <row r="40" spans="1:51" ht="15.75" thickBot="1">
      <c r="A40" t="s">
        <v>16</v>
      </c>
      <c r="B40" s="2" t="s">
        <v>178</v>
      </c>
      <c r="D40" s="2"/>
      <c r="E40" s="6">
        <f>E4</f>
        <v>2017</v>
      </c>
      <c r="F40" s="6">
        <f t="shared" ref="F40:H40" si="62">F4</f>
        <v>2019</v>
      </c>
      <c r="G40" s="6">
        <f t="shared" si="62"/>
        <v>2020</v>
      </c>
      <c r="H40" s="6">
        <f t="shared" si="62"/>
        <v>2021</v>
      </c>
      <c r="I40" s="6">
        <v>2030</v>
      </c>
      <c r="J40" s="6">
        <v>2040</v>
      </c>
      <c r="K40" s="6">
        <v>2050</v>
      </c>
      <c r="L40" s="6">
        <v>2050</v>
      </c>
      <c r="M40" s="6">
        <v>2050</v>
      </c>
      <c r="N40" s="238" t="s">
        <v>622</v>
      </c>
      <c r="O40" s="6">
        <f t="shared" ref="O40:W40" si="63">O34</f>
        <v>2017</v>
      </c>
      <c r="P40" s="6">
        <f t="shared" si="63"/>
        <v>2019</v>
      </c>
      <c r="Q40" s="6">
        <f t="shared" si="63"/>
        <v>2020</v>
      </c>
      <c r="R40" s="6">
        <f t="shared" si="63"/>
        <v>2021</v>
      </c>
      <c r="S40" s="6">
        <f t="shared" si="63"/>
        <v>2030</v>
      </c>
      <c r="T40" s="6">
        <f t="shared" si="63"/>
        <v>2040</v>
      </c>
      <c r="U40" s="6">
        <f t="shared" ref="U40:V40" si="64">U34</f>
        <v>2050</v>
      </c>
      <c r="V40" s="6">
        <f t="shared" si="64"/>
        <v>2050</v>
      </c>
      <c r="W40" s="6">
        <f t="shared" si="63"/>
        <v>2050</v>
      </c>
      <c r="Y40" s="6">
        <f t="shared" ref="Y40:AD40" si="65">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c r="A41" t="s">
        <v>16</v>
      </c>
      <c r="B41" s="161">
        <f>B25</f>
        <v>0.95</v>
      </c>
      <c r="C41" s="19" t="str">
        <f>C35</f>
        <v>Low Income</v>
      </c>
      <c r="D41" s="27" t="s">
        <v>159</v>
      </c>
      <c r="E41" s="38">
        <v>7.3852190250507794</v>
      </c>
      <c r="F41" s="48">
        <f t="shared" ref="F41:J44" si="66">IF($D$4,Z41,P41)</f>
        <v>7.3852190250507794</v>
      </c>
      <c r="G41" s="48">
        <f t="shared" si="66"/>
        <v>7.3852190250507794</v>
      </c>
      <c r="H41" s="48">
        <f t="shared" si="66"/>
        <v>7.3852190250507794</v>
      </c>
      <c r="I41" s="48">
        <f t="shared" si="66"/>
        <v>7.0159580737982399</v>
      </c>
      <c r="J41" s="48">
        <f t="shared" si="66"/>
        <v>6.6651601701083276</v>
      </c>
      <c r="K41" s="48">
        <f>IF($D$4,AD41,T41)</f>
        <v>6.6651601701083276</v>
      </c>
      <c r="L41" s="48">
        <f>IF($D$4,AD41,T41)</f>
        <v>6.6651601701083276</v>
      </c>
      <c r="M41" s="48">
        <f>IF($D$4,AG41,W41)</f>
        <v>6.331902161602911</v>
      </c>
      <c r="N41" s="239">
        <v>1</v>
      </c>
      <c r="O41" s="327">
        <f>E41*O$39</f>
        <v>7.3852190250507794</v>
      </c>
      <c r="P41">
        <f t="shared" ref="P41:T41" si="67">O41</f>
        <v>7.3852190250507794</v>
      </c>
      <c r="Q41" s="48">
        <f>P41*$N41</f>
        <v>7.3852190250507794</v>
      </c>
      <c r="R41" s="48">
        <f>P41</f>
        <v>7.3852190250507794</v>
      </c>
      <c r="S41" s="35">
        <f t="shared" si="67"/>
        <v>7.3852190250507794</v>
      </c>
      <c r="T41" s="35">
        <f t="shared" si="67"/>
        <v>7.3852190250507794</v>
      </c>
      <c r="U41" s="35">
        <f>S41</f>
        <v>7.3852190250507794</v>
      </c>
      <c r="V41" s="35">
        <f t="shared" ref="V41:W44" si="68">S41</f>
        <v>7.3852190250507794</v>
      </c>
      <c r="W41" s="35">
        <f t="shared" si="68"/>
        <v>7.3852190250507794</v>
      </c>
      <c r="Y41" s="48">
        <f t="shared" ref="Y41:AB44" si="69">O41</f>
        <v>7.3852190250507794</v>
      </c>
      <c r="Z41" s="48">
        <f t="shared" si="69"/>
        <v>7.3852190250507794</v>
      </c>
      <c r="AA41" s="48">
        <f t="shared" si="69"/>
        <v>7.3852190250507794</v>
      </c>
      <c r="AB41" s="48">
        <f t="shared" si="69"/>
        <v>7.3852190250507794</v>
      </c>
      <c r="AC41" s="56">
        <f t="shared" ref="AC41:AD43" si="70">AB41*$B41</f>
        <v>7.0159580737982399</v>
      </c>
      <c r="AD41" s="56">
        <f t="shared" si="70"/>
        <v>6.6651601701083276</v>
      </c>
      <c r="AE41" s="56">
        <f>AC41*$B41</f>
        <v>6.6651601701083276</v>
      </c>
      <c r="AF41" s="56">
        <f t="shared" ref="AF41:AG44" si="71">AC41*$B41</f>
        <v>6.6651601701083276</v>
      </c>
      <c r="AG41" s="56">
        <f t="shared" si="71"/>
        <v>6.331902161602911</v>
      </c>
      <c r="AH41" s="189"/>
      <c r="AI41" s="189"/>
      <c r="AJ41" s="189"/>
      <c r="AK41" s="189"/>
      <c r="AL41" s="189"/>
      <c r="AM41" s="189"/>
      <c r="AN41" s="189"/>
      <c r="AO41" s="189"/>
      <c r="AP41" s="189"/>
      <c r="AQ41" s="189"/>
      <c r="AR41" s="189"/>
      <c r="AS41" s="189"/>
      <c r="AT41" s="189"/>
      <c r="AU41" s="189"/>
      <c r="AV41" s="189"/>
      <c r="AW41" s="189"/>
      <c r="AX41" s="189"/>
      <c r="AY41" s="189"/>
    </row>
    <row r="42" spans="1:51">
      <c r="A42" t="s">
        <v>16</v>
      </c>
      <c r="B42" s="161">
        <f t="shared" ref="B42:B43" si="72">B26</f>
        <v>0.95</v>
      </c>
      <c r="C42" s="19" t="str">
        <f>C36</f>
        <v>Middle Income</v>
      </c>
      <c r="D42" s="27" t="s">
        <v>159</v>
      </c>
      <c r="E42" s="38">
        <v>12.3446275646806</v>
      </c>
      <c r="F42" s="48">
        <f t="shared" si="66"/>
        <v>12.3446275646806</v>
      </c>
      <c r="G42" s="48">
        <f t="shared" si="66"/>
        <v>12.3446275646806</v>
      </c>
      <c r="H42" s="48">
        <f t="shared" si="66"/>
        <v>12.3446275646806</v>
      </c>
      <c r="I42" s="48">
        <f t="shared" si="66"/>
        <v>11.727396186446569</v>
      </c>
      <c r="J42" s="48">
        <f t="shared" si="66"/>
        <v>11.141026377124239</v>
      </c>
      <c r="K42" s="48">
        <f>IF($D$4,AD42,T42)</f>
        <v>11.141026377124239</v>
      </c>
      <c r="L42" s="48">
        <f>IF($D$4,AD42,T42)</f>
        <v>11.141026377124239</v>
      </c>
      <c r="M42" s="48">
        <f>IF($D$4,AG42,W42)</f>
        <v>10.583975058268027</v>
      </c>
      <c r="N42" s="239">
        <v>1</v>
      </c>
      <c r="O42" s="327">
        <f>E42*O$39</f>
        <v>12.3446275646806</v>
      </c>
      <c r="P42">
        <f t="shared" ref="P42:T44" si="73">O42</f>
        <v>12.3446275646806</v>
      </c>
      <c r="Q42" s="48">
        <f t="shared" ref="Q42:Q44" si="74">P42*$N42</f>
        <v>12.3446275646806</v>
      </c>
      <c r="R42" s="48">
        <f t="shared" ref="R42:R44" si="75">P42</f>
        <v>12.3446275646806</v>
      </c>
      <c r="S42" s="155">
        <f>R42</f>
        <v>12.3446275646806</v>
      </c>
      <c r="T42" s="155">
        <f t="shared" si="73"/>
        <v>12.3446275646806</v>
      </c>
      <c r="U42" s="155">
        <f>S42</f>
        <v>12.3446275646806</v>
      </c>
      <c r="V42" s="155">
        <f t="shared" si="68"/>
        <v>12.3446275646806</v>
      </c>
      <c r="W42" s="155">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89"/>
      <c r="AI42" s="189"/>
      <c r="AJ42" s="189"/>
      <c r="AK42" s="189"/>
      <c r="AL42" s="189"/>
      <c r="AM42" s="189"/>
      <c r="AN42" s="189"/>
      <c r="AO42" s="189"/>
      <c r="AP42" s="189"/>
      <c r="AQ42" s="189"/>
      <c r="AR42" s="189"/>
      <c r="AS42" s="189"/>
      <c r="AT42" s="189"/>
      <c r="AU42" s="189"/>
      <c r="AV42" s="189"/>
      <c r="AW42" s="189"/>
      <c r="AX42" s="189"/>
      <c r="AY42" s="189"/>
    </row>
    <row r="43" spans="1:51">
      <c r="A43" t="s">
        <v>16</v>
      </c>
      <c r="B43" s="161">
        <f t="shared" si="72"/>
        <v>0.95</v>
      </c>
      <c r="C43" s="19" t="str">
        <f>C37</f>
        <v>High Income</v>
      </c>
      <c r="D43" s="27" t="s">
        <v>159</v>
      </c>
      <c r="E43" s="38">
        <v>13.330035321564491</v>
      </c>
      <c r="F43" s="48">
        <f t="shared" si="66"/>
        <v>13.330035321564491</v>
      </c>
      <c r="G43" s="48">
        <f t="shared" si="66"/>
        <v>13.330035321564491</v>
      </c>
      <c r="H43" s="48">
        <f t="shared" si="66"/>
        <v>13.330035321564491</v>
      </c>
      <c r="I43" s="48">
        <f t="shared" si="66"/>
        <v>12.663533555486266</v>
      </c>
      <c r="J43" s="48">
        <f t="shared" si="66"/>
        <v>12.030356877711952</v>
      </c>
      <c r="K43" s="48">
        <f>IF($D$4,AD43,T43)</f>
        <v>12.030356877711952</v>
      </c>
      <c r="L43" s="48">
        <f>IF($D$4,AD43,T43)</f>
        <v>12.030356877711952</v>
      </c>
      <c r="M43" s="48">
        <f>IF($D$4,AG43,W43)</f>
        <v>11.428839033826353</v>
      </c>
      <c r="N43" s="239">
        <v>1</v>
      </c>
      <c r="O43" s="327">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12.663533555486266</v>
      </c>
      <c r="AD43" s="56">
        <f t="shared" si="70"/>
        <v>12.030356877711952</v>
      </c>
      <c r="AE43" s="56">
        <f>AC43*$B43</f>
        <v>12.030356877711952</v>
      </c>
      <c r="AF43" s="56">
        <f t="shared" si="71"/>
        <v>12.030356877711952</v>
      </c>
      <c r="AG43" s="56">
        <f t="shared" si="71"/>
        <v>11.428839033826353</v>
      </c>
      <c r="AH43" s="189"/>
      <c r="AI43" s="189"/>
      <c r="AJ43" s="189"/>
      <c r="AK43" s="189"/>
      <c r="AL43" s="189"/>
      <c r="AM43" s="189"/>
      <c r="AN43" s="189"/>
      <c r="AO43" s="189"/>
      <c r="AP43" s="189"/>
      <c r="AQ43" s="189"/>
      <c r="AR43" s="189"/>
      <c r="AS43" s="189"/>
      <c r="AT43" s="189"/>
      <c r="AU43" s="189"/>
      <c r="AV43" s="189"/>
      <c r="AW43" s="189"/>
      <c r="AX43" s="189"/>
      <c r="AY43" s="189"/>
    </row>
    <row r="44" spans="1:51">
      <c r="A44" t="s">
        <v>16</v>
      </c>
      <c r="B44" s="161">
        <f>B43</f>
        <v>0.95</v>
      </c>
      <c r="C44" s="19" t="s">
        <v>183</v>
      </c>
      <c r="D44" s="27" t="s">
        <v>159</v>
      </c>
      <c r="E44" s="38">
        <v>13.5</v>
      </c>
      <c r="F44" s="48">
        <f t="shared" si="66"/>
        <v>13.5</v>
      </c>
      <c r="G44" s="48">
        <f t="shared" si="66"/>
        <v>13.5</v>
      </c>
      <c r="H44" s="48">
        <f t="shared" si="66"/>
        <v>13.5</v>
      </c>
      <c r="I44" s="48">
        <f t="shared" si="66"/>
        <v>12.824999999999999</v>
      </c>
      <c r="J44" s="48">
        <f t="shared" si="66"/>
        <v>12.183749999999998</v>
      </c>
      <c r="K44" s="48">
        <f>IF($D$4,AD44,T44)</f>
        <v>12.183749999999998</v>
      </c>
      <c r="L44" s="48">
        <f>IF($D$4,AD44,T44)</f>
        <v>12.183749999999998</v>
      </c>
      <c r="M44" s="48">
        <f>IF($D$4,AG44,W44)</f>
        <v>11.574562499999997</v>
      </c>
      <c r="N44" s="239">
        <v>1</v>
      </c>
      <c r="O44" s="249">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12.824999999999999</v>
      </c>
      <c r="AD44" s="56">
        <f t="shared" ref="AD44" si="76">AC44*$B44</f>
        <v>12.183749999999998</v>
      </c>
      <c r="AE44" s="56">
        <f>AC44*$B44</f>
        <v>12.183749999999998</v>
      </c>
      <c r="AF44" s="56">
        <f t="shared" si="71"/>
        <v>12.183749999999998</v>
      </c>
      <c r="AG44" s="56">
        <f t="shared" si="71"/>
        <v>11.574562499999997</v>
      </c>
      <c r="AH44" s="189"/>
      <c r="AI44" s="189"/>
      <c r="AJ44" s="189"/>
      <c r="AK44" s="189"/>
      <c r="AL44" s="189"/>
      <c r="AM44" s="189"/>
      <c r="AN44" s="189"/>
      <c r="AO44" s="189"/>
      <c r="AP44" s="189"/>
      <c r="AQ44" s="189"/>
      <c r="AR44" s="189"/>
      <c r="AS44" s="189"/>
      <c r="AT44" s="189"/>
      <c r="AU44" s="189"/>
      <c r="AV44" s="189"/>
      <c r="AW44" s="189"/>
      <c r="AX44" s="189"/>
      <c r="AY44" s="189"/>
    </row>
    <row r="45" spans="1:51">
      <c r="A45" t="s">
        <v>16</v>
      </c>
      <c r="C45" s="19" t="s">
        <v>6</v>
      </c>
      <c r="D45" s="27" t="s">
        <v>159</v>
      </c>
      <c r="E45" s="5">
        <f t="shared" ref="E45:J45" si="77">SUMPRODUCT(E41:E44,E54:E57)/SUM(E54:E57)</f>
        <v>12.901036769438678</v>
      </c>
      <c r="F45" s="5">
        <f t="shared" si="77"/>
        <v>12.901919445200708</v>
      </c>
      <c r="G45" s="5">
        <f t="shared" si="77"/>
        <v>12.84553690620824</v>
      </c>
      <c r="H45" s="5">
        <f t="shared" si="77"/>
        <v>12.895256135475423</v>
      </c>
      <c r="I45" s="5">
        <f t="shared" si="77"/>
        <v>12.335633232377768</v>
      </c>
      <c r="J45" s="5">
        <f t="shared" si="77"/>
        <v>11.788704171708435</v>
      </c>
      <c r="K45" s="5">
        <f>SUMPRODUCT(K41:K44,K54:K57)/SUM(K54:K57)</f>
        <v>11.788704171708435</v>
      </c>
      <c r="L45" s="5">
        <f>SUMPRODUCT(L41:L44,L54:L57)/SUM(L54:L57)</f>
        <v>11.788704171708435</v>
      </c>
      <c r="M45" s="5">
        <f>SUMPRODUCT(M41:M44,M54:M57)/SUM(M54:M57)</f>
        <v>11.248715378674714</v>
      </c>
      <c r="N45" s="33"/>
      <c r="X45" s="189"/>
      <c r="AA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ht="15.7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89"/>
      <c r="AI46" s="189"/>
      <c r="AJ46" s="189"/>
      <c r="AK46" s="189"/>
      <c r="AL46" s="189"/>
      <c r="AM46" s="189"/>
      <c r="AN46" s="189"/>
      <c r="AO46" s="189"/>
      <c r="AP46" s="189"/>
      <c r="AQ46" s="189"/>
      <c r="AR46" s="189"/>
      <c r="AS46" s="189"/>
      <c r="AT46" s="189"/>
      <c r="AU46" s="189"/>
      <c r="AV46" s="189"/>
      <c r="AW46" s="189"/>
      <c r="AX46" s="189"/>
      <c r="AY46" s="189"/>
    </row>
    <row r="47" spans="1:51">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4389.6274316739164</v>
      </c>
      <c r="I47" s="38">
        <f>INDEX(Drivers!$H$30:$AK$30,1,MATCH(I40,Drivers!$H$5:$AK$5,0))</f>
        <v>5427.0615886027217</v>
      </c>
      <c r="J47" s="38">
        <f>INDEX(Drivers!$H$30:$AK$30,1,MATCH(J40,Drivers!$H$5:$AK$5,0))</f>
        <v>7753.1717496587144</v>
      </c>
      <c r="K47" s="38">
        <f>INDEX(Drivers!$H$30:$AK$30,1,MATCH(K40,Drivers!$H$5:$AK$5,0))</f>
        <v>10690.065920265894</v>
      </c>
      <c r="L47" s="38">
        <f>INDEX(Drivers!$H$30:$AK$30,1,MATCH(L40,Drivers!$H$5:$AK$5,0))</f>
        <v>10690.065920265894</v>
      </c>
      <c r="M47" s="38">
        <f>INDEX(Drivers!$H$30:$AK$30,1,MATCH(M40,Drivers!$H$5:$AK$5,0))</f>
        <v>10690.065920265894</v>
      </c>
      <c r="N47" s="33"/>
      <c r="O47" s="5">
        <f>E47</f>
        <v>4369.2882721535752</v>
      </c>
      <c r="P47" s="5">
        <f t="shared" ref="P47:W47" si="78">F47</f>
        <v>4454.71</v>
      </c>
      <c r="Q47" s="5">
        <f t="shared" si="78"/>
        <v>4168.5599999999986</v>
      </c>
      <c r="R47" s="5">
        <f t="shared" si="78"/>
        <v>4389.6274316739164</v>
      </c>
      <c r="S47" s="5">
        <f t="shared" si="78"/>
        <v>5427.0615886027217</v>
      </c>
      <c r="T47" s="5">
        <f t="shared" si="78"/>
        <v>7753.1717496587144</v>
      </c>
      <c r="U47" s="5">
        <f t="shared" si="78"/>
        <v>10690.065920265894</v>
      </c>
      <c r="V47" s="5">
        <f t="shared" si="78"/>
        <v>10690.065920265894</v>
      </c>
      <c r="W47" s="5">
        <f t="shared" si="78"/>
        <v>10690.065920265894</v>
      </c>
      <c r="X47" s="189"/>
      <c r="Y47" s="5">
        <f>E47</f>
        <v>4369.2882721535752</v>
      </c>
      <c r="Z47" s="5">
        <f t="shared" ref="Z47:AG47" si="79">F47</f>
        <v>4454.71</v>
      </c>
      <c r="AA47" s="5">
        <f t="shared" si="79"/>
        <v>4168.5599999999986</v>
      </c>
      <c r="AB47" s="5">
        <f t="shared" si="79"/>
        <v>4389.6274316739164</v>
      </c>
      <c r="AC47" s="5">
        <f t="shared" si="79"/>
        <v>5427.0615886027217</v>
      </c>
      <c r="AD47" s="5">
        <f t="shared" si="79"/>
        <v>7753.1717496587144</v>
      </c>
      <c r="AE47" s="5">
        <f t="shared" si="79"/>
        <v>10690.065920265894</v>
      </c>
      <c r="AF47" s="5">
        <f t="shared" si="79"/>
        <v>10690.065920265894</v>
      </c>
      <c r="AG47" s="5">
        <f t="shared" si="79"/>
        <v>10690.065920265894</v>
      </c>
      <c r="AH47" s="189"/>
      <c r="AI47" s="189"/>
      <c r="AJ47" s="189"/>
      <c r="AK47" s="189"/>
      <c r="AL47" s="189"/>
      <c r="AM47" s="189"/>
      <c r="AN47" s="189"/>
      <c r="AO47" s="189"/>
      <c r="AP47" s="189"/>
      <c r="AQ47" s="189"/>
      <c r="AR47" s="189"/>
      <c r="AS47" s="189"/>
      <c r="AT47" s="189"/>
      <c r="AU47" s="189"/>
      <c r="AV47" s="189"/>
      <c r="AW47" s="189"/>
      <c r="AX47" s="189"/>
      <c r="AY47" s="189"/>
    </row>
    <row r="48" spans="1:51">
      <c r="A48" t="s">
        <v>16</v>
      </c>
      <c r="C48" t="s">
        <v>151</v>
      </c>
      <c r="E48" s="38">
        <v>0.5</v>
      </c>
      <c r="F48" s="58">
        <f t="shared" ref="F48:J51" si="80">IF($D$4,Z48,P48)</f>
        <v>0.5</v>
      </c>
      <c r="G48" s="58">
        <f t="shared" si="80"/>
        <v>0.5</v>
      </c>
      <c r="H48" s="58">
        <f t="shared" si="80"/>
        <v>0.5</v>
      </c>
      <c r="I48" s="58">
        <f t="shared" si="80"/>
        <v>0.5</v>
      </c>
      <c r="J48" s="58">
        <f t="shared" si="80"/>
        <v>0.4</v>
      </c>
      <c r="K48" s="58">
        <f>IF($D$4,AD48,T48)</f>
        <v>0.4</v>
      </c>
      <c r="L48" s="58">
        <f>IF($D$4,AD48,T48)</f>
        <v>0.4</v>
      </c>
      <c r="M48" s="58">
        <f>IF($D$4,AG48,W48)</f>
        <v>0.3</v>
      </c>
      <c r="N48" s="33"/>
      <c r="O48" s="58">
        <f>E48</f>
        <v>0.5</v>
      </c>
      <c r="P48" s="58">
        <f>E48</f>
        <v>0.5</v>
      </c>
      <c r="Q48" s="58">
        <f>F48</f>
        <v>0.5</v>
      </c>
      <c r="R48" s="58">
        <f>G48</f>
        <v>0.5</v>
      </c>
      <c r="S48" s="35">
        <f>H48</f>
        <v>0.5</v>
      </c>
      <c r="T48" s="35">
        <f>I48</f>
        <v>0.5</v>
      </c>
      <c r="U48" s="35">
        <f>I48</f>
        <v>0.5</v>
      </c>
      <c r="V48" s="35">
        <f>I48</f>
        <v>0.5</v>
      </c>
      <c r="W48" s="35">
        <f>J48</f>
        <v>0.4</v>
      </c>
      <c r="X48" s="189"/>
      <c r="Y48" s="58">
        <f t="shared" ref="Y48:AB51" si="81">O48</f>
        <v>0.5</v>
      </c>
      <c r="Z48" s="58">
        <f t="shared" si="81"/>
        <v>0.5</v>
      </c>
      <c r="AA48" s="58">
        <f t="shared" si="81"/>
        <v>0.5</v>
      </c>
      <c r="AB48" s="58">
        <f t="shared" si="81"/>
        <v>0.5</v>
      </c>
      <c r="AC48" s="35">
        <f>AB48</f>
        <v>0.5</v>
      </c>
      <c r="AD48" s="35">
        <v>0.4</v>
      </c>
      <c r="AE48" s="35">
        <v>0.3</v>
      </c>
      <c r="AF48" s="35">
        <v>0.3</v>
      </c>
      <c r="AG48" s="35">
        <v>0.3</v>
      </c>
      <c r="AH48" s="189"/>
      <c r="AI48" s="189"/>
      <c r="AJ48" s="189"/>
      <c r="AK48" s="189"/>
      <c r="AL48" s="189"/>
      <c r="AM48" s="189"/>
      <c r="AN48" s="189"/>
      <c r="AO48" s="189"/>
      <c r="AP48" s="189"/>
      <c r="AQ48" s="189"/>
      <c r="AR48" s="189"/>
      <c r="AS48" s="189"/>
      <c r="AT48" s="189"/>
      <c r="AU48" s="189"/>
      <c r="AV48" s="189"/>
      <c r="AW48" s="189"/>
      <c r="AX48" s="189"/>
      <c r="AY48" s="189"/>
    </row>
    <row r="49" spans="1:51">
      <c r="A49" t="s">
        <v>16</v>
      </c>
      <c r="C49" s="19" t="s">
        <v>150</v>
      </c>
      <c r="D49" t="s">
        <v>152</v>
      </c>
      <c r="E49" s="38">
        <v>0.82</v>
      </c>
      <c r="F49" s="58">
        <f t="shared" si="80"/>
        <v>0.82801570101021782</v>
      </c>
      <c r="G49" s="58">
        <f t="shared" si="80"/>
        <v>0.80142174844719183</v>
      </c>
      <c r="H49" s="58">
        <f t="shared" si="80"/>
        <v>0.82267228191880326</v>
      </c>
      <c r="I49" s="58">
        <f t="shared" si="80"/>
        <v>0.92239764222844522</v>
      </c>
      <c r="J49" s="58">
        <f t="shared" si="80"/>
        <v>1.0805383593065496</v>
      </c>
      <c r="K49" s="58">
        <f>IF($D$4,AD49,T49)</f>
        <v>1.0805383593065496</v>
      </c>
      <c r="L49" s="58">
        <f>IF($D$4,AD49,T49)</f>
        <v>1.0805383593065496</v>
      </c>
      <c r="M49" s="58">
        <f>IF($D$4,AG49,W49)</f>
        <v>1.2033304337387152</v>
      </c>
      <c r="N49" s="33"/>
      <c r="O49" s="18">
        <f>E49</f>
        <v>0.82</v>
      </c>
      <c r="P49" s="18">
        <f>E49*(1+(P48*(P47/E47-1)))</f>
        <v>0.82801570101021782</v>
      </c>
      <c r="Q49" s="58">
        <f>F49*(1+(Q48*(Q47/F47-1)))</f>
        <v>0.80142174844719183</v>
      </c>
      <c r="R49" s="58">
        <f>G49*(1+(R48*(R47/G47-1)))</f>
        <v>0.82267228191880326</v>
      </c>
      <c r="S49" s="35">
        <f>H49*(1+(S48*(S47/H47-1)))</f>
        <v>0.91988649183817139</v>
      </c>
      <c r="T49" s="35">
        <f>I49*(1+(T48*(T47/I47-1)))</f>
        <v>1.1200735385760758</v>
      </c>
      <c r="U49" s="35">
        <f>I49*(1+(U48*(U47/I47-1)))</f>
        <v>1.3696546621929162</v>
      </c>
      <c r="V49" s="35">
        <f>I49*(1+(V48*(V47/I47-1)))</f>
        <v>1.3696546621929162</v>
      </c>
      <c r="W49" s="35">
        <f>J49*(1+(W48*(W47/J47-1)))</f>
        <v>1.2442611252161038</v>
      </c>
      <c r="X49" s="189"/>
      <c r="Y49" s="58">
        <f t="shared" si="81"/>
        <v>0.82</v>
      </c>
      <c r="Z49" s="58">
        <f t="shared" si="81"/>
        <v>0.82801570101021782</v>
      </c>
      <c r="AA49" s="58">
        <f t="shared" si="81"/>
        <v>0.80142174844719183</v>
      </c>
      <c r="AB49" s="58">
        <f t="shared" si="81"/>
        <v>0.82267228191880326</v>
      </c>
      <c r="AC49" s="35">
        <f>AA49*(1+(AC48*(AC47/AA47-1)))</f>
        <v>0.92239764222844522</v>
      </c>
      <c r="AD49" s="35">
        <f>AC49*(1+(AD48*(AD47/AC47-1)))</f>
        <v>1.0805383593065496</v>
      </c>
      <c r="AE49" s="35">
        <f>AC49*(1+(AE48*(AE47/AC47-1)))</f>
        <v>1.1907518542071278</v>
      </c>
      <c r="AF49" s="35">
        <f>AC49*(1+(AF48*(AF47/AC47-1)))</f>
        <v>1.1907518542071278</v>
      </c>
      <c r="AG49" s="35">
        <f>AD49*(1+(AG48*(AG47/AD47-1)))</f>
        <v>1.2033304337387152</v>
      </c>
      <c r="AH49" s="189"/>
      <c r="AI49" s="189"/>
      <c r="AJ49" s="189"/>
      <c r="AK49" s="189"/>
      <c r="AL49" s="189"/>
      <c r="AM49" s="189"/>
      <c r="AN49" s="189"/>
      <c r="AO49" s="189"/>
      <c r="AP49" s="189"/>
      <c r="AQ49" s="189"/>
      <c r="AR49" s="189"/>
      <c r="AS49" s="189"/>
      <c r="AT49" s="189"/>
      <c r="AU49" s="189"/>
      <c r="AV49" s="189"/>
      <c r="AW49" s="189"/>
      <c r="AX49" s="189"/>
      <c r="AY49" s="189"/>
    </row>
    <row r="50" spans="1:51">
      <c r="A50" t="s">
        <v>16</v>
      </c>
      <c r="C50" s="19" t="s">
        <v>160</v>
      </c>
      <c r="D50" t="s">
        <v>161</v>
      </c>
      <c r="E50" s="38">
        <v>6.8311858080285788</v>
      </c>
      <c r="F50" s="58">
        <f t="shared" si="80"/>
        <v>11.17821196363794</v>
      </c>
      <c r="G50" s="58">
        <f t="shared" si="80"/>
        <v>10.819193604037089</v>
      </c>
      <c r="H50" s="58">
        <f t="shared" si="80"/>
        <v>11.106075805903844</v>
      </c>
      <c r="I50" s="58">
        <f t="shared" si="80"/>
        <v>11.829749761579809</v>
      </c>
      <c r="J50" s="58">
        <f t="shared" si="80"/>
        <v>13.165009235201172</v>
      </c>
      <c r="K50" s="58">
        <f>IF($D$4,AD50,T50)</f>
        <v>13.165009235201172</v>
      </c>
      <c r="L50" s="58">
        <f>IF($D$4,AD50,T50)</f>
        <v>13.165009235201172</v>
      </c>
      <c r="M50" s="58">
        <f>IF($D$4,AG50,W50)</f>
        <v>13.928023313460864</v>
      </c>
      <c r="N50" s="33"/>
      <c r="O50" s="5">
        <f t="shared" ref="O50:W50" si="82">O49*O44</f>
        <v>11.069999999999999</v>
      </c>
      <c r="P50" s="5">
        <f t="shared" si="82"/>
        <v>11.17821196363794</v>
      </c>
      <c r="Q50" s="58">
        <f t="shared" si="82"/>
        <v>10.819193604037089</v>
      </c>
      <c r="R50" s="58">
        <f t="shared" si="82"/>
        <v>11.106075805903844</v>
      </c>
      <c r="S50" s="35">
        <f t="shared" si="82"/>
        <v>12.418467639815313</v>
      </c>
      <c r="T50" s="35">
        <f t="shared" si="82"/>
        <v>15.120992770777024</v>
      </c>
      <c r="U50" s="35">
        <f t="shared" ref="U50:V50" si="83">U49*U44</f>
        <v>18.49033793960437</v>
      </c>
      <c r="V50" s="35">
        <f t="shared" si="83"/>
        <v>18.49033793960437</v>
      </c>
      <c r="W50" s="35">
        <f t="shared" si="82"/>
        <v>16.797525190417399</v>
      </c>
      <c r="X50" s="189"/>
      <c r="Y50" s="58">
        <f t="shared" si="81"/>
        <v>11.069999999999999</v>
      </c>
      <c r="Z50" s="58">
        <f t="shared" si="81"/>
        <v>11.17821196363794</v>
      </c>
      <c r="AA50" s="58">
        <f t="shared" si="81"/>
        <v>10.819193604037089</v>
      </c>
      <c r="AB50" s="58">
        <f t="shared" si="81"/>
        <v>11.106075805903844</v>
      </c>
      <c r="AC50" s="35">
        <f>AC49*AC44</f>
        <v>11.829749761579809</v>
      </c>
      <c r="AD50" s="35">
        <f>AD49*AD44</f>
        <v>13.165009235201172</v>
      </c>
      <c r="AE50" s="35">
        <f>AE49*AE44</f>
        <v>14.507822903696091</v>
      </c>
      <c r="AF50" s="35">
        <f>AF49*AF44</f>
        <v>14.507822903696091</v>
      </c>
      <c r="AG50" s="35">
        <f>AG49*AG44</f>
        <v>13.928023313460864</v>
      </c>
      <c r="AH50" s="189"/>
      <c r="AI50" s="189"/>
      <c r="AJ50" s="189"/>
      <c r="AK50" s="189"/>
      <c r="AL50" s="189"/>
      <c r="AM50" s="189"/>
      <c r="AN50" s="189"/>
      <c r="AO50" s="189"/>
      <c r="AP50" s="189"/>
      <c r="AQ50" s="189"/>
      <c r="AR50" s="189"/>
      <c r="AS50" s="189"/>
      <c r="AT50" s="189"/>
      <c r="AU50" s="189"/>
      <c r="AV50" s="189"/>
      <c r="AW50" s="189"/>
      <c r="AX50" s="189"/>
      <c r="AY50" s="189"/>
    </row>
    <row r="51" spans="1:51" ht="15.75" thickBot="1">
      <c r="A51" t="s">
        <v>16</v>
      </c>
      <c r="C51" s="19" t="s">
        <v>162</v>
      </c>
      <c r="D51" t="s">
        <v>124</v>
      </c>
      <c r="E51" s="38">
        <v>9.5636601312400096</v>
      </c>
      <c r="F51" s="58">
        <f t="shared" si="80"/>
        <v>15.649496749093116</v>
      </c>
      <c r="G51" s="58">
        <f t="shared" si="80"/>
        <v>15.146871045651924</v>
      </c>
      <c r="H51" s="58">
        <f t="shared" si="80"/>
        <v>15.54850612826538</v>
      </c>
      <c r="I51" s="58">
        <f t="shared" si="80"/>
        <v>16.561649666211732</v>
      </c>
      <c r="J51" s="58">
        <f t="shared" si="80"/>
        <v>18.431012929281639</v>
      </c>
      <c r="K51" s="58">
        <f>IF($D$4,AD51,T51)</f>
        <v>18.431012929281639</v>
      </c>
      <c r="L51" s="58">
        <f>IF($D$4,AD51,T51)</f>
        <v>18.431012929281639</v>
      </c>
      <c r="M51" s="58">
        <f>IF($D$4,AG51,W51)</f>
        <v>19.499232638845207</v>
      </c>
      <c r="N51" s="33"/>
      <c r="O51" s="5">
        <f t="shared" ref="O51:W51" si="84">O50*O38</f>
        <v>15.497999999999998</v>
      </c>
      <c r="P51" s="5">
        <f t="shared" si="84"/>
        <v>15.649496749093116</v>
      </c>
      <c r="Q51" s="310">
        <f>Q50*Q38</f>
        <v>15.146871045651924</v>
      </c>
      <c r="R51" s="310">
        <f t="shared" si="84"/>
        <v>15.54850612826538</v>
      </c>
      <c r="S51" s="311">
        <f t="shared" si="84"/>
        <v>17.385854695741436</v>
      </c>
      <c r="T51" s="311">
        <f t="shared" si="84"/>
        <v>21.169389879087831</v>
      </c>
      <c r="U51" s="311">
        <f t="shared" ref="U51:V51" si="85">U50*U38</f>
        <v>25.886473115446115</v>
      </c>
      <c r="V51" s="311">
        <f t="shared" si="85"/>
        <v>25.886473115446115</v>
      </c>
      <c r="W51" s="311">
        <f t="shared" si="84"/>
        <v>23.516535266584359</v>
      </c>
      <c r="X51" s="189"/>
      <c r="Y51" s="310">
        <f t="shared" si="81"/>
        <v>15.497999999999998</v>
      </c>
      <c r="Z51" s="310">
        <f t="shared" si="81"/>
        <v>15.649496749093116</v>
      </c>
      <c r="AA51" s="310">
        <f t="shared" si="81"/>
        <v>15.146871045651924</v>
      </c>
      <c r="AB51" s="310">
        <f t="shared" si="81"/>
        <v>15.54850612826538</v>
      </c>
      <c r="AC51" s="311">
        <f>AC50*AC38</f>
        <v>16.561649666211732</v>
      </c>
      <c r="AD51" s="311">
        <f>AD50*AD38</f>
        <v>18.431012929281639</v>
      </c>
      <c r="AE51" s="311">
        <f>AE50*AE38</f>
        <v>20.310952065174526</v>
      </c>
      <c r="AF51" s="311">
        <f>AF50*AF38</f>
        <v>20.310952065174526</v>
      </c>
      <c r="AG51" s="311">
        <f>AG50*AG38</f>
        <v>19.499232638845207</v>
      </c>
      <c r="AH51" s="189"/>
      <c r="AI51" s="189"/>
      <c r="AJ51" s="189"/>
      <c r="AK51" s="189"/>
      <c r="AL51" s="189"/>
      <c r="AM51" s="189"/>
      <c r="AN51" s="189"/>
      <c r="AO51" s="189"/>
      <c r="AP51" s="189"/>
      <c r="AQ51" s="189"/>
      <c r="AR51" s="189"/>
      <c r="AS51" s="189"/>
      <c r="AT51" s="189"/>
      <c r="AU51" s="189"/>
      <c r="AV51" s="189"/>
      <c r="AW51" s="189"/>
      <c r="AX51" s="189"/>
      <c r="AY51" s="189"/>
    </row>
    <row r="52" spans="1:51" ht="15.75" thickTop="1">
      <c r="A52" t="s">
        <v>16</v>
      </c>
      <c r="C52" s="19"/>
      <c r="J52"/>
      <c r="N52" s="298"/>
      <c r="O52" s="319" t="s">
        <v>778</v>
      </c>
      <c r="P52" s="299"/>
      <c r="Q52" s="299"/>
      <c r="R52" s="299"/>
      <c r="S52" s="318" t="s">
        <v>785</v>
      </c>
      <c r="T52" s="299"/>
      <c r="U52" s="299"/>
      <c r="V52" s="299"/>
      <c r="W52" s="299"/>
      <c r="X52" s="299"/>
      <c r="Y52" s="299"/>
      <c r="Z52" s="299"/>
      <c r="AA52" s="299"/>
      <c r="AB52" s="299"/>
      <c r="AC52" s="299"/>
      <c r="AD52" s="299"/>
      <c r="AE52" s="299"/>
      <c r="AF52" s="299"/>
      <c r="AG52" s="299"/>
      <c r="AH52" s="300"/>
    </row>
    <row r="53" spans="1:51" ht="15.75" thickBot="1">
      <c r="A53" t="s">
        <v>16</v>
      </c>
      <c r="B53" s="2" t="s">
        <v>73</v>
      </c>
      <c r="D53" s="2"/>
      <c r="E53" s="6">
        <f t="shared" ref="E53:M53" si="86">E40</f>
        <v>2017</v>
      </c>
      <c r="F53" s="6">
        <f t="shared" si="86"/>
        <v>2019</v>
      </c>
      <c r="G53" s="6">
        <f t="shared" si="86"/>
        <v>2020</v>
      </c>
      <c r="H53" s="6">
        <f t="shared" si="86"/>
        <v>2021</v>
      </c>
      <c r="I53" s="6">
        <f t="shared" si="86"/>
        <v>2030</v>
      </c>
      <c r="J53" s="6">
        <f t="shared" si="86"/>
        <v>2040</v>
      </c>
      <c r="K53" s="6">
        <f t="shared" ref="K53:L53" si="87">K40</f>
        <v>2050</v>
      </c>
      <c r="L53" s="6">
        <f t="shared" si="87"/>
        <v>2050</v>
      </c>
      <c r="M53" s="6">
        <f t="shared" si="86"/>
        <v>2050</v>
      </c>
      <c r="N53" s="301"/>
      <c r="O53" s="6">
        <f t="shared" ref="O53:W53" si="88">O40</f>
        <v>2017</v>
      </c>
      <c r="P53" s="6">
        <f t="shared" si="88"/>
        <v>2019</v>
      </c>
      <c r="Q53" s="6">
        <f t="shared" si="88"/>
        <v>2020</v>
      </c>
      <c r="R53" s="6">
        <f t="shared" si="88"/>
        <v>2021</v>
      </c>
      <c r="S53" s="6">
        <f t="shared" si="88"/>
        <v>2030</v>
      </c>
      <c r="T53" s="6">
        <f t="shared" si="88"/>
        <v>2040</v>
      </c>
      <c r="U53" s="6">
        <f t="shared" ref="U53:V53" si="89">U40</f>
        <v>2050</v>
      </c>
      <c r="V53" s="6">
        <f t="shared" si="89"/>
        <v>2050</v>
      </c>
      <c r="W53" s="6">
        <f t="shared" si="88"/>
        <v>2050</v>
      </c>
      <c r="Y53" s="240">
        <f t="shared" ref="Y53:AG53" si="90">Y$12</f>
        <v>2017</v>
      </c>
      <c r="Z53" s="240">
        <f t="shared" si="90"/>
        <v>2019</v>
      </c>
      <c r="AA53" s="240">
        <f t="shared" si="90"/>
        <v>2020</v>
      </c>
      <c r="AB53" s="240">
        <f t="shared" si="90"/>
        <v>2021</v>
      </c>
      <c r="AC53" s="240">
        <f t="shared" si="90"/>
        <v>2030</v>
      </c>
      <c r="AD53" s="240">
        <f t="shared" si="90"/>
        <v>2040</v>
      </c>
      <c r="AE53" s="240">
        <f t="shared" si="90"/>
        <v>2050</v>
      </c>
      <c r="AF53" s="240">
        <f t="shared" si="90"/>
        <v>2060</v>
      </c>
      <c r="AG53" s="240">
        <f t="shared" si="90"/>
        <v>2070</v>
      </c>
      <c r="AH53" s="302"/>
    </row>
    <row r="54" spans="1:51">
      <c r="A54" t="s">
        <v>16</v>
      </c>
      <c r="C54" s="19" t="str">
        <f>C30</f>
        <v>Low Income</v>
      </c>
      <c r="D54" t="s">
        <v>58</v>
      </c>
      <c r="E54" s="48">
        <f t="shared" ref="E54:J59" si="91">IF($D$4,Y54,O54)</f>
        <v>0.12877680945571371</v>
      </c>
      <c r="F54" s="48">
        <f t="shared" si="91"/>
        <v>0.12973355042768442</v>
      </c>
      <c r="G54" s="48">
        <f t="shared" si="91"/>
        <v>0.13499132813487882</v>
      </c>
      <c r="H54" s="48">
        <f t="shared" si="91"/>
        <v>0.14535426337436252</v>
      </c>
      <c r="I54" s="48">
        <f t="shared" si="91"/>
        <v>0.11306479440970932</v>
      </c>
      <c r="J54" s="48">
        <f t="shared" si="91"/>
        <v>8.2840644672089778E-2</v>
      </c>
      <c r="K54" s="48">
        <f t="shared" ref="K54:K59" si="92">IF($D$4,AD54,T54)</f>
        <v>8.2840644672089778E-2</v>
      </c>
      <c r="L54" s="48">
        <f t="shared" ref="L54:L59" si="93">IF($D$4,AD54,T54)</f>
        <v>8.2840644672089778E-2</v>
      </c>
      <c r="M54" s="309">
        <f t="shared" ref="M54:M59" si="94">IF($D$4,AG54,W54)</f>
        <v>2.97608262839665E-2</v>
      </c>
      <c r="N54" s="313"/>
      <c r="O54" s="347">
        <f t="shared" ref="O54:Q56" si="95">O30*O25*O13</f>
        <v>0.12877680945571371</v>
      </c>
      <c r="P54" s="5">
        <f t="shared" si="95"/>
        <v>0.12973355042768442</v>
      </c>
      <c r="Q54" s="5">
        <f t="shared" si="95"/>
        <v>0.13499132813487882</v>
      </c>
      <c r="R54" s="5">
        <f>R30*R25*R13</f>
        <v>0.14535426337436252</v>
      </c>
      <c r="S54" s="340">
        <f t="shared" ref="S54:W54" si="96">S30*S25*S13</f>
        <v>0.11901557306285192</v>
      </c>
      <c r="T54" s="340">
        <f t="shared" si="96"/>
        <v>8.720067860219978E-2</v>
      </c>
      <c r="U54" s="340">
        <f t="shared" ref="U54:V54" si="97">U30*U25*U13</f>
        <v>6.6443170403410121E-2</v>
      </c>
      <c r="V54" s="340">
        <f t="shared" si="97"/>
        <v>5.033961330920745E-2</v>
      </c>
      <c r="W54" s="340">
        <f t="shared" si="96"/>
        <v>3.4711562949662052E-2</v>
      </c>
      <c r="X54" s="341"/>
      <c r="Y54" s="5">
        <f t="shared" ref="Y54:AB56" si="98">Y30*Y25*Y13</f>
        <v>0.12877680945571371</v>
      </c>
      <c r="Z54" s="5">
        <f t="shared" si="98"/>
        <v>0.12973355042768442</v>
      </c>
      <c r="AA54" s="5">
        <f t="shared" si="98"/>
        <v>0.13499132813487882</v>
      </c>
      <c r="AB54" s="5">
        <f t="shared" si="98"/>
        <v>0.14535426337436252</v>
      </c>
      <c r="AC54" s="340">
        <f t="shared" ref="AC54" si="99">AC30*AC25*AC13</f>
        <v>0.11306479440970932</v>
      </c>
      <c r="AD54" s="340">
        <f t="shared" ref="AD54:AG56" si="100">AD30*AD25*AD13</f>
        <v>8.2840644672089778E-2</v>
      </c>
      <c r="AE54" s="340">
        <f t="shared" ref="AE54:AF54" si="101">AE30*AE25*AE13</f>
        <v>5.9964961289077634E-2</v>
      </c>
      <c r="AF54" s="340">
        <f t="shared" si="101"/>
        <v>4.5431501011559725E-2</v>
      </c>
      <c r="AG54" s="340">
        <f t="shared" si="100"/>
        <v>2.97608262839665E-2</v>
      </c>
      <c r="AH54" s="314"/>
      <c r="AI54" s="189"/>
      <c r="AJ54" s="189"/>
      <c r="AK54" s="189"/>
      <c r="AL54" s="189"/>
      <c r="AM54" s="189"/>
      <c r="AN54" s="189"/>
      <c r="AO54" s="189"/>
      <c r="AP54" s="189"/>
      <c r="AQ54" s="189"/>
      <c r="AR54" s="189"/>
      <c r="AS54" s="189"/>
      <c r="AT54" s="189"/>
      <c r="AU54" s="189"/>
      <c r="AV54" s="189"/>
      <c r="AW54" s="189"/>
      <c r="AX54" s="189"/>
      <c r="AY54" s="189"/>
    </row>
    <row r="55" spans="1:51">
      <c r="A55" t="s">
        <v>16</v>
      </c>
      <c r="C55" s="19" t="str">
        <f>C31</f>
        <v>Middle Income</v>
      </c>
      <c r="D55" t="s">
        <v>58</v>
      </c>
      <c r="E55" s="48">
        <f t="shared" si="91"/>
        <v>2.7702164245855587</v>
      </c>
      <c r="F55" s="48">
        <f t="shared" si="91"/>
        <v>2.92184375996167</v>
      </c>
      <c r="G55" s="48">
        <f t="shared" si="91"/>
        <v>3.0704902512012651</v>
      </c>
      <c r="H55" s="48">
        <f t="shared" si="91"/>
        <v>2.770737859888222</v>
      </c>
      <c r="I55" s="48">
        <f t="shared" si="91"/>
        <v>3.0633817870816133</v>
      </c>
      <c r="J55" s="48">
        <f t="shared" si="91"/>
        <v>3.3894366620113052</v>
      </c>
      <c r="K55" s="48">
        <f t="shared" si="92"/>
        <v>3.3894366620113052</v>
      </c>
      <c r="L55" s="48">
        <f t="shared" si="93"/>
        <v>3.3894366620113052</v>
      </c>
      <c r="M55" s="309">
        <f t="shared" si="94"/>
        <v>4.1870899453531223</v>
      </c>
      <c r="N55" s="313"/>
      <c r="O55" s="249">
        <f t="shared" si="95"/>
        <v>2.7702164245855587</v>
      </c>
      <c r="P55" s="5">
        <f t="shared" si="95"/>
        <v>2.92184375996167</v>
      </c>
      <c r="Q55" s="5">
        <f>Q31*Q26*Q14</f>
        <v>3.0704902512012651</v>
      </c>
      <c r="R55" s="5">
        <f t="shared" ref="R55:W55" si="102">R31*R26*R14</f>
        <v>2.770737859888222</v>
      </c>
      <c r="S55" s="340">
        <f t="shared" si="102"/>
        <v>3.3943288499519269</v>
      </c>
      <c r="T55" s="340">
        <f t="shared" si="102"/>
        <v>3.9532720944875996</v>
      </c>
      <c r="U55" s="340">
        <f t="shared" ref="U55:V55" si="103">U31*U26*U14</f>
        <v>4.3662542183023714</v>
      </c>
      <c r="V55" s="340">
        <f t="shared" si="103"/>
        <v>4.7233481107131103</v>
      </c>
      <c r="W55" s="340">
        <f t="shared" si="102"/>
        <v>5.14064802492691</v>
      </c>
      <c r="X55" s="341"/>
      <c r="Y55" s="5">
        <f t="shared" si="98"/>
        <v>2.7702164245855587</v>
      </c>
      <c r="Z55" s="5">
        <f t="shared" si="98"/>
        <v>2.92184375996167</v>
      </c>
      <c r="AA55" s="5">
        <f t="shared" si="98"/>
        <v>3.0704902512012651</v>
      </c>
      <c r="AB55" s="5">
        <f t="shared" si="98"/>
        <v>2.770737859888222</v>
      </c>
      <c r="AC55" s="340">
        <f t="shared" ref="AC55" si="104">AC31*AC26*AC14</f>
        <v>3.0633817870816133</v>
      </c>
      <c r="AD55" s="340">
        <f t="shared" si="100"/>
        <v>3.3894366620113052</v>
      </c>
      <c r="AE55" s="340">
        <f t="shared" ref="AE55:AF55" si="105">AE31*AE26*AE14</f>
        <v>3.7435172104169951</v>
      </c>
      <c r="AF55" s="340">
        <f t="shared" si="105"/>
        <v>4.0496805864226522</v>
      </c>
      <c r="AG55" s="340">
        <f t="shared" si="100"/>
        <v>4.1870899453531223</v>
      </c>
      <c r="AH55" s="314"/>
      <c r="AI55" s="189"/>
      <c r="AJ55" s="189"/>
      <c r="AK55" s="189"/>
      <c r="AL55" s="189"/>
      <c r="AM55" s="189"/>
      <c r="AN55" s="189"/>
      <c r="AO55" s="189"/>
      <c r="AP55" s="189"/>
      <c r="AQ55" s="189"/>
      <c r="AR55" s="189"/>
      <c r="AS55" s="189"/>
      <c r="AT55" s="189"/>
      <c r="AU55" s="189"/>
      <c r="AV55" s="189"/>
      <c r="AW55" s="189"/>
      <c r="AX55" s="189"/>
      <c r="AY55" s="189"/>
    </row>
    <row r="56" spans="1:51">
      <c r="A56" t="s">
        <v>16</v>
      </c>
      <c r="C56" s="19" t="str">
        <f>C32</f>
        <v>High Income</v>
      </c>
      <c r="D56" t="s">
        <v>58</v>
      </c>
      <c r="E56" s="48">
        <f t="shared" si="91"/>
        <v>4.1038214947082041</v>
      </c>
      <c r="F56" s="48">
        <f t="shared" si="91"/>
        <v>4.3184589686023154</v>
      </c>
      <c r="G56" s="48">
        <f t="shared" si="91"/>
        <v>3.6132870620523043</v>
      </c>
      <c r="H56" s="48">
        <f t="shared" si="91"/>
        <v>4.2068453520886786</v>
      </c>
      <c r="I56" s="48">
        <f t="shared" si="91"/>
        <v>6.1400961583050728</v>
      </c>
      <c r="J56" s="48">
        <f t="shared" si="91"/>
        <v>9.0743381911382315</v>
      </c>
      <c r="K56" s="48">
        <f t="shared" si="92"/>
        <v>9.0743381911382315</v>
      </c>
      <c r="L56" s="48">
        <f t="shared" si="93"/>
        <v>9.0743381911382315</v>
      </c>
      <c r="M56" s="309">
        <f t="shared" si="94"/>
        <v>14.087845241073158</v>
      </c>
      <c r="N56" s="313"/>
      <c r="O56" s="249">
        <f t="shared" si="95"/>
        <v>4.1038214947082041</v>
      </c>
      <c r="P56" s="5">
        <f t="shared" si="95"/>
        <v>4.3184589686023154</v>
      </c>
      <c r="Q56" s="5">
        <f t="shared" si="95"/>
        <v>3.6132870620523043</v>
      </c>
      <c r="R56" s="5">
        <f t="shared" ref="R56:W56" si="106">R32*R27*R15</f>
        <v>4.2068453520886786</v>
      </c>
      <c r="S56" s="340">
        <f t="shared" si="106"/>
        <v>6.803430646321412</v>
      </c>
      <c r="T56" s="340">
        <f t="shared" si="106"/>
        <v>10.58386142719141</v>
      </c>
      <c r="U56" s="340">
        <f t="shared" ref="U56:V56" si="107">U32*U27*U15</f>
        <v>15.358236701081809</v>
      </c>
      <c r="V56" s="340">
        <f t="shared" si="107"/>
        <v>16.814525929017769</v>
      </c>
      <c r="W56" s="340">
        <f t="shared" si="106"/>
        <v>17.296178195161993</v>
      </c>
      <c r="X56" s="341"/>
      <c r="Y56" s="5">
        <f t="shared" si="98"/>
        <v>4.1038214947082041</v>
      </c>
      <c r="Z56" s="5">
        <f t="shared" si="98"/>
        <v>4.3184589686023154</v>
      </c>
      <c r="AA56" s="5">
        <f t="shared" si="98"/>
        <v>3.6132870620523043</v>
      </c>
      <c r="AB56" s="5">
        <f t="shared" si="98"/>
        <v>4.2068453520886786</v>
      </c>
      <c r="AC56" s="340">
        <f t="shared" ref="AC56" si="108">AC32*AC27*AC15</f>
        <v>6.1400961583050728</v>
      </c>
      <c r="AD56" s="340">
        <f t="shared" si="100"/>
        <v>9.0743381911382315</v>
      </c>
      <c r="AE56" s="340">
        <f t="shared" ref="AE56:AF56" si="109">AE32*AE27*AE15</f>
        <v>13.167768191590014</v>
      </c>
      <c r="AF56" s="340">
        <f t="shared" si="109"/>
        <v>14.416354168391605</v>
      </c>
      <c r="AG56" s="340">
        <f t="shared" si="100"/>
        <v>14.087845241073158</v>
      </c>
      <c r="AH56" s="314"/>
      <c r="AI56" s="189"/>
      <c r="AJ56" s="189"/>
      <c r="AK56" s="189"/>
      <c r="AL56" s="189"/>
      <c r="AM56" s="189"/>
      <c r="AN56" s="189"/>
      <c r="AO56" s="189"/>
      <c r="AP56" s="189"/>
      <c r="AQ56" s="189"/>
      <c r="AR56" s="189"/>
      <c r="AS56" s="189"/>
      <c r="AT56" s="189"/>
      <c r="AU56" s="189"/>
      <c r="AV56" s="189"/>
      <c r="AW56" s="189"/>
      <c r="AX56" s="189"/>
      <c r="AY56" s="189"/>
    </row>
    <row r="57" spans="1:51" ht="15.75" thickBot="1">
      <c r="A57" t="s">
        <v>16</v>
      </c>
      <c r="C57" s="19" t="s">
        <v>153</v>
      </c>
      <c r="D57" t="s">
        <v>58</v>
      </c>
      <c r="E57" s="48">
        <f t="shared" si="91"/>
        <v>0.82</v>
      </c>
      <c r="F57" s="48">
        <f t="shared" si="91"/>
        <v>0.82801570101021782</v>
      </c>
      <c r="G57" s="48">
        <f t="shared" si="91"/>
        <v>0.80142174844719183</v>
      </c>
      <c r="H57" s="48">
        <f t="shared" si="91"/>
        <v>0.82267228191880326</v>
      </c>
      <c r="I57" s="48">
        <f t="shared" si="91"/>
        <v>0.92239764222844522</v>
      </c>
      <c r="J57" s="48">
        <f t="shared" si="91"/>
        <v>1.0805383593065496</v>
      </c>
      <c r="K57" s="48">
        <f t="shared" si="92"/>
        <v>1.0805383593065496</v>
      </c>
      <c r="L57" s="48">
        <f t="shared" si="93"/>
        <v>1.0805383593065496</v>
      </c>
      <c r="M57" s="309">
        <f t="shared" si="94"/>
        <v>1.2033304337387152</v>
      </c>
      <c r="N57" s="315"/>
      <c r="O57" s="326">
        <f t="shared" ref="O57:Q57" si="110">O49</f>
        <v>0.82</v>
      </c>
      <c r="P57" s="316">
        <f t="shared" si="110"/>
        <v>0.82801570101021782</v>
      </c>
      <c r="Q57" s="316">
        <f t="shared" si="110"/>
        <v>0.80142174844719183</v>
      </c>
      <c r="R57" s="316">
        <f>R49</f>
        <v>0.82267228191880326</v>
      </c>
      <c r="S57" s="342">
        <f t="shared" ref="S57:W57" si="111">S49</f>
        <v>0.91988649183817139</v>
      </c>
      <c r="T57" s="342">
        <f t="shared" si="111"/>
        <v>1.1200735385760758</v>
      </c>
      <c r="U57" s="342">
        <f t="shared" ref="U57:V57" si="112">U49</f>
        <v>1.3696546621929162</v>
      </c>
      <c r="V57" s="342">
        <f t="shared" si="112"/>
        <v>1.3696546621929162</v>
      </c>
      <c r="W57" s="342">
        <f t="shared" si="111"/>
        <v>1.2442611252161038</v>
      </c>
      <c r="X57" s="343" t="s">
        <v>786</v>
      </c>
      <c r="Y57" s="316">
        <f t="shared" ref="Y57:AB57" si="113">Y49</f>
        <v>0.82</v>
      </c>
      <c r="Z57" s="316">
        <f t="shared" si="113"/>
        <v>0.82801570101021782</v>
      </c>
      <c r="AA57" s="316">
        <f t="shared" si="113"/>
        <v>0.80142174844719183</v>
      </c>
      <c r="AB57" s="316">
        <f t="shared" si="113"/>
        <v>0.82267228191880326</v>
      </c>
      <c r="AC57" s="342">
        <f t="shared" ref="AC57" si="114">AC49</f>
        <v>0.92239764222844522</v>
      </c>
      <c r="AD57" s="342">
        <f>AD49</f>
        <v>1.0805383593065496</v>
      </c>
      <c r="AE57" s="342">
        <f>AE49</f>
        <v>1.1907518542071278</v>
      </c>
      <c r="AF57" s="342">
        <f>AF49</f>
        <v>1.1907518542071278</v>
      </c>
      <c r="AG57" s="342">
        <f>AG49</f>
        <v>1.2033304337387152</v>
      </c>
      <c r="AH57" s="317"/>
      <c r="AI57" s="189"/>
      <c r="AJ57" s="189"/>
      <c r="AK57" s="189"/>
      <c r="AL57" s="189"/>
      <c r="AM57" s="189"/>
      <c r="AN57" s="189"/>
      <c r="AO57" s="189"/>
      <c r="AP57" s="189"/>
      <c r="AQ57" s="189"/>
      <c r="AR57" s="189"/>
      <c r="AS57" s="189"/>
      <c r="AT57" s="189"/>
      <c r="AU57" s="189"/>
      <c r="AV57" s="189"/>
      <c r="AW57" s="189"/>
      <c r="AX57" s="189"/>
      <c r="AY57" s="189"/>
    </row>
    <row r="58" spans="1:51" ht="15.75" thickTop="1">
      <c r="A58" t="s">
        <v>16</v>
      </c>
      <c r="C58" s="19" t="s">
        <v>55</v>
      </c>
      <c r="D58" t="s">
        <v>58</v>
      </c>
      <c r="E58" s="48">
        <f t="shared" si="91"/>
        <v>7.8228147287494769</v>
      </c>
      <c r="F58" s="48">
        <f t="shared" si="91"/>
        <v>8.1980519800018872</v>
      </c>
      <c r="G58" s="48">
        <f t="shared" si="91"/>
        <v>7.6201903898356402</v>
      </c>
      <c r="H58" s="48">
        <f t="shared" si="91"/>
        <v>7.9456097572700664</v>
      </c>
      <c r="I58" s="48">
        <f t="shared" si="91"/>
        <v>10.23894038202484</v>
      </c>
      <c r="J58" s="48">
        <f t="shared" si="91"/>
        <v>13.627153857128176</v>
      </c>
      <c r="K58" s="48">
        <f t="shared" si="92"/>
        <v>13.627153857128176</v>
      </c>
      <c r="L58" s="48">
        <f t="shared" si="93"/>
        <v>13.627153857128176</v>
      </c>
      <c r="M58" s="48">
        <f t="shared" si="94"/>
        <v>19.508026446448959</v>
      </c>
      <c r="N58" s="33"/>
      <c r="O58" s="5">
        <f t="shared" ref="O58:Q58" si="115">SUM(O54:O57)</f>
        <v>7.8228147287494769</v>
      </c>
      <c r="P58" s="5">
        <f t="shared" si="115"/>
        <v>8.1980519800018872</v>
      </c>
      <c r="Q58" s="5">
        <f t="shared" si="115"/>
        <v>7.6201903898356402</v>
      </c>
      <c r="R58" s="5">
        <f>SUM(R54:R57)</f>
        <v>7.9456097572700664</v>
      </c>
      <c r="S58" s="312">
        <f t="shared" ref="S58" si="116">SUM(S54:S57)</f>
        <v>11.236661561174364</v>
      </c>
      <c r="T58" s="312">
        <f t="shared" ref="T58" si="117">SUM(T54:T57)</f>
        <v>15.744407738857285</v>
      </c>
      <c r="U58" s="312">
        <f>SUM(U54:U57)</f>
        <v>21.160588751980505</v>
      </c>
      <c r="V58" s="312">
        <f>SUM(V54:V57)</f>
        <v>22.957868315233</v>
      </c>
      <c r="W58" s="312">
        <f>SUM(W54:W57)</f>
        <v>23.715798908254666</v>
      </c>
      <c r="X58" s="189"/>
      <c r="Y58" s="5">
        <f t="shared" ref="Y58:AC58" si="118">SUM(Y54:Y57)</f>
        <v>7.8228147287494769</v>
      </c>
      <c r="Z58" s="5">
        <f t="shared" si="118"/>
        <v>8.1980519800018872</v>
      </c>
      <c r="AA58" s="5">
        <f t="shared" si="118"/>
        <v>7.6201903898356402</v>
      </c>
      <c r="AB58" s="5">
        <f t="shared" si="118"/>
        <v>7.9456097572700664</v>
      </c>
      <c r="AC58" s="312">
        <f t="shared" si="118"/>
        <v>10.23894038202484</v>
      </c>
      <c r="AD58" s="312">
        <f>SUM(AD54:AD57)</f>
        <v>13.627153857128176</v>
      </c>
      <c r="AE58" s="312">
        <f>SUM(AE54:AE57)</f>
        <v>18.162002217503215</v>
      </c>
      <c r="AF58" s="312">
        <f>SUM(AF54:AF57)</f>
        <v>19.702218110032945</v>
      </c>
      <c r="AG58" s="312">
        <f>SUM(AG54:AG57)</f>
        <v>19.508026446448959</v>
      </c>
      <c r="AH58" s="189"/>
      <c r="AI58" s="189"/>
      <c r="AJ58" s="189"/>
      <c r="AK58" s="189"/>
      <c r="AL58" s="189"/>
      <c r="AM58" s="189"/>
      <c r="AN58" s="189"/>
      <c r="AO58" s="189"/>
      <c r="AP58" s="189"/>
      <c r="AQ58" s="189"/>
      <c r="AR58" s="189"/>
      <c r="AS58" s="189"/>
      <c r="AT58" s="189"/>
      <c r="AU58" s="189"/>
      <c r="AV58" s="189"/>
      <c r="AW58" s="189"/>
      <c r="AX58" s="189"/>
      <c r="AY58" s="189"/>
    </row>
    <row r="59" spans="1:51">
      <c r="A59" t="s">
        <v>16</v>
      </c>
      <c r="C59" s="19" t="s">
        <v>56</v>
      </c>
      <c r="D59" t="s">
        <v>57</v>
      </c>
      <c r="E59" s="48">
        <f t="shared" si="91"/>
        <v>7.2252699317964622</v>
      </c>
      <c r="F59" s="48">
        <f t="shared" si="91"/>
        <v>7.1193540934106165</v>
      </c>
      <c r="G59" s="48">
        <f t="shared" si="91"/>
        <v>7.6334348116433448</v>
      </c>
      <c r="H59" s="48">
        <f t="shared" si="91"/>
        <v>7.4748517501324967</v>
      </c>
      <c r="I59" s="48">
        <f t="shared" si="91"/>
        <v>6.3150360864991253</v>
      </c>
      <c r="J59" s="48">
        <f t="shared" si="91"/>
        <v>5.1158105156003346</v>
      </c>
      <c r="K59" s="48">
        <f t="shared" si="92"/>
        <v>5.1158105156003346</v>
      </c>
      <c r="L59" s="48">
        <f t="shared" si="93"/>
        <v>5.1158105156003346</v>
      </c>
      <c r="M59" s="48">
        <f t="shared" si="94"/>
        <v>3.9215732667783865</v>
      </c>
      <c r="N59" s="33"/>
      <c r="O59" s="36">
        <f t="shared" ref="O59:T59" si="119">E16/O58</f>
        <v>7.2252699317964622</v>
      </c>
      <c r="P59" s="36">
        <f t="shared" si="119"/>
        <v>7.1193540934106165</v>
      </c>
      <c r="Q59" s="5">
        <f t="shared" si="119"/>
        <v>7.6334348116433448</v>
      </c>
      <c r="R59" s="5">
        <f t="shared" si="119"/>
        <v>7.4748517501324967</v>
      </c>
      <c r="S59" s="35">
        <f t="shared" si="119"/>
        <v>5.7543139168144837</v>
      </c>
      <c r="T59" s="35">
        <f t="shared" si="119"/>
        <v>4.4278538866816568</v>
      </c>
      <c r="U59" s="35">
        <f>L16/U58</f>
        <v>3.5756660122662409</v>
      </c>
      <c r="V59" s="35">
        <f>L16/V58</f>
        <v>3.2957414408460552</v>
      </c>
      <c r="W59" s="35">
        <f>M16/W58</f>
        <v>3.2257886523642343</v>
      </c>
      <c r="X59" s="189"/>
      <c r="Y59" s="36">
        <f t="shared" ref="Y59:AC59" si="120">Y16/Y58</f>
        <v>7.2252699317964622</v>
      </c>
      <c r="Z59" s="36">
        <f t="shared" si="120"/>
        <v>7.1193540934106165</v>
      </c>
      <c r="AA59" s="36">
        <f t="shared" si="120"/>
        <v>7.6334348116433448</v>
      </c>
      <c r="AB59" s="36">
        <f t="shared" si="120"/>
        <v>7.4748517501324967</v>
      </c>
      <c r="AC59" s="35">
        <f t="shared" si="120"/>
        <v>6.3150360864991253</v>
      </c>
      <c r="AD59" s="35">
        <f>AD16/AD58</f>
        <v>5.1158105156003346</v>
      </c>
      <c r="AE59" s="35">
        <f>AE16/AE58</f>
        <v>4.0485488394631615</v>
      </c>
      <c r="AF59" s="35">
        <f>AF16/AF58</f>
        <v>3.8403390713388812</v>
      </c>
      <c r="AG59" s="35">
        <f>AG16/AG58</f>
        <v>3.9215732667783865</v>
      </c>
      <c r="AH59" s="189"/>
      <c r="AI59" s="189"/>
      <c r="AJ59" s="189"/>
      <c r="AK59" s="189"/>
      <c r="AL59" s="189"/>
      <c r="AM59" s="189"/>
      <c r="AN59" s="189"/>
      <c r="AO59" s="189"/>
      <c r="AP59" s="189"/>
      <c r="AQ59" s="189"/>
      <c r="AR59" s="189"/>
      <c r="AS59" s="189"/>
      <c r="AT59" s="189"/>
      <c r="AU59" s="189"/>
      <c r="AV59" s="189"/>
      <c r="AW59" s="189"/>
      <c r="AX59" s="189"/>
      <c r="AY59" s="189"/>
    </row>
    <row r="60" spans="1:51">
      <c r="A60" t="s">
        <v>16</v>
      </c>
      <c r="C60" s="19" t="s">
        <v>154</v>
      </c>
      <c r="D60" t="s">
        <v>132</v>
      </c>
      <c r="E60" s="5">
        <f t="shared" ref="E60:M60" si="121">1000/E59</f>
        <v>138.40313364615901</v>
      </c>
      <c r="F60" s="5">
        <f t="shared" si="121"/>
        <v>140.46218054044525</v>
      </c>
      <c r="G60" s="5">
        <f t="shared" si="121"/>
        <v>131.00262524999772</v>
      </c>
      <c r="H60" s="5">
        <f t="shared" si="121"/>
        <v>133.78191747846697</v>
      </c>
      <c r="I60" s="5">
        <f t="shared" si="121"/>
        <v>158.35222258474397</v>
      </c>
      <c r="J60" s="5">
        <f t="shared" si="121"/>
        <v>195.47244702487797</v>
      </c>
      <c r="K60" s="5">
        <f t="shared" ref="K60:L60" si="122">1000/K59</f>
        <v>195.47244702487797</v>
      </c>
      <c r="L60" s="5">
        <f t="shared" si="122"/>
        <v>195.47244702487797</v>
      </c>
      <c r="M60" s="5">
        <f t="shared" si="121"/>
        <v>254.99969832809231</v>
      </c>
      <c r="N60" s="32"/>
      <c r="O60" s="5">
        <f t="shared" ref="O60:Q60" si="123">1000/O59</f>
        <v>138.40313364615901</v>
      </c>
      <c r="P60" s="5">
        <f t="shared" si="123"/>
        <v>140.46218054044525</v>
      </c>
      <c r="Q60" s="5">
        <f t="shared" si="123"/>
        <v>131.00262524999772</v>
      </c>
      <c r="R60" s="5">
        <f>1000/R59</f>
        <v>133.78191747846697</v>
      </c>
      <c r="S60" s="5">
        <f t="shared" ref="S60" si="124">1000/S59</f>
        <v>173.78266366002978</v>
      </c>
      <c r="T60" s="5">
        <f t="shared" ref="T60" si="125">1000/T59</f>
        <v>225.84304396490029</v>
      </c>
      <c r="U60" s="5">
        <f t="shared" ref="U60:W60" si="126">1000/U59</f>
        <v>279.66817833923045</v>
      </c>
      <c r="V60" s="5">
        <f t="shared" ref="V60" si="127">1000/V59</f>
        <v>303.42186058845937</v>
      </c>
      <c r="W60" s="5">
        <f t="shared" si="126"/>
        <v>310.00171051723532</v>
      </c>
      <c r="Y60" s="5">
        <f t="shared" ref="Y60:AC60" si="128">1000/Y59</f>
        <v>138.40313364615901</v>
      </c>
      <c r="Z60" s="5">
        <f t="shared" si="128"/>
        <v>140.46218054044525</v>
      </c>
      <c r="AA60" s="5">
        <f t="shared" si="128"/>
        <v>131.00262524999772</v>
      </c>
      <c r="AB60" s="5">
        <f t="shared" si="128"/>
        <v>133.78191747846697</v>
      </c>
      <c r="AC60" s="5">
        <f t="shared" si="128"/>
        <v>158.35222258474397</v>
      </c>
      <c r="AD60" s="5">
        <f>1000/AD59</f>
        <v>195.47244702487797</v>
      </c>
      <c r="AE60" s="5">
        <f>1000/AE59</f>
        <v>247.00208387077288</v>
      </c>
      <c r="AF60" s="5">
        <f>1000/AF59</f>
        <v>260.39367395008793</v>
      </c>
      <c r="AG60" s="5">
        <f>1000/AG59</f>
        <v>254.99969832809231</v>
      </c>
    </row>
    <row r="61" spans="1:51">
      <c r="A61" t="s">
        <v>16</v>
      </c>
      <c r="C61" s="19" t="s">
        <v>155</v>
      </c>
      <c r="E61" s="64">
        <f>IF($D$4,AA61,Q61)</f>
        <v>0.10517083005120004</v>
      </c>
      <c r="F61" s="64">
        <f>IF($D$4,AC61,S61)</f>
        <v>9.0087216822531499E-2</v>
      </c>
      <c r="G61" s="64">
        <f>IF($D$4,AD61,T61)</f>
        <v>7.929303291320329E-2</v>
      </c>
      <c r="H61" s="64">
        <f>IF($D$4,AG61,W61)</f>
        <v>6.1683863154581541E-2</v>
      </c>
      <c r="I61" s="64">
        <f>IF($D$4,AC61,S61)</f>
        <v>9.0087216822531499E-2</v>
      </c>
      <c r="J61" s="64">
        <f>IF($D$4,AD61,T61)</f>
        <v>7.929303291320329E-2</v>
      </c>
      <c r="K61" s="64">
        <f>IF($D$4,AD61,T61)</f>
        <v>7.929303291320329E-2</v>
      </c>
      <c r="L61" s="64">
        <f>IF($D$4,AD61,T61)</f>
        <v>7.929303291320329E-2</v>
      </c>
      <c r="M61" s="64">
        <f>IF($D$4,AG61,W61)</f>
        <v>6.1683863154581541E-2</v>
      </c>
      <c r="N61" s="32"/>
      <c r="O61" s="64">
        <f t="shared" ref="O61:Q61" si="129">O57/O58</f>
        <v>0.10482160557713756</v>
      </c>
      <c r="P61" s="64">
        <f>P57/P58</f>
        <v>0.10100151877910235</v>
      </c>
      <c r="Q61" s="64">
        <f t="shared" si="129"/>
        <v>0.10517083005120004</v>
      </c>
      <c r="R61" s="64">
        <f>R57/R58</f>
        <v>0.10353796713538257</v>
      </c>
      <c r="S61" s="64">
        <f t="shared" ref="S61:W61" si="130">S57/S58</f>
        <v>8.186475020451113E-2</v>
      </c>
      <c r="T61" s="64">
        <f t="shared" si="130"/>
        <v>7.1141039863425806E-2</v>
      </c>
      <c r="U61" s="64">
        <f t="shared" ref="U61:V61" si="131">U57/U58</f>
        <v>6.4726680256697713E-2</v>
      </c>
      <c r="V61" s="64">
        <f t="shared" si="131"/>
        <v>5.9659487692248991E-2</v>
      </c>
      <c r="W61" s="64">
        <f t="shared" si="130"/>
        <v>5.246549483867561E-2</v>
      </c>
      <c r="Y61" s="64">
        <f t="shared" ref="Y61:AB61" si="132">Y57/Y58</f>
        <v>0.10482160557713756</v>
      </c>
      <c r="Z61" s="64">
        <f t="shared" si="132"/>
        <v>0.10100151877910235</v>
      </c>
      <c r="AA61" s="64">
        <f t="shared" si="132"/>
        <v>0.10517083005120004</v>
      </c>
      <c r="AB61" s="64">
        <f t="shared" si="132"/>
        <v>0.10353796713538257</v>
      </c>
      <c r="AC61" s="64">
        <f t="shared" ref="AC61" si="133">AC57/AC58</f>
        <v>9.0087216822531499E-2</v>
      </c>
      <c r="AD61" s="64">
        <f>AD57/AD58</f>
        <v>7.929303291320329E-2</v>
      </c>
      <c r="AE61" s="64">
        <f>AE57/AE58</f>
        <v>6.5562807445291901E-2</v>
      </c>
      <c r="AF61" s="64">
        <f>AF57/AF58</f>
        <v>6.043745163904983E-2</v>
      </c>
      <c r="AG61" s="64">
        <f>AG57/AG58</f>
        <v>6.1683863154581541E-2</v>
      </c>
    </row>
    <row r="62" spans="1:51">
      <c r="A62" t="s">
        <v>16</v>
      </c>
      <c r="C62" s="19"/>
      <c r="E62" s="64"/>
      <c r="G62" s="64"/>
      <c r="I62" s="64"/>
      <c r="J62" s="64"/>
      <c r="K62" s="64"/>
      <c r="L62" s="64"/>
      <c r="M62" s="64"/>
      <c r="N62" s="32"/>
      <c r="O62">
        <v>7.7429715476704368</v>
      </c>
      <c r="P62" s="5">
        <f>O62-O58</f>
        <v>-7.9843181079040093E-2</v>
      </c>
    </row>
    <row r="63" spans="1:51" ht="15.75" thickBot="1">
      <c r="A63" t="s">
        <v>16</v>
      </c>
      <c r="C63" s="2" t="s">
        <v>69</v>
      </c>
      <c r="E63" s="6">
        <f t="shared" ref="E63:M63" si="134">E53</f>
        <v>2017</v>
      </c>
      <c r="F63" s="6">
        <f t="shared" si="134"/>
        <v>2019</v>
      </c>
      <c r="G63" s="6">
        <f t="shared" si="134"/>
        <v>2020</v>
      </c>
      <c r="H63" s="6">
        <f t="shared" si="134"/>
        <v>2021</v>
      </c>
      <c r="I63" s="6">
        <f t="shared" si="134"/>
        <v>2030</v>
      </c>
      <c r="J63" s="6">
        <f t="shared" si="134"/>
        <v>2040</v>
      </c>
      <c r="K63" s="6">
        <f t="shared" ref="K63:L63" si="135">K53</f>
        <v>2050</v>
      </c>
      <c r="L63" s="6">
        <f t="shared" si="135"/>
        <v>2050</v>
      </c>
      <c r="M63" s="6">
        <f t="shared" si="134"/>
        <v>2050</v>
      </c>
      <c r="N63" s="32"/>
      <c r="O63" s="6">
        <f t="shared" ref="O63:W63" si="136">O53</f>
        <v>2017</v>
      </c>
      <c r="P63" s="6">
        <f t="shared" si="136"/>
        <v>2019</v>
      </c>
      <c r="Q63" s="6">
        <f t="shared" si="136"/>
        <v>2020</v>
      </c>
      <c r="R63" s="6">
        <f t="shared" si="136"/>
        <v>2021</v>
      </c>
      <c r="S63" s="6">
        <f t="shared" si="136"/>
        <v>2030</v>
      </c>
      <c r="T63" s="6">
        <f t="shared" si="136"/>
        <v>2040</v>
      </c>
      <c r="U63" s="6">
        <f t="shared" ref="U63:V63" si="137">U53</f>
        <v>2050</v>
      </c>
      <c r="V63" s="6">
        <f t="shared" si="137"/>
        <v>2050</v>
      </c>
      <c r="W63" s="6">
        <f t="shared" si="136"/>
        <v>2050</v>
      </c>
      <c r="Y63" s="240">
        <f t="shared" ref="Y63:AG63" si="138">Y$12</f>
        <v>2017</v>
      </c>
      <c r="Z63" s="240">
        <f t="shared" si="138"/>
        <v>2019</v>
      </c>
      <c r="AA63" s="240">
        <f t="shared" si="138"/>
        <v>2020</v>
      </c>
      <c r="AB63" s="240">
        <f t="shared" si="138"/>
        <v>2021</v>
      </c>
      <c r="AC63" s="240">
        <f t="shared" si="138"/>
        <v>2030</v>
      </c>
      <c r="AD63" s="240">
        <f t="shared" si="138"/>
        <v>2040</v>
      </c>
      <c r="AE63" s="240">
        <f t="shared" si="138"/>
        <v>2050</v>
      </c>
      <c r="AF63" s="240">
        <f t="shared" si="138"/>
        <v>2060</v>
      </c>
      <c r="AG63" s="240">
        <f t="shared" si="138"/>
        <v>2070</v>
      </c>
    </row>
    <row r="64" spans="1:51">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ref="Q64:T64" si="139">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51">
      <c r="A65" t="s">
        <v>16</v>
      </c>
      <c r="C65" s="19"/>
      <c r="J65"/>
      <c r="N65" s="32"/>
      <c r="O65" s="7"/>
      <c r="P65" s="7"/>
    </row>
    <row r="66" spans="1:51" ht="15.75" thickBot="1">
      <c r="A66" t="s">
        <v>16</v>
      </c>
      <c r="C66" s="2" t="s">
        <v>166</v>
      </c>
      <c r="J66"/>
      <c r="N66" s="32"/>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9" t="s">
        <v>167</v>
      </c>
      <c r="D67" t="s">
        <v>158</v>
      </c>
      <c r="E67" s="167">
        <v>33.5</v>
      </c>
      <c r="F67" s="59">
        <f t="shared" ref="F67:J70" si="142">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ref="P67:T67" si="143">O67</f>
        <v>33.5</v>
      </c>
      <c r="Q67" s="5">
        <f t="shared" si="143"/>
        <v>33.5</v>
      </c>
      <c r="R67" s="5">
        <f t="shared" si="143"/>
        <v>33.5</v>
      </c>
      <c r="S67" s="47">
        <f t="shared" si="143"/>
        <v>33.5</v>
      </c>
      <c r="T67" s="47">
        <f t="shared" si="143"/>
        <v>33.5</v>
      </c>
      <c r="U67" s="47">
        <f>S67</f>
        <v>33.5</v>
      </c>
      <c r="V67" s="47">
        <f t="shared" ref="V67:W70" si="144">S67</f>
        <v>33.5</v>
      </c>
      <c r="W67" s="47">
        <f t="shared" si="144"/>
        <v>33.5</v>
      </c>
      <c r="Y67" s="59">
        <f t="shared" ref="Y67:AB70" si="145">O67</f>
        <v>33.5</v>
      </c>
      <c r="Z67" s="59">
        <f t="shared" si="145"/>
        <v>33.5</v>
      </c>
      <c r="AA67" s="59">
        <f t="shared" si="145"/>
        <v>33.5</v>
      </c>
      <c r="AB67" s="59">
        <f t="shared" si="145"/>
        <v>33.5</v>
      </c>
      <c r="AC67" s="47">
        <f>AA67</f>
        <v>33.5</v>
      </c>
      <c r="AD67" s="47">
        <f>AC67</f>
        <v>33.5</v>
      </c>
      <c r="AE67" s="47">
        <f>AC67</f>
        <v>33.5</v>
      </c>
      <c r="AF67" s="47">
        <f>AC67</f>
        <v>33.5</v>
      </c>
      <c r="AG67" s="47">
        <f>AD67</f>
        <v>33.5</v>
      </c>
    </row>
    <row r="68" spans="1:51">
      <c r="A68" t="s">
        <v>16</v>
      </c>
      <c r="C68" s="19" t="s">
        <v>54</v>
      </c>
      <c r="D68" t="s">
        <v>158</v>
      </c>
      <c r="E68" s="47">
        <f>E70*1.5</f>
        <v>32.25</v>
      </c>
      <c r="F68" s="59">
        <f t="shared" si="142"/>
        <v>32.25</v>
      </c>
      <c r="G68" s="59">
        <f t="shared" si="142"/>
        <v>32.25</v>
      </c>
      <c r="H68" s="59">
        <f t="shared" si="142"/>
        <v>32.25</v>
      </c>
      <c r="I68" s="59">
        <f t="shared" si="142"/>
        <v>28.349999999999998</v>
      </c>
      <c r="J68" s="59">
        <f t="shared" si="142"/>
        <v>28.349999999999998</v>
      </c>
      <c r="K68" s="59">
        <f>IF($D$4,AD68,T68)</f>
        <v>28.349999999999998</v>
      </c>
      <c r="L68" s="59">
        <f>IF($D$4,AD68,T68)</f>
        <v>28.349999999999998</v>
      </c>
      <c r="M68" s="59">
        <f>IF($D$4,AG68,W68)</f>
        <v>28.349999999999998</v>
      </c>
      <c r="N68" s="32"/>
      <c r="O68" s="59">
        <f>E68</f>
        <v>32.25</v>
      </c>
      <c r="P68" s="59">
        <f t="shared" ref="P68:T68" si="146">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51">
      <c r="A69" t="s">
        <v>16</v>
      </c>
      <c r="C69" s="19" t="s">
        <v>71</v>
      </c>
      <c r="D69" t="s">
        <v>158</v>
      </c>
      <c r="E69" s="47">
        <f>E70*2</f>
        <v>43</v>
      </c>
      <c r="F69" s="59">
        <f t="shared" si="142"/>
        <v>43</v>
      </c>
      <c r="G69" s="59">
        <f t="shared" si="142"/>
        <v>43</v>
      </c>
      <c r="H69" s="59">
        <f t="shared" si="142"/>
        <v>43</v>
      </c>
      <c r="I69" s="59">
        <f t="shared" si="142"/>
        <v>37.799999999999997</v>
      </c>
      <c r="J69" s="59">
        <f t="shared" si="142"/>
        <v>37.799999999999997</v>
      </c>
      <c r="K69" s="59">
        <f>IF($D$4,AD69,T69)</f>
        <v>37.799999999999997</v>
      </c>
      <c r="L69" s="59">
        <f>IF($D$4,AD69,T69)</f>
        <v>37.799999999999997</v>
      </c>
      <c r="M69" s="59">
        <f>IF($D$4,AG69,W69)</f>
        <v>37.799999999999997</v>
      </c>
      <c r="N69" s="32"/>
      <c r="O69" s="59">
        <f>E69</f>
        <v>43</v>
      </c>
      <c r="P69" s="59">
        <f t="shared" ref="P69:T69" si="147">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51">
      <c r="A70" t="s">
        <v>16</v>
      </c>
      <c r="C70" s="19" t="s">
        <v>168</v>
      </c>
      <c r="D70" t="s">
        <v>158</v>
      </c>
      <c r="E70" s="167">
        <v>21.5</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5">
        <v>18.899999999999999</v>
      </c>
      <c r="P70" s="58">
        <f t="shared" ref="P70:T70" si="148">O70</f>
        <v>18.899999999999999</v>
      </c>
      <c r="Q70" s="5">
        <f t="shared" si="148"/>
        <v>18.899999999999999</v>
      </c>
      <c r="R70" s="5">
        <f t="shared" si="148"/>
        <v>18.899999999999999</v>
      </c>
      <c r="S70" s="254">
        <f t="shared" si="148"/>
        <v>18.899999999999999</v>
      </c>
      <c r="T70" s="254">
        <f t="shared" si="148"/>
        <v>18.899999999999999</v>
      </c>
      <c r="U70" s="254">
        <f>S70</f>
        <v>18.899999999999999</v>
      </c>
      <c r="V70" s="254">
        <f t="shared" si="144"/>
        <v>18.899999999999999</v>
      </c>
      <c r="W70" s="254">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51">
      <c r="A71" t="s">
        <v>16</v>
      </c>
      <c r="C71" s="215" t="s">
        <v>606</v>
      </c>
      <c r="J71"/>
      <c r="N71" s="32"/>
    </row>
    <row r="72" spans="1:51" ht="15.75" thickBot="1">
      <c r="A72" t="s">
        <v>16</v>
      </c>
      <c r="C72" s="2" t="s">
        <v>165</v>
      </c>
      <c r="J72"/>
      <c r="N72" s="32"/>
      <c r="O72" s="235">
        <f t="shared" ref="O72:W113" si="149">O$12</f>
        <v>2017</v>
      </c>
      <c r="P72" s="235">
        <f t="shared" si="149"/>
        <v>2019</v>
      </c>
      <c r="Q72" s="235">
        <f t="shared" si="149"/>
        <v>2020</v>
      </c>
      <c r="R72" s="235">
        <f t="shared" si="149"/>
        <v>2021</v>
      </c>
      <c r="S72" s="235">
        <f t="shared" si="149"/>
        <v>2030</v>
      </c>
      <c r="T72" s="235">
        <f t="shared" si="149"/>
        <v>2040</v>
      </c>
      <c r="U72" s="235">
        <f t="shared" si="149"/>
        <v>2050</v>
      </c>
      <c r="V72" s="235">
        <f t="shared" si="149"/>
        <v>2060</v>
      </c>
      <c r="W72" s="235">
        <f t="shared" si="149"/>
        <v>2070</v>
      </c>
    </row>
    <row r="73" spans="1:51">
      <c r="A73" t="s">
        <v>16</v>
      </c>
      <c r="C73" s="19" t="s">
        <v>169</v>
      </c>
      <c r="E73" s="190">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1">
        <f>E73</f>
        <v>0.55000000000000004</v>
      </c>
      <c r="P73" s="191">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1">
        <f>O73</f>
        <v>0.55000000000000004</v>
      </c>
      <c r="Z73" s="191">
        <f>P73</f>
        <v>0.55000000000000004</v>
      </c>
      <c r="AA73" s="191">
        <f>Q73</f>
        <v>0.55000000000000004</v>
      </c>
      <c r="AB73" s="191">
        <f>R73</f>
        <v>0.55000000000000004</v>
      </c>
      <c r="AC73" s="26">
        <f>AA73</f>
        <v>0.55000000000000004</v>
      </c>
      <c r="AD73" s="26">
        <f>AC73</f>
        <v>0.55000000000000004</v>
      </c>
      <c r="AE73" s="26">
        <f>AC73</f>
        <v>0.55000000000000004</v>
      </c>
      <c r="AF73" s="26">
        <f>AC73</f>
        <v>0.55000000000000004</v>
      </c>
      <c r="AG73" s="26">
        <f>AD73</f>
        <v>0.55000000000000004</v>
      </c>
    </row>
    <row r="74" spans="1:51">
      <c r="A74" t="s">
        <v>16</v>
      </c>
      <c r="C74" s="54" t="s">
        <v>180</v>
      </c>
      <c r="E74" s="6"/>
      <c r="G74" s="6"/>
      <c r="I74" s="6"/>
      <c r="J74" s="6"/>
      <c r="K74" s="6"/>
      <c r="L74" s="6"/>
      <c r="M74" s="6"/>
      <c r="N74" s="32"/>
      <c r="Y74" t="s">
        <v>189</v>
      </c>
    </row>
    <row r="75" spans="1:51">
      <c r="A75" t="s">
        <v>16</v>
      </c>
      <c r="C75" s="30" t="str">
        <f>C54</f>
        <v>Low Income</v>
      </c>
      <c r="D75" t="s">
        <v>179</v>
      </c>
      <c r="E75" s="48">
        <f t="shared" ref="E75:J75" si="150">IF($D$4,Y75,O75)</f>
        <v>0.51510723782285484</v>
      </c>
      <c r="F75" s="48">
        <f t="shared" si="150"/>
        <v>0.51893420171073767</v>
      </c>
      <c r="G75" s="48">
        <f t="shared" si="150"/>
        <v>0.5399653125395153</v>
      </c>
      <c r="H75" s="48">
        <f t="shared" si="150"/>
        <v>0.5814170534974501</v>
      </c>
      <c r="I75" s="48">
        <f t="shared" si="150"/>
        <v>0.47606229225140767</v>
      </c>
      <c r="J75" s="48">
        <f t="shared" si="150"/>
        <v>0.34880271440879912</v>
      </c>
      <c r="K75" s="48">
        <f>IF($D$4,AD75,T75)</f>
        <v>0.34880271440879912</v>
      </c>
      <c r="L75" s="48">
        <f>IF($D$4,AD75,T75)</f>
        <v>0.34880271440879912</v>
      </c>
      <c r="M75" s="48">
        <f>IF($D$4,AG75,W75)</f>
        <v>0.13884625179864821</v>
      </c>
      <c r="N75" s="32"/>
      <c r="O75" s="5">
        <f t="shared" ref="O75:W75" si="151">O25*O13</f>
        <v>0.51510723782285484</v>
      </c>
      <c r="P75" s="5">
        <f>P25*P13</f>
        <v>0.51893420171073767</v>
      </c>
      <c r="Q75" s="5">
        <f t="shared" si="151"/>
        <v>0.5399653125395153</v>
      </c>
      <c r="R75" s="5">
        <f t="shared" si="151"/>
        <v>0.5814170534974501</v>
      </c>
      <c r="S75" s="5">
        <f t="shared" si="151"/>
        <v>0.47606229225140767</v>
      </c>
      <c r="T75" s="5">
        <f t="shared" si="151"/>
        <v>0.34880271440879912</v>
      </c>
      <c r="U75" s="5">
        <f t="shared" ref="U75:V75" si="152">U25*U13</f>
        <v>0.26577268161364048</v>
      </c>
      <c r="V75" s="5">
        <f t="shared" si="152"/>
        <v>0.2013584532368298</v>
      </c>
      <c r="W75" s="5">
        <f t="shared" si="151"/>
        <v>0.13884625179864821</v>
      </c>
      <c r="Y75" s="5">
        <f>O75</f>
        <v>0.51510723782285484</v>
      </c>
      <c r="Z75" s="5">
        <f>P75</f>
        <v>0.51893420171073767</v>
      </c>
      <c r="AA75" s="5">
        <f>Q75</f>
        <v>0.5399653125395153</v>
      </c>
      <c r="AB75" s="5">
        <f>R75</f>
        <v>0.5814170534974501</v>
      </c>
      <c r="AC75" s="5">
        <f>AC25*AC13</f>
        <v>0.47606229225140767</v>
      </c>
      <c r="AD75" s="5">
        <f>AD25*AD13</f>
        <v>0.34880271440879912</v>
      </c>
      <c r="AE75" s="5">
        <f>AE25*AE13</f>
        <v>0.26577268161364048</v>
      </c>
      <c r="AF75" s="5">
        <f>AF25*AF13</f>
        <v>0.2013584532368298</v>
      </c>
      <c r="AG75" s="5">
        <f>AG25*AG13</f>
        <v>0.13884625179864821</v>
      </c>
    </row>
    <row r="76" spans="1:51">
      <c r="A76" t="s">
        <v>16</v>
      </c>
      <c r="C76" s="30"/>
      <c r="E76" s="5"/>
      <c r="G76" s="5"/>
      <c r="I76" s="5"/>
      <c r="J76" s="5"/>
      <c r="K76" s="5"/>
      <c r="L76" s="5"/>
      <c r="M76" s="5"/>
      <c r="N76" s="32"/>
      <c r="O76" s="240">
        <f t="shared" ref="O76:W76" si="153">O$12</f>
        <v>2017</v>
      </c>
      <c r="P76" s="240">
        <f t="shared" si="153"/>
        <v>2019</v>
      </c>
      <c r="Q76" s="240">
        <f t="shared" si="153"/>
        <v>2020</v>
      </c>
      <c r="R76" s="240">
        <f t="shared" si="153"/>
        <v>2021</v>
      </c>
      <c r="S76" s="240">
        <f t="shared" si="153"/>
        <v>2030</v>
      </c>
      <c r="T76" s="240">
        <f t="shared" si="153"/>
        <v>2040</v>
      </c>
      <c r="U76" s="240">
        <f t="shared" si="153"/>
        <v>2050</v>
      </c>
      <c r="V76" s="240">
        <f t="shared" si="153"/>
        <v>2060</v>
      </c>
      <c r="W76" s="240">
        <f t="shared" si="153"/>
        <v>2070</v>
      </c>
      <c r="Y76" s="240">
        <f t="shared" ref="Y76:AG76" si="154">Y$12</f>
        <v>2017</v>
      </c>
      <c r="Z76" s="240">
        <f t="shared" si="154"/>
        <v>2019</v>
      </c>
      <c r="AA76" s="240">
        <f t="shared" si="154"/>
        <v>2020</v>
      </c>
      <c r="AB76" s="240">
        <f t="shared" si="154"/>
        <v>2021</v>
      </c>
      <c r="AC76" s="240">
        <f t="shared" si="154"/>
        <v>2030</v>
      </c>
      <c r="AD76" s="240">
        <f t="shared" si="154"/>
        <v>2040</v>
      </c>
      <c r="AE76" s="240">
        <f t="shared" si="154"/>
        <v>2050</v>
      </c>
      <c r="AF76" s="240">
        <f t="shared" si="154"/>
        <v>2060</v>
      </c>
      <c r="AG76" s="240">
        <f t="shared" si="154"/>
        <v>2070</v>
      </c>
    </row>
    <row r="77" spans="1:51">
      <c r="A77" t="s">
        <v>16</v>
      </c>
      <c r="C77" t="s">
        <v>72</v>
      </c>
      <c r="D77" t="s">
        <v>39</v>
      </c>
      <c r="E77" s="49">
        <f t="shared" ref="E77:J77" si="155">IF($D$4,Y77,O77)</f>
        <v>0.23381516587677725</v>
      </c>
      <c r="F77" s="49">
        <f t="shared" si="155"/>
        <v>0.23381516587677725</v>
      </c>
      <c r="G77" s="49">
        <f t="shared" si="155"/>
        <v>0.23381516587677725</v>
      </c>
      <c r="H77" s="49">
        <f t="shared" si="155"/>
        <v>0.23381516587677725</v>
      </c>
      <c r="I77" s="49">
        <f t="shared" si="155"/>
        <v>0.21101818720379142</v>
      </c>
      <c r="J77" s="49">
        <f t="shared" si="155"/>
        <v>0.20046727784360185</v>
      </c>
      <c r="K77" s="49">
        <f>IF($D$4,AD77,T77)</f>
        <v>0.20046727784360185</v>
      </c>
      <c r="L77" s="49">
        <f>IF($D$4,AD77,T77)</f>
        <v>0.20046727784360185</v>
      </c>
      <c r="M77" s="49">
        <f>IF($D$4,AG77,W77)</f>
        <v>0.17187563234115816</v>
      </c>
      <c r="N77" s="197"/>
      <c r="O77" s="49">
        <f t="shared" ref="O77:W77" si="156">O$41*1000*O$35*O$30/O$67/O$64</f>
        <v>0.23381516587677725</v>
      </c>
      <c r="P77" s="49">
        <f t="shared" si="156"/>
        <v>0.23381516587677725</v>
      </c>
      <c r="Q77" s="64">
        <f t="shared" si="156"/>
        <v>0.23381516587677725</v>
      </c>
      <c r="R77" s="64">
        <f t="shared" si="156"/>
        <v>0.23381516587677725</v>
      </c>
      <c r="S77" s="228">
        <f t="shared" si="156"/>
        <v>0.23381516587677725</v>
      </c>
      <c r="T77" s="228">
        <f t="shared" si="156"/>
        <v>0.23381516587677725</v>
      </c>
      <c r="U77" s="228">
        <f t="shared" si="156"/>
        <v>0.23381516587677725</v>
      </c>
      <c r="V77" s="228">
        <f t="shared" si="156"/>
        <v>0.23381516587677725</v>
      </c>
      <c r="W77" s="228">
        <f t="shared" si="156"/>
        <v>0.23381516587677725</v>
      </c>
      <c r="X77" s="46"/>
      <c r="Y77" s="49">
        <f t="shared" ref="Y77:Y90" si="157">O77</f>
        <v>0.23381516587677725</v>
      </c>
      <c r="Z77" s="49">
        <f t="shared" ref="Z77:Z90" si="158">P77</f>
        <v>0.23381516587677725</v>
      </c>
      <c r="AA77" s="49">
        <f t="shared" ref="AA77:AA90" si="159">Q77</f>
        <v>0.23381516587677725</v>
      </c>
      <c r="AB77" s="49">
        <f t="shared" ref="AB77:AB90" si="16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c r="A78" t="s">
        <v>16</v>
      </c>
      <c r="C78" t="s">
        <v>54</v>
      </c>
      <c r="D78" t="s">
        <v>39</v>
      </c>
      <c r="E78" s="231">
        <v>5.0000000000000001E-3</v>
      </c>
      <c r="F78" s="49">
        <f t="shared" ref="F78:J79" si="161">IF($D$4,Z78,P78)</f>
        <v>5.0000000000000001E-3</v>
      </c>
      <c r="G78" s="49">
        <f t="shared" si="161"/>
        <v>5.0000000000000001E-3</v>
      </c>
      <c r="H78" s="49">
        <f t="shared" si="161"/>
        <v>5.0000000000000001E-3</v>
      </c>
      <c r="I78" s="49">
        <f t="shared" si="161"/>
        <v>5.0000000000000001E-3</v>
      </c>
      <c r="J78" s="49">
        <f t="shared" si="161"/>
        <v>5.0000000000000001E-3</v>
      </c>
      <c r="K78" s="49">
        <f>IF($D$4,AD78,T78)</f>
        <v>5.0000000000000001E-3</v>
      </c>
      <c r="L78" s="49">
        <f>IF($D$4,AD78,T78)</f>
        <v>5.0000000000000001E-3</v>
      </c>
      <c r="M78" s="49">
        <f>IF($D$4,AG78,W78)</f>
        <v>5.0000000000000001E-3</v>
      </c>
      <c r="N78" s="197"/>
      <c r="O78" s="198">
        <f>E78</f>
        <v>5.0000000000000001E-3</v>
      </c>
      <c r="P78" s="198">
        <f>O78</f>
        <v>5.0000000000000001E-3</v>
      </c>
      <c r="Q78" s="46">
        <f>P78</f>
        <v>5.0000000000000001E-3</v>
      </c>
      <c r="R78" s="46">
        <f>Q78</f>
        <v>5.0000000000000001E-3</v>
      </c>
      <c r="S78" s="46">
        <f t="shared" ref="S78:W78" si="162">R78</f>
        <v>5.0000000000000001E-3</v>
      </c>
      <c r="T78" s="46">
        <f t="shared" si="162"/>
        <v>5.0000000000000001E-3</v>
      </c>
      <c r="U78" s="46">
        <f t="shared" si="162"/>
        <v>5.0000000000000001E-3</v>
      </c>
      <c r="V78" s="46">
        <f t="shared" si="162"/>
        <v>5.0000000000000001E-3</v>
      </c>
      <c r="W78" s="46">
        <f t="shared" si="162"/>
        <v>5.0000000000000001E-3</v>
      </c>
      <c r="X78" s="46"/>
      <c r="Y78" s="49">
        <f t="shared" si="157"/>
        <v>5.0000000000000001E-3</v>
      </c>
      <c r="Z78" s="49">
        <f t="shared" si="158"/>
        <v>5.0000000000000001E-3</v>
      </c>
      <c r="AA78" s="49">
        <f t="shared" si="159"/>
        <v>5.0000000000000001E-3</v>
      </c>
      <c r="AB78" s="117">
        <f t="shared" si="160"/>
        <v>5.0000000000000001E-3</v>
      </c>
      <c r="AC78" s="46">
        <f t="shared" ref="AC78:AG78" si="163">AB78</f>
        <v>5.0000000000000001E-3</v>
      </c>
      <c r="AD78" s="46">
        <f t="shared" si="163"/>
        <v>5.0000000000000001E-3</v>
      </c>
      <c r="AE78" s="46">
        <f t="shared" si="163"/>
        <v>5.0000000000000001E-3</v>
      </c>
      <c r="AF78" s="46">
        <f t="shared" si="163"/>
        <v>5.0000000000000001E-3</v>
      </c>
      <c r="AG78" s="46">
        <f t="shared" si="163"/>
        <v>5.0000000000000001E-3</v>
      </c>
      <c r="AH78" s="46"/>
      <c r="AI78" s="46"/>
      <c r="AJ78" s="46"/>
      <c r="AK78" s="46"/>
      <c r="AL78" s="46"/>
      <c r="AM78" s="46"/>
      <c r="AN78" s="46"/>
      <c r="AO78" s="46"/>
      <c r="AP78" s="46"/>
      <c r="AQ78" s="46"/>
      <c r="AR78" s="46"/>
      <c r="AS78" s="46"/>
      <c r="AT78" s="46"/>
      <c r="AU78" s="46"/>
      <c r="AV78" s="46"/>
      <c r="AW78" s="46"/>
      <c r="AX78" s="46"/>
      <c r="AY78" s="46"/>
    </row>
    <row r="79" spans="1:51">
      <c r="A79" t="s">
        <v>16</v>
      </c>
      <c r="C79" t="s">
        <v>71</v>
      </c>
      <c r="D79" t="s">
        <v>39</v>
      </c>
      <c r="E79" s="231">
        <v>0</v>
      </c>
      <c r="F79" s="49">
        <f t="shared" si="161"/>
        <v>5.0000000000000001E-3</v>
      </c>
      <c r="G79" s="49">
        <f t="shared" si="161"/>
        <v>5.0000000000000001E-3</v>
      </c>
      <c r="H79" s="49">
        <f t="shared" si="161"/>
        <v>5.0000000000000001E-3</v>
      </c>
      <c r="I79" s="49">
        <f t="shared" si="161"/>
        <v>0</v>
      </c>
      <c r="J79" s="49">
        <f t="shared" si="161"/>
        <v>0</v>
      </c>
      <c r="K79" s="49">
        <f>IF($D$4,AD79,T79)</f>
        <v>0</v>
      </c>
      <c r="L79" s="49">
        <f>IF($D$4,AD79,T79)</f>
        <v>0</v>
      </c>
      <c r="M79" s="49">
        <f>IF($D$4,AG79,W79)</f>
        <v>0</v>
      </c>
      <c r="N79" s="197"/>
      <c r="O79" s="191">
        <f>E79</f>
        <v>0</v>
      </c>
      <c r="P79" s="191">
        <v>5.0000000000000001E-3</v>
      </c>
      <c r="Q79" s="64">
        <v>5.0000000000000001E-3</v>
      </c>
      <c r="R79" s="64">
        <v>5.0000000000000001E-3</v>
      </c>
      <c r="S79" s="229">
        <v>5.0000000000000001E-3</v>
      </c>
      <c r="T79" s="229">
        <v>5.0000000000000001E-3</v>
      </c>
      <c r="U79" s="229">
        <v>5.0000000000000001E-3</v>
      </c>
      <c r="V79" s="229">
        <v>5.0000000000000001E-3</v>
      </c>
      <c r="W79" s="229">
        <v>5.0000000000000001E-3</v>
      </c>
      <c r="X79" s="46"/>
      <c r="Y79" s="49">
        <f t="shared" si="157"/>
        <v>0</v>
      </c>
      <c r="Z79" s="49">
        <f t="shared" si="158"/>
        <v>5.0000000000000001E-3</v>
      </c>
      <c r="AA79" s="49">
        <f t="shared" si="159"/>
        <v>5.0000000000000001E-3</v>
      </c>
      <c r="AB79" s="49">
        <f t="shared" si="160"/>
        <v>5.0000000000000001E-3</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c r="A80" t="s">
        <v>16</v>
      </c>
      <c r="C80" t="s">
        <v>70</v>
      </c>
      <c r="D80" t="s">
        <v>39</v>
      </c>
      <c r="E80" s="25">
        <f t="shared" ref="E80:M80" si="164">1-SUM(E77:E79)</f>
        <v>0.7611848341232228</v>
      </c>
      <c r="F80" s="25">
        <f t="shared" si="164"/>
        <v>0.75618483412322268</v>
      </c>
      <c r="G80" s="25">
        <f t="shared" si="164"/>
        <v>0.75618483412322268</v>
      </c>
      <c r="H80" s="25">
        <f t="shared" si="164"/>
        <v>0.75618483412322268</v>
      </c>
      <c r="I80" s="25">
        <f t="shared" si="164"/>
        <v>0.7839818127962086</v>
      </c>
      <c r="J80" s="25">
        <f t="shared" si="164"/>
        <v>0.79453272215639814</v>
      </c>
      <c r="K80" s="25">
        <f t="shared" ref="K80:L80" si="165">1-SUM(K77:K79)</f>
        <v>0.79453272215639814</v>
      </c>
      <c r="L80" s="25">
        <f t="shared" si="165"/>
        <v>0.79453272215639814</v>
      </c>
      <c r="M80" s="25">
        <f t="shared" si="164"/>
        <v>0.82312436765884178</v>
      </c>
      <c r="N80" s="197"/>
      <c r="O80" s="25">
        <f t="shared" ref="O80:Q80" si="166">1-SUM(O77:O79)</f>
        <v>0.7611848341232228</v>
      </c>
      <c r="P80" s="25">
        <f t="shared" si="166"/>
        <v>0.75618483412322268</v>
      </c>
      <c r="Q80" s="25">
        <f t="shared" si="166"/>
        <v>0.75618483412322268</v>
      </c>
      <c r="R80" s="25">
        <f t="shared" ref="R80" si="167">1-SUM(R77:R79)</f>
        <v>0.75618483412322268</v>
      </c>
      <c r="S80" s="25">
        <f t="shared" ref="S80:T80" si="168">1-SUM(S77:S79)</f>
        <v>0.75618483412322268</v>
      </c>
      <c r="T80" s="25">
        <f t="shared" si="168"/>
        <v>0.75618483412322268</v>
      </c>
      <c r="U80" s="25">
        <f t="shared" ref="U80:W80" si="169">1-SUM(U77:U79)</f>
        <v>0.75618483412322268</v>
      </c>
      <c r="V80" s="25">
        <f t="shared" ref="V80" si="17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51">
      <c r="A81" t="s">
        <v>16</v>
      </c>
      <c r="C81" s="30" t="str">
        <f>C55</f>
        <v>Middle Income</v>
      </c>
      <c r="D81" t="s">
        <v>179</v>
      </c>
      <c r="E81" s="5">
        <f t="shared" ref="E81:J82" si="171">IF($D$4,Y81,O81)</f>
        <v>9.2340547486185294</v>
      </c>
      <c r="F81" s="5">
        <f t="shared" si="171"/>
        <v>9.7394791998722337</v>
      </c>
      <c r="G81" s="5">
        <f t="shared" si="171"/>
        <v>10.234967504004217</v>
      </c>
      <c r="H81" s="5">
        <f t="shared" si="171"/>
        <v>9.2357928662940729</v>
      </c>
      <c r="I81" s="5">
        <f t="shared" si="171"/>
        <v>10.748708024847767</v>
      </c>
      <c r="J81" s="5">
        <f t="shared" si="171"/>
        <v>11.892760217583527</v>
      </c>
      <c r="K81" s="5">
        <f>IF($D$4,AD81,T81)</f>
        <v>11.892760217583527</v>
      </c>
      <c r="L81" s="5">
        <f>IF($D$4,AD81,T81)</f>
        <v>11.892760217583527</v>
      </c>
      <c r="M81" s="5">
        <f>IF($D$4,AG81,W81)</f>
        <v>14.691543667905695</v>
      </c>
      <c r="N81" s="32"/>
      <c r="O81" s="5">
        <f t="shared" ref="O81:W81" si="172">O$26*O$14</f>
        <v>9.2340547486185294</v>
      </c>
      <c r="P81" s="5">
        <f t="shared" si="172"/>
        <v>9.7394791998722337</v>
      </c>
      <c r="Q81" s="5">
        <f t="shared" si="172"/>
        <v>10.234967504004217</v>
      </c>
      <c r="R81" s="5">
        <f t="shared" si="172"/>
        <v>9.2357928662940729</v>
      </c>
      <c r="S81" s="230">
        <f t="shared" si="172"/>
        <v>11.314429499839756</v>
      </c>
      <c r="T81" s="230">
        <f t="shared" si="172"/>
        <v>13.177573648291999</v>
      </c>
      <c r="U81" s="230">
        <f t="shared" si="172"/>
        <v>14.554180727674572</v>
      </c>
      <c r="V81" s="230">
        <f t="shared" si="172"/>
        <v>15.744493702377035</v>
      </c>
      <c r="W81" s="230">
        <f t="shared" si="172"/>
        <v>17.135493416423035</v>
      </c>
      <c r="Y81" s="49">
        <f t="shared" si="157"/>
        <v>9.2340547486185294</v>
      </c>
      <c r="Z81" s="49">
        <f t="shared" si="158"/>
        <v>9.7394791998722337</v>
      </c>
      <c r="AA81" s="49">
        <f t="shared" si="159"/>
        <v>10.234967504004217</v>
      </c>
      <c r="AB81" s="49">
        <f t="shared" si="160"/>
        <v>9.2357928662940729</v>
      </c>
      <c r="AC81" s="5">
        <f>AC$26*AC$14</f>
        <v>10.748708024847767</v>
      </c>
      <c r="AD81" s="5">
        <f>AD$26*AD$14</f>
        <v>11.892760217583527</v>
      </c>
      <c r="AE81" s="5">
        <f>AE$26*AE$14</f>
        <v>13.1351481067263</v>
      </c>
      <c r="AF81" s="5">
        <f>AF$26*AF$14</f>
        <v>14.209405566395272</v>
      </c>
      <c r="AG81" s="5">
        <f>AG$26*AG$14</f>
        <v>14.691543667905695</v>
      </c>
    </row>
    <row r="82" spans="1:51">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0.42326830198029675</v>
      </c>
      <c r="J82" s="49">
        <f t="shared" si="171"/>
        <v>0.40210488688128182</v>
      </c>
      <c r="K82" s="49">
        <f>IF($D$4,AD82,T82)</f>
        <v>0.40210488688128182</v>
      </c>
      <c r="L82" s="49">
        <f>IF($D$4,AD82,T82)</f>
        <v>0.40210488688128182</v>
      </c>
      <c r="M82" s="49">
        <f>IF($D$4,AG82,W82)</f>
        <v>0.3819996425372178</v>
      </c>
      <c r="N82" s="197"/>
      <c r="O82" s="49">
        <f t="shared" ref="O82:W82" si="173">O$42*1000*O$36*O$31/O$67/O$64</f>
        <v>0.46899534845462248</v>
      </c>
      <c r="P82" s="49">
        <f t="shared" si="173"/>
        <v>0.46899534845462248</v>
      </c>
      <c r="Q82" s="5">
        <f t="shared" si="173"/>
        <v>0.46899534845462248</v>
      </c>
      <c r="R82" s="5">
        <f t="shared" si="173"/>
        <v>0.46899534845462248</v>
      </c>
      <c r="S82" s="228">
        <f t="shared" si="173"/>
        <v>0.46899534845462248</v>
      </c>
      <c r="T82" s="228">
        <f t="shared" si="173"/>
        <v>0.46899534845462248</v>
      </c>
      <c r="U82" s="228">
        <f t="shared" si="173"/>
        <v>0.46899534845462248</v>
      </c>
      <c r="V82" s="228">
        <f t="shared" si="173"/>
        <v>0.46899534845462248</v>
      </c>
      <c r="W82" s="228">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c r="A83" t="s">
        <v>16</v>
      </c>
      <c r="C83" t="str">
        <f>C78</f>
        <v>BRT</v>
      </c>
      <c r="D83" t="s">
        <v>39</v>
      </c>
      <c r="E83" s="231">
        <v>0.01</v>
      </c>
      <c r="F83" s="49">
        <f t="shared" ref="F83:J84" si="174">IF($D$4,Z83,P83)</f>
        <v>0.01</v>
      </c>
      <c r="G83" s="49">
        <f t="shared" si="174"/>
        <v>0.01</v>
      </c>
      <c r="H83" s="49">
        <f t="shared" si="174"/>
        <v>0.01</v>
      </c>
      <c r="I83" s="49">
        <f t="shared" si="174"/>
        <v>0.01</v>
      </c>
      <c r="J83" s="49">
        <f t="shared" si="174"/>
        <v>0.01</v>
      </c>
      <c r="K83" s="49">
        <f>IF($D$4,AD83,T83)</f>
        <v>0.01</v>
      </c>
      <c r="L83" s="49">
        <f>IF($D$4,AD83,T83)</f>
        <v>0.01</v>
      </c>
      <c r="M83" s="49">
        <f>IF($D$4,AG83,W83)</f>
        <v>0.01</v>
      </c>
      <c r="N83" s="197"/>
      <c r="O83" s="198">
        <f>E83</f>
        <v>0.01</v>
      </c>
      <c r="P83" s="198">
        <f t="shared" ref="P83:T84" si="175">O83</f>
        <v>0.01</v>
      </c>
      <c r="Q83" s="64">
        <f>P83</f>
        <v>0.01</v>
      </c>
      <c r="R83" s="64">
        <f>Q83</f>
        <v>0.01</v>
      </c>
      <c r="S83" s="46">
        <f t="shared" ref="S83:W83" si="176">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ref="AD83" si="177">T83</f>
        <v>0.01</v>
      </c>
      <c r="AE83" s="55">
        <f t="shared" ref="AE83" si="178">U83</f>
        <v>0.01</v>
      </c>
      <c r="AF83" s="55">
        <f t="shared" ref="AF83" si="179">V83</f>
        <v>0.01</v>
      </c>
      <c r="AG83" s="55">
        <f t="shared" ref="AG83" si="180">W83</f>
        <v>0.01</v>
      </c>
      <c r="AH83" s="46"/>
      <c r="AI83" s="46"/>
      <c r="AJ83" s="46"/>
      <c r="AK83" s="46"/>
      <c r="AL83" s="46"/>
      <c r="AM83" s="46"/>
      <c r="AN83" s="46"/>
      <c r="AO83" s="46"/>
      <c r="AP83" s="46"/>
      <c r="AQ83" s="46"/>
      <c r="AR83" s="46"/>
      <c r="AS83" s="46"/>
      <c r="AT83" s="46"/>
      <c r="AU83" s="46"/>
      <c r="AV83" s="46"/>
      <c r="AW83" s="46"/>
      <c r="AX83" s="46"/>
      <c r="AY83" s="46"/>
    </row>
    <row r="84" spans="1:51">
      <c r="A84" t="s">
        <v>16</v>
      </c>
      <c r="C84" t="str">
        <f>C79</f>
        <v>Gautrain</v>
      </c>
      <c r="D84" t="s">
        <v>39</v>
      </c>
      <c r="E84" s="231">
        <v>2E-3</v>
      </c>
      <c r="F84" s="118">
        <f t="shared" si="174"/>
        <v>2E-3</v>
      </c>
      <c r="G84" s="118">
        <f t="shared" si="174"/>
        <v>2E-3</v>
      </c>
      <c r="H84" s="118">
        <f t="shared" si="174"/>
        <v>2E-3</v>
      </c>
      <c r="I84" s="118">
        <f t="shared" si="174"/>
        <v>0.01</v>
      </c>
      <c r="J84" s="118">
        <f t="shared" si="174"/>
        <v>0.02</v>
      </c>
      <c r="K84" s="118">
        <f>IF($D$4,AD84,T84)</f>
        <v>0.02</v>
      </c>
      <c r="L84" s="118">
        <f>IF($D$4,AD84,T84)</f>
        <v>0.02</v>
      </c>
      <c r="M84" s="118">
        <f>IF($D$4,AG84,W84)</f>
        <v>0.03</v>
      </c>
      <c r="N84" s="197"/>
      <c r="O84" s="232">
        <f>E84</f>
        <v>2E-3</v>
      </c>
      <c r="P84" s="232">
        <f t="shared" si="175"/>
        <v>2E-3</v>
      </c>
      <c r="Q84" s="5">
        <f t="shared" si="175"/>
        <v>2E-3</v>
      </c>
      <c r="R84" s="5">
        <f t="shared" si="175"/>
        <v>2E-3</v>
      </c>
      <c r="S84" s="233">
        <f t="shared" si="175"/>
        <v>2E-3</v>
      </c>
      <c r="T84" s="233">
        <f t="shared" si="175"/>
        <v>2E-3</v>
      </c>
      <c r="U84" s="233">
        <f>S84</f>
        <v>2E-3</v>
      </c>
      <c r="V84" s="233">
        <f>S84</f>
        <v>2E-3</v>
      </c>
      <c r="W84" s="233">
        <f>T84</f>
        <v>2E-3</v>
      </c>
      <c r="X84" s="46"/>
      <c r="Y84" s="49">
        <f t="shared" si="157"/>
        <v>2E-3</v>
      </c>
      <c r="Z84" s="49">
        <f t="shared" si="158"/>
        <v>2E-3</v>
      </c>
      <c r="AA84" s="49">
        <f t="shared" si="159"/>
        <v>2E-3</v>
      </c>
      <c r="AB84" s="49">
        <f t="shared" si="160"/>
        <v>2E-3</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c r="A85" t="s">
        <v>16</v>
      </c>
      <c r="C85" t="str">
        <f>C80</f>
        <v>Bus, minibus, metro rail</v>
      </c>
      <c r="D85" t="s">
        <v>39</v>
      </c>
      <c r="E85" s="25">
        <f t="shared" ref="E85:M85" si="181">1-SUM(E82:E84)</f>
        <v>0.51900465154537745</v>
      </c>
      <c r="F85" s="25">
        <f t="shared" si="181"/>
        <v>0.51900465154537745</v>
      </c>
      <c r="G85" s="25">
        <f t="shared" si="181"/>
        <v>0.51900465154537745</v>
      </c>
      <c r="H85" s="25">
        <f t="shared" si="181"/>
        <v>0.51900465154537745</v>
      </c>
      <c r="I85" s="25">
        <f t="shared" si="181"/>
        <v>0.55673169801970324</v>
      </c>
      <c r="J85" s="25">
        <f t="shared" si="181"/>
        <v>0.56789511311871821</v>
      </c>
      <c r="K85" s="25">
        <f t="shared" ref="K85:L85" si="182">1-SUM(K82:K84)</f>
        <v>0.56789511311871821</v>
      </c>
      <c r="L85" s="25">
        <f t="shared" si="182"/>
        <v>0.56789511311871821</v>
      </c>
      <c r="M85" s="25">
        <f t="shared" si="181"/>
        <v>0.57800035746278222</v>
      </c>
      <c r="N85" s="197"/>
      <c r="O85" s="25">
        <f t="shared" ref="O85:Q85" si="183">1-SUM(O82:O84)</f>
        <v>0.51900465154537745</v>
      </c>
      <c r="P85" s="25">
        <f t="shared" si="183"/>
        <v>0.51900465154537745</v>
      </c>
      <c r="Q85" s="25">
        <f t="shared" si="183"/>
        <v>0.51900465154537745</v>
      </c>
      <c r="R85" s="25">
        <f t="shared" ref="R85" si="184">1-SUM(R82:R84)</f>
        <v>0.51900465154537745</v>
      </c>
      <c r="S85" s="25">
        <f t="shared" ref="S85:T85" si="185">1-SUM(S82:S84)</f>
        <v>0.51900465154537745</v>
      </c>
      <c r="T85" s="25">
        <f t="shared" si="185"/>
        <v>0.51900465154537745</v>
      </c>
      <c r="U85" s="25">
        <f t="shared" ref="U85:W85" si="186">1-SUM(U82:U84)</f>
        <v>0.51900465154537745</v>
      </c>
      <c r="V85" s="25">
        <f t="shared" ref="V85" si="187">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51">
      <c r="A86" t="s">
        <v>16</v>
      </c>
      <c r="C86" s="30" t="str">
        <f>C56</f>
        <v>High Income</v>
      </c>
      <c r="D86" t="s">
        <v>179</v>
      </c>
      <c r="E86" s="5">
        <f t="shared" ref="E86:J87" si="188">IF($D$4,Y86,O86)</f>
        <v>10.249512727937956</v>
      </c>
      <c r="F86" s="5">
        <f t="shared" si="188"/>
        <v>10.785581249292237</v>
      </c>
      <c r="G86" s="5">
        <f t="shared" si="188"/>
        <v>9.108764792700967</v>
      </c>
      <c r="H86" s="5">
        <f t="shared" si="188"/>
        <v>9.905044436633748</v>
      </c>
      <c r="I86" s="5">
        <f t="shared" si="188"/>
        <v>14.235174005168224</v>
      </c>
      <c r="J86" s="5">
        <f t="shared" si="188"/>
        <v>19.001408783901621</v>
      </c>
      <c r="K86" s="5">
        <f>IF($D$4,AD86,T86)</f>
        <v>19.001408783901621</v>
      </c>
      <c r="L86" s="5">
        <f>IF($D$4,AD86,T86)</f>
        <v>19.001408783901621</v>
      </c>
      <c r="M86" s="5">
        <f>IF($D$4,AG86,W86)</f>
        <v>24.517224401222833</v>
      </c>
      <c r="N86" s="32"/>
      <c r="O86" s="5">
        <f t="shared" ref="O86:W86" si="189">O$27*O$15</f>
        <v>10.249512727937956</v>
      </c>
      <c r="P86" s="5">
        <f t="shared" si="189"/>
        <v>10.785581249292237</v>
      </c>
      <c r="Q86" s="5">
        <f t="shared" si="189"/>
        <v>9.108764792700967</v>
      </c>
      <c r="R86" s="5">
        <f t="shared" si="189"/>
        <v>9.905044436633748</v>
      </c>
      <c r="S86" s="230">
        <f t="shared" si="189"/>
        <v>14.984393689650764</v>
      </c>
      <c r="T86" s="230">
        <f t="shared" si="189"/>
        <v>21.05419255833975</v>
      </c>
      <c r="U86" s="230">
        <f t="shared" si="189"/>
        <v>25.178891461173258</v>
      </c>
      <c r="V86" s="230">
        <f t="shared" si="189"/>
        <v>27.566388744874612</v>
      </c>
      <c r="W86" s="230">
        <f t="shared" si="189"/>
        <v>28.595683803729802</v>
      </c>
      <c r="Y86" s="49">
        <f t="shared" si="157"/>
        <v>10.249512727937956</v>
      </c>
      <c r="Z86" s="49">
        <f t="shared" si="158"/>
        <v>10.785581249292237</v>
      </c>
      <c r="AA86" s="49">
        <f t="shared" si="159"/>
        <v>9.108764792700967</v>
      </c>
      <c r="AB86" s="49">
        <f t="shared" si="160"/>
        <v>9.905044436633748</v>
      </c>
      <c r="AC86" s="5">
        <f>AC$27*AC$15</f>
        <v>14.235174005168224</v>
      </c>
      <c r="AD86" s="5">
        <f>AD$27*AD$15</f>
        <v>19.001408783901621</v>
      </c>
      <c r="AE86" s="5">
        <f>AE$27*AE$15</f>
        <v>22.723949543708859</v>
      </c>
      <c r="AF86" s="5">
        <f>AF$27*AF$15</f>
        <v>24.878665842249333</v>
      </c>
      <c r="AG86" s="5">
        <f>AG$27*AG$15</f>
        <v>24.517224401222833</v>
      </c>
    </row>
    <row r="87" spans="1:51">
      <c r="A87" t="s">
        <v>16</v>
      </c>
      <c r="C87" t="str">
        <f>C82</f>
        <v>Priv.veh.</v>
      </c>
      <c r="D87" t="s">
        <v>39</v>
      </c>
      <c r="E87" s="49">
        <f t="shared" si="188"/>
        <v>0.67590526860622457</v>
      </c>
      <c r="F87" s="49">
        <f t="shared" si="188"/>
        <v>0.67590526860622457</v>
      </c>
      <c r="G87" s="49">
        <f t="shared" si="188"/>
        <v>0.66964336043507822</v>
      </c>
      <c r="H87" s="49">
        <f t="shared" si="188"/>
        <v>0.71696954428312165</v>
      </c>
      <c r="I87" s="49">
        <f t="shared" si="188"/>
        <v>0.69172996084131799</v>
      </c>
      <c r="J87" s="49">
        <f t="shared" si="188"/>
        <v>0.72757364520328938</v>
      </c>
      <c r="K87" s="49">
        <f>IF($D$4,AD87,T87)</f>
        <v>0.72757364520328938</v>
      </c>
      <c r="L87" s="49">
        <f>IF($D$4,AD87,T87)</f>
        <v>0.72757364520328938</v>
      </c>
      <c r="M87" s="49">
        <f>IF($D$4,AG87,W87)</f>
        <v>0.83165781880672152</v>
      </c>
      <c r="N87" s="197"/>
      <c r="O87" s="49">
        <f t="shared" ref="O87:T87" si="190">O$43*1000*O$37*O$32/O$67/O$64</f>
        <v>0.67590526860622457</v>
      </c>
      <c r="P87" s="49">
        <f t="shared" si="190"/>
        <v>0.67590526860622457</v>
      </c>
      <c r="Q87" s="5">
        <f t="shared" si="190"/>
        <v>0.66964336043507822</v>
      </c>
      <c r="R87" s="5">
        <f t="shared" si="190"/>
        <v>0.71696954428312165</v>
      </c>
      <c r="S87" s="228">
        <f t="shared" si="190"/>
        <v>0.76645979040589274</v>
      </c>
      <c r="T87" s="228">
        <f t="shared" si="190"/>
        <v>0.84860608858817843</v>
      </c>
      <c r="U87" s="228">
        <f>U$43*1000*U$37*U$32/U$67/U$64</f>
        <v>1.0296872611969607</v>
      </c>
      <c r="V87" s="228">
        <f>V$43*1000*V$37*V$32/V$67/V$64</f>
        <v>1.0296872611969607</v>
      </c>
      <c r="W87" s="228">
        <f>W$43*1000*W$37*W$32/W$67/W$64</f>
        <v>1.0210576270062039</v>
      </c>
      <c r="X87" s="46"/>
      <c r="Y87" s="49">
        <f t="shared" si="157"/>
        <v>0.67590526860622457</v>
      </c>
      <c r="Z87" s="49">
        <f t="shared" si="158"/>
        <v>0.67590526860622457</v>
      </c>
      <c r="AA87" s="49">
        <f t="shared" si="159"/>
        <v>0.66964336043507822</v>
      </c>
      <c r="AB87" s="49">
        <f t="shared" si="160"/>
        <v>0.71696954428312165</v>
      </c>
      <c r="AC87" s="49">
        <f>AC$43*1000*AC$37*AC$32/AC$67/AC$64</f>
        <v>0.69172996084131799</v>
      </c>
      <c r="AD87" s="49">
        <f>AD$43*1000*AD$37*AD$32/AD$67/AD$64</f>
        <v>0.72757364520328938</v>
      </c>
      <c r="AE87" s="49">
        <f>AE$43*1000*AE$37*AE$32/AE$67/AE$64</f>
        <v>0.88282811556874419</v>
      </c>
      <c r="AF87" s="49">
        <f>AF$43*1000*AF$37*AF$32/AF$67/AF$64</f>
        <v>0.88282811556874419</v>
      </c>
      <c r="AG87" s="49">
        <f>AG$43*1000*AG$37*AG$32/AG$67/AG$64</f>
        <v>0.83165781880672152</v>
      </c>
      <c r="AH87" s="46"/>
      <c r="AI87" s="46"/>
      <c r="AJ87" s="46"/>
      <c r="AK87" s="46"/>
      <c r="AL87" s="46"/>
      <c r="AM87" s="46"/>
      <c r="AN87" s="46"/>
      <c r="AO87" s="46"/>
      <c r="AP87" s="46"/>
      <c r="AQ87" s="46"/>
      <c r="AR87" s="46"/>
      <c r="AS87" s="46"/>
      <c r="AT87" s="46"/>
      <c r="AU87" s="46"/>
      <c r="AV87" s="46"/>
      <c r="AW87" s="46"/>
      <c r="AX87" s="46"/>
      <c r="AY87" s="46"/>
    </row>
    <row r="88" spans="1:51">
      <c r="A88" t="s">
        <v>16</v>
      </c>
      <c r="C88" t="str">
        <f>C83</f>
        <v>BRT</v>
      </c>
      <c r="D88" t="s">
        <v>39</v>
      </c>
      <c r="E88" s="231">
        <v>0.01</v>
      </c>
      <c r="F88" s="49">
        <f t="shared" ref="F88:J89" si="191">IF($D$4,Z88,P88)</f>
        <v>0.01</v>
      </c>
      <c r="G88" s="49">
        <f t="shared" si="191"/>
        <v>0.01</v>
      </c>
      <c r="H88" s="49">
        <f t="shared" si="191"/>
        <v>0.01</v>
      </c>
      <c r="I88" s="49">
        <f t="shared" si="191"/>
        <v>0.01</v>
      </c>
      <c r="J88" s="49">
        <f t="shared" si="191"/>
        <v>0.01</v>
      </c>
      <c r="K88" s="49">
        <f>IF($D$4,AD88,T88)</f>
        <v>0.01</v>
      </c>
      <c r="L88" s="49">
        <f>IF($D$4,AD88,T88)</f>
        <v>0.01</v>
      </c>
      <c r="M88" s="49">
        <f>IF($D$4,AG88,W88)</f>
        <v>0.01</v>
      </c>
      <c r="N88" s="197"/>
      <c r="O88" s="198">
        <f>E88</f>
        <v>0.01</v>
      </c>
      <c r="P88" s="198">
        <v>0.01</v>
      </c>
      <c r="Q88" s="25">
        <v>0.01</v>
      </c>
      <c r="R88" s="64">
        <f>Q88</f>
        <v>0.01</v>
      </c>
      <c r="S88" s="46">
        <f t="shared" ref="S88:W88" si="192">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ref="AC88:AG88" si="193">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c r="A89" t="s">
        <v>16</v>
      </c>
      <c r="C89" t="str">
        <f>C84</f>
        <v>Gautrain</v>
      </c>
      <c r="D89" t="s">
        <v>39</v>
      </c>
      <c r="E89" s="231">
        <v>5.0000000000000001E-3</v>
      </c>
      <c r="F89" s="49">
        <f t="shared" si="191"/>
        <v>5.0000000000000001E-3</v>
      </c>
      <c r="G89" s="49">
        <f t="shared" si="191"/>
        <v>5.0000000000000001E-3</v>
      </c>
      <c r="H89" s="49">
        <f t="shared" si="191"/>
        <v>5.0000000000000001E-3</v>
      </c>
      <c r="I89" s="49">
        <f t="shared" si="191"/>
        <v>0.01</v>
      </c>
      <c r="J89" s="49">
        <f t="shared" si="191"/>
        <v>0.01</v>
      </c>
      <c r="K89" s="49">
        <f>IF($D$4,AD89,T89)</f>
        <v>0.01</v>
      </c>
      <c r="L89" s="49">
        <f>IF($D$4,AD89,T89)</f>
        <v>0.01</v>
      </c>
      <c r="M89" s="49">
        <f>IF($D$4,AG89,W89)</f>
        <v>0.02</v>
      </c>
      <c r="N89" s="197"/>
      <c r="O89" s="198">
        <f>E89</f>
        <v>5.0000000000000001E-3</v>
      </c>
      <c r="P89" s="198">
        <v>5.0000000000000001E-3</v>
      </c>
      <c r="Q89" s="46">
        <v>5.0000000000000001E-3</v>
      </c>
      <c r="R89" s="46">
        <v>5.0000000000000001E-3</v>
      </c>
      <c r="S89" s="234">
        <v>5.0000000000000001E-3</v>
      </c>
      <c r="T89" s="234">
        <v>5.0000000000000001E-3</v>
      </c>
      <c r="U89" s="234">
        <v>5.0000000000000001E-3</v>
      </c>
      <c r="V89" s="234">
        <v>5.0000000000000001E-3</v>
      </c>
      <c r="W89" s="234">
        <v>5.0000000000000001E-3</v>
      </c>
      <c r="X89" s="46"/>
      <c r="Y89" s="117">
        <f t="shared" si="157"/>
        <v>5.0000000000000001E-3</v>
      </c>
      <c r="Z89" s="117">
        <f t="shared" si="158"/>
        <v>5.0000000000000001E-3</v>
      </c>
      <c r="AA89" s="117">
        <f>Q89</f>
        <v>5.0000000000000001E-3</v>
      </c>
      <c r="AB89" s="117">
        <f t="shared" si="160"/>
        <v>5.0000000000000001E-3</v>
      </c>
      <c r="AC89" s="57">
        <v>0.01</v>
      </c>
      <c r="AD89" s="57">
        <v>0.01</v>
      </c>
      <c r="AE89" s="57">
        <v>1.4999999999999999E-2</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c r="A90" t="s">
        <v>16</v>
      </c>
      <c r="C90" t="str">
        <f>C85</f>
        <v>Bus, minibus, metro rail</v>
      </c>
      <c r="D90" t="s">
        <v>39</v>
      </c>
      <c r="E90" s="25">
        <f t="shared" ref="E90:M90" si="194">1-SUM(E87:E89)</f>
        <v>0.30909473139377541</v>
      </c>
      <c r="F90" s="25">
        <f t="shared" si="194"/>
        <v>0.30909473139377541</v>
      </c>
      <c r="G90" s="25">
        <f t="shared" si="194"/>
        <v>0.31535663956492177</v>
      </c>
      <c r="H90" s="25">
        <f t="shared" si="194"/>
        <v>0.26803045571687834</v>
      </c>
      <c r="I90" s="25">
        <f t="shared" si="194"/>
        <v>0.28827003915868199</v>
      </c>
      <c r="J90" s="25">
        <f t="shared" si="194"/>
        <v>0.25242635479671061</v>
      </c>
      <c r="K90" s="25">
        <f t="shared" ref="K90:L90" si="195">1-SUM(K87:K89)</f>
        <v>0.25242635479671061</v>
      </c>
      <c r="L90" s="25">
        <f t="shared" si="195"/>
        <v>0.25242635479671061</v>
      </c>
      <c r="M90" s="25">
        <f t="shared" si="194"/>
        <v>0.13834218119327846</v>
      </c>
      <c r="N90" s="197"/>
      <c r="O90" s="25">
        <f t="shared" ref="O90:W90" si="196">1-SUM(O87:O89)</f>
        <v>0.30909473139377541</v>
      </c>
      <c r="P90" s="25">
        <f t="shared" si="196"/>
        <v>0.30909473139377541</v>
      </c>
      <c r="Q90" s="25">
        <f t="shared" si="196"/>
        <v>0.31535663956492177</v>
      </c>
      <c r="R90" s="25">
        <f t="shared" si="196"/>
        <v>0.26803045571687834</v>
      </c>
      <c r="S90" s="25">
        <f t="shared" si="196"/>
        <v>0.21854020959410725</v>
      </c>
      <c r="T90" s="25">
        <f t="shared" si="196"/>
        <v>0.13639391141182156</v>
      </c>
      <c r="U90" s="25">
        <f t="shared" ref="U90:V90" si="197">1-SUM(U87:U89)</f>
        <v>-4.4687261196960648E-2</v>
      </c>
      <c r="V90" s="25">
        <f t="shared" si="197"/>
        <v>-4.4687261196960648E-2</v>
      </c>
      <c r="W90" s="25">
        <f t="shared" si="196"/>
        <v>-3.6057627006203852E-2</v>
      </c>
      <c r="X90" s="46"/>
      <c r="Y90" s="49">
        <f t="shared" si="157"/>
        <v>0.30909473139377541</v>
      </c>
      <c r="Z90" s="49">
        <f t="shared" si="158"/>
        <v>0.30909473139377541</v>
      </c>
      <c r="AA90" s="49">
        <f t="shared" si="159"/>
        <v>0.31535663956492177</v>
      </c>
      <c r="AB90" s="49">
        <f t="shared" si="160"/>
        <v>0.26803045571687834</v>
      </c>
      <c r="AC90" s="25">
        <f>1-SUM(AC87:AC89)</f>
        <v>0.28827003915868199</v>
      </c>
      <c r="AD90" s="25">
        <f>1-SUM(AD87:AD89)</f>
        <v>0.25242635479671061</v>
      </c>
      <c r="AE90" s="25">
        <f>1-SUM(AE87:AE89)</f>
        <v>9.2171884431255791E-2</v>
      </c>
      <c r="AF90" s="25">
        <f>1-SUM(AF87:AF89)</f>
        <v>8.7171884431255786E-2</v>
      </c>
      <c r="AG90" s="25">
        <f>1-SUM(AG87:AG89)</f>
        <v>0.13834218119327846</v>
      </c>
      <c r="AH90" s="46"/>
      <c r="AI90" s="46"/>
      <c r="AJ90" s="46"/>
      <c r="AK90" s="46"/>
      <c r="AL90" s="46"/>
      <c r="AM90" s="46"/>
      <c r="AN90" s="46"/>
      <c r="AO90" s="46"/>
      <c r="AP90" s="46"/>
      <c r="AQ90" s="46"/>
      <c r="AR90" s="46"/>
      <c r="AS90" s="46"/>
      <c r="AT90" s="46"/>
      <c r="AU90" s="46"/>
      <c r="AV90" s="46"/>
      <c r="AW90" s="46"/>
      <c r="AX90" s="46"/>
      <c r="AY90" s="46"/>
    </row>
    <row r="91" spans="1:51">
      <c r="A91" t="s">
        <v>16</v>
      </c>
      <c r="C91" s="19"/>
      <c r="E91" s="64"/>
      <c r="G91" s="64"/>
      <c r="I91" s="64"/>
      <c r="J91" s="64"/>
      <c r="K91" s="64"/>
      <c r="L91" s="64"/>
      <c r="M91" s="64"/>
      <c r="N91" s="32"/>
      <c r="Q91" s="64"/>
      <c r="S91" s="64"/>
      <c r="T91" s="64"/>
      <c r="U91" s="64"/>
      <c r="V91" s="64"/>
      <c r="W91" s="64"/>
      <c r="AA91" s="64"/>
      <c r="AC91" s="64"/>
      <c r="AD91" s="64"/>
      <c r="AE91" s="64"/>
      <c r="AF91" s="64"/>
      <c r="AG91" s="64"/>
    </row>
    <row r="92" spans="1:51">
      <c r="A92" t="s">
        <v>16</v>
      </c>
      <c r="C92" s="54" t="s">
        <v>181</v>
      </c>
      <c r="E92" s="6"/>
      <c r="G92" s="6"/>
      <c r="I92" s="6"/>
      <c r="J92" s="6"/>
      <c r="K92" s="6"/>
      <c r="L92" s="6"/>
      <c r="M92" s="6"/>
      <c r="N92" s="32"/>
      <c r="Q92" s="6"/>
      <c r="S92" s="6"/>
      <c r="T92" s="6"/>
      <c r="U92" s="6"/>
      <c r="V92" s="6"/>
      <c r="W92" s="6"/>
      <c r="AA92" s="6"/>
      <c r="AC92" s="6"/>
      <c r="AD92" s="6"/>
      <c r="AE92" s="6"/>
      <c r="AF92" s="6"/>
      <c r="AG92" s="6"/>
    </row>
    <row r="93" spans="1:51">
      <c r="A93" t="s">
        <v>16</v>
      </c>
      <c r="C93" s="30" t="str">
        <f>C75</f>
        <v>Low Income</v>
      </c>
      <c r="D93" t="s">
        <v>179</v>
      </c>
      <c r="E93" s="5">
        <f t="shared" ref="E93:J93" si="198">IF($D$4,Y93,O93)</f>
        <v>25.240254653319884</v>
      </c>
      <c r="F93" s="5">
        <f t="shared" si="198"/>
        <v>25.427775883826147</v>
      </c>
      <c r="G93" s="5">
        <f t="shared" si="198"/>
        <v>26.458300314436251</v>
      </c>
      <c r="H93" s="5">
        <f t="shared" si="198"/>
        <v>28.489435621375055</v>
      </c>
      <c r="I93" s="5">
        <f t="shared" si="198"/>
        <v>23.327052320318973</v>
      </c>
      <c r="J93" s="5">
        <f t="shared" si="198"/>
        <v>17.091333006031157</v>
      </c>
      <c r="K93" s="5">
        <f>IF($D$4,AD93,T93)</f>
        <v>17.091333006031157</v>
      </c>
      <c r="L93" s="5">
        <f>IF($D$4,AD93,T93)</f>
        <v>17.091333006031157</v>
      </c>
      <c r="M93" s="5">
        <f>IF($D$4,AG93,W93)</f>
        <v>6.8034663381337612</v>
      </c>
      <c r="N93" s="32"/>
      <c r="O93" s="5">
        <f>(1-O$25)*O$13</f>
        <v>25.240254653319884</v>
      </c>
      <c r="P93" s="5">
        <f t="shared" ref="P93:W93" si="199">(1-P$25)*P$13</f>
        <v>25.427775883826147</v>
      </c>
      <c r="Q93" s="5">
        <f t="shared" si="199"/>
        <v>26.458300314436251</v>
      </c>
      <c r="R93" s="5">
        <f t="shared" si="199"/>
        <v>28.489435621375055</v>
      </c>
      <c r="S93" s="5">
        <f t="shared" si="199"/>
        <v>23.327052320318973</v>
      </c>
      <c r="T93" s="5">
        <f t="shared" si="199"/>
        <v>17.091333006031157</v>
      </c>
      <c r="U93" s="5">
        <f t="shared" si="199"/>
        <v>13.022861399068384</v>
      </c>
      <c r="V93" s="5">
        <f t="shared" si="199"/>
        <v>9.8665642086046592</v>
      </c>
      <c r="W93" s="5">
        <f t="shared" si="199"/>
        <v>6.8034663381337612</v>
      </c>
      <c r="Y93" s="5">
        <f t="shared" ref="Y93:Y103" si="200">O93</f>
        <v>25.240254653319884</v>
      </c>
      <c r="Z93" s="5">
        <f t="shared" ref="Z93:Z103" si="201">P93</f>
        <v>25.427775883826147</v>
      </c>
      <c r="AA93" s="5">
        <f t="shared" ref="AA93:AA103" si="202">Q93</f>
        <v>26.458300314436251</v>
      </c>
      <c r="AB93" s="5">
        <f t="shared" ref="AB93:AB103" si="203">R93</f>
        <v>28.489435621375055</v>
      </c>
      <c r="AC93" s="5">
        <f>(1-AC$25)*AC$13</f>
        <v>23.327052320318973</v>
      </c>
      <c r="AD93" s="5">
        <f>(1-AD$25)*AD$13</f>
        <v>17.091333006031157</v>
      </c>
      <c r="AE93" s="5">
        <f>(1-AE$25)*AE$13</f>
        <v>13.022861399068384</v>
      </c>
      <c r="AF93" s="5">
        <f>(1-AF$25)*AF$13</f>
        <v>9.8665642086046592</v>
      </c>
      <c r="AG93" s="5">
        <f>(1-AG$25)*AG$13</f>
        <v>6.8034663381337612</v>
      </c>
    </row>
    <row r="94" spans="1:51">
      <c r="A94" t="s">
        <v>16</v>
      </c>
      <c r="C94" t="s">
        <v>54</v>
      </c>
      <c r="D94" t="s">
        <v>39</v>
      </c>
      <c r="E94" s="231">
        <v>5.0000000000000001E-3</v>
      </c>
      <c r="F94" s="49">
        <f t="shared" ref="F94:J95" si="204">IF($D$4,Z94,P94)</f>
        <v>0.01</v>
      </c>
      <c r="G94" s="49">
        <f t="shared" si="204"/>
        <v>0.01</v>
      </c>
      <c r="H94" s="49">
        <f t="shared" si="204"/>
        <v>0.01</v>
      </c>
      <c r="I94" s="49">
        <f t="shared" si="204"/>
        <v>0.01</v>
      </c>
      <c r="J94" s="49">
        <f t="shared" si="204"/>
        <v>0.01</v>
      </c>
      <c r="K94" s="49">
        <f>IF($D$4,AD94,T94)</f>
        <v>0.01</v>
      </c>
      <c r="L94" s="49">
        <f>IF($D$4,AD94,T94)</f>
        <v>0.01</v>
      </c>
      <c r="M94" s="49">
        <f>IF($D$4,AG94,W94)</f>
        <v>0.01</v>
      </c>
      <c r="N94" s="197"/>
      <c r="O94" s="191">
        <f>E94</f>
        <v>5.0000000000000001E-3</v>
      </c>
      <c r="P94" s="191">
        <v>0.01</v>
      </c>
      <c r="Q94" s="191">
        <f>P94</f>
        <v>0.01</v>
      </c>
      <c r="R94" s="64">
        <f>Q94</f>
        <v>0.01</v>
      </c>
      <c r="S94" s="46">
        <f t="shared" ref="S94:W94" si="205">R94</f>
        <v>0.01</v>
      </c>
      <c r="T94" s="46">
        <f t="shared" si="205"/>
        <v>0.01</v>
      </c>
      <c r="U94" s="46">
        <f t="shared" si="205"/>
        <v>0.01</v>
      </c>
      <c r="V94" s="46">
        <f t="shared" si="205"/>
        <v>0.01</v>
      </c>
      <c r="W94" s="46">
        <f t="shared" si="205"/>
        <v>0.01</v>
      </c>
      <c r="X94" s="46"/>
      <c r="Y94" s="5">
        <f t="shared" si="200"/>
        <v>5.0000000000000001E-3</v>
      </c>
      <c r="Z94" s="5">
        <f t="shared" si="201"/>
        <v>0.01</v>
      </c>
      <c r="AA94" s="5">
        <f t="shared" si="202"/>
        <v>0.01</v>
      </c>
      <c r="AB94" s="64">
        <f>AA94</f>
        <v>0.01</v>
      </c>
      <c r="AC94" s="46">
        <f t="shared" ref="AC94:AG94" si="206">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c r="A95" t="s">
        <v>16</v>
      </c>
      <c r="C95" t="s">
        <v>71</v>
      </c>
      <c r="D95" t="s">
        <v>39</v>
      </c>
      <c r="E95" s="231">
        <v>0</v>
      </c>
      <c r="F95" s="49">
        <f t="shared" si="204"/>
        <v>0</v>
      </c>
      <c r="G95" s="49">
        <f t="shared" si="204"/>
        <v>0</v>
      </c>
      <c r="H95" s="49">
        <f t="shared" si="204"/>
        <v>0</v>
      </c>
      <c r="I95" s="49">
        <f t="shared" si="204"/>
        <v>0</v>
      </c>
      <c r="J95" s="49">
        <f t="shared" si="204"/>
        <v>0</v>
      </c>
      <c r="K95" s="49">
        <f>IF($D$4,AD95,T95)</f>
        <v>0</v>
      </c>
      <c r="L95" s="49">
        <f>IF($D$4,AD95,T95)</f>
        <v>0</v>
      </c>
      <c r="M95" s="49">
        <f>IF($D$4,AG95,W95)</f>
        <v>0</v>
      </c>
      <c r="N95" s="197"/>
      <c r="O95" s="191">
        <f>E95</f>
        <v>0</v>
      </c>
      <c r="P95" s="191">
        <f>O95</f>
        <v>0</v>
      </c>
      <c r="Q95" s="191">
        <f>P95</f>
        <v>0</v>
      </c>
      <c r="R95" s="191">
        <f t="shared" ref="R95:T95" si="207">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c r="A96" t="s">
        <v>16</v>
      </c>
      <c r="C96" t="s">
        <v>70</v>
      </c>
      <c r="D96" t="s">
        <v>39</v>
      </c>
      <c r="E96" s="25">
        <f t="shared" ref="E96:M96" si="208">1-SUM(E94:E95)</f>
        <v>0.995</v>
      </c>
      <c r="F96" s="25">
        <f t="shared" si="208"/>
        <v>0.99</v>
      </c>
      <c r="G96" s="25">
        <f t="shared" si="208"/>
        <v>0.99</v>
      </c>
      <c r="H96" s="25">
        <f t="shared" si="208"/>
        <v>0.99</v>
      </c>
      <c r="I96" s="25">
        <f t="shared" si="208"/>
        <v>0.99</v>
      </c>
      <c r="J96" s="25">
        <f t="shared" si="208"/>
        <v>0.99</v>
      </c>
      <c r="K96" s="25">
        <f t="shared" ref="K96:L96" si="209">1-SUM(K94:K95)</f>
        <v>0.99</v>
      </c>
      <c r="L96" s="25">
        <f t="shared" si="209"/>
        <v>0.99</v>
      </c>
      <c r="M96" s="25">
        <f t="shared" si="208"/>
        <v>0.99</v>
      </c>
      <c r="N96" s="197"/>
      <c r="O96" s="25">
        <f t="shared" ref="O96:W96" si="210">1-SUM(O94:O95)</f>
        <v>0.995</v>
      </c>
      <c r="P96" s="25">
        <f t="shared" si="210"/>
        <v>0.99</v>
      </c>
      <c r="Q96" s="25">
        <f t="shared" si="210"/>
        <v>0.99</v>
      </c>
      <c r="R96" s="25">
        <f t="shared" si="210"/>
        <v>0.99</v>
      </c>
      <c r="S96" s="25">
        <f t="shared" si="210"/>
        <v>0.99</v>
      </c>
      <c r="T96" s="25">
        <f t="shared" si="210"/>
        <v>0.99</v>
      </c>
      <c r="U96" s="25">
        <f t="shared" ref="U96:V96" si="211">1-SUM(U94:U95)</f>
        <v>0.99</v>
      </c>
      <c r="V96" s="25">
        <f t="shared" si="211"/>
        <v>0.99</v>
      </c>
      <c r="W96" s="25">
        <f t="shared" si="210"/>
        <v>0.99</v>
      </c>
      <c r="X96" s="46"/>
      <c r="Y96" s="5">
        <f t="shared" si="200"/>
        <v>0.995</v>
      </c>
      <c r="Z96" s="5">
        <f t="shared" si="201"/>
        <v>0.99</v>
      </c>
      <c r="AA96" s="5">
        <f t="shared" si="202"/>
        <v>0.99</v>
      </c>
      <c r="AB96" s="5">
        <f t="shared" si="203"/>
        <v>0.99</v>
      </c>
      <c r="AC96" s="25">
        <f>1-SUM(AC94:AC95)</f>
        <v>0.99</v>
      </c>
      <c r="AD96" s="25">
        <f>1-SUM(AD94:AD95)</f>
        <v>0.99</v>
      </c>
      <c r="AE96" s="25">
        <f>1-SUM(AE94:AE95)</f>
        <v>0.99</v>
      </c>
      <c r="AF96" s="25">
        <f>1-SUM(AF94:AF95)</f>
        <v>0.99</v>
      </c>
      <c r="AG96" s="25">
        <f>1-SUM(AG94:AG95)</f>
        <v>0.99</v>
      </c>
      <c r="AH96" s="46"/>
      <c r="AI96" s="46"/>
      <c r="AJ96" s="46"/>
      <c r="AK96" s="46"/>
      <c r="AL96" s="46"/>
      <c r="AM96" s="46"/>
      <c r="AN96" s="46"/>
      <c r="AO96" s="46"/>
      <c r="AP96" s="46"/>
      <c r="AQ96" s="46"/>
      <c r="AR96" s="46"/>
      <c r="AS96" s="46"/>
      <c r="AT96" s="46"/>
      <c r="AU96" s="46"/>
      <c r="AV96" s="46"/>
      <c r="AW96" s="46"/>
      <c r="AX96" s="46"/>
      <c r="AY96" s="46"/>
    </row>
    <row r="97" spans="1:51">
      <c r="A97" t="s">
        <v>16</v>
      </c>
      <c r="C97" s="30" t="str">
        <f>C81</f>
        <v>Middle Income</v>
      </c>
      <c r="D97" t="s">
        <v>179</v>
      </c>
      <c r="E97" s="5">
        <f t="shared" ref="E97:J97" si="212">IF($D$4,Y97,O97)</f>
        <v>8.1886900600956771</v>
      </c>
      <c r="F97" s="5">
        <f t="shared" si="212"/>
        <v>8.636896648943301</v>
      </c>
      <c r="G97" s="5">
        <f t="shared" si="212"/>
        <v>9.0762919375131723</v>
      </c>
      <c r="H97" s="5">
        <f t="shared" si="212"/>
        <v>8.1902314097324798</v>
      </c>
      <c r="I97" s="5">
        <f t="shared" si="212"/>
        <v>10.599272163529131</v>
      </c>
      <c r="J97" s="5">
        <f t="shared" si="212"/>
        <v>12.970586288627793</v>
      </c>
      <c r="K97" s="5">
        <f>IF($D$4,AD97,T97)</f>
        <v>12.970586288627793</v>
      </c>
      <c r="L97" s="5">
        <f>IF($D$4,AD97,T97)</f>
        <v>12.970586288627793</v>
      </c>
      <c r="M97" s="5">
        <f>IF($D$4,AG97,W97)</f>
        <v>17.639575985722669</v>
      </c>
      <c r="N97" s="32"/>
      <c r="O97" s="5">
        <f t="shared" ref="O97:W97" si="213">(1-O$26)*O$14</f>
        <v>8.1886900600956771</v>
      </c>
      <c r="P97" s="5">
        <f t="shared" si="213"/>
        <v>8.636896648943301</v>
      </c>
      <c r="Q97" s="5">
        <f t="shared" si="213"/>
        <v>9.0762919375131723</v>
      </c>
      <c r="R97" s="5">
        <f t="shared" si="213"/>
        <v>8.1902314097324798</v>
      </c>
      <c r="S97" s="5">
        <f t="shared" si="213"/>
        <v>10.033550688537142</v>
      </c>
      <c r="T97" s="5">
        <f t="shared" si="213"/>
        <v>11.68577285791932</v>
      </c>
      <c r="U97" s="5">
        <f t="shared" si="213"/>
        <v>12.906537626428394</v>
      </c>
      <c r="V97" s="5">
        <f t="shared" si="213"/>
        <v>13.962098188900388</v>
      </c>
      <c r="W97" s="5">
        <f t="shared" si="213"/>
        <v>15.19562623720533</v>
      </c>
      <c r="Y97" s="5">
        <f t="shared" si="200"/>
        <v>8.1886900600956771</v>
      </c>
      <c r="Z97" s="5">
        <f t="shared" si="201"/>
        <v>8.636896648943301</v>
      </c>
      <c r="AA97" s="5">
        <f t="shared" si="202"/>
        <v>9.0762919375131723</v>
      </c>
      <c r="AB97" s="5">
        <f t="shared" si="203"/>
        <v>8.1902314097324798</v>
      </c>
      <c r="AC97" s="5">
        <f>(1-AC$26)*AC$14</f>
        <v>10.599272163529131</v>
      </c>
      <c r="AD97" s="5">
        <f>(1-AD$26)*AD$14</f>
        <v>12.970586288627793</v>
      </c>
      <c r="AE97" s="5">
        <f>(1-AE$26)*AE$14</f>
        <v>14.325570247376668</v>
      </c>
      <c r="AF97" s="5">
        <f>(1-AF$26)*AF$14</f>
        <v>15.497186324882152</v>
      </c>
      <c r="AG97" s="5">
        <f>(1-AG$26)*AG$14</f>
        <v>17.639575985722669</v>
      </c>
    </row>
    <row r="98" spans="1:51">
      <c r="A98" t="s">
        <v>16</v>
      </c>
      <c r="C98" t="str">
        <f>C94</f>
        <v>BRT</v>
      </c>
      <c r="D98" t="s">
        <v>39</v>
      </c>
      <c r="E98" s="231">
        <v>5.0000000000000001E-3</v>
      </c>
      <c r="F98" s="49">
        <f t="shared" ref="F98:J99" si="214">IF($D$4,Z98,P98)</f>
        <v>0.01</v>
      </c>
      <c r="G98" s="49">
        <f t="shared" si="214"/>
        <v>0.01</v>
      </c>
      <c r="H98" s="49">
        <f t="shared" si="214"/>
        <v>0.01</v>
      </c>
      <c r="I98" s="49">
        <f t="shared" si="214"/>
        <v>0.01</v>
      </c>
      <c r="J98" s="49">
        <f t="shared" si="214"/>
        <v>0.01</v>
      </c>
      <c r="K98" s="49">
        <f>IF($D$4,AD98,T98)</f>
        <v>0.01</v>
      </c>
      <c r="L98" s="49">
        <f>IF($D$4,AD98,T98)</f>
        <v>0.01</v>
      </c>
      <c r="M98" s="49">
        <f>IF($D$4,AG98,W98)</f>
        <v>0.01</v>
      </c>
      <c r="N98" s="197"/>
      <c r="O98" s="191">
        <f>E98</f>
        <v>5.0000000000000001E-3</v>
      </c>
      <c r="P98" s="191">
        <v>0.01</v>
      </c>
      <c r="Q98" s="191">
        <f>P98</f>
        <v>0.01</v>
      </c>
      <c r="R98" s="64">
        <f>Q98</f>
        <v>0.01</v>
      </c>
      <c r="S98" s="46">
        <f t="shared" ref="S98:W98" si="215">R98</f>
        <v>0.01</v>
      </c>
      <c r="T98" s="46">
        <f t="shared" si="215"/>
        <v>0.01</v>
      </c>
      <c r="U98" s="46">
        <f t="shared" si="215"/>
        <v>0.01</v>
      </c>
      <c r="V98" s="46">
        <f t="shared" si="215"/>
        <v>0.01</v>
      </c>
      <c r="W98" s="46">
        <f t="shared" si="215"/>
        <v>0.01</v>
      </c>
      <c r="X98" s="46"/>
      <c r="Y98" s="5">
        <f t="shared" si="200"/>
        <v>5.0000000000000001E-3</v>
      </c>
      <c r="Z98" s="5">
        <f t="shared" si="201"/>
        <v>0.01</v>
      </c>
      <c r="AA98" s="5">
        <f t="shared" si="202"/>
        <v>0.01</v>
      </c>
      <c r="AB98" s="64">
        <f>AA98</f>
        <v>0.01</v>
      </c>
      <c r="AC98" s="46">
        <f t="shared" ref="AC98:AG98" si="216">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c r="A99" t="s">
        <v>16</v>
      </c>
      <c r="C99" t="str">
        <f>C95</f>
        <v>Gautrain</v>
      </c>
      <c r="D99" t="s">
        <v>39</v>
      </c>
      <c r="E99" s="231">
        <v>2E-3</v>
      </c>
      <c r="F99" s="49">
        <f t="shared" si="214"/>
        <v>2E-3</v>
      </c>
      <c r="G99" s="49">
        <f t="shared" si="214"/>
        <v>2E-3</v>
      </c>
      <c r="H99" s="49">
        <f t="shared" si="214"/>
        <v>2E-3</v>
      </c>
      <c r="I99" s="49">
        <f t="shared" si="214"/>
        <v>2E-3</v>
      </c>
      <c r="J99" s="49">
        <f t="shared" si="214"/>
        <v>3.0000000000000001E-3</v>
      </c>
      <c r="K99" s="49">
        <f>IF($D$4,AD99,T99)</f>
        <v>3.0000000000000001E-3</v>
      </c>
      <c r="L99" s="49">
        <f>IF($D$4,AD99,T99)</f>
        <v>3.0000000000000001E-3</v>
      </c>
      <c r="M99" s="49">
        <f>IF($D$4,AG99,W99)</f>
        <v>0.01</v>
      </c>
      <c r="N99" s="197"/>
      <c r="O99" s="191">
        <f>E99</f>
        <v>2E-3</v>
      </c>
      <c r="P99" s="191">
        <f>O99</f>
        <v>2E-3</v>
      </c>
      <c r="Q99" s="191">
        <f>P99</f>
        <v>2E-3</v>
      </c>
      <c r="R99" s="191">
        <f t="shared" ref="R99:T99" si="217">Q99</f>
        <v>2E-3</v>
      </c>
      <c r="S99" s="37">
        <f t="shared" si="217"/>
        <v>2E-3</v>
      </c>
      <c r="T99" s="37">
        <f t="shared" si="217"/>
        <v>2E-3</v>
      </c>
      <c r="U99" s="37">
        <f>S99</f>
        <v>2E-3</v>
      </c>
      <c r="V99" s="37">
        <f>S99</f>
        <v>2E-3</v>
      </c>
      <c r="W99" s="37">
        <f>T99</f>
        <v>2E-3</v>
      </c>
      <c r="X99" s="46"/>
      <c r="Y99" s="5">
        <f t="shared" si="200"/>
        <v>2E-3</v>
      </c>
      <c r="Z99" s="5">
        <f t="shared" si="201"/>
        <v>2E-3</v>
      </c>
      <c r="AA99" s="5">
        <f t="shared" si="202"/>
        <v>2E-3</v>
      </c>
      <c r="AB99" s="5">
        <f t="shared" si="203"/>
        <v>2E-3</v>
      </c>
      <c r="AC99" s="57">
        <v>2E-3</v>
      </c>
      <c r="AD99" s="57">
        <v>3.0000000000000001E-3</v>
      </c>
      <c r="AE99" s="57">
        <v>4.0000000000000001E-3</v>
      </c>
      <c r="AF99" s="57">
        <v>5.0000000000000001E-3</v>
      </c>
      <c r="AG99" s="57">
        <v>0.01</v>
      </c>
      <c r="AH99" s="46"/>
      <c r="AI99" s="46"/>
      <c r="AJ99" s="46"/>
      <c r="AK99" s="46"/>
      <c r="AL99" s="46"/>
      <c r="AM99" s="46"/>
      <c r="AN99" s="46"/>
      <c r="AO99" s="46"/>
      <c r="AP99" s="46"/>
      <c r="AQ99" s="46"/>
      <c r="AR99" s="46"/>
      <c r="AS99" s="46"/>
      <c r="AT99" s="46"/>
      <c r="AU99" s="46"/>
      <c r="AV99" s="46"/>
      <c r="AW99" s="46"/>
      <c r="AX99" s="46"/>
      <c r="AY99" s="46"/>
    </row>
    <row r="100" spans="1:51">
      <c r="A100" t="s">
        <v>16</v>
      </c>
      <c r="C100" t="str">
        <f>C96</f>
        <v>Bus, minibus, metro rail</v>
      </c>
      <c r="D100" t="s">
        <v>39</v>
      </c>
      <c r="E100" s="25">
        <f t="shared" ref="E100:M100" si="218">1-SUM(E98:E99)</f>
        <v>0.99299999999999999</v>
      </c>
      <c r="F100" s="25">
        <f t="shared" si="218"/>
        <v>0.98799999999999999</v>
      </c>
      <c r="G100" s="25">
        <f t="shared" si="218"/>
        <v>0.98799999999999999</v>
      </c>
      <c r="H100" s="25">
        <f t="shared" si="218"/>
        <v>0.98799999999999999</v>
      </c>
      <c r="I100" s="25">
        <f t="shared" si="218"/>
        <v>0.98799999999999999</v>
      </c>
      <c r="J100" s="25">
        <f t="shared" si="218"/>
        <v>0.98699999999999999</v>
      </c>
      <c r="K100" s="25">
        <f t="shared" ref="K100:L100" si="219">1-SUM(K98:K99)</f>
        <v>0.98699999999999999</v>
      </c>
      <c r="L100" s="25">
        <f t="shared" si="219"/>
        <v>0.98699999999999999</v>
      </c>
      <c r="M100" s="25">
        <f t="shared" si="218"/>
        <v>0.98</v>
      </c>
      <c r="N100" s="197"/>
      <c r="O100" s="25">
        <f t="shared" ref="O100:W100" si="22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ref="U100:V100" si="221">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0.98</v>
      </c>
      <c r="AH100" s="46"/>
      <c r="AI100" s="46"/>
      <c r="AJ100" s="46"/>
      <c r="AK100" s="46"/>
      <c r="AL100" s="46"/>
      <c r="AM100" s="46"/>
      <c r="AN100" s="46"/>
      <c r="AO100" s="46"/>
      <c r="AP100" s="46"/>
      <c r="AQ100" s="46"/>
      <c r="AR100" s="46"/>
      <c r="AS100" s="46"/>
      <c r="AT100" s="46"/>
      <c r="AU100" s="46"/>
      <c r="AV100" s="46"/>
      <c r="AW100" s="46"/>
      <c r="AX100" s="46"/>
      <c r="AY100" s="46"/>
    </row>
    <row r="101" spans="1:51">
      <c r="A101" t="s">
        <v>16</v>
      </c>
      <c r="C101" s="30" t="str">
        <f>C86</f>
        <v>High Income</v>
      </c>
      <c r="D101" t="s">
        <v>179</v>
      </c>
      <c r="E101" s="5">
        <f t="shared" ref="E101:J101" si="222">IF($D$4,Y101,O101)</f>
        <v>3.0943286138531914</v>
      </c>
      <c r="F101" s="5">
        <f t="shared" si="222"/>
        <v>3.2561677381747867</v>
      </c>
      <c r="G101" s="5">
        <f t="shared" si="222"/>
        <v>2.7499367319273165</v>
      </c>
      <c r="H101" s="5">
        <f t="shared" si="222"/>
        <v>2.9903336124671918</v>
      </c>
      <c r="I101" s="5">
        <f t="shared" si="222"/>
        <v>5.2730091938844961</v>
      </c>
      <c r="J101" s="5">
        <f t="shared" si="222"/>
        <v>8.4090459894471064</v>
      </c>
      <c r="K101" s="5">
        <f>IF($D$4,AD101,T101)</f>
        <v>8.4090459894471064</v>
      </c>
      <c r="L101" s="5">
        <f>IF($D$4,AD101,T101)</f>
        <v>8.4090459894471064</v>
      </c>
      <c r="M101" s="5">
        <f>IF($D$4,AG101,W101)</f>
        <v>12.711498355216392</v>
      </c>
      <c r="N101" s="32"/>
      <c r="O101" s="5">
        <f t="shared" ref="O101:W101" si="223">(1-O$27)*O$15</f>
        <v>3.0943286138531914</v>
      </c>
      <c r="P101" s="5">
        <f t="shared" si="223"/>
        <v>3.2561677381747867</v>
      </c>
      <c r="Q101" s="5">
        <f t="shared" si="223"/>
        <v>2.7499367319273165</v>
      </c>
      <c r="R101" s="5">
        <f t="shared" si="223"/>
        <v>2.9903336124671918</v>
      </c>
      <c r="S101" s="5">
        <f t="shared" si="223"/>
        <v>4.5237895094019569</v>
      </c>
      <c r="T101" s="5">
        <f t="shared" si="223"/>
        <v>6.3562622150089769</v>
      </c>
      <c r="U101" s="5">
        <f t="shared" si="223"/>
        <v>7.601509104041754</v>
      </c>
      <c r="V101" s="5">
        <f t="shared" si="223"/>
        <v>8.3222947020064844</v>
      </c>
      <c r="W101" s="5">
        <f t="shared" si="223"/>
        <v>8.6330389527094233</v>
      </c>
      <c r="Y101" s="5">
        <f t="shared" si="200"/>
        <v>3.0943286138531914</v>
      </c>
      <c r="Z101" s="5">
        <f t="shared" si="201"/>
        <v>3.2561677381747867</v>
      </c>
      <c r="AA101" s="5">
        <f t="shared" si="202"/>
        <v>2.7499367319273165</v>
      </c>
      <c r="AB101" s="5">
        <f t="shared" si="203"/>
        <v>2.9903336124671918</v>
      </c>
      <c r="AC101" s="5">
        <f>(1-AC$27)*AC$15</f>
        <v>5.2730091938844961</v>
      </c>
      <c r="AD101" s="5">
        <f>(1-AD$27)*AD$15</f>
        <v>8.4090459894471064</v>
      </c>
      <c r="AE101" s="5">
        <f>(1-AE$27)*AE$15</f>
        <v>10.056451021506151</v>
      </c>
      <c r="AF101" s="5">
        <f>(1-AF$27)*AF$15</f>
        <v>11.010017604631763</v>
      </c>
      <c r="AG101" s="5">
        <f>(1-AG$27)*AG$15</f>
        <v>12.711498355216392</v>
      </c>
    </row>
    <row r="102" spans="1:51">
      <c r="A102" t="s">
        <v>16</v>
      </c>
      <c r="C102" t="str">
        <f>C98</f>
        <v>BRT</v>
      </c>
      <c r="D102" t="s">
        <v>39</v>
      </c>
      <c r="E102" s="231">
        <v>5.0000000000000001E-3</v>
      </c>
      <c r="F102" s="49">
        <f t="shared" ref="F102:J103" si="224">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7"/>
      <c r="O102" s="191">
        <f>E102</f>
        <v>5.0000000000000001E-3</v>
      </c>
      <c r="P102" s="191">
        <v>0.01</v>
      </c>
      <c r="Q102" s="191">
        <f>P102</f>
        <v>0.01</v>
      </c>
      <c r="R102" s="64">
        <f>Q102</f>
        <v>0.01</v>
      </c>
      <c r="S102" s="46">
        <f t="shared" ref="S102:W102" si="225">R102</f>
        <v>0.01</v>
      </c>
      <c r="T102" s="46">
        <f t="shared" si="225"/>
        <v>0.01</v>
      </c>
      <c r="U102" s="46">
        <f t="shared" si="225"/>
        <v>0.01</v>
      </c>
      <c r="V102" s="46">
        <f t="shared" si="225"/>
        <v>0.01</v>
      </c>
      <c r="W102" s="46">
        <f t="shared" si="225"/>
        <v>0.01</v>
      </c>
      <c r="X102" s="46"/>
      <c r="Y102" s="5">
        <f t="shared" si="200"/>
        <v>5.0000000000000001E-3</v>
      </c>
      <c r="Z102" s="5">
        <f t="shared" si="201"/>
        <v>0.01</v>
      </c>
      <c r="AA102" s="5">
        <f t="shared" si="202"/>
        <v>0.01</v>
      </c>
      <c r="AB102" s="64">
        <f>AA102</f>
        <v>0.01</v>
      </c>
      <c r="AC102" s="46">
        <f t="shared" ref="AC102:AG102" si="226">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c r="A103" t="s">
        <v>16</v>
      </c>
      <c r="C103" t="str">
        <f>C99</f>
        <v>Gautrain</v>
      </c>
      <c r="D103" t="s">
        <v>39</v>
      </c>
      <c r="E103" s="231">
        <v>5.0000000000000001E-3</v>
      </c>
      <c r="F103" s="117">
        <f t="shared" si="224"/>
        <v>5.0000000000000001E-3</v>
      </c>
      <c r="G103" s="117">
        <f t="shared" si="224"/>
        <v>5.0000000000000001E-3</v>
      </c>
      <c r="H103" s="117">
        <f t="shared" si="224"/>
        <v>5.0000000000000001E-3</v>
      </c>
      <c r="I103" s="117">
        <f t="shared" si="224"/>
        <v>3.0000000000000001E-3</v>
      </c>
      <c r="J103" s="117">
        <f t="shared" si="224"/>
        <v>4.0000000000000001E-3</v>
      </c>
      <c r="K103" s="117">
        <f>IF($D$4,AD103,T103)</f>
        <v>4.0000000000000001E-3</v>
      </c>
      <c r="L103" s="117">
        <f>IF($D$4,AD103,T103)</f>
        <v>4.0000000000000001E-3</v>
      </c>
      <c r="M103" s="117">
        <f>IF($D$4,AG103,W103)</f>
        <v>0.01</v>
      </c>
      <c r="N103" s="197"/>
      <c r="O103" s="198">
        <f>E103</f>
        <v>5.0000000000000001E-3</v>
      </c>
      <c r="P103" s="198">
        <f>O103</f>
        <v>5.0000000000000001E-3</v>
      </c>
      <c r="Q103" s="191">
        <v>5.0000000000000001E-3</v>
      </c>
      <c r="R103" s="191">
        <f>AVERAGE(Q103,S103)</f>
        <v>5.0000000000000001E-3</v>
      </c>
      <c r="S103" s="37">
        <f>Q103</f>
        <v>5.0000000000000001E-3</v>
      </c>
      <c r="T103" s="37">
        <f>S103</f>
        <v>5.0000000000000001E-3</v>
      </c>
      <c r="U103" s="37">
        <f>S103</f>
        <v>5.0000000000000001E-3</v>
      </c>
      <c r="V103" s="37">
        <f>S103</f>
        <v>5.0000000000000001E-3</v>
      </c>
      <c r="W103" s="37">
        <f>T103</f>
        <v>5.0000000000000001E-3</v>
      </c>
      <c r="X103" s="46"/>
      <c r="Y103" s="5">
        <f t="shared" si="200"/>
        <v>5.0000000000000001E-3</v>
      </c>
      <c r="Z103" s="5">
        <f t="shared" si="201"/>
        <v>5.0000000000000001E-3</v>
      </c>
      <c r="AA103" s="5">
        <f t="shared" si="202"/>
        <v>5.0000000000000001E-3</v>
      </c>
      <c r="AB103" s="5">
        <f t="shared" si="203"/>
        <v>5.0000000000000001E-3</v>
      </c>
      <c r="AC103" s="57">
        <v>3.0000000000000001E-3</v>
      </c>
      <c r="AD103" s="57">
        <v>4.0000000000000001E-3</v>
      </c>
      <c r="AE103" s="57">
        <v>5.0000000000000001E-3</v>
      </c>
      <c r="AF103" s="57">
        <v>7.4999999999999997E-3</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c r="A104" t="s">
        <v>16</v>
      </c>
      <c r="C104" t="str">
        <f>C100</f>
        <v>Bus, minibus, metro rail</v>
      </c>
      <c r="D104" t="s">
        <v>39</v>
      </c>
      <c r="E104" s="25">
        <f t="shared" ref="E104:M104" si="227">1-SUM(E102:E103)</f>
        <v>0.99</v>
      </c>
      <c r="F104" s="25">
        <f t="shared" si="227"/>
        <v>0.98499999999999999</v>
      </c>
      <c r="G104" s="25">
        <f t="shared" si="227"/>
        <v>0.98499999999999999</v>
      </c>
      <c r="H104" s="25">
        <f t="shared" si="227"/>
        <v>0.98499999999999999</v>
      </c>
      <c r="I104" s="25">
        <f t="shared" si="227"/>
        <v>0.98699999999999999</v>
      </c>
      <c r="J104" s="25">
        <f t="shared" si="227"/>
        <v>0.98599999999999999</v>
      </c>
      <c r="K104" s="25">
        <f t="shared" ref="K104:L104" si="228">1-SUM(K102:K103)</f>
        <v>0.98599999999999999</v>
      </c>
      <c r="L104" s="25">
        <f t="shared" si="228"/>
        <v>0.98599999999999999</v>
      </c>
      <c r="M104" s="25">
        <f t="shared" si="227"/>
        <v>0.98</v>
      </c>
      <c r="N104" s="197"/>
      <c r="O104" s="25">
        <f t="shared" ref="O104:W104" si="229">1-SUM(O102:O103)</f>
        <v>0.99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ref="U104:V104" si="230">1-SUM(U102:U103)</f>
        <v>0.98499999999999999</v>
      </c>
      <c r="V104" s="25">
        <f t="shared" si="230"/>
        <v>0.98499999999999999</v>
      </c>
      <c r="W104" s="25">
        <f t="shared" si="229"/>
        <v>0.98499999999999999</v>
      </c>
      <c r="X104" s="46"/>
      <c r="Y104" s="25">
        <f t="shared" ref="Y104:AB104" si="231">1-SUM(Y102:Y103)</f>
        <v>0.99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0.98</v>
      </c>
      <c r="AH104" s="46"/>
      <c r="AI104" s="46"/>
      <c r="AJ104" s="46"/>
      <c r="AK104" s="46"/>
      <c r="AL104" s="46"/>
      <c r="AM104" s="46"/>
      <c r="AN104" s="46"/>
      <c r="AO104" s="46"/>
      <c r="AP104" s="46"/>
      <c r="AQ104" s="46"/>
      <c r="AR104" s="46"/>
      <c r="AS104" s="46"/>
      <c r="AT104" s="46"/>
      <c r="AU104" s="46"/>
      <c r="AV104" s="46"/>
      <c r="AW104" s="46"/>
      <c r="AX104" s="46"/>
      <c r="AY104" s="46"/>
    </row>
    <row r="105" spans="1:51">
      <c r="A105" t="s">
        <v>16</v>
      </c>
      <c r="C105" s="19"/>
      <c r="E105" s="64"/>
      <c r="G105" s="64"/>
      <c r="I105" s="64"/>
      <c r="J105" s="64"/>
      <c r="K105" s="64"/>
      <c r="L105" s="64"/>
      <c r="M105" s="64"/>
      <c r="N105" s="32"/>
    </row>
    <row r="106" spans="1:51" ht="15.75" thickBot="1">
      <c r="A106" t="s">
        <v>16</v>
      </c>
      <c r="C106" s="2" t="s">
        <v>182</v>
      </c>
      <c r="E106" s="64"/>
      <c r="G106" s="64"/>
      <c r="I106" s="64"/>
      <c r="J106" s="64"/>
      <c r="K106" s="64"/>
      <c r="L106" s="64"/>
      <c r="M106" s="64"/>
      <c r="N106" s="32"/>
    </row>
    <row r="107" spans="1:51">
      <c r="A107" t="s">
        <v>16</v>
      </c>
      <c r="C107" s="19" t="str">
        <f>C54</f>
        <v>Low Income</v>
      </c>
      <c r="D107" t="s">
        <v>161</v>
      </c>
      <c r="E107" s="5">
        <f t="shared" ref="E107:J111" si="232">IF($D$4,Y107,O107)</f>
        <v>0.95104494317767596</v>
      </c>
      <c r="F107" s="5">
        <f t="shared" si="232"/>
        <v>0.95811068480591965</v>
      </c>
      <c r="G107" s="5">
        <f t="shared" si="232"/>
        <v>0.99694052475857964</v>
      </c>
      <c r="H107" s="5">
        <f t="shared" si="232"/>
        <v>1.0734730712445839</v>
      </c>
      <c r="I107" s="5">
        <f t="shared" si="232"/>
        <v>0.79325785720113817</v>
      </c>
      <c r="J107" s="5">
        <f t="shared" si="232"/>
        <v>0.55214616533450955</v>
      </c>
      <c r="K107" s="5">
        <f>IF($D$4,AD107,T107)</f>
        <v>0.55214616533450955</v>
      </c>
      <c r="L107" s="5">
        <f>IF($D$4,AD107,T107)</f>
        <v>0.55214616533450955</v>
      </c>
      <c r="M107" s="5">
        <f>IF($D$4,AG107,W107)</f>
        <v>0.18844264027853619</v>
      </c>
      <c r="N107" s="32"/>
      <c r="O107" s="5">
        <f t="shared" ref="O107:W109" si="233">O25*O13*O30*O41</f>
        <v>0.95104494317767596</v>
      </c>
      <c r="P107" s="5">
        <f t="shared" si="233"/>
        <v>0.95811068480591965</v>
      </c>
      <c r="Q107" s="5">
        <f t="shared" si="233"/>
        <v>0.99694052475857964</v>
      </c>
      <c r="R107" s="5">
        <f t="shared" si="233"/>
        <v>1.0734730712445839</v>
      </c>
      <c r="S107" s="241">
        <f t="shared" si="233"/>
        <v>0.87895607446109503</v>
      </c>
      <c r="T107" s="241">
        <f t="shared" si="233"/>
        <v>0.64399611061030426</v>
      </c>
      <c r="U107" s="241">
        <f t="shared" ref="U107:V107" si="234">U25*U13*U30*U41</f>
        <v>0.49069736614795528</v>
      </c>
      <c r="V107" s="241">
        <f t="shared" si="234"/>
        <v>0.37176906992485831</v>
      </c>
      <c r="W107" s="241">
        <f t="shared" si="233"/>
        <v>0.25635249508509195</v>
      </c>
      <c r="Y107" s="5">
        <f t="shared" ref="Y107:AB111" si="235">O107</f>
        <v>0.95104494317767596</v>
      </c>
      <c r="Z107" s="5">
        <f t="shared" si="235"/>
        <v>0.95811068480591965</v>
      </c>
      <c r="AA107" s="5">
        <f t="shared" si="235"/>
        <v>0.99694052475857964</v>
      </c>
      <c r="AB107" s="5">
        <f t="shared" si="235"/>
        <v>1.0734730712445839</v>
      </c>
      <c r="AC107" s="241">
        <f t="shared" ref="AC107:AG109" si="236">AC25*AC13*AC30*AC41</f>
        <v>0.79325785720113817</v>
      </c>
      <c r="AD107" s="241">
        <f t="shared" si="236"/>
        <v>0.55214616533450955</v>
      </c>
      <c r="AE107" s="241">
        <f t="shared" ref="AE107:AF107" si="237">AE25*AE13*AE30*AE41</f>
        <v>0.39967607158604795</v>
      </c>
      <c r="AF107" s="241">
        <f t="shared" si="237"/>
        <v>0.3028082310104841</v>
      </c>
      <c r="AG107" s="241">
        <f t="shared" si="236"/>
        <v>0.18844264027853619</v>
      </c>
    </row>
    <row r="108" spans="1:51">
      <c r="A108" t="s">
        <v>16</v>
      </c>
      <c r="C108" s="19" t="str">
        <f>C55</f>
        <v>Middle Income</v>
      </c>
      <c r="D108" t="s">
        <v>161</v>
      </c>
      <c r="E108" s="5">
        <f t="shared" si="232"/>
        <v>34.197290035069827</v>
      </c>
      <c r="F108" s="5">
        <f t="shared" si="232"/>
        <v>36.069073018912839</v>
      </c>
      <c r="G108" s="5">
        <f t="shared" si="232"/>
        <v>37.904058592062199</v>
      </c>
      <c r="H108" s="5">
        <f t="shared" si="232"/>
        <v>34.203726959680282</v>
      </c>
      <c r="I108" s="5">
        <f t="shared" si="232"/>
        <v>35.925491887450789</v>
      </c>
      <c r="J108" s="5">
        <f t="shared" si="232"/>
        <v>37.761803255059881</v>
      </c>
      <c r="K108" s="5">
        <f>IF($D$4,AD108,T108)</f>
        <v>37.761803255059881</v>
      </c>
      <c r="L108" s="5">
        <f>IF($D$4,AD108,T108)</f>
        <v>37.761803255059881</v>
      </c>
      <c r="M108" s="5">
        <f>IF($D$4,AG108,W108)</f>
        <v>44.316055548342284</v>
      </c>
      <c r="N108" s="32"/>
      <c r="O108" s="5">
        <f t="shared" si="233"/>
        <v>34.197290035069827</v>
      </c>
      <c r="P108" s="5">
        <f t="shared" si="233"/>
        <v>36.069073018912839</v>
      </c>
      <c r="Q108" s="5">
        <f t="shared" si="233"/>
        <v>37.904058592062199</v>
      </c>
      <c r="R108" s="5">
        <f t="shared" si="233"/>
        <v>34.203726959680282</v>
      </c>
      <c r="S108" s="241">
        <f t="shared" si="233"/>
        <v>41.901725484707157</v>
      </c>
      <c r="T108" s="241">
        <f t="shared" si="233"/>
        <v>48.801671668294226</v>
      </c>
      <c r="U108" s="241">
        <f t="shared" ref="U108:V108" si="238">U26*U14*U31*U42</f>
        <v>53.899782177658402</v>
      </c>
      <c r="V108" s="241">
        <f t="shared" si="238"/>
        <v>58.307973285091094</v>
      </c>
      <c r="W108" s="241">
        <f t="shared" si="233"/>
        <v>63.459385308833618</v>
      </c>
      <c r="Y108" s="5">
        <f t="shared" si="235"/>
        <v>34.197290035069827</v>
      </c>
      <c r="Z108" s="5">
        <f t="shared" si="235"/>
        <v>36.069073018912839</v>
      </c>
      <c r="AA108" s="5">
        <f t="shared" si="235"/>
        <v>37.904058592062199</v>
      </c>
      <c r="AB108" s="5">
        <f t="shared" si="235"/>
        <v>34.203726959680282</v>
      </c>
      <c r="AC108" s="241">
        <f t="shared" si="236"/>
        <v>35.925491887450789</v>
      </c>
      <c r="AD108" s="241">
        <f t="shared" si="236"/>
        <v>37.761803255059881</v>
      </c>
      <c r="AE108" s="241">
        <f t="shared" ref="AE108:AF108" si="239">AE26*AE14*AE31*AE42</f>
        <v>41.706623984474298</v>
      </c>
      <c r="AF108" s="241">
        <f t="shared" si="239"/>
        <v>45.117598232262729</v>
      </c>
      <c r="AG108" s="241">
        <f t="shared" si="236"/>
        <v>44.316055548342284</v>
      </c>
    </row>
    <row r="109" spans="1:51">
      <c r="A109" t="s">
        <v>16</v>
      </c>
      <c r="C109" s="19" t="str">
        <f>C56</f>
        <v>High Income</v>
      </c>
      <c r="D109" t="s">
        <v>161</v>
      </c>
      <c r="E109" s="5">
        <f t="shared" si="232"/>
        <v>54.704085477855955</v>
      </c>
      <c r="F109" s="5">
        <f t="shared" si="232"/>
        <v>57.565210586195825</v>
      </c>
      <c r="G109" s="5">
        <f t="shared" si="232"/>
        <v>48.165244164109204</v>
      </c>
      <c r="H109" s="5">
        <f t="shared" si="232"/>
        <v>56.077397135701503</v>
      </c>
      <c r="I109" s="5">
        <f t="shared" si="232"/>
        <v>77.755313734608606</v>
      </c>
      <c r="J109" s="5">
        <f t="shared" si="232"/>
        <v>109.16752686844409</v>
      </c>
      <c r="K109" s="5">
        <f>IF($D$4,AD109,T109)</f>
        <v>109.16752686844409</v>
      </c>
      <c r="L109" s="5">
        <f>IF($D$4,AD109,T109)</f>
        <v>109.16752686844409</v>
      </c>
      <c r="M109" s="5">
        <f>IF($D$4,AG109,W109)</f>
        <v>161.00771559368172</v>
      </c>
      <c r="N109" s="32"/>
      <c r="O109" s="5">
        <f t="shared" si="233"/>
        <v>54.704085477855955</v>
      </c>
      <c r="P109" s="5">
        <f t="shared" si="233"/>
        <v>57.565210586195825</v>
      </c>
      <c r="Q109" s="5">
        <f t="shared" si="233"/>
        <v>48.165244164109204</v>
      </c>
      <c r="R109" s="5">
        <f t="shared" si="233"/>
        <v>56.077397135701503</v>
      </c>
      <c r="S109" s="241">
        <f t="shared" si="233"/>
        <v>90.689970823278756</v>
      </c>
      <c r="T109" s="241">
        <f t="shared" si="233"/>
        <v>141.08324666300547</v>
      </c>
      <c r="U109" s="241">
        <f t="shared" ref="U109:V109" si="240">U27*U15*U32*U43</f>
        <v>204.72583770236864</v>
      </c>
      <c r="V109" s="241">
        <f t="shared" si="240"/>
        <v>224.1382245491688</v>
      </c>
      <c r="W109" s="241">
        <f t="shared" si="233"/>
        <v>230.55866626958294</v>
      </c>
      <c r="Y109" s="5">
        <f t="shared" si="235"/>
        <v>54.704085477855955</v>
      </c>
      <c r="Z109" s="5">
        <f t="shared" si="235"/>
        <v>57.565210586195825</v>
      </c>
      <c r="AA109" s="5">
        <f t="shared" si="235"/>
        <v>48.165244164109204</v>
      </c>
      <c r="AB109" s="5">
        <f t="shared" si="235"/>
        <v>56.077397135701503</v>
      </c>
      <c r="AC109" s="241">
        <f t="shared" si="236"/>
        <v>77.755313734608606</v>
      </c>
      <c r="AD109" s="241">
        <f t="shared" si="236"/>
        <v>109.16752686844409</v>
      </c>
      <c r="AE109" s="241">
        <f t="shared" ref="AE109:AF109" si="241">AE27*AE15*AE32*AE43</f>
        <v>158.41295062781157</v>
      </c>
      <c r="AF109" s="241">
        <f t="shared" si="241"/>
        <v>173.43388552124131</v>
      </c>
      <c r="AG109" s="241">
        <f t="shared" si="236"/>
        <v>161.00771559368172</v>
      </c>
    </row>
    <row r="110" spans="1:51">
      <c r="A110" t="s">
        <v>16</v>
      </c>
      <c r="C110" s="19" t="str">
        <f>C57</f>
        <v>Other (gov/company/car rental)</v>
      </c>
      <c r="D110" t="s">
        <v>161</v>
      </c>
      <c r="E110" s="5">
        <f t="shared" si="232"/>
        <v>11.069999999999999</v>
      </c>
      <c r="F110" s="5">
        <f t="shared" si="232"/>
        <v>11.17821196363794</v>
      </c>
      <c r="G110" s="5">
        <f t="shared" si="232"/>
        <v>10.819193604037089</v>
      </c>
      <c r="H110" s="5">
        <f t="shared" si="232"/>
        <v>11.106075805903844</v>
      </c>
      <c r="I110" s="5">
        <f t="shared" si="232"/>
        <v>11.829749761579809</v>
      </c>
      <c r="J110" s="5">
        <f t="shared" si="232"/>
        <v>13.165009235201172</v>
      </c>
      <c r="K110" s="5">
        <f>IF($D$4,AD110,T110)</f>
        <v>13.165009235201172</v>
      </c>
      <c r="L110" s="5">
        <f>IF($D$4,AD110,T110)</f>
        <v>13.165009235201172</v>
      </c>
      <c r="M110" s="5">
        <f>IF($D$4,AG110,W110)</f>
        <v>13.928023313460864</v>
      </c>
      <c r="N110" s="33"/>
      <c r="O110" s="5">
        <f t="shared" ref="O110:W110" si="242">O50</f>
        <v>11.069999999999999</v>
      </c>
      <c r="P110" s="5">
        <f t="shared" si="242"/>
        <v>11.17821196363794</v>
      </c>
      <c r="Q110" s="5">
        <f t="shared" si="242"/>
        <v>10.819193604037089</v>
      </c>
      <c r="R110" s="5">
        <f t="shared" si="242"/>
        <v>11.106075805903844</v>
      </c>
      <c r="S110" s="241">
        <f t="shared" si="242"/>
        <v>12.418467639815313</v>
      </c>
      <c r="T110" s="241">
        <f t="shared" si="242"/>
        <v>15.120992770777024</v>
      </c>
      <c r="U110" s="241">
        <f t="shared" ref="U110:V110" si="243">U50</f>
        <v>18.49033793960437</v>
      </c>
      <c r="V110" s="241">
        <f t="shared" si="243"/>
        <v>18.49033793960437</v>
      </c>
      <c r="W110" s="241">
        <f t="shared" si="242"/>
        <v>16.797525190417399</v>
      </c>
      <c r="Y110" s="5">
        <f t="shared" si="235"/>
        <v>11.069999999999999</v>
      </c>
      <c r="Z110" s="5">
        <f t="shared" si="235"/>
        <v>11.17821196363794</v>
      </c>
      <c r="AA110" s="5">
        <f t="shared" si="235"/>
        <v>10.819193604037089</v>
      </c>
      <c r="AB110" s="5">
        <f t="shared" si="235"/>
        <v>11.106075805903844</v>
      </c>
      <c r="AC110" s="241">
        <f>AC50</f>
        <v>11.829749761579809</v>
      </c>
      <c r="AD110" s="241">
        <f>AD50</f>
        <v>13.165009235201172</v>
      </c>
      <c r="AE110" s="241">
        <f>AE50</f>
        <v>14.507822903696091</v>
      </c>
      <c r="AF110" s="241">
        <f>AF50</f>
        <v>14.507822903696091</v>
      </c>
      <c r="AG110" s="241">
        <f>AG50</f>
        <v>13.928023313460864</v>
      </c>
    </row>
    <row r="111" spans="1:51">
      <c r="A111" t="s">
        <v>16</v>
      </c>
      <c r="C111" s="19" t="s">
        <v>5</v>
      </c>
      <c r="D111" t="s">
        <v>161</v>
      </c>
      <c r="E111" s="5">
        <f t="shared" si="232"/>
        <v>100.92242045610345</v>
      </c>
      <c r="F111" s="5">
        <f t="shared" si="232"/>
        <v>105.77060625355251</v>
      </c>
      <c r="G111" s="5">
        <f t="shared" si="232"/>
        <v>97.885436884967078</v>
      </c>
      <c r="H111" s="5">
        <f t="shared" si="232"/>
        <v>102.46067297253022</v>
      </c>
      <c r="I111" s="5">
        <f t="shared" si="232"/>
        <v>126.30381324084034</v>
      </c>
      <c r="J111" s="5">
        <f t="shared" si="232"/>
        <v>160.64648552403966</v>
      </c>
      <c r="K111" s="5">
        <f>IF($D$4,AD111,T111)</f>
        <v>160.64648552403966</v>
      </c>
      <c r="L111" s="5">
        <f>IF($D$4,AD111,T111)</f>
        <v>160.64648552403966</v>
      </c>
      <c r="M111" s="5">
        <f>IF($D$4,AG111,W111)</f>
        <v>219.44023709576342</v>
      </c>
      <c r="N111" s="32"/>
      <c r="O111" s="5">
        <f t="shared" ref="O111:W111" si="244">SUM(O107:O110)</f>
        <v>100.92242045610345</v>
      </c>
      <c r="P111" s="5">
        <f t="shared" si="244"/>
        <v>105.77060625355251</v>
      </c>
      <c r="Q111" s="5">
        <f t="shared" si="244"/>
        <v>97.885436884967078</v>
      </c>
      <c r="R111" s="5">
        <f t="shared" si="244"/>
        <v>102.46067297253022</v>
      </c>
      <c r="S111" s="241">
        <f t="shared" si="244"/>
        <v>145.88912002226232</v>
      </c>
      <c r="T111" s="241">
        <f t="shared" si="244"/>
        <v>205.64990721268703</v>
      </c>
      <c r="U111" s="241">
        <f t="shared" ref="U111:V111" si="245">SUM(U107:U110)</f>
        <v>277.6066551857794</v>
      </c>
      <c r="V111" s="241">
        <f t="shared" si="245"/>
        <v>301.30830484378913</v>
      </c>
      <c r="W111" s="241">
        <f t="shared" si="244"/>
        <v>311.07192926391906</v>
      </c>
      <c r="Y111" s="5">
        <f t="shared" si="235"/>
        <v>100.92242045610345</v>
      </c>
      <c r="Z111" s="5">
        <f t="shared" si="235"/>
        <v>105.77060625355251</v>
      </c>
      <c r="AA111" s="5">
        <f t="shared" si="235"/>
        <v>97.885436884967078</v>
      </c>
      <c r="AB111" s="5">
        <f t="shared" si="235"/>
        <v>102.46067297253022</v>
      </c>
      <c r="AC111" s="241">
        <f>SUM(AC107:AC110)</f>
        <v>126.30381324084034</v>
      </c>
      <c r="AD111" s="241">
        <f>SUM(AD107:AD110)</f>
        <v>160.64648552403966</v>
      </c>
      <c r="AE111" s="241">
        <f>SUM(AE107:AE110)</f>
        <v>215.027073587568</v>
      </c>
      <c r="AF111" s="241">
        <f>SUM(AF107:AF110)</f>
        <v>233.36211488821061</v>
      </c>
      <c r="AG111" s="241">
        <f>SUM(AG107:AG110)</f>
        <v>219.44023709576342</v>
      </c>
    </row>
    <row r="112" spans="1:51">
      <c r="A112" t="s">
        <v>16</v>
      </c>
      <c r="C112" s="19"/>
      <c r="E112" s="192">
        <f t="shared" ref="E112:J112" si="246">SUM(E149:E151)</f>
        <v>104.81558613918145</v>
      </c>
      <c r="F112" s="192">
        <f t="shared" si="246"/>
        <v>105.77060625355251</v>
      </c>
      <c r="G112" s="192">
        <f t="shared" si="246"/>
        <v>97.885436884967078</v>
      </c>
      <c r="H112" s="192">
        <f t="shared" si="246"/>
        <v>102.4606729725302</v>
      </c>
      <c r="I112" s="192">
        <f t="shared" si="246"/>
        <v>126.30381324084033</v>
      </c>
      <c r="J112" s="192">
        <f t="shared" si="246"/>
        <v>160.64648552403966</v>
      </c>
      <c r="K112" s="192">
        <f>SUM(K149:K151)</f>
        <v>215.027073587568</v>
      </c>
      <c r="L112" s="192">
        <f>SUM(L149:L151)</f>
        <v>233.36211488821061</v>
      </c>
      <c r="M112" s="192">
        <f>SUM(M149:M151)</f>
        <v>219.44023709576339</v>
      </c>
      <c r="N112" s="32"/>
      <c r="O112">
        <v>104.81558613918145</v>
      </c>
    </row>
    <row r="113" spans="1:51" ht="15.75" thickBot="1">
      <c r="A113" t="s">
        <v>16</v>
      </c>
      <c r="C113" s="2" t="s">
        <v>170</v>
      </c>
      <c r="E113" s="235">
        <f t="shared" ref="E113:M113" si="247">E$12</f>
        <v>2017</v>
      </c>
      <c r="F113" s="235">
        <f t="shared" si="247"/>
        <v>2019</v>
      </c>
      <c r="G113" s="235">
        <f t="shared" si="247"/>
        <v>2020</v>
      </c>
      <c r="H113" s="235">
        <f t="shared" si="247"/>
        <v>2021</v>
      </c>
      <c r="I113" s="235">
        <f t="shared" si="247"/>
        <v>2030</v>
      </c>
      <c r="J113" s="235">
        <f t="shared" si="247"/>
        <v>2040</v>
      </c>
      <c r="K113" s="235">
        <f t="shared" si="247"/>
        <v>2050</v>
      </c>
      <c r="L113" s="235">
        <f t="shared" si="247"/>
        <v>2060</v>
      </c>
      <c r="M113" s="235">
        <f t="shared" si="247"/>
        <v>2070</v>
      </c>
      <c r="N113" s="32"/>
      <c r="O113" s="235">
        <f t="shared" si="149"/>
        <v>2017</v>
      </c>
      <c r="P113" s="235">
        <f t="shared" si="149"/>
        <v>2019</v>
      </c>
      <c r="Q113" s="235">
        <f t="shared" si="149"/>
        <v>2020</v>
      </c>
      <c r="R113" s="235">
        <f t="shared" si="149"/>
        <v>2021</v>
      </c>
      <c r="S113" s="235">
        <f t="shared" si="149"/>
        <v>2030</v>
      </c>
      <c r="T113" s="235">
        <f t="shared" si="149"/>
        <v>2040</v>
      </c>
      <c r="U113" s="235">
        <f t="shared" si="149"/>
        <v>2050</v>
      </c>
      <c r="V113" s="235">
        <f t="shared" si="149"/>
        <v>2060</v>
      </c>
      <c r="W113" s="235">
        <f t="shared" si="149"/>
        <v>2070</v>
      </c>
    </row>
    <row r="114" spans="1:51">
      <c r="A114" t="s">
        <v>16</v>
      </c>
      <c r="C114" s="30" t="str">
        <f>C93</f>
        <v>Low Income</v>
      </c>
      <c r="E114" s="5"/>
      <c r="F114" s="5"/>
      <c r="G114" s="5"/>
      <c r="H114" s="5"/>
      <c r="I114" s="5"/>
      <c r="J114" s="5"/>
      <c r="K114" s="5"/>
      <c r="L114" s="5"/>
      <c r="M114" s="5"/>
      <c r="N114" s="32"/>
    </row>
    <row r="115" spans="1:51">
      <c r="A115" t="s">
        <v>16</v>
      </c>
      <c r="C115" t="s">
        <v>54</v>
      </c>
      <c r="D115" t="s">
        <v>124</v>
      </c>
      <c r="E115" s="5">
        <f t="shared" ref="E115" si="248">E$64*(1-E$73)*E68*(E75*E78+E93*E94)/1000</f>
        <v>0.61672823758459472</v>
      </c>
      <c r="F115" s="5">
        <f t="shared" ref="F115:H115" si="249">F$64*(1-F$73)*F68*(F75*F78+F93*F94)/1000</f>
        <v>1.2301941755901284</v>
      </c>
      <c r="G115" s="5">
        <f t="shared" si="249"/>
        <v>1.2800508818208238</v>
      </c>
      <c r="H115" s="5">
        <f t="shared" si="249"/>
        <v>1.3783170784338326</v>
      </c>
      <c r="I115" s="5">
        <f>I$64*(1-I$73)*I68*(I75*I78+I93*I94)/1000</f>
        <v>0.99208412266645396</v>
      </c>
      <c r="J115" s="5">
        <f>J$64*(1-J$73)*J68*(J75*J78+J93*J94)/1000</f>
        <v>0.72688310025862579</v>
      </c>
      <c r="K115" s="5">
        <f>K$64*(1-K$73)*K68*(K75*K78+K93*K94)/1000</f>
        <v>0.72688310025862579</v>
      </c>
      <c r="L115" s="5">
        <f>L$64*(1-L$73)*L68*(L75*L78+L93*L94)/1000</f>
        <v>0.72688310025862579</v>
      </c>
      <c r="M115" s="5">
        <f>M$64*(1-M$73)*M68*(M75*M78+M93*M94)/1000</f>
        <v>0.28934692821342678</v>
      </c>
      <c r="N115" s="197"/>
      <c r="O115" s="5">
        <f t="shared" ref="O115:R115" si="250">O$64*(1-O$73)*O68*(O75*O78+O93*O94)/1000</f>
        <v>0.61672823758459472</v>
      </c>
      <c r="P115" s="5">
        <f t="shared" si="250"/>
        <v>1.2301941755901284</v>
      </c>
      <c r="Q115" s="5">
        <f t="shared" si="250"/>
        <v>1.2800508818208238</v>
      </c>
      <c r="R115" s="5">
        <f t="shared" si="250"/>
        <v>1.3783170784338326</v>
      </c>
      <c r="S115" s="241">
        <f>S$64*(1-S$73)*S68*(S75*S78+S93*S94)/1000</f>
        <v>1.1285613035623685</v>
      </c>
      <c r="T115" s="241">
        <f>T$64*(1-T$73)*T68*(T75*T78+T93*T94)/1000</f>
        <v>0.82687760082330464</v>
      </c>
      <c r="U115" s="241">
        <f>U$64*(1-U$73)*U68*(U75*U78+U93*U94)/1000</f>
        <v>0.63004520394729824</v>
      </c>
      <c r="V115" s="241">
        <f>V$64*(1-V$73)*V68*(V75*V78+V93*V94)/1000</f>
        <v>0.47734374716712702</v>
      </c>
      <c r="W115" s="241">
        <f>W$64*(1-W$73)*W68*(W75*W78+W93*W94)/1000</f>
        <v>0.32915126754437446</v>
      </c>
      <c r="X115" s="46"/>
      <c r="Y115" s="5">
        <f t="shared" ref="Y115:AB117" si="251">O115</f>
        <v>0.61672823758459472</v>
      </c>
      <c r="Z115" s="5">
        <f t="shared" si="251"/>
        <v>1.2301941755901284</v>
      </c>
      <c r="AA115" s="5">
        <f t="shared" si="251"/>
        <v>1.2800508818208238</v>
      </c>
      <c r="AB115" s="5">
        <f t="shared" si="251"/>
        <v>1.3783170784338326</v>
      </c>
      <c r="AC115" s="241">
        <f>AC$64*(1-AC$73)*AC68*(AC75*AC78+AC93*AC94)/1000</f>
        <v>0.99208412266645396</v>
      </c>
      <c r="AD115" s="241">
        <f>AD$64*(1-AD$73)*AD68*(AD75*AD78+AD93*AD94)/1000</f>
        <v>0.72688310025862579</v>
      </c>
      <c r="AE115" s="241">
        <f>AE$64*(1-AE$73)*AE68*(AE75*AE78+AE93*AE94)/1000</f>
        <v>0.55385369091181091</v>
      </c>
      <c r="AF115" s="241">
        <f>AF$64*(1-AF$73)*AF68*(AF75*AF78+AF93*AF94)/1000</f>
        <v>0.41961845681203247</v>
      </c>
      <c r="AG115" s="241">
        <f>AG$64*(1-AG$73)*AG68*(AG75*AG78+AG93*AG94)/1000</f>
        <v>0.28934692821342678</v>
      </c>
      <c r="AH115" s="46"/>
      <c r="AI115" s="46"/>
      <c r="AJ115" s="46"/>
      <c r="AK115" s="46"/>
      <c r="AL115" s="46"/>
      <c r="AM115" s="46"/>
      <c r="AN115" s="46"/>
      <c r="AO115" s="46"/>
      <c r="AP115" s="46"/>
      <c r="AQ115" s="46"/>
      <c r="AR115" s="46"/>
      <c r="AS115" s="46"/>
      <c r="AT115" s="46"/>
      <c r="AU115" s="46"/>
      <c r="AV115" s="46"/>
      <c r="AW115" s="46"/>
      <c r="AX115" s="46"/>
      <c r="AY115" s="46"/>
    </row>
    <row r="116" spans="1:51">
      <c r="A116" t="s">
        <v>16</v>
      </c>
      <c r="C116" t="s">
        <v>71</v>
      </c>
      <c r="D116" t="s">
        <v>124</v>
      </c>
      <c r="E116" s="5">
        <f t="shared" ref="E116" si="252">E$64*(1-E$73)*E69*(E75*E79+E93*E95)/1000</f>
        <v>0</v>
      </c>
      <c r="F116" s="5">
        <f t="shared" ref="F116:H116" si="253">F$64*(1-F$73)*F69*(F75*F79+F93*F95)/1000</f>
        <v>1.6568271725119574E-2</v>
      </c>
      <c r="G116" s="5">
        <f t="shared" si="253"/>
        <v>1.7239742516105373E-2</v>
      </c>
      <c r="H116" s="5">
        <f t="shared" si="253"/>
        <v>1.8563192975539836E-2</v>
      </c>
      <c r="I116" s="5">
        <f>I$64*(1-I$73)*I69*(I75*I79+I93*I95)/1000</f>
        <v>0</v>
      </c>
      <c r="J116" s="5">
        <f>J$64*(1-J$73)*J69*(J75*J79+J93*J95)/1000</f>
        <v>0</v>
      </c>
      <c r="K116" s="5">
        <f>K$64*(1-K$73)*K69*(K75*K79+K93*K95)/1000</f>
        <v>0</v>
      </c>
      <c r="L116" s="5">
        <f>L$64*(1-L$73)*L69*(L75*L79+L93*L95)/1000</f>
        <v>0</v>
      </c>
      <c r="M116" s="5">
        <f>M$64*(1-M$73)*M69*(M75*M79+M93*M95)/1000</f>
        <v>0</v>
      </c>
      <c r="N116" s="197"/>
      <c r="O116" s="5">
        <f t="shared" ref="O116:R116" si="254">O$64*(1-O$73)*O69*(O75*O79+O93*O95)/1000</f>
        <v>0</v>
      </c>
      <c r="P116" s="5">
        <f t="shared" si="254"/>
        <v>1.6568271725119574E-2</v>
      </c>
      <c r="Q116" s="5">
        <f t="shared" si="254"/>
        <v>1.7239742516105373E-2</v>
      </c>
      <c r="R116" s="5">
        <f t="shared" si="254"/>
        <v>1.8563192975539836E-2</v>
      </c>
      <c r="S116" s="241">
        <f>S$64*(1-S$73)*S69*(S75*S79+S93*S95)/1000</f>
        <v>1.5199478835856818E-2</v>
      </c>
      <c r="T116" s="241">
        <f>T$64*(1-T$73)*T69*(T75*T79+T93*T95)/1000</f>
        <v>1.1136398664286933E-2</v>
      </c>
      <c r="U116" s="241">
        <f>U$64*(1-U$73)*U69*(U75*U79+U93*U95)/1000</f>
        <v>8.4854572922195056E-3</v>
      </c>
      <c r="V116" s="241">
        <f>V$64*(1-V$73)*V69*(V75*V79+V93*V95)/1000</f>
        <v>6.4288720157188823E-3</v>
      </c>
      <c r="W116" s="241">
        <f>W$64*(1-W$73)*W69*(W75*W79+W93*W95)/1000</f>
        <v>4.4330137043013399E-3</v>
      </c>
      <c r="X116" s="46"/>
      <c r="Y116" s="5">
        <f t="shared" si="251"/>
        <v>0</v>
      </c>
      <c r="Z116" s="5">
        <f t="shared" si="251"/>
        <v>1.6568271725119574E-2</v>
      </c>
      <c r="AA116" s="5">
        <f t="shared" si="251"/>
        <v>1.7239742516105373E-2</v>
      </c>
      <c r="AB116" s="5">
        <f t="shared" si="251"/>
        <v>1.8563192975539836E-2</v>
      </c>
      <c r="AC116" s="241">
        <f>AC$64*(1-AC$73)*AC69*(AC75*AC79+AC93*AC95)/1000</f>
        <v>0</v>
      </c>
      <c r="AD116" s="241">
        <f>AD$64*(1-AD$73)*AD69*(AD75*AD79+AD93*AD95)/1000</f>
        <v>0</v>
      </c>
      <c r="AE116" s="241">
        <f>AE$64*(1-AE$73)*AE69*(AE75*AE79+AE93*AE95)/1000</f>
        <v>0</v>
      </c>
      <c r="AF116" s="241">
        <f>AF$64*(1-AF$73)*AF69*(AF75*AF79+AF93*AF95)/1000</f>
        <v>0</v>
      </c>
      <c r="AG116" s="241">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c r="A117" t="s">
        <v>16</v>
      </c>
      <c r="C117" t="s">
        <v>70</v>
      </c>
      <c r="D117" t="s">
        <v>124</v>
      </c>
      <c r="E117" s="5">
        <f t="shared" ref="E117" si="255">E$64*(1-E$73)*E70*(E75*E80+E93*E96)/1000</f>
        <v>81.434745079098278</v>
      </c>
      <c r="F117" s="5">
        <f t="shared" ref="F117:H117" si="256">F$64*(1-F$73)*F70*(F75*F80+F93*F96)/1000</f>
        <v>71.754556525225468</v>
      </c>
      <c r="G117" s="5">
        <f t="shared" si="256"/>
        <v>74.662590001872275</v>
      </c>
      <c r="H117" s="5">
        <f t="shared" si="256"/>
        <v>80.394243995441755</v>
      </c>
      <c r="I117" s="5">
        <f>I$64*(1-I$73)*I70*(I75*I80+I93*I96)/1000</f>
        <v>65.863672322537468</v>
      </c>
      <c r="J117" s="5">
        <f>J$64*(1-J$73)*J70*(J75*J80+J93*J96)/1000</f>
        <v>48.267517308934558</v>
      </c>
      <c r="K117" s="5">
        <f>K$64*(1-K$73)*K70*(K75*K80+K93*K96)/1000</f>
        <v>48.267517308934558</v>
      </c>
      <c r="L117" s="5">
        <f>L$64*(1-L$73)*L70*(L75*L80+L93*L96)/1000</f>
        <v>48.267517308934558</v>
      </c>
      <c r="M117" s="5">
        <f>M$64*(1-M$73)*M70*(M75*M80+M93*M96)/1000</f>
        <v>19.22476497636773</v>
      </c>
      <c r="N117" s="197"/>
      <c r="O117" s="5">
        <f t="shared" ref="O117:R117" si="257">O$64*(1-O$73)*O70*(O75*O80+O93*O96)/1000</f>
        <v>71.586822418370105</v>
      </c>
      <c r="P117" s="5">
        <f t="shared" si="257"/>
        <v>71.754556525225468</v>
      </c>
      <c r="Q117" s="5">
        <f t="shared" si="257"/>
        <v>74.662590001872275</v>
      </c>
      <c r="R117" s="5">
        <f t="shared" si="257"/>
        <v>80.394243995441755</v>
      </c>
      <c r="S117" s="241">
        <f>S$64*(1-S$73)*S70*(S75*S80+S93*S96)/1000</f>
        <v>65.826531660989232</v>
      </c>
      <c r="T117" s="241">
        <f>T$64*(1-T$73)*T70*(T75*T80+T93*T96)/1000</f>
        <v>48.229975986723211</v>
      </c>
      <c r="U117" s="241">
        <f>U$64*(1-U$73)*U70*(U75*U80+U93*U96)/1000</f>
        <v>36.749169437740917</v>
      </c>
      <c r="V117" s="241">
        <f>V$64*(1-V$73)*V70*(V75*V80+V93*V96)/1000</f>
        <v>27.842424852674945</v>
      </c>
      <c r="W117" s="241">
        <f>W$64*(1-W$73)*W70*(W75*W80+W93*W96)/1000</f>
        <v>19.198679119930599</v>
      </c>
      <c r="X117" s="46"/>
      <c r="Y117" s="5">
        <f t="shared" si="251"/>
        <v>71.586822418370105</v>
      </c>
      <c r="Z117" s="5">
        <f t="shared" si="251"/>
        <v>71.754556525225468</v>
      </c>
      <c r="AA117" s="5">
        <f t="shared" si="251"/>
        <v>74.662590001872275</v>
      </c>
      <c r="AB117" s="5">
        <f t="shared" si="251"/>
        <v>80.394243995441755</v>
      </c>
      <c r="AC117" s="241">
        <f>AC$64*(1-AC$73)*AC70*(AC75*AC80+AC93*AC96)/1000</f>
        <v>65.863672322537468</v>
      </c>
      <c r="AD117" s="241">
        <f>AD$64*(1-AD$73)*AD70*(AD75*AD80+AD93*AD96)/1000</f>
        <v>48.267517308934558</v>
      </c>
      <c r="AE117" s="241">
        <f>AE$64*(1-AE$73)*AE70*(AE75*AE80+AE93*AE96)/1000</f>
        <v>36.785251049071405</v>
      </c>
      <c r="AF117" s="241">
        <f>AF$64*(1-AF$73)*AF70*(AF75*AF80+AF93*AF96)/1000</f>
        <v>27.86976151272475</v>
      </c>
      <c r="AG117" s="241">
        <f>AG$64*(1-AG$73)*AG70*(AG75*AG80+AG93*AG96)/1000</f>
        <v>19.22476497636773</v>
      </c>
      <c r="AH117" s="46"/>
      <c r="AI117" s="46"/>
      <c r="AJ117" s="46"/>
      <c r="AK117" s="46"/>
      <c r="AL117" s="46"/>
      <c r="AM117" s="46"/>
      <c r="AN117" s="46"/>
      <c r="AO117" s="46"/>
      <c r="AP117" s="46"/>
      <c r="AQ117" s="46"/>
      <c r="AR117" s="46"/>
      <c r="AS117" s="46"/>
      <c r="AT117" s="46"/>
      <c r="AU117" s="46"/>
      <c r="AV117" s="46"/>
      <c r="AW117" s="46"/>
      <c r="AX117" s="46"/>
      <c r="AY117" s="46"/>
    </row>
    <row r="118" spans="1:51">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c r="A119" t="s">
        <v>16</v>
      </c>
      <c r="C119" t="str">
        <f>C115</f>
        <v>BRT</v>
      </c>
      <c r="D119" t="s">
        <v>124</v>
      </c>
      <c r="E119" s="5">
        <f t="shared" ref="E119" si="258">E$64*(1-E$73)*E68*(E81*E83+E97*E98)/1000</f>
        <v>0.63831372590005553</v>
      </c>
      <c r="F119" s="5">
        <f t="shared" ref="F119:H119" si="259">F$64*(1-F$73)*F68*(F81*F83+F97*F98)/1000</f>
        <v>0.88006760986958676</v>
      </c>
      <c r="G119" s="5">
        <f t="shared" si="259"/>
        <v>0.92484035372856965</v>
      </c>
      <c r="H119" s="5">
        <f t="shared" si="259"/>
        <v>0.83455408510925644</v>
      </c>
      <c r="I119" s="5">
        <f>I$64*(1-I$73)*I68*(I81*I83+I97*I98)/1000</f>
        <v>0.89874462893562002</v>
      </c>
      <c r="J119" s="5">
        <f>J$64*(1-J$73)*J68*(J81*J83+J97*J98)/1000</f>
        <v>1.0467406720748698</v>
      </c>
      <c r="K119" s="5">
        <f>K$64*(1-K$73)*K68*(K81*K83+K97*K98)/1000</f>
        <v>1.0467406720748698</v>
      </c>
      <c r="L119" s="5">
        <f>L$64*(1-L$73)*L68*(L81*L83+L97*L98)/1000</f>
        <v>1.0467406720748698</v>
      </c>
      <c r="M119" s="5">
        <f>M$64*(1-M$73)*M68*(M81*M83+M97*M98)/1000</f>
        <v>1.3611320546378405</v>
      </c>
      <c r="N119" s="197"/>
      <c r="O119" s="5">
        <f t="shared" ref="O119:R119" si="260">O$64*(1-O$73)*O68*(O81*O83+O97*O98)/1000</f>
        <v>0.63831372590005553</v>
      </c>
      <c r="P119" s="5">
        <f t="shared" si="260"/>
        <v>0.88006760986958676</v>
      </c>
      <c r="Q119" s="5">
        <f t="shared" si="260"/>
        <v>0.92484035372856965</v>
      </c>
      <c r="R119" s="5">
        <f t="shared" si="260"/>
        <v>0.83455408510925644</v>
      </c>
      <c r="S119" s="241">
        <f>S$64*(1-S$73)*S68*(S81*S83+S97*S98)/1000</f>
        <v>1.0223814561966049</v>
      </c>
      <c r="T119" s="241">
        <f>T$64*(1-T$73)*T68*(T81*T83+T97*T98)/1000</f>
        <v>1.1907367433655927</v>
      </c>
      <c r="U119" s="241">
        <f>U$64*(1-U$73)*U68*(U81*U83+U97*U98)/1000</f>
        <v>1.3151281278759335</v>
      </c>
      <c r="V119" s="241">
        <f>V$64*(1-V$73)*V68*(V81*V83+V97*V98)/1000</f>
        <v>1.4226858189131397</v>
      </c>
      <c r="W119" s="241">
        <f>W$64*(1-W$73)*W68*(W81*W83+W97*W98)/1000</f>
        <v>1.5483777341118294</v>
      </c>
      <c r="X119" s="46"/>
      <c r="Y119" s="5">
        <f t="shared" ref="Y119:AB121" si="261">O119</f>
        <v>0.63831372590005553</v>
      </c>
      <c r="Z119" s="5">
        <f t="shared" si="261"/>
        <v>0.88006760986958676</v>
      </c>
      <c r="AA119" s="5">
        <f t="shared" si="261"/>
        <v>0.92484035372856965</v>
      </c>
      <c r="AB119" s="5">
        <f t="shared" si="261"/>
        <v>0.83455408510925644</v>
      </c>
      <c r="AC119" s="241">
        <f>AC$64*(1-AC$73)*AC68*(AC81*AC83+AC97*AC98)/1000</f>
        <v>0.89874462893562002</v>
      </c>
      <c r="AD119" s="241">
        <f>AD$64*(1-AD$73)*AD68*(AD81*AD83+AD97*AD98)/1000</f>
        <v>1.0467406720748698</v>
      </c>
      <c r="AE119" s="241">
        <f>AE$64*(1-AE$73)*AE68*(AE81*AE83+AE97*AE98)/1000</f>
        <v>1.1560893775281458</v>
      </c>
      <c r="AF119" s="241">
        <f>AF$64*(1-AF$73)*AF68*(AF81*AF83+AF97*AF98)/1000</f>
        <v>1.2506400919748062</v>
      </c>
      <c r="AG119" s="241">
        <f>AG$64*(1-AG$73)*AG68*(AG81*AG83+AG97*AG98)/1000</f>
        <v>1.3611320546378405</v>
      </c>
      <c r="AH119" s="46"/>
      <c r="AI119" s="46"/>
      <c r="AJ119" s="46"/>
      <c r="AK119" s="46"/>
      <c r="AL119" s="46"/>
      <c r="AM119" s="46"/>
      <c r="AN119" s="46"/>
      <c r="AO119" s="46"/>
      <c r="AP119" s="46"/>
      <c r="AQ119" s="46"/>
      <c r="AR119" s="46"/>
      <c r="AS119" s="46"/>
      <c r="AT119" s="46"/>
      <c r="AU119" s="46"/>
      <c r="AV119" s="46"/>
      <c r="AW119" s="46"/>
      <c r="AX119" s="46"/>
      <c r="AY119" s="46"/>
    </row>
    <row r="120" spans="1:51">
      <c r="A120" t="s">
        <v>16</v>
      </c>
      <c r="C120" t="str">
        <f>C116</f>
        <v>Gautrain</v>
      </c>
      <c r="D120" t="s">
        <v>124</v>
      </c>
      <c r="E120" s="5">
        <f t="shared" ref="E120" si="262">E$64*(1-E$73)*E69*(E81*E84+E97*E99)/1000</f>
        <v>0.22250587395208909</v>
      </c>
      <c r="F120" s="5">
        <f t="shared" ref="F120:H120" si="263">F$64*(1-F$73)*F69*(F81*F84+F97*F99)/1000</f>
        <v>0.23468469596522318</v>
      </c>
      <c r="G120" s="5">
        <f t="shared" si="263"/>
        <v>0.24662409432761853</v>
      </c>
      <c r="H120" s="5">
        <f t="shared" si="263"/>
        <v>0.2225477560291351</v>
      </c>
      <c r="I120" s="5">
        <f>I$64*(1-I$73)*I69*(I81*I84+I97*I99)/1000</f>
        <v>0.72235101642985555</v>
      </c>
      <c r="J120" s="5">
        <f>J$64*(1-J$73)*J69*(J81*J84+J97*J99)/1000</f>
        <v>1.5535759946290948</v>
      </c>
      <c r="K120" s="5">
        <f>K$64*(1-K$73)*K69*(K81*K84+K97*K99)/1000</f>
        <v>1.5535759946290948</v>
      </c>
      <c r="L120" s="5">
        <f>L$64*(1-L$73)*L69*(L81*L84+L97*L99)/1000</f>
        <v>1.5535759946290948</v>
      </c>
      <c r="M120" s="5">
        <f>M$64*(1-M$73)*M69*(M81*M84+M97*M99)/1000</f>
        <v>3.4642035809382201</v>
      </c>
      <c r="N120" s="197"/>
      <c r="O120" s="5">
        <f t="shared" ref="O120:R120" si="264">O$64*(1-O$73)*O69*(O81*O84+O97*O99)/1000</f>
        <v>0.22250587395208909</v>
      </c>
      <c r="P120" s="5">
        <f t="shared" si="264"/>
        <v>0.23468469596522318</v>
      </c>
      <c r="Q120" s="5">
        <f t="shared" si="264"/>
        <v>0.24662409432761853</v>
      </c>
      <c r="R120" s="5">
        <f t="shared" si="264"/>
        <v>0.2225477560291351</v>
      </c>
      <c r="S120" s="241">
        <f>S$64*(1-S$73)*S69*(S81*S84+S97*S99)/1000</f>
        <v>0.27263505498576135</v>
      </c>
      <c r="T120" s="241">
        <f>T$64*(1-T$73)*T69*(T81*T84+T97*T99)/1000</f>
        <v>0.31752979823082467</v>
      </c>
      <c r="U120" s="241">
        <f>U$64*(1-U$73)*U69*(U81*U84+U97*U99)/1000</f>
        <v>0.35070083410024894</v>
      </c>
      <c r="V120" s="241">
        <f>V$64*(1-V$73)*V69*(V81*V84+V97*V99)/1000</f>
        <v>0.37938288504350393</v>
      </c>
      <c r="W120" s="241">
        <f>W$64*(1-W$73)*W69*(W81*W84+W97*W99)/1000</f>
        <v>0.41290072909648778</v>
      </c>
      <c r="X120" s="46"/>
      <c r="Y120" s="5">
        <f t="shared" si="261"/>
        <v>0.22250587395208909</v>
      </c>
      <c r="Z120" s="5">
        <f t="shared" si="261"/>
        <v>0.23468469596522318</v>
      </c>
      <c r="AA120" s="5">
        <f t="shared" si="261"/>
        <v>0.24662409432761853</v>
      </c>
      <c r="AB120" s="5">
        <f t="shared" si="261"/>
        <v>0.2225477560291351</v>
      </c>
      <c r="AC120" s="241">
        <f>AC$64*(1-AC$73)*AC69*(AC81*AC84+AC97*AC99)/1000</f>
        <v>0.72235101642985555</v>
      </c>
      <c r="AD120" s="241">
        <f>AD$64*(1-AD$73)*AD69*(AD81*AD84+AD97*AD99)/1000</f>
        <v>1.5535759946290948</v>
      </c>
      <c r="AE120" s="241">
        <f>AE$64*(1-AE$73)*AE69*(AE81*AE84+AE97*AE99)/1000</f>
        <v>2.533600699902999</v>
      </c>
      <c r="AF120" s="241">
        <f>AF$64*(1-AF$73)*AF69*(AF81*AF84+AF97*AF99)/1000</f>
        <v>2.8278014679627019</v>
      </c>
      <c r="AG120" s="241">
        <f>AG$64*(1-AG$73)*AG69*(AG81*AG84+AG97*AG99)/1000</f>
        <v>3.4642035809382201</v>
      </c>
      <c r="AH120" s="46"/>
      <c r="AI120" s="46"/>
      <c r="AJ120" s="46"/>
      <c r="AK120" s="46"/>
      <c r="AL120" s="46"/>
      <c r="AM120" s="46"/>
      <c r="AN120" s="46"/>
      <c r="AO120" s="46"/>
      <c r="AP120" s="46"/>
      <c r="AQ120" s="46"/>
      <c r="AR120" s="46"/>
      <c r="AS120" s="46"/>
      <c r="AT120" s="46"/>
      <c r="AU120" s="46"/>
      <c r="AV120" s="46"/>
      <c r="AW120" s="46"/>
      <c r="AX120" s="46"/>
      <c r="AY120" s="46"/>
    </row>
    <row r="121" spans="1:51">
      <c r="A121" t="s">
        <v>16</v>
      </c>
      <c r="C121" t="str">
        <f>C117</f>
        <v>Bus, minibus, metro rail</v>
      </c>
      <c r="D121" t="s">
        <v>124</v>
      </c>
      <c r="E121" s="5">
        <f t="shared" ref="E121" si="265">E$64*(1-E$73)*E70*(E81*E85+E97*E100)/1000</f>
        <v>41.262738932037614</v>
      </c>
      <c r="F121" s="5">
        <f t="shared" ref="F121:H121" si="266">F$64*(1-F$73)*F70*(F81*F85+F97*F100)/1000</f>
        <v>38.137009704222031</v>
      </c>
      <c r="G121" s="5">
        <f t="shared" si="266"/>
        <v>40.077199921298309</v>
      </c>
      <c r="H121" s="5">
        <f t="shared" si="266"/>
        <v>36.16471835297542</v>
      </c>
      <c r="I121" s="5">
        <f>I$64*(1-I$73)*I70*(I81*I85+I97*I100)/1000</f>
        <v>46.18687054171879</v>
      </c>
      <c r="J121" s="5">
        <f>J$64*(1-J$73)*J70*(J81*J85+J97*J100)/1000</f>
        <v>54.886311542970205</v>
      </c>
      <c r="K121" s="5">
        <f>K$64*(1-K$73)*K70*(K81*K85+K97*K100)/1000</f>
        <v>54.886311542970205</v>
      </c>
      <c r="L121" s="5">
        <f>L$64*(1-L$73)*L70*(L81*L85+L97*L100)/1000</f>
        <v>54.886311542970205</v>
      </c>
      <c r="M121" s="5">
        <f>M$64*(1-M$73)*M70*(M81*M85+M97*M100)/1000</f>
        <v>72.351232519684729</v>
      </c>
      <c r="N121" s="197"/>
      <c r="O121" s="5">
        <f t="shared" ref="O121:R121" si="267">O$64*(1-O$73)*O70*(O81*O85+O97*O100)/1000</f>
        <v>36.272826317000501</v>
      </c>
      <c r="P121" s="5">
        <f t="shared" si="267"/>
        <v>38.137009704222031</v>
      </c>
      <c r="Q121" s="5">
        <f t="shared" si="267"/>
        <v>40.077199921298309</v>
      </c>
      <c r="R121" s="5">
        <f t="shared" si="267"/>
        <v>36.16471835297542</v>
      </c>
      <c r="S121" s="241">
        <f>S$64*(1-S$73)*S70*(S81*S85+S97*S100)/1000</f>
        <v>44.304063777741355</v>
      </c>
      <c r="T121" s="241">
        <f>T$64*(1-T$73)*T70*(T81*T85+T97*T100)/1000</f>
        <v>51.599602380136012</v>
      </c>
      <c r="U121" s="241">
        <f>U$64*(1-U$73)*U70*(U81*U85+U97*U100)/1000</f>
        <v>56.99000123698687</v>
      </c>
      <c r="V121" s="241">
        <f>V$64*(1-V$73)*V70*(V81*V85+V97*V100)/1000</f>
        <v>61.650925762384979</v>
      </c>
      <c r="W121" s="241">
        <f>W$64*(1-W$73)*W70*(W81*W85+W97*W100)/1000</f>
        <v>67.097682052376157</v>
      </c>
      <c r="X121" s="46"/>
      <c r="Y121" s="5">
        <f t="shared" si="261"/>
        <v>36.272826317000501</v>
      </c>
      <c r="Z121" s="5">
        <f t="shared" si="261"/>
        <v>38.137009704222031</v>
      </c>
      <c r="AA121" s="5">
        <f t="shared" si="261"/>
        <v>40.077199921298309</v>
      </c>
      <c r="AB121" s="5">
        <f t="shared" si="261"/>
        <v>36.16471835297542</v>
      </c>
      <c r="AC121" s="241">
        <f>AC$64*(1-AC$73)*AC70*(AC81*AC85+AC97*AC100)/1000</f>
        <v>46.18687054171879</v>
      </c>
      <c r="AD121" s="241">
        <f>AD$64*(1-AD$73)*AD70*(AD81*AD85+AD97*AD100)/1000</f>
        <v>54.886311542970205</v>
      </c>
      <c r="AE121" s="241">
        <f>AE$64*(1-AE$73)*AE70*(AE81*AE85+AE97*AE100)/1000</f>
        <v>60.211194931588672</v>
      </c>
      <c r="AF121" s="241">
        <f>AF$64*(1-AF$73)*AF70*(AF81*AF85+AF97*AF100)/1000</f>
        <v>65.09206945123492</v>
      </c>
      <c r="AG121" s="241">
        <f>AG$64*(1-AG$73)*AG70*(AG81*AG85+AG97*AG100)/1000</f>
        <v>72.351232519684729</v>
      </c>
      <c r="AH121" s="46"/>
      <c r="AI121" s="46"/>
      <c r="AJ121" s="46"/>
      <c r="AK121" s="46"/>
      <c r="AL121" s="46"/>
      <c r="AM121" s="46"/>
      <c r="AN121" s="46"/>
      <c r="AO121" s="46"/>
      <c r="AP121" s="46"/>
      <c r="AQ121" s="46"/>
      <c r="AR121" s="46"/>
      <c r="AS121" s="46"/>
      <c r="AT121" s="46"/>
      <c r="AU121" s="46"/>
      <c r="AV121" s="46"/>
      <c r="AW121" s="46"/>
      <c r="AX121" s="46"/>
      <c r="AY121" s="46"/>
    </row>
    <row r="122" spans="1:51">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c r="A123" t="s">
        <v>16</v>
      </c>
      <c r="C123" t="str">
        <f>C119</f>
        <v>BRT</v>
      </c>
      <c r="D123" t="s">
        <v>124</v>
      </c>
      <c r="E123" s="5">
        <f t="shared" ref="E123" si="268">E$64*(1-E$73)*E68*(E86*E88+E101*E102)/1000</f>
        <v>0.56495760904595693</v>
      </c>
      <c r="F123" s="5">
        <f t="shared" ref="F123:H123" si="269">F$64*(1-F$73)*F68*(F86*F88+F101*F102)/1000</f>
        <v>0.67247691119602993</v>
      </c>
      <c r="G123" s="5">
        <f t="shared" si="269"/>
        <v>0.56792803939135406</v>
      </c>
      <c r="H123" s="5">
        <f t="shared" si="269"/>
        <v>0.61757577399400521</v>
      </c>
      <c r="I123" s="5">
        <f>I$64*(1-I$73)*I68*(I86*I88+I101*I102)/1000</f>
        <v>0.82128963563431945</v>
      </c>
      <c r="J123" s="5">
        <f>J$64*(1-J$73)*J68*(J86*J88+J101*J102)/1000</f>
        <v>1.1539732933442877</v>
      </c>
      <c r="K123" s="5">
        <f>K$64*(1-K$73)*K68*(K86*K88+K101*K102)/1000</f>
        <v>1.1539732933442877</v>
      </c>
      <c r="L123" s="5">
        <f>L$64*(1-L$73)*L68*(L86*L88+L101*L102)/1000</f>
        <v>1.1539732933442877</v>
      </c>
      <c r="M123" s="5">
        <f>M$64*(1-M$73)*M68*(M86*M88+M101*M102)/1000</f>
        <v>1.5673199208654016</v>
      </c>
      <c r="N123" s="197"/>
      <c r="O123" s="5">
        <f t="shared" ref="O123:R123" si="270">O$64*(1-O$73)*O68*(O86*O88+O101*O102)/1000</f>
        <v>0.56495760904595693</v>
      </c>
      <c r="P123" s="5">
        <f t="shared" si="270"/>
        <v>0.67247691119602993</v>
      </c>
      <c r="Q123" s="5">
        <f t="shared" si="270"/>
        <v>0.56792803939135406</v>
      </c>
      <c r="R123" s="5">
        <f t="shared" si="270"/>
        <v>0.61757577399400521</v>
      </c>
      <c r="S123" s="241">
        <f>S$64*(1-S$73)*S68*(S86*S88+S101*S102)/1000</f>
        <v>0.9342712786316334</v>
      </c>
      <c r="T123" s="241">
        <f>T$64*(1-T$73)*T68*(T86*T88+T101*T102)/1000</f>
        <v>1.312720942164137</v>
      </c>
      <c r="U123" s="241">
        <f>U$64*(1-U$73)*U68*(U86*U88+U101*U102)/1000</f>
        <v>1.5698943585688532</v>
      </c>
      <c r="V123" s="241">
        <f>V$64*(1-V$73)*V68*(V86*V88+V101*V102)/1000</f>
        <v>1.7187539111254442</v>
      </c>
      <c r="W123" s="241">
        <f>W$64*(1-W$73)*W68*(W86*W88+W101*W102)/1000</f>
        <v>1.7829300687093199</v>
      </c>
      <c r="X123" s="46"/>
      <c r="Y123" s="5">
        <f t="shared" ref="Y123:AB125" si="271">O123</f>
        <v>0.56495760904595693</v>
      </c>
      <c r="Z123" s="5">
        <f t="shared" si="271"/>
        <v>0.67247691119602993</v>
      </c>
      <c r="AA123" s="5">
        <f t="shared" si="271"/>
        <v>0.56792803939135406</v>
      </c>
      <c r="AB123" s="5">
        <f t="shared" si="271"/>
        <v>0.61757577399400521</v>
      </c>
      <c r="AC123" s="241">
        <f>AC$64*(1-AC$73)*AC68*(AC86*AC88+AC101*AC102)/1000</f>
        <v>0.82128963563431945</v>
      </c>
      <c r="AD123" s="241">
        <f>AD$64*(1-AD$73)*AD68*(AD86*AD88+AD101*AD102)/1000</f>
        <v>1.1539732933442877</v>
      </c>
      <c r="AE123" s="241">
        <f>AE$64*(1-AE$73)*AE68*(AE86*AE88+AE101*AE102)/1000</f>
        <v>1.3800466686954103</v>
      </c>
      <c r="AF123" s="241">
        <f>AF$64*(1-AF$73)*AF68*(AF86*AF88+AF101*AF102)/1000</f>
        <v>1.510904600942832</v>
      </c>
      <c r="AG123" s="241">
        <f>AG$64*(1-AG$73)*AG68*(AG86*AG88+AG101*AG102)/1000</f>
        <v>1.5673199208654016</v>
      </c>
      <c r="AH123" s="46"/>
      <c r="AI123" s="46"/>
      <c r="AJ123" s="46"/>
      <c r="AK123" s="46"/>
      <c r="AL123" s="46"/>
      <c r="AM123" s="46"/>
      <c r="AN123" s="46"/>
      <c r="AO123" s="46"/>
      <c r="AP123" s="46"/>
      <c r="AQ123" s="46"/>
      <c r="AR123" s="46"/>
      <c r="AS123" s="46"/>
      <c r="AT123" s="46"/>
      <c r="AU123" s="46"/>
      <c r="AV123" s="46"/>
      <c r="AW123" s="46"/>
      <c r="AX123" s="46"/>
      <c r="AY123" s="46"/>
    </row>
    <row r="124" spans="1:51">
      <c r="A124" t="s">
        <v>16</v>
      </c>
      <c r="C124" t="str">
        <f>C120</f>
        <v>Gautrain</v>
      </c>
      <c r="D124" t="s">
        <v>124</v>
      </c>
      <c r="E124" s="5">
        <f t="shared" ref="E124" si="272">E$64*(1-E$73)*E69*(E86*E89+E101*E103)/1000</f>
        <v>0.42603549444003685</v>
      </c>
      <c r="F124" s="5">
        <f t="shared" ref="F124:H124" si="273">F$64*(1-F$73)*F69*(F86*F89+F101*F103)/1000</f>
        <v>0.44831794079735332</v>
      </c>
      <c r="G124" s="5">
        <f t="shared" si="273"/>
        <v>0.37861869292756944</v>
      </c>
      <c r="H124" s="5">
        <f t="shared" si="273"/>
        <v>0.41171718266267016</v>
      </c>
      <c r="I124" s="5">
        <f>I$64*(1-I$73)*I69*(I86*I89+I101*I103)/1000</f>
        <v>0.88785996995620331</v>
      </c>
      <c r="J124" s="5">
        <f>J$64*(1-J$73)*J69*(J86*J89+J101*J103)/1000</f>
        <v>1.255416070677003</v>
      </c>
      <c r="K124" s="5">
        <f>K$64*(1-K$73)*K69*(K86*K89+K101*K103)/1000</f>
        <v>1.255416070677003</v>
      </c>
      <c r="L124" s="5">
        <f>L$64*(1-L$73)*L69*(L86*L89+L101*L103)/1000</f>
        <v>1.255416070677003</v>
      </c>
      <c r="M124" s="5">
        <f>M$64*(1-M$73)*M69*(M86*M89+M101*M103)/1000</f>
        <v>3.4659852518010434</v>
      </c>
      <c r="N124" s="197"/>
      <c r="O124" s="5">
        <f t="shared" ref="O124:R124" si="274">O$64*(1-O$73)*O69*(O86*O89+O101*O103)/1000</f>
        <v>0.42603549444003685</v>
      </c>
      <c r="P124" s="5">
        <f t="shared" si="274"/>
        <v>0.44831794079735332</v>
      </c>
      <c r="Q124" s="5">
        <f t="shared" si="274"/>
        <v>0.37861869292756944</v>
      </c>
      <c r="R124" s="5">
        <f t="shared" si="274"/>
        <v>0.41171718266267016</v>
      </c>
      <c r="S124" s="241">
        <f>S$64*(1-S$73)*S69*(S86*S89+S101*S103)/1000</f>
        <v>0.6228475190877556</v>
      </c>
      <c r="T124" s="241">
        <f>T$64*(1-T$73)*T69*(T86*T89+T101*T103)/1000</f>
        <v>0.87514729477609143</v>
      </c>
      <c r="U124" s="241">
        <f>U$64*(1-U$73)*U69*(U86*U89+U101*U103)/1000</f>
        <v>1.0465962390459023</v>
      </c>
      <c r="V124" s="241">
        <f>V$64*(1-V$73)*V69*(V86*V89+V101*V103)/1000</f>
        <v>1.145835940750296</v>
      </c>
      <c r="W124" s="241">
        <f>W$64*(1-W$73)*W69*(W86*W89+W101*W103)/1000</f>
        <v>1.1886200458062133</v>
      </c>
      <c r="X124" s="46"/>
      <c r="Y124" s="5">
        <f t="shared" si="271"/>
        <v>0.42603549444003685</v>
      </c>
      <c r="Z124" s="5">
        <f t="shared" si="271"/>
        <v>0.44831794079735332</v>
      </c>
      <c r="AA124" s="5">
        <f t="shared" si="271"/>
        <v>0.37861869292756944</v>
      </c>
      <c r="AB124" s="5">
        <f t="shared" si="271"/>
        <v>0.41171718266267016</v>
      </c>
      <c r="AC124" s="241">
        <f>AC$64*(1-AC$73)*AC69*(AC86*AC89+AC101*AC103)/1000</f>
        <v>0.88785996995620331</v>
      </c>
      <c r="AD124" s="241">
        <f>AD$64*(1-AD$73)*AD69*(AD86*AD89+AD101*AD103)/1000</f>
        <v>1.255416070677003</v>
      </c>
      <c r="AE124" s="241">
        <f>AE$64*(1-AE$73)*AE69*(AE86*AE89+AE101*AE103)/1000</f>
        <v>2.195594572200616</v>
      </c>
      <c r="AF124" s="241">
        <f>AF$64*(1-AF$73)*AF69*(AF86*AF89+AF101*AF103)/1000</f>
        <v>3.2565472880965589</v>
      </c>
      <c r="AG124" s="241">
        <f>AG$64*(1-AG$73)*AG69*(AG86*AG89+AG101*AG103)/1000</f>
        <v>3.4659852518010434</v>
      </c>
      <c r="AH124" s="46"/>
      <c r="AI124" s="46"/>
      <c r="AJ124" s="46"/>
      <c r="AK124" s="46"/>
      <c r="AL124" s="46"/>
      <c r="AM124" s="46"/>
      <c r="AN124" s="46"/>
      <c r="AO124" s="46"/>
      <c r="AP124" s="46"/>
      <c r="AQ124" s="46"/>
      <c r="AR124" s="46"/>
      <c r="AS124" s="46"/>
      <c r="AT124" s="46"/>
      <c r="AU124" s="46"/>
      <c r="AV124" s="46"/>
      <c r="AW124" s="46"/>
      <c r="AX124" s="46"/>
      <c r="AY124" s="46"/>
    </row>
    <row r="125" spans="1:51">
      <c r="A125" t="s">
        <v>16</v>
      </c>
      <c r="C125" t="str">
        <f>C121</f>
        <v>Bus, minibus, metro rail</v>
      </c>
      <c r="D125" t="s">
        <v>124</v>
      </c>
      <c r="E125" s="5">
        <f t="shared" ref="E125" si="275">E$64*(1-E$73)*E70*(E86*E90+E101*E104)/1000</f>
        <v>19.89548022216918</v>
      </c>
      <c r="F125" s="5">
        <f t="shared" ref="F125:H125" si="276">F$64*(1-F$73)*F70*(F86*F90+F101*F104)/1000</f>
        <v>18.358554630460585</v>
      </c>
      <c r="G125" s="5">
        <f t="shared" si="276"/>
        <v>15.664466943331325</v>
      </c>
      <c r="H125" s="5">
        <f t="shared" si="276"/>
        <v>15.718172320089563</v>
      </c>
      <c r="I125" s="5">
        <f>I$64*(1-I$73)*I70*(I86*I90+I101*I104)/1000</f>
        <v>26.124394306051634</v>
      </c>
      <c r="J125" s="5">
        <f>J$64*(1-J$73)*J70*(J86*J90+J101*J104)/1000</f>
        <v>36.732805670979616</v>
      </c>
      <c r="K125" s="5">
        <f>K$64*(1-K$73)*K70*(K86*K90+K101*K104)/1000</f>
        <v>36.732805670979616</v>
      </c>
      <c r="L125" s="5">
        <f>L$64*(1-L$73)*L70*(L86*L90+L101*L104)/1000</f>
        <v>36.732805670979616</v>
      </c>
      <c r="M125" s="5">
        <f>M$64*(1-M$73)*M70*(M86*M90+M101*M104)/1000</f>
        <v>44.482693208709506</v>
      </c>
      <c r="N125" s="197"/>
      <c r="O125" s="5">
        <f t="shared" ref="O125:R125" si="277">O$64*(1-O$73)*O70*(O86*O90+O101*O104)/1000</f>
        <v>17.489515172046392</v>
      </c>
      <c r="P125" s="5">
        <f t="shared" si="277"/>
        <v>18.358554630460585</v>
      </c>
      <c r="Q125" s="5">
        <f t="shared" si="277"/>
        <v>15.664466943331325</v>
      </c>
      <c r="R125" s="5">
        <f t="shared" si="277"/>
        <v>15.718172320089563</v>
      </c>
      <c r="S125" s="241">
        <f>S$64*(1-S$73)*S70*(S86*S90+S101*S104)/1000</f>
        <v>21.697159229754742</v>
      </c>
      <c r="T125" s="241">
        <f>T$64*(1-T$73)*T70*(T86*T90+T101*T104)/1000</f>
        <v>25.631961148023979</v>
      </c>
      <c r="U125" s="241">
        <f>U$64*(1-U$73)*U70*(U86*U90+U101*U104)/1000</f>
        <v>17.856779517304012</v>
      </c>
      <c r="V125" s="241">
        <f>V$64*(1-V$73)*V70*(V86*V90+V101*V104)/1000</f>
        <v>19.549984027874267</v>
      </c>
      <c r="W125" s="241">
        <f>W$64*(1-W$73)*W70*(W86*W90+W101*W104)/1000</f>
        <v>20.972554228213443</v>
      </c>
      <c r="X125" s="46"/>
      <c r="Y125" s="5">
        <f t="shared" si="271"/>
        <v>17.489515172046392</v>
      </c>
      <c r="Z125" s="5">
        <f t="shared" si="271"/>
        <v>18.358554630460585</v>
      </c>
      <c r="AA125" s="5">
        <f t="shared" si="271"/>
        <v>15.664466943331325</v>
      </c>
      <c r="AB125" s="5">
        <f t="shared" si="271"/>
        <v>15.718172320089563</v>
      </c>
      <c r="AC125" s="241">
        <f>AC$64*(1-AC$73)*AC70*(AC86*AC90+AC101*AC104)/1000</f>
        <v>26.124394306051634</v>
      </c>
      <c r="AD125" s="241">
        <f>AD$64*(1-AD$73)*AD70*(AD86*AD90+AD101*AD104)/1000</f>
        <v>36.732805670979616</v>
      </c>
      <c r="AE125" s="241">
        <f>AE$64*(1-AE$73)*AE70*(AE86*AE90+AE101*AE104)/1000</f>
        <v>33.680118575398197</v>
      </c>
      <c r="AF125" s="241">
        <f>AF$64*(1-AF$73)*AF70*(AF86*AF90+AF101*AF104)/1000</f>
        <v>36.447332259927293</v>
      </c>
      <c r="AG125" s="241">
        <f>AG$64*(1-AG$73)*AG70*(AG86*AG90+AG101*AG104)/1000</f>
        <v>44.482693208709506</v>
      </c>
      <c r="AH125" s="46"/>
      <c r="AI125" s="46"/>
      <c r="AJ125" s="46"/>
      <c r="AK125" s="46"/>
      <c r="AL125" s="46"/>
      <c r="AM125" s="46"/>
      <c r="AN125" s="46"/>
      <c r="AO125" s="46"/>
      <c r="AP125" s="46"/>
      <c r="AQ125" s="46"/>
      <c r="AR125" s="46"/>
      <c r="AS125" s="46"/>
      <c r="AT125" s="46"/>
      <c r="AU125" s="46"/>
      <c r="AV125" s="46"/>
      <c r="AW125" s="46"/>
      <c r="AX125" s="46"/>
      <c r="AY125" s="46"/>
    </row>
    <row r="126" spans="1:51">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c r="A127" t="s">
        <v>16</v>
      </c>
      <c r="C127" t="str">
        <f>C123</f>
        <v>BRT</v>
      </c>
      <c r="D127" t="s">
        <v>124</v>
      </c>
      <c r="E127" s="5">
        <f t="shared" ref="E127:E129" si="278">E115+E119+E123</f>
        <v>1.8199995725306071</v>
      </c>
      <c r="F127" s="5">
        <f t="shared" ref="F127:H127" si="279">F115+F119+F123</f>
        <v>2.7827386966557452</v>
      </c>
      <c r="G127" s="5">
        <f t="shared" si="279"/>
        <v>2.7728192749407472</v>
      </c>
      <c r="H127" s="5">
        <f t="shared" si="279"/>
        <v>2.8304469375370944</v>
      </c>
      <c r="I127" s="5">
        <f t="shared" ref="I127:M129" si="280">I115+I119+I123</f>
        <v>2.7121183872363934</v>
      </c>
      <c r="J127" s="5">
        <f t="shared" si="280"/>
        <v>2.9275970656777832</v>
      </c>
      <c r="K127" s="5">
        <f t="shared" ref="K127:L127" si="281">K115+K119+K123</f>
        <v>2.9275970656777832</v>
      </c>
      <c r="L127" s="5">
        <f t="shared" si="281"/>
        <v>2.9275970656777832</v>
      </c>
      <c r="M127" s="5">
        <f t="shared" si="280"/>
        <v>3.2177989037166688</v>
      </c>
      <c r="N127" s="197"/>
      <c r="O127" s="5">
        <f t="shared" ref="O127:R129" si="282">O115+O119+O123</f>
        <v>1.8199995725306071</v>
      </c>
      <c r="P127" s="5">
        <f t="shared" si="282"/>
        <v>2.7827386966557452</v>
      </c>
      <c r="Q127" s="5">
        <f t="shared" si="282"/>
        <v>2.7728192749407472</v>
      </c>
      <c r="R127" s="5">
        <f t="shared" si="282"/>
        <v>2.8304469375370944</v>
      </c>
      <c r="S127" s="241">
        <f t="shared" ref="S127:W129" si="283">S115+S119+S123</f>
        <v>3.0852140383906068</v>
      </c>
      <c r="T127" s="241">
        <f t="shared" si="283"/>
        <v>3.3303352863530344</v>
      </c>
      <c r="U127" s="241">
        <f t="shared" ref="U127:V127" si="284">U115+U119+U123</f>
        <v>3.515067690392085</v>
      </c>
      <c r="V127" s="241">
        <f t="shared" si="284"/>
        <v>3.618783477205711</v>
      </c>
      <c r="W127" s="241">
        <f t="shared" si="283"/>
        <v>3.6604590703655235</v>
      </c>
      <c r="X127" s="46"/>
      <c r="Y127" s="5">
        <f t="shared" ref="Y127:AB128" si="285">O127</f>
        <v>1.8199995725306071</v>
      </c>
      <c r="Z127" s="5">
        <f t="shared" si="285"/>
        <v>2.7827386966557452</v>
      </c>
      <c r="AA127" s="5">
        <f t="shared" si="285"/>
        <v>2.7728192749407472</v>
      </c>
      <c r="AB127" s="5">
        <f t="shared" si="285"/>
        <v>2.8304469375370944</v>
      </c>
      <c r="AC127" s="241">
        <f t="shared" ref="AC127:AG129" si="286">AC115+AC119+AC123</f>
        <v>2.7121183872363934</v>
      </c>
      <c r="AD127" s="241">
        <f t="shared" si="286"/>
        <v>2.9275970656777832</v>
      </c>
      <c r="AE127" s="241">
        <f t="shared" ref="AE127:AF127" si="287">AE115+AE119+AE123</f>
        <v>3.0899897371353671</v>
      </c>
      <c r="AF127" s="241">
        <f t="shared" si="287"/>
        <v>3.1811631497296706</v>
      </c>
      <c r="AG127" s="241">
        <f t="shared" si="286"/>
        <v>3.2177989037166688</v>
      </c>
      <c r="AH127" s="46"/>
      <c r="AI127" s="46"/>
      <c r="AJ127" s="46"/>
      <c r="AK127" s="46"/>
      <c r="AL127" s="46"/>
      <c r="AM127" s="46"/>
      <c r="AN127" s="46"/>
      <c r="AO127" s="46"/>
      <c r="AP127" s="46"/>
      <c r="AQ127" s="46"/>
      <c r="AR127" s="46"/>
      <c r="AS127" s="46"/>
      <c r="AT127" s="46"/>
      <c r="AU127" s="46"/>
      <c r="AV127" s="46"/>
      <c r="AW127" s="46"/>
      <c r="AX127" s="46"/>
      <c r="AY127" s="46"/>
    </row>
    <row r="128" spans="1:51">
      <c r="A128" t="s">
        <v>16</v>
      </c>
      <c r="C128" t="str">
        <f>C124</f>
        <v>Gautrain</v>
      </c>
      <c r="D128" t="s">
        <v>124</v>
      </c>
      <c r="E128" s="5">
        <f t="shared" si="278"/>
        <v>0.64854136839212595</v>
      </c>
      <c r="F128" s="5">
        <f t="shared" ref="F128:H128" si="288">F116+F120+F124</f>
        <v>0.6995709084876961</v>
      </c>
      <c r="G128" s="5">
        <f t="shared" si="288"/>
        <v>0.64248252977129328</v>
      </c>
      <c r="H128" s="5">
        <f t="shared" si="288"/>
        <v>0.6528281316673451</v>
      </c>
      <c r="I128" s="5">
        <f t="shared" si="280"/>
        <v>1.610210986386059</v>
      </c>
      <c r="J128" s="5">
        <f t="shared" si="280"/>
        <v>2.8089920653060978</v>
      </c>
      <c r="K128" s="5">
        <f t="shared" ref="K128:L128" si="289">K116+K120+K124</f>
        <v>2.8089920653060978</v>
      </c>
      <c r="L128" s="5">
        <f t="shared" si="289"/>
        <v>2.8089920653060978</v>
      </c>
      <c r="M128" s="5">
        <f t="shared" si="280"/>
        <v>6.9301888327392636</v>
      </c>
      <c r="N128" s="197"/>
      <c r="O128" s="5">
        <f t="shared" si="282"/>
        <v>0.64854136839212595</v>
      </c>
      <c r="P128" s="5">
        <f t="shared" si="282"/>
        <v>0.6995709084876961</v>
      </c>
      <c r="Q128" s="5">
        <f t="shared" si="282"/>
        <v>0.64248252977129328</v>
      </c>
      <c r="R128" s="5">
        <f t="shared" si="282"/>
        <v>0.6528281316673451</v>
      </c>
      <c r="S128" s="241">
        <f t="shared" si="283"/>
        <v>0.91068205290937376</v>
      </c>
      <c r="T128" s="241">
        <f t="shared" si="283"/>
        <v>1.2038134916712031</v>
      </c>
      <c r="U128" s="241">
        <f t="shared" ref="U128:V128" si="290">U116+U120+U124</f>
        <v>1.4057825304383706</v>
      </c>
      <c r="V128" s="241">
        <f t="shared" si="290"/>
        <v>1.5316476978095188</v>
      </c>
      <c r="W128" s="241">
        <f t="shared" si="283"/>
        <v>1.6059537886070023</v>
      </c>
      <c r="X128" s="46"/>
      <c r="Y128" s="5">
        <f t="shared" si="285"/>
        <v>0.64854136839212595</v>
      </c>
      <c r="Z128" s="5">
        <f t="shared" si="285"/>
        <v>0.6995709084876961</v>
      </c>
      <c r="AA128" s="5">
        <f t="shared" si="285"/>
        <v>0.64248252977129328</v>
      </c>
      <c r="AB128" s="5">
        <f t="shared" si="285"/>
        <v>0.6528281316673451</v>
      </c>
      <c r="AC128" s="241">
        <f t="shared" si="286"/>
        <v>1.610210986386059</v>
      </c>
      <c r="AD128" s="241">
        <f t="shared" si="286"/>
        <v>2.8089920653060978</v>
      </c>
      <c r="AE128" s="241">
        <f t="shared" ref="AE128:AF128" si="291">AE116+AE120+AE124</f>
        <v>4.729195272103615</v>
      </c>
      <c r="AF128" s="241">
        <f t="shared" si="291"/>
        <v>6.0843487560592608</v>
      </c>
      <c r="AG128" s="241">
        <f t="shared" si="286"/>
        <v>6.9301888327392636</v>
      </c>
      <c r="AH128" s="46"/>
      <c r="AI128" s="46"/>
      <c r="AJ128" s="46"/>
      <c r="AK128" s="46"/>
      <c r="AL128" s="46"/>
      <c r="AM128" s="46"/>
      <c r="AN128" s="46"/>
      <c r="AO128" s="46"/>
      <c r="AP128" s="46"/>
      <c r="AQ128" s="46"/>
      <c r="AR128" s="46"/>
      <c r="AS128" s="46"/>
      <c r="AT128" s="46"/>
      <c r="AU128" s="46"/>
      <c r="AV128" s="46"/>
      <c r="AW128" s="46"/>
      <c r="AX128" s="46"/>
      <c r="AY128" s="46"/>
    </row>
    <row r="129" spans="1:51">
      <c r="A129" t="s">
        <v>16</v>
      </c>
      <c r="C129" t="str">
        <f>C125</f>
        <v>Bus, minibus, metro rail</v>
      </c>
      <c r="D129" t="s">
        <v>124</v>
      </c>
      <c r="E129" s="5">
        <f t="shared" si="278"/>
        <v>142.59296423330505</v>
      </c>
      <c r="F129" s="5">
        <f t="shared" ref="F129:H129" si="292">F117+F121+F125</f>
        <v>128.25012085990809</v>
      </c>
      <c r="G129" s="5">
        <f t="shared" si="292"/>
        <v>130.4042568665019</v>
      </c>
      <c r="H129" s="5">
        <f t="shared" si="292"/>
        <v>132.27713466850673</v>
      </c>
      <c r="I129" s="5">
        <f t="shared" si="280"/>
        <v>138.17493717030789</v>
      </c>
      <c r="J129" s="5">
        <f t="shared" si="280"/>
        <v>139.88663452288438</v>
      </c>
      <c r="K129" s="5">
        <f t="shared" ref="K129:L129" si="293">K117+K121+K125</f>
        <v>139.88663452288438</v>
      </c>
      <c r="L129" s="5">
        <f t="shared" si="293"/>
        <v>139.88663452288438</v>
      </c>
      <c r="M129" s="5">
        <f t="shared" si="280"/>
        <v>136.05869070476194</v>
      </c>
      <c r="N129" s="197"/>
      <c r="O129" s="5">
        <f t="shared" si="282"/>
        <v>125.34916390741699</v>
      </c>
      <c r="P129" s="5">
        <f t="shared" si="282"/>
        <v>128.25012085990809</v>
      </c>
      <c r="Q129" s="5">
        <f t="shared" si="282"/>
        <v>130.4042568665019</v>
      </c>
      <c r="R129" s="5">
        <f t="shared" si="282"/>
        <v>132.27713466850673</v>
      </c>
      <c r="S129" s="241">
        <f t="shared" si="283"/>
        <v>131.82775466848531</v>
      </c>
      <c r="T129" s="241">
        <f t="shared" si="283"/>
        <v>125.4615395148832</v>
      </c>
      <c r="U129" s="241">
        <f t="shared" ref="U129:V129" si="294">U117+U121+U125</f>
        <v>111.59595019203181</v>
      </c>
      <c r="V129" s="241">
        <f t="shared" si="294"/>
        <v>109.04333464293418</v>
      </c>
      <c r="W129" s="241">
        <f t="shared" si="283"/>
        <v>107.2689154005202</v>
      </c>
      <c r="X129" s="46"/>
      <c r="Y129" s="5">
        <f t="shared" ref="Y129:AB129" si="295">Y117+Y121+Y125</f>
        <v>125.34916390741699</v>
      </c>
      <c r="Z129" s="5">
        <f t="shared" si="295"/>
        <v>128.25012085990809</v>
      </c>
      <c r="AA129" s="5">
        <f t="shared" si="295"/>
        <v>130.4042568665019</v>
      </c>
      <c r="AB129" s="5">
        <f t="shared" si="295"/>
        <v>132.27713466850673</v>
      </c>
      <c r="AC129" s="241">
        <f t="shared" si="286"/>
        <v>138.17493717030789</v>
      </c>
      <c r="AD129" s="241">
        <f t="shared" si="286"/>
        <v>139.88663452288438</v>
      </c>
      <c r="AE129" s="241">
        <f t="shared" ref="AE129:AF129" si="296">AE117+AE121+AE125</f>
        <v>130.67656455605828</v>
      </c>
      <c r="AF129" s="241">
        <f t="shared" si="296"/>
        <v>129.40916322388696</v>
      </c>
      <c r="AG129" s="241">
        <f t="shared" si="286"/>
        <v>136.05869070476194</v>
      </c>
      <c r="AH129" s="46"/>
      <c r="AI129" s="46"/>
      <c r="AJ129" s="46"/>
      <c r="AK129" s="46"/>
      <c r="AL129" s="46"/>
      <c r="AM129" s="46"/>
      <c r="AN129" s="46"/>
      <c r="AO129" s="46"/>
      <c r="AP129" s="46"/>
      <c r="AQ129" s="46"/>
      <c r="AR129" s="46"/>
      <c r="AS129" s="46"/>
      <c r="AT129" s="46"/>
      <c r="AU129" s="46"/>
      <c r="AV129" s="46"/>
      <c r="AW129" s="46"/>
      <c r="AX129" s="46"/>
      <c r="AY129" s="46"/>
    </row>
    <row r="130" spans="1:51">
      <c r="A130" t="s">
        <v>16</v>
      </c>
      <c r="J130"/>
      <c r="N130" s="32"/>
    </row>
    <row r="131" spans="1:51" ht="15.75" thickBot="1">
      <c r="A131" t="s">
        <v>16</v>
      </c>
      <c r="C131" s="2" t="s">
        <v>163</v>
      </c>
      <c r="E131" s="235">
        <f t="shared" ref="E131:M131" si="297">E$12</f>
        <v>2017</v>
      </c>
      <c r="F131" s="235">
        <f t="shared" si="297"/>
        <v>2019</v>
      </c>
      <c r="G131" s="235">
        <f t="shared" si="297"/>
        <v>2020</v>
      </c>
      <c r="H131" s="235">
        <f t="shared" si="297"/>
        <v>2021</v>
      </c>
      <c r="I131" s="235">
        <f t="shared" si="297"/>
        <v>2030</v>
      </c>
      <c r="J131" s="235">
        <f t="shared" si="297"/>
        <v>2040</v>
      </c>
      <c r="K131" s="235">
        <f t="shared" si="297"/>
        <v>2050</v>
      </c>
      <c r="L131" s="235">
        <f t="shared" si="297"/>
        <v>2060</v>
      </c>
      <c r="M131" s="235">
        <f t="shared" si="297"/>
        <v>2070</v>
      </c>
      <c r="N131" s="32"/>
      <c r="O131" s="235">
        <f t="shared" ref="O131:W131" si="298">O$12</f>
        <v>2017</v>
      </c>
      <c r="P131" s="235">
        <f t="shared" si="298"/>
        <v>2019</v>
      </c>
      <c r="Q131" s="235">
        <f t="shared" si="298"/>
        <v>2020</v>
      </c>
      <c r="R131" s="235">
        <f t="shared" si="298"/>
        <v>2021</v>
      </c>
      <c r="S131" s="235">
        <f t="shared" si="298"/>
        <v>2030</v>
      </c>
      <c r="T131" s="235">
        <f t="shared" si="298"/>
        <v>2040</v>
      </c>
      <c r="U131" s="235">
        <f t="shared" si="298"/>
        <v>2050</v>
      </c>
      <c r="V131" s="235">
        <f t="shared" si="298"/>
        <v>2060</v>
      </c>
      <c r="W131" s="235">
        <f t="shared" si="298"/>
        <v>2070</v>
      </c>
      <c r="Y131" s="358" t="s">
        <v>191</v>
      </c>
    </row>
    <row r="132" spans="1:51">
      <c r="A132" t="s">
        <v>16</v>
      </c>
      <c r="C132" s="19" t="s">
        <v>88</v>
      </c>
      <c r="E132" s="191">
        <f t="shared" ref="E132" si="299">1-E133-E134</f>
        <v>0.79999999999999993</v>
      </c>
      <c r="F132" s="5">
        <f t="shared" ref="F132:J134" si="300">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1">
        <f t="shared" ref="O132" si="301">1-O133-O134</f>
        <v>0.79999999999999993</v>
      </c>
      <c r="P132" s="191">
        <f t="shared" ref="P132:W132" si="302">1-P133-P134</f>
        <v>0.79999999999999993</v>
      </c>
      <c r="Q132" s="191">
        <f t="shared" si="302"/>
        <v>0.79999999999999993</v>
      </c>
      <c r="R132" s="191">
        <f t="shared" si="302"/>
        <v>0.79999999999999993</v>
      </c>
      <c r="S132" s="53">
        <f t="shared" si="302"/>
        <v>0.79999999999999993</v>
      </c>
      <c r="T132" s="53">
        <f t="shared" si="302"/>
        <v>0.79999999999999993</v>
      </c>
      <c r="U132" s="53">
        <f t="shared" ref="U132:V132" si="303">1-U133-U134</f>
        <v>0.79999999999999993</v>
      </c>
      <c r="V132" s="53">
        <f t="shared" si="303"/>
        <v>0.79999999999999993</v>
      </c>
      <c r="W132" s="53">
        <f t="shared" si="302"/>
        <v>0.79999999999999993</v>
      </c>
      <c r="Y132" s="191">
        <f t="shared" ref="Y132:AB134" si="304">O132</f>
        <v>0.79999999999999993</v>
      </c>
      <c r="Z132" s="191">
        <f t="shared" si="304"/>
        <v>0.79999999999999993</v>
      </c>
      <c r="AA132" s="191">
        <f t="shared" si="304"/>
        <v>0.79999999999999993</v>
      </c>
      <c r="AB132" s="191">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51">
      <c r="A133" t="s">
        <v>16</v>
      </c>
      <c r="C133" s="19" t="s">
        <v>87</v>
      </c>
      <c r="E133" s="320">
        <v>0.17</v>
      </c>
      <c r="F133" s="5">
        <f t="shared" si="300"/>
        <v>0.17</v>
      </c>
      <c r="G133" s="5">
        <f t="shared" si="300"/>
        <v>0.17</v>
      </c>
      <c r="H133" s="5">
        <f t="shared" si="300"/>
        <v>0.17</v>
      </c>
      <c r="I133" s="5">
        <f t="shared" si="300"/>
        <v>0.17</v>
      </c>
      <c r="J133" s="5">
        <f t="shared" si="300"/>
        <v>0.17</v>
      </c>
      <c r="K133" s="5">
        <f>IF($D$4,AD133,T133)</f>
        <v>0.17</v>
      </c>
      <c r="L133" s="5">
        <f>IF($D$4,AD133,T133)</f>
        <v>0.17</v>
      </c>
      <c r="M133" s="5">
        <f>IF($D$4,AG133,W133)</f>
        <v>0.17</v>
      </c>
      <c r="N133" s="32"/>
      <c r="O133" s="269">
        <f>E133</f>
        <v>0.17</v>
      </c>
      <c r="P133" s="191">
        <f t="shared" ref="P133:T133" si="305">O133</f>
        <v>0.17</v>
      </c>
      <c r="Q133" s="191">
        <f t="shared" si="305"/>
        <v>0.17</v>
      </c>
      <c r="R133" s="191">
        <f t="shared" si="305"/>
        <v>0.17</v>
      </c>
      <c r="S133" s="53">
        <f t="shared" si="305"/>
        <v>0.17</v>
      </c>
      <c r="T133" s="53">
        <f t="shared" si="305"/>
        <v>0.17</v>
      </c>
      <c r="U133" s="53">
        <f>S133</f>
        <v>0.17</v>
      </c>
      <c r="V133" s="53">
        <f>S133</f>
        <v>0.17</v>
      </c>
      <c r="W133" s="53">
        <f>T133</f>
        <v>0.17</v>
      </c>
      <c r="Y133" s="191">
        <f t="shared" si="304"/>
        <v>0.17</v>
      </c>
      <c r="Z133" s="191">
        <f t="shared" si="304"/>
        <v>0.17</v>
      </c>
      <c r="AA133" s="191">
        <f t="shared" si="304"/>
        <v>0.17</v>
      </c>
      <c r="AB133" s="191">
        <f t="shared" si="304"/>
        <v>0.17</v>
      </c>
      <c r="AC133" s="322">
        <v>0.17</v>
      </c>
      <c r="AD133" s="322">
        <v>0.17</v>
      </c>
      <c r="AE133" s="323">
        <f>AC133</f>
        <v>0.17</v>
      </c>
      <c r="AF133" s="323">
        <f>AC133</f>
        <v>0.17</v>
      </c>
      <c r="AG133" s="323">
        <f>AD133</f>
        <v>0.17</v>
      </c>
    </row>
    <row r="134" spans="1:51">
      <c r="A134" t="s">
        <v>16</v>
      </c>
      <c r="C134" s="19" t="s">
        <v>164</v>
      </c>
      <c r="E134" s="321">
        <v>0.03</v>
      </c>
      <c r="F134" s="46">
        <f t="shared" si="300"/>
        <v>0.03</v>
      </c>
      <c r="G134" s="46">
        <f t="shared" si="300"/>
        <v>0.03</v>
      </c>
      <c r="H134" s="46">
        <f t="shared" si="300"/>
        <v>0.03</v>
      </c>
      <c r="I134" s="46">
        <f t="shared" si="300"/>
        <v>0.03</v>
      </c>
      <c r="J134" s="46">
        <f t="shared" si="300"/>
        <v>0.03</v>
      </c>
      <c r="K134" s="46">
        <f>IF($D$4,AD134,T134)</f>
        <v>0.03</v>
      </c>
      <c r="L134" s="46">
        <f>IF($D$4,AD134,T134)</f>
        <v>0.03</v>
      </c>
      <c r="M134" s="46">
        <f>IF($D$4,AG134,W134)</f>
        <v>0.03</v>
      </c>
      <c r="N134" s="32"/>
      <c r="O134" s="253">
        <f>E134</f>
        <v>0.03</v>
      </c>
      <c r="P134" s="191">
        <f t="shared" ref="P134:T134" si="306">O134</f>
        <v>0.03</v>
      </c>
      <c r="Q134" s="191">
        <f t="shared" si="306"/>
        <v>0.03</v>
      </c>
      <c r="R134" s="191">
        <f t="shared" si="306"/>
        <v>0.03</v>
      </c>
      <c r="S134" s="53">
        <f t="shared" si="306"/>
        <v>0.03</v>
      </c>
      <c r="T134" s="53">
        <f t="shared" si="306"/>
        <v>0.03</v>
      </c>
      <c r="U134" s="53">
        <f>S134</f>
        <v>0.03</v>
      </c>
      <c r="V134" s="53">
        <f>S134</f>
        <v>0.03</v>
      </c>
      <c r="W134" s="53">
        <f>T134</f>
        <v>0.03</v>
      </c>
      <c r="Y134" s="191">
        <f>O134</f>
        <v>0.03</v>
      </c>
      <c r="Z134" s="191">
        <f t="shared" si="304"/>
        <v>0.03</v>
      </c>
      <c r="AA134" s="191">
        <f t="shared" si="304"/>
        <v>0.03</v>
      </c>
      <c r="AB134" s="191">
        <f t="shared" si="304"/>
        <v>0.03</v>
      </c>
      <c r="AC134" s="323">
        <f>AA134</f>
        <v>0.03</v>
      </c>
      <c r="AD134" s="323">
        <f>AC134</f>
        <v>0.03</v>
      </c>
      <c r="AE134" s="323">
        <f>AC134</f>
        <v>0.03</v>
      </c>
      <c r="AF134" s="323">
        <f>AC134</f>
        <v>0.03</v>
      </c>
      <c r="AG134" s="323">
        <f>AD134</f>
        <v>0.03</v>
      </c>
    </row>
    <row r="135" spans="1:51">
      <c r="A135" t="s">
        <v>16</v>
      </c>
      <c r="C135" s="19"/>
      <c r="E135" s="64"/>
      <c r="G135" s="64"/>
      <c r="I135" s="64"/>
      <c r="J135" s="64"/>
      <c r="K135" s="64"/>
      <c r="L135" s="64"/>
      <c r="M135" s="64"/>
      <c r="N135" s="32"/>
    </row>
    <row r="136" spans="1:51" ht="15.75" thickBot="1">
      <c r="A136" t="s">
        <v>16</v>
      </c>
      <c r="C136" s="2" t="s">
        <v>173</v>
      </c>
      <c r="E136" s="64"/>
      <c r="G136" s="64"/>
      <c r="I136" s="64"/>
      <c r="J136" s="64"/>
      <c r="K136" s="64"/>
      <c r="L136" s="64"/>
      <c r="M136" s="64"/>
      <c r="N136" s="32"/>
    </row>
    <row r="137" spans="1:51">
      <c r="A137" t="s">
        <v>16</v>
      </c>
      <c r="C137" s="19" t="s">
        <v>53</v>
      </c>
      <c r="E137" s="52">
        <v>0.1278</v>
      </c>
      <c r="F137" s="5">
        <f t="shared" ref="F137:J139" si="307">IF($D$4,Z137,P137)</f>
        <v>0.1278</v>
      </c>
      <c r="G137" s="5">
        <f t="shared" si="307"/>
        <v>0.1278</v>
      </c>
      <c r="H137" s="5">
        <f t="shared" si="307"/>
        <v>0.1278</v>
      </c>
      <c r="I137" s="5">
        <f t="shared" si="307"/>
        <v>0.1278</v>
      </c>
      <c r="J137" s="5">
        <f t="shared" si="307"/>
        <v>0.1278</v>
      </c>
      <c r="K137" s="5">
        <f>IF($D$4,AD137,T137)</f>
        <v>0.1278</v>
      </c>
      <c r="L137" s="5">
        <f>IF($D$4,AD137,T137)</f>
        <v>0.1278</v>
      </c>
      <c r="M137" s="5">
        <f>IF($D$4,AG137,W137)</f>
        <v>0.1278</v>
      </c>
      <c r="N137" s="32"/>
      <c r="O137" s="191">
        <f>E137</f>
        <v>0.1278</v>
      </c>
      <c r="P137" s="191">
        <f t="shared" ref="P137:R139" si="308">O137</f>
        <v>0.1278</v>
      </c>
      <c r="Q137" s="191">
        <f t="shared" si="308"/>
        <v>0.1278</v>
      </c>
      <c r="R137" s="191">
        <f t="shared" si="308"/>
        <v>0.1278</v>
      </c>
      <c r="S137" s="53">
        <f>1-S138-S139</f>
        <v>0.12780000000000002</v>
      </c>
      <c r="T137" s="53">
        <f>1-T138-T139</f>
        <v>0.12780000000000002</v>
      </c>
      <c r="U137" s="53">
        <f>1-U138-U139</f>
        <v>0.12780000000000002</v>
      </c>
      <c r="V137" s="53">
        <f>1-V138-V139</f>
        <v>0.12780000000000002</v>
      </c>
      <c r="W137" s="53">
        <f>1-W138-W139</f>
        <v>0.12780000000000002</v>
      </c>
      <c r="Y137" s="191">
        <f t="shared" ref="Y137:AB139" si="309">O137</f>
        <v>0.1278</v>
      </c>
      <c r="Z137" s="191">
        <f t="shared" si="309"/>
        <v>0.1278</v>
      </c>
      <c r="AA137" s="191">
        <f t="shared" si="309"/>
        <v>0.1278</v>
      </c>
      <c r="AB137" s="191">
        <f t="shared" si="309"/>
        <v>0.1278</v>
      </c>
      <c r="AC137" s="53">
        <f>AB137</f>
        <v>0.1278</v>
      </c>
      <c r="AD137" s="53">
        <f t="shared" ref="AD137:AG137" si="310">AC137</f>
        <v>0.1278</v>
      </c>
      <c r="AE137" s="53">
        <f t="shared" si="310"/>
        <v>0.1278</v>
      </c>
      <c r="AF137" s="53">
        <f t="shared" si="310"/>
        <v>0.1278</v>
      </c>
      <c r="AG137" s="53">
        <f t="shared" si="310"/>
        <v>0.1278</v>
      </c>
    </row>
    <row r="138" spans="1:51">
      <c r="A138" t="s">
        <v>16</v>
      </c>
      <c r="C138" s="19" t="s">
        <v>172</v>
      </c>
      <c r="E138" s="52">
        <v>0.80300000000000005</v>
      </c>
      <c r="F138" s="5">
        <f t="shared" si="307"/>
        <v>0.80300000000000005</v>
      </c>
      <c r="G138" s="5">
        <f t="shared" si="307"/>
        <v>0.80300000000000005</v>
      </c>
      <c r="H138" s="5">
        <f t="shared" si="307"/>
        <v>0.80300000000000005</v>
      </c>
      <c r="I138" s="5">
        <f t="shared" si="307"/>
        <v>0.7772</v>
      </c>
      <c r="J138" s="5">
        <f t="shared" si="307"/>
        <v>0.75719999999999998</v>
      </c>
      <c r="K138" s="5">
        <f>IF($D$4,AD138,T138)</f>
        <v>0.75719999999999998</v>
      </c>
      <c r="L138" s="5">
        <f>IF($D$4,AD138,T138)</f>
        <v>0.75719999999999998</v>
      </c>
      <c r="M138" s="5">
        <f>IF($D$4,AG138,W138)</f>
        <v>0.75719999999999998</v>
      </c>
      <c r="N138" s="32"/>
      <c r="O138" s="191">
        <f>E138</f>
        <v>0.80300000000000005</v>
      </c>
      <c r="P138" s="191">
        <f t="shared" si="308"/>
        <v>0.80300000000000005</v>
      </c>
      <c r="Q138" s="191">
        <f t="shared" si="308"/>
        <v>0.80300000000000005</v>
      </c>
      <c r="R138" s="191">
        <f t="shared" si="308"/>
        <v>0.80300000000000005</v>
      </c>
      <c r="S138" s="53">
        <f>Q138</f>
        <v>0.80300000000000005</v>
      </c>
      <c r="T138" s="53">
        <f>S138</f>
        <v>0.80300000000000005</v>
      </c>
      <c r="U138" s="53">
        <f>S138</f>
        <v>0.80300000000000005</v>
      </c>
      <c r="V138" s="53">
        <f>S138</f>
        <v>0.80300000000000005</v>
      </c>
      <c r="W138" s="53">
        <f>T138</f>
        <v>0.80300000000000005</v>
      </c>
      <c r="Y138" s="191">
        <f t="shared" si="309"/>
        <v>0.80300000000000005</v>
      </c>
      <c r="Z138" s="191">
        <f t="shared" si="309"/>
        <v>0.80300000000000005</v>
      </c>
      <c r="AA138" s="191">
        <f t="shared" si="309"/>
        <v>0.80300000000000005</v>
      </c>
      <c r="AB138" s="191">
        <f t="shared" si="309"/>
        <v>0.80300000000000005</v>
      </c>
      <c r="AC138" s="53">
        <f>1-AC137-AC139</f>
        <v>0.7772</v>
      </c>
      <c r="AD138" s="53">
        <f t="shared" ref="AD138:AG138" si="311">1-AD137-AD139</f>
        <v>0.75719999999999998</v>
      </c>
      <c r="AE138" s="53">
        <f t="shared" si="311"/>
        <v>0.75719999999999998</v>
      </c>
      <c r="AF138" s="53">
        <f t="shared" si="311"/>
        <v>0.75719999999999998</v>
      </c>
      <c r="AG138" s="53">
        <f t="shared" si="311"/>
        <v>0.75719999999999998</v>
      </c>
    </row>
    <row r="139" spans="1:51">
      <c r="A139" t="s">
        <v>16</v>
      </c>
      <c r="C139" s="19" t="s">
        <v>174</v>
      </c>
      <c r="E139" s="52">
        <f>1-SUM(G137:G138)</f>
        <v>6.9199999999999928E-2</v>
      </c>
      <c r="F139" s="5">
        <f t="shared" si="307"/>
        <v>6.9199999999999928E-2</v>
      </c>
      <c r="G139" s="5">
        <f t="shared" si="307"/>
        <v>6.9199999999999928E-2</v>
      </c>
      <c r="H139" s="5">
        <f t="shared" si="307"/>
        <v>6.9199999999999928E-2</v>
      </c>
      <c r="I139" s="5">
        <f t="shared" si="307"/>
        <v>9.5000000000000001E-2</v>
      </c>
      <c r="J139" s="5">
        <f t="shared" si="307"/>
        <v>0.115</v>
      </c>
      <c r="K139" s="5">
        <f>IF($D$4,AD139,T139)</f>
        <v>0.115</v>
      </c>
      <c r="L139" s="5">
        <f>IF($D$4,AD139,T139)</f>
        <v>0.115</v>
      </c>
      <c r="M139" s="5">
        <f>IF($D$4,AG139,W139)</f>
        <v>0.115</v>
      </c>
      <c r="N139" s="32"/>
      <c r="O139" s="191">
        <f>1-SUM(Q137:Q138)</f>
        <v>6.9199999999999928E-2</v>
      </c>
      <c r="P139" s="191">
        <f t="shared" si="308"/>
        <v>6.9199999999999928E-2</v>
      </c>
      <c r="Q139" s="191">
        <f t="shared" si="308"/>
        <v>6.9199999999999928E-2</v>
      </c>
      <c r="R139" s="191">
        <f t="shared" si="308"/>
        <v>6.9199999999999928E-2</v>
      </c>
      <c r="S139" s="53">
        <f>Q139</f>
        <v>6.9199999999999928E-2</v>
      </c>
      <c r="T139" s="53">
        <f>S139</f>
        <v>6.9199999999999928E-2</v>
      </c>
      <c r="U139" s="53">
        <f>S139</f>
        <v>6.9199999999999928E-2</v>
      </c>
      <c r="V139" s="53">
        <f>S139</f>
        <v>6.9199999999999928E-2</v>
      </c>
      <c r="W139" s="53">
        <f>T139</f>
        <v>6.9199999999999928E-2</v>
      </c>
      <c r="Y139" s="191">
        <f t="shared" si="309"/>
        <v>6.9199999999999928E-2</v>
      </c>
      <c r="Z139" s="191">
        <f t="shared" si="309"/>
        <v>6.9199999999999928E-2</v>
      </c>
      <c r="AA139" s="191">
        <f t="shared" si="309"/>
        <v>6.9199999999999928E-2</v>
      </c>
      <c r="AB139" s="191">
        <f t="shared" si="309"/>
        <v>6.9199999999999928E-2</v>
      </c>
      <c r="AC139" s="53">
        <v>9.5000000000000001E-2</v>
      </c>
      <c r="AD139" s="53">
        <v>0.115</v>
      </c>
      <c r="AE139" s="60">
        <f>AD139</f>
        <v>0.115</v>
      </c>
      <c r="AF139" s="60">
        <f>AE139</f>
        <v>0.115</v>
      </c>
      <c r="AG139" s="60">
        <f>AF139</f>
        <v>0.115</v>
      </c>
    </row>
    <row r="140" spans="1:51">
      <c r="A140" t="s">
        <v>16</v>
      </c>
      <c r="C140" s="19"/>
      <c r="E140" s="64"/>
      <c r="G140" s="64"/>
      <c r="I140" s="64"/>
      <c r="J140" s="64"/>
      <c r="K140" s="64"/>
      <c r="L140" s="64"/>
      <c r="M140" s="64"/>
      <c r="N140" s="32"/>
    </row>
    <row r="141" spans="1:51" ht="15.75" thickBot="1">
      <c r="A141" t="s">
        <v>16</v>
      </c>
      <c r="C141" s="2" t="s">
        <v>184</v>
      </c>
      <c r="D141" s="206">
        <f>INDEX($W$5:$W$8,MATCH($D$3,$P$5:$P$8,0))</f>
        <v>0</v>
      </c>
      <c r="E141" s="64"/>
      <c r="G141" s="64"/>
      <c r="I141" s="64"/>
      <c r="J141" s="64"/>
      <c r="K141" s="64"/>
      <c r="L141" s="64"/>
      <c r="M141" s="64"/>
      <c r="N141" s="32"/>
      <c r="Y141" t="s">
        <v>192</v>
      </c>
    </row>
    <row r="142" spans="1:51">
      <c r="A142" t="s">
        <v>16</v>
      </c>
      <c r="C142" t="s">
        <v>53</v>
      </c>
      <c r="D142" t="s">
        <v>85</v>
      </c>
      <c r="E142" s="199">
        <v>25</v>
      </c>
      <c r="F142" s="5">
        <f t="shared" ref="F142:J144" si="312">IF($D$4,Z142,P142)</f>
        <v>25</v>
      </c>
      <c r="G142" s="5">
        <f t="shared" si="312"/>
        <v>25</v>
      </c>
      <c r="H142" s="5">
        <f t="shared" si="312"/>
        <v>25</v>
      </c>
      <c r="I142" s="5">
        <f t="shared" si="312"/>
        <v>25</v>
      </c>
      <c r="J142" s="5">
        <f t="shared" si="312"/>
        <v>25</v>
      </c>
      <c r="K142" s="5">
        <f>IF($D$4,AD142,T142)</f>
        <v>25</v>
      </c>
      <c r="L142" s="5">
        <f>IF($D$4,AD142,T142)</f>
        <v>25</v>
      </c>
      <c r="M142" s="5">
        <f>IF($D$4,AG142,W142)</f>
        <v>25</v>
      </c>
      <c r="N142" s="200"/>
      <c r="O142" s="201">
        <f>E142</f>
        <v>25</v>
      </c>
      <c r="P142" s="201">
        <f>O142</f>
        <v>25</v>
      </c>
      <c r="Q142" s="201">
        <f t="shared" ref="Q142:T142" si="313">P142</f>
        <v>25</v>
      </c>
      <c r="R142" s="201">
        <f t="shared" si="313"/>
        <v>25</v>
      </c>
      <c r="S142" s="47">
        <f t="shared" si="313"/>
        <v>25</v>
      </c>
      <c r="T142" s="47">
        <f t="shared" si="313"/>
        <v>25</v>
      </c>
      <c r="U142" s="47">
        <f>S142</f>
        <v>25</v>
      </c>
      <c r="V142" s="47">
        <f t="shared" ref="V142:W144" si="314">S142</f>
        <v>25</v>
      </c>
      <c r="W142" s="47">
        <f t="shared" si="314"/>
        <v>25</v>
      </c>
      <c r="X142" s="202"/>
      <c r="Y142" s="201">
        <f t="shared" ref="Y142:AB144" si="315">O142</f>
        <v>25</v>
      </c>
      <c r="Z142" s="201">
        <f t="shared" si="315"/>
        <v>25</v>
      </c>
      <c r="AA142" s="201">
        <f t="shared" si="315"/>
        <v>25</v>
      </c>
      <c r="AB142" s="201">
        <f t="shared" si="315"/>
        <v>25</v>
      </c>
      <c r="AC142" s="61">
        <f>AA142*(1+$D$141)</f>
        <v>25</v>
      </c>
      <c r="AD142" s="61">
        <f>AC142*(1+$D$141)</f>
        <v>25</v>
      </c>
      <c r="AE142" s="61">
        <f>AC142*(1+$D$141)</f>
        <v>25</v>
      </c>
      <c r="AF142" s="61">
        <f>AC142*(1+$D$141)</f>
        <v>25</v>
      </c>
      <c r="AG142" s="61">
        <f>AD142*(1+$D$141)</f>
        <v>25</v>
      </c>
      <c r="AH142" s="202"/>
      <c r="AI142" s="202"/>
      <c r="AJ142" s="202"/>
      <c r="AK142" s="202"/>
      <c r="AL142" s="202"/>
      <c r="AM142" s="202"/>
      <c r="AN142" s="202"/>
      <c r="AO142" s="202"/>
      <c r="AP142" s="202"/>
      <c r="AQ142" s="202"/>
      <c r="AR142" s="202"/>
      <c r="AS142" s="202"/>
      <c r="AT142" s="202"/>
      <c r="AU142" s="202"/>
      <c r="AV142" s="202"/>
      <c r="AW142" s="202"/>
      <c r="AX142" s="202"/>
      <c r="AY142" s="202"/>
    </row>
    <row r="143" spans="1:51">
      <c r="A143" t="s">
        <v>16</v>
      </c>
      <c r="C143" t="s">
        <v>172</v>
      </c>
      <c r="D143" t="s">
        <v>85</v>
      </c>
      <c r="E143" s="199">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0"/>
      <c r="O143" s="201">
        <f t="shared" ref="O143:O144" si="316">E143</f>
        <v>14</v>
      </c>
      <c r="P143" s="201">
        <f t="shared" ref="P143" si="317">O143</f>
        <v>14</v>
      </c>
      <c r="Q143" s="201">
        <f t="shared" ref="Q143:T143" si="318">P143</f>
        <v>14</v>
      </c>
      <c r="R143" s="201">
        <f t="shared" si="318"/>
        <v>14</v>
      </c>
      <c r="S143" s="47">
        <f t="shared" si="318"/>
        <v>14</v>
      </c>
      <c r="T143" s="47">
        <f t="shared" si="318"/>
        <v>14</v>
      </c>
      <c r="U143" s="47">
        <f>S143</f>
        <v>14</v>
      </c>
      <c r="V143" s="47">
        <f t="shared" si="314"/>
        <v>14</v>
      </c>
      <c r="W143" s="47">
        <f t="shared" si="314"/>
        <v>14</v>
      </c>
      <c r="X143" s="202"/>
      <c r="Y143" s="201">
        <f t="shared" si="315"/>
        <v>14</v>
      </c>
      <c r="Z143" s="201">
        <f t="shared" si="315"/>
        <v>14</v>
      </c>
      <c r="AA143" s="201">
        <f t="shared" si="315"/>
        <v>14</v>
      </c>
      <c r="AB143" s="201">
        <f t="shared" si="315"/>
        <v>14</v>
      </c>
      <c r="AC143" s="61">
        <f>AA143</f>
        <v>14</v>
      </c>
      <c r="AD143" s="61">
        <f>AC143</f>
        <v>14</v>
      </c>
      <c r="AE143" s="61">
        <f>AC143</f>
        <v>14</v>
      </c>
      <c r="AF143" s="61">
        <f>AC143</f>
        <v>14</v>
      </c>
      <c r="AG143" s="61">
        <f>AD143</f>
        <v>14</v>
      </c>
      <c r="AH143" s="202"/>
      <c r="AI143" s="202"/>
      <c r="AJ143" s="202"/>
      <c r="AK143" s="202"/>
      <c r="AL143" s="202"/>
      <c r="AM143" s="202"/>
      <c r="AN143" s="202"/>
      <c r="AO143" s="202"/>
      <c r="AP143" s="202"/>
      <c r="AQ143" s="202"/>
      <c r="AR143" s="202"/>
      <c r="AS143" s="202"/>
      <c r="AT143" s="202"/>
      <c r="AU143" s="202"/>
      <c r="AV143" s="202"/>
      <c r="AW143" s="202"/>
      <c r="AX143" s="202"/>
      <c r="AY143" s="202"/>
    </row>
    <row r="144" spans="1:51">
      <c r="A144" t="s">
        <v>16</v>
      </c>
      <c r="C144" t="s">
        <v>54</v>
      </c>
      <c r="D144" t="s">
        <v>85</v>
      </c>
      <c r="E144" s="199">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0"/>
      <c r="O144" s="201">
        <f t="shared" si="316"/>
        <v>25</v>
      </c>
      <c r="P144" s="201">
        <f t="shared" ref="P144:T144" si="319">O144</f>
        <v>25</v>
      </c>
      <c r="Q144" s="201">
        <f t="shared" si="319"/>
        <v>25</v>
      </c>
      <c r="R144" s="201">
        <f t="shared" si="319"/>
        <v>25</v>
      </c>
      <c r="S144" s="47">
        <f t="shared" si="319"/>
        <v>25</v>
      </c>
      <c r="T144" s="47">
        <f t="shared" si="319"/>
        <v>25</v>
      </c>
      <c r="U144" s="47">
        <f>S144</f>
        <v>25</v>
      </c>
      <c r="V144" s="47">
        <f t="shared" si="314"/>
        <v>25</v>
      </c>
      <c r="W144" s="47">
        <f t="shared" si="314"/>
        <v>25</v>
      </c>
      <c r="X144" s="202"/>
      <c r="Y144" s="201">
        <f t="shared" si="315"/>
        <v>25</v>
      </c>
      <c r="Z144" s="201">
        <f t="shared" si="315"/>
        <v>25</v>
      </c>
      <c r="AA144" s="201">
        <f t="shared" si="315"/>
        <v>25</v>
      </c>
      <c r="AB144" s="201">
        <f t="shared" si="315"/>
        <v>25</v>
      </c>
      <c r="AC144" s="61">
        <f>AA144*(1+$D$141)</f>
        <v>25</v>
      </c>
      <c r="AD144" s="61">
        <f>AC144*(1+$D$141)</f>
        <v>25</v>
      </c>
      <c r="AE144" s="61">
        <f>AC144*(1+$D$141)</f>
        <v>25</v>
      </c>
      <c r="AF144" s="61">
        <f>AC144*(1+$D$141)</f>
        <v>25</v>
      </c>
      <c r="AG144" s="61">
        <f>AD144*(1+$D$141)</f>
        <v>25</v>
      </c>
      <c r="AH144" s="202"/>
      <c r="AI144" s="202"/>
      <c r="AJ144" s="202"/>
      <c r="AK144" s="202"/>
      <c r="AL144" s="202"/>
      <c r="AM144" s="202"/>
      <c r="AN144" s="202"/>
      <c r="AO144" s="202"/>
      <c r="AP144" s="202"/>
      <c r="AQ144" s="202"/>
      <c r="AR144" s="202"/>
      <c r="AS144" s="202"/>
      <c r="AT144" s="202"/>
      <c r="AU144" s="202"/>
      <c r="AV144" s="202"/>
      <c r="AW144" s="202"/>
      <c r="AX144" s="202"/>
      <c r="AY144" s="202"/>
    </row>
    <row r="145" spans="1:51">
      <c r="A145" t="s">
        <v>16</v>
      </c>
      <c r="C145" s="19"/>
      <c r="E145" s="64"/>
      <c r="G145" s="64"/>
      <c r="I145" s="64"/>
      <c r="J145" s="64"/>
      <c r="K145" s="64"/>
      <c r="L145" s="64"/>
      <c r="M145" s="64"/>
      <c r="N145" s="32"/>
    </row>
    <row r="146" spans="1:51">
      <c r="A146" t="s">
        <v>16</v>
      </c>
      <c r="J146"/>
      <c r="N146" s="32"/>
    </row>
    <row r="147" spans="1:51">
      <c r="A147" t="s">
        <v>16</v>
      </c>
      <c r="E147" s="22"/>
      <c r="G147" s="22"/>
      <c r="I147" s="22"/>
      <c r="J147" s="22"/>
      <c r="K147" s="22"/>
      <c r="L147" s="22"/>
      <c r="M147" s="22"/>
      <c r="N147" s="200"/>
      <c r="O147" s="202" t="str">
        <f>O11</f>
        <v>Reference</v>
      </c>
      <c r="Q147" s="202"/>
      <c r="S147" s="202"/>
      <c r="T147" s="202"/>
      <c r="U147" s="202"/>
      <c r="V147" s="202"/>
      <c r="W147" s="202"/>
      <c r="X147" s="202"/>
      <c r="Y147" s="202" t="str">
        <f>Y11</f>
        <v>Scenario</v>
      </c>
      <c r="AA147" s="202"/>
      <c r="AB147" s="202"/>
      <c r="AD147" s="202"/>
      <c r="AE147" s="202"/>
      <c r="AF147" s="202"/>
      <c r="AG147" s="202"/>
      <c r="AH147" s="202"/>
      <c r="AR147" s="202"/>
      <c r="AS147" s="202"/>
      <c r="AT147" s="202"/>
      <c r="AU147" s="202"/>
      <c r="AV147" s="202"/>
      <c r="AW147" s="202"/>
      <c r="AX147" s="202"/>
      <c r="AY147" s="202"/>
    </row>
    <row r="148" spans="1:51" ht="15.75" thickBot="1">
      <c r="A148" t="s">
        <v>16</v>
      </c>
      <c r="C148" s="2" t="s">
        <v>130</v>
      </c>
      <c r="D148" s="2"/>
      <c r="E148" s="6">
        <f t="shared" ref="E148:M148" si="320">E4</f>
        <v>2017</v>
      </c>
      <c r="F148" s="6">
        <f t="shared" si="320"/>
        <v>2019</v>
      </c>
      <c r="G148" s="6">
        <f t="shared" si="320"/>
        <v>2020</v>
      </c>
      <c r="H148" s="6">
        <f t="shared" si="320"/>
        <v>2021</v>
      </c>
      <c r="I148" s="6">
        <f t="shared" si="320"/>
        <v>2030</v>
      </c>
      <c r="J148" s="6">
        <f t="shared" si="320"/>
        <v>2040</v>
      </c>
      <c r="K148" s="6">
        <f t="shared" ref="K148:L148" si="321">K4</f>
        <v>2050</v>
      </c>
      <c r="L148" s="6">
        <f t="shared" si="321"/>
        <v>2060</v>
      </c>
      <c r="M148" s="6">
        <f t="shared" si="320"/>
        <v>2070</v>
      </c>
      <c r="N148" s="200"/>
      <c r="O148" s="235">
        <f t="shared" ref="O148:W148" si="322">O$12</f>
        <v>2017</v>
      </c>
      <c r="P148" s="235">
        <f t="shared" si="322"/>
        <v>2019</v>
      </c>
      <c r="Q148" s="235">
        <f t="shared" si="322"/>
        <v>2020</v>
      </c>
      <c r="R148" s="235">
        <f t="shared" si="322"/>
        <v>2021</v>
      </c>
      <c r="S148" s="235">
        <f t="shared" si="322"/>
        <v>2030</v>
      </c>
      <c r="T148" s="235">
        <f t="shared" si="322"/>
        <v>2040</v>
      </c>
      <c r="U148" s="235">
        <f t="shared" si="322"/>
        <v>2050</v>
      </c>
      <c r="V148" s="235">
        <f t="shared" si="322"/>
        <v>2060</v>
      </c>
      <c r="W148" s="235">
        <f t="shared" si="322"/>
        <v>2070</v>
      </c>
      <c r="X148" s="202"/>
      <c r="Y148" s="235">
        <f t="shared" ref="Y148:AG148" si="323">Y$12</f>
        <v>2017</v>
      </c>
      <c r="Z148" s="235">
        <f t="shared" si="323"/>
        <v>2019</v>
      </c>
      <c r="AA148" s="235">
        <f t="shared" si="323"/>
        <v>2020</v>
      </c>
      <c r="AB148" s="235">
        <f t="shared" si="323"/>
        <v>2021</v>
      </c>
      <c r="AC148" s="235">
        <f t="shared" si="323"/>
        <v>2030</v>
      </c>
      <c r="AD148" s="235">
        <f t="shared" si="323"/>
        <v>2040</v>
      </c>
      <c r="AE148" s="235">
        <f t="shared" si="323"/>
        <v>2050</v>
      </c>
      <c r="AF148" s="235">
        <f t="shared" si="323"/>
        <v>2060</v>
      </c>
      <c r="AG148" s="235">
        <f t="shared" si="323"/>
        <v>2070</v>
      </c>
      <c r="AH148" s="202"/>
      <c r="AR148" s="202"/>
      <c r="AS148" s="202"/>
      <c r="AT148" s="202"/>
      <c r="AU148" s="202"/>
      <c r="AV148" s="202"/>
      <c r="AW148" s="202"/>
      <c r="AX148" s="202"/>
      <c r="AY148" s="202"/>
    </row>
    <row r="149" spans="1:51">
      <c r="A149" t="s">
        <v>16</v>
      </c>
      <c r="B149" t="s">
        <v>116</v>
      </c>
      <c r="C149" t="s">
        <v>90</v>
      </c>
      <c r="D149" t="s">
        <v>75</v>
      </c>
      <c r="E149" s="256">
        <f>SUMIF('BY-DMD'!$H$5:$H$138,B149,'BY-DMD'!$I$5:$I$138)</f>
        <v>81.1386031348502</v>
      </c>
      <c r="F149" s="39">
        <f t="shared" ref="F149:J156" si="324">IF($D$4,Z149,P149)</f>
        <v>84.616485002842012</v>
      </c>
      <c r="G149" s="39">
        <f t="shared" si="324"/>
        <v>78.308349507973659</v>
      </c>
      <c r="H149" s="39">
        <f t="shared" si="324"/>
        <v>81.968538378024164</v>
      </c>
      <c r="I149" s="39">
        <f t="shared" si="324"/>
        <v>101.04305059267226</v>
      </c>
      <c r="J149" s="39">
        <f t="shared" si="324"/>
        <v>128.51718841923173</v>
      </c>
      <c r="K149" s="39">
        <f t="shared" ref="K149:K156" si="325">IF($D$4,AE149,U149)</f>
        <v>172.02165887005438</v>
      </c>
      <c r="L149" s="39">
        <f t="shared" ref="L149:L156" si="326">IF($D$4,AF149,V149)</f>
        <v>186.68969191056848</v>
      </c>
      <c r="M149" s="39">
        <f t="shared" ref="M149:M156" si="327">IF($D$4,AG149,W149)</f>
        <v>175.55218967661071</v>
      </c>
      <c r="N149" s="203" t="str">
        <f t="shared" ref="N149:N156" si="328">C149</f>
        <v>Car Priv.Veh. Vehicle km</v>
      </c>
      <c r="O149" s="192">
        <f t="shared" ref="O149:R149" si="329">O132*O$111</f>
        <v>80.737936364882756</v>
      </c>
      <c r="P149" s="192">
        <f>P132*P$111</f>
        <v>84.616485002842012</v>
      </c>
      <c r="Q149" s="192">
        <f t="shared" si="329"/>
        <v>78.308349507973659</v>
      </c>
      <c r="R149" s="192">
        <f t="shared" si="329"/>
        <v>81.968538378024164</v>
      </c>
      <c r="S149" s="242">
        <f t="shared" ref="S149:W151" si="330">S132*S$111</f>
        <v>116.71129601780984</v>
      </c>
      <c r="T149" s="242">
        <f t="shared" si="330"/>
        <v>164.5199257701496</v>
      </c>
      <c r="U149" s="242">
        <f t="shared" ref="U149:V149" si="331">U132*U$111</f>
        <v>222.0853241486235</v>
      </c>
      <c r="V149" s="242">
        <f t="shared" si="331"/>
        <v>241.04664387503129</v>
      </c>
      <c r="W149" s="242">
        <f t="shared" si="330"/>
        <v>248.85754341113523</v>
      </c>
      <c r="X149" s="192"/>
      <c r="Y149" s="192">
        <f t="shared" ref="Y149:AB156" si="332">O149</f>
        <v>80.737936364882756</v>
      </c>
      <c r="Z149" s="192">
        <f t="shared" si="332"/>
        <v>84.616485002842012</v>
      </c>
      <c r="AA149" s="192">
        <f t="shared" si="332"/>
        <v>78.308349507973659</v>
      </c>
      <c r="AB149" s="192">
        <f t="shared" si="332"/>
        <v>81.968538378024164</v>
      </c>
      <c r="AC149" s="242">
        <f t="shared" ref="AC149:AG149" si="333">AC132*AC$111</f>
        <v>101.04305059267226</v>
      </c>
      <c r="AD149" s="242">
        <f t="shared" si="333"/>
        <v>128.51718841923173</v>
      </c>
      <c r="AE149" s="242">
        <f t="shared" si="333"/>
        <v>172.02165887005438</v>
      </c>
      <c r="AF149" s="242">
        <f t="shared" si="333"/>
        <v>186.68969191056848</v>
      </c>
      <c r="AG149" s="242">
        <f t="shared" si="333"/>
        <v>175.55218967661071</v>
      </c>
      <c r="AH149" s="192"/>
      <c r="AI149" s="192"/>
      <c r="AJ149" s="192"/>
      <c r="AR149" s="192"/>
      <c r="AS149" s="192"/>
      <c r="AT149" s="192"/>
      <c r="AU149" s="192"/>
      <c r="AV149" s="192"/>
      <c r="AW149" s="192"/>
      <c r="AX149" s="192"/>
      <c r="AY149" s="192"/>
    </row>
    <row r="150" spans="1:51">
      <c r="A150" t="s">
        <v>16</v>
      </c>
      <c r="B150" t="s">
        <v>115</v>
      </c>
      <c r="C150" t="s">
        <v>89</v>
      </c>
      <c r="D150" t="s">
        <v>75</v>
      </c>
      <c r="E150" s="256">
        <f>SUMIF('BY-DMD'!$H$5:$H$138,B150,'BY-DMD'!$I$5:$I$138)</f>
        <v>17.754191802068</v>
      </c>
      <c r="F150" s="39">
        <f t="shared" si="324"/>
        <v>17.98100306310393</v>
      </c>
      <c r="G150" s="39">
        <f t="shared" si="324"/>
        <v>16.640524270444406</v>
      </c>
      <c r="H150" s="39">
        <f t="shared" si="324"/>
        <v>17.41831440533014</v>
      </c>
      <c r="I150" s="39">
        <f t="shared" si="324"/>
        <v>21.471648250942859</v>
      </c>
      <c r="J150" s="39">
        <f t="shared" si="324"/>
        <v>27.309902539086746</v>
      </c>
      <c r="K150" s="39">
        <f t="shared" si="325"/>
        <v>36.554602509886564</v>
      </c>
      <c r="L150" s="39">
        <f t="shared" si="326"/>
        <v>39.671559530995808</v>
      </c>
      <c r="M150" s="39">
        <f t="shared" si="327"/>
        <v>37.304840306279786</v>
      </c>
      <c r="N150" s="203" t="str">
        <f t="shared" si="328"/>
        <v>SUV Priv.Veh. Vehicle km</v>
      </c>
      <c r="O150" s="192">
        <f t="shared" ref="O150:R150" si="334">O133*O$111</f>
        <v>17.156811477537588</v>
      </c>
      <c r="P150" s="192">
        <f t="shared" si="334"/>
        <v>17.98100306310393</v>
      </c>
      <c r="Q150" s="192">
        <f t="shared" si="334"/>
        <v>16.640524270444406</v>
      </c>
      <c r="R150" s="192">
        <f t="shared" si="334"/>
        <v>17.41831440533014</v>
      </c>
      <c r="S150" s="242">
        <f t="shared" si="330"/>
        <v>24.801150403784597</v>
      </c>
      <c r="T150" s="242">
        <f t="shared" si="330"/>
        <v>34.960484226156794</v>
      </c>
      <c r="U150" s="242">
        <f t="shared" ref="U150:V150" si="335">U133*U$111</f>
        <v>47.193131381582504</v>
      </c>
      <c r="V150" s="242">
        <f t="shared" si="335"/>
        <v>51.222411823444155</v>
      </c>
      <c r="W150" s="242">
        <f t="shared" si="330"/>
        <v>52.882227974866247</v>
      </c>
      <c r="X150" s="192"/>
      <c r="Y150" s="192">
        <f t="shared" si="332"/>
        <v>17.156811477537588</v>
      </c>
      <c r="Z150" s="192">
        <f t="shared" si="332"/>
        <v>17.98100306310393</v>
      </c>
      <c r="AA150" s="192">
        <f t="shared" si="332"/>
        <v>16.640524270444406</v>
      </c>
      <c r="AB150" s="192">
        <f t="shared" si="332"/>
        <v>17.41831440533014</v>
      </c>
      <c r="AC150" s="242">
        <f t="shared" ref="AC150:AG150" si="336">AC133*AC$111</f>
        <v>21.471648250942859</v>
      </c>
      <c r="AD150" s="242">
        <f t="shared" si="336"/>
        <v>27.309902539086746</v>
      </c>
      <c r="AE150" s="242">
        <f t="shared" si="336"/>
        <v>36.554602509886564</v>
      </c>
      <c r="AF150" s="242">
        <f t="shared" si="336"/>
        <v>39.671559530995808</v>
      </c>
      <c r="AG150" s="242">
        <f t="shared" si="336"/>
        <v>37.304840306279786</v>
      </c>
      <c r="AH150" s="46"/>
      <c r="AR150" s="192"/>
      <c r="AS150" s="192"/>
      <c r="AT150" s="192"/>
      <c r="AU150" s="192"/>
      <c r="AV150" s="192"/>
      <c r="AW150" s="192"/>
      <c r="AX150" s="192"/>
      <c r="AY150" s="192"/>
    </row>
    <row r="151" spans="1:51">
      <c r="A151" t="s">
        <v>16</v>
      </c>
      <c r="B151" t="s">
        <v>171</v>
      </c>
      <c r="C151" t="s">
        <v>175</v>
      </c>
      <c r="D151" t="s">
        <v>75</v>
      </c>
      <c r="E151" s="256">
        <f>SUMIF('BY-DMD'!$H$5:$H$138,B151,'BY-DMD'!$I$5:$I$138)</f>
        <v>5.9227912022632498</v>
      </c>
      <c r="F151" s="39">
        <f t="shared" si="324"/>
        <v>3.1731181876065753</v>
      </c>
      <c r="G151" s="39">
        <f t="shared" si="324"/>
        <v>2.9365631065490123</v>
      </c>
      <c r="H151" s="39">
        <f t="shared" si="324"/>
        <v>3.0738201891759065</v>
      </c>
      <c r="I151" s="39">
        <f t="shared" si="324"/>
        <v>3.7891143972252102</v>
      </c>
      <c r="J151" s="39">
        <f t="shared" si="324"/>
        <v>4.8193945657211898</v>
      </c>
      <c r="K151" s="39">
        <f t="shared" si="325"/>
        <v>6.45081220762704</v>
      </c>
      <c r="L151" s="39">
        <f t="shared" si="326"/>
        <v>7.000863446646318</v>
      </c>
      <c r="M151" s="39">
        <f t="shared" si="327"/>
        <v>6.5832071128729028</v>
      </c>
      <c r="N151" s="203" t="str">
        <f t="shared" si="328"/>
        <v>Motorbikes Priv.Veh. Vehicle km</v>
      </c>
      <c r="O151" s="192">
        <f t="shared" ref="O151:R151" si="337">O134*O$111</f>
        <v>3.0276726136831034</v>
      </c>
      <c r="P151" s="192">
        <f t="shared" si="337"/>
        <v>3.1731181876065753</v>
      </c>
      <c r="Q151" s="192">
        <f t="shared" si="337"/>
        <v>2.9365631065490123</v>
      </c>
      <c r="R151" s="192">
        <f t="shared" si="337"/>
        <v>3.0738201891759065</v>
      </c>
      <c r="S151" s="242">
        <f t="shared" si="330"/>
        <v>4.3766736006678695</v>
      </c>
      <c r="T151" s="242">
        <f t="shared" si="330"/>
        <v>6.169497216380611</v>
      </c>
      <c r="U151" s="242">
        <f t="shared" ref="U151:V151" si="338">U134*U$111</f>
        <v>8.3281996555733819</v>
      </c>
      <c r="V151" s="242">
        <f t="shared" si="338"/>
        <v>9.0392491453136738</v>
      </c>
      <c r="W151" s="242">
        <f t="shared" si="330"/>
        <v>9.332157877917572</v>
      </c>
      <c r="X151" s="192"/>
      <c r="Y151" s="192">
        <f t="shared" si="332"/>
        <v>3.0276726136831034</v>
      </c>
      <c r="Z151" s="192">
        <f t="shared" si="332"/>
        <v>3.1731181876065753</v>
      </c>
      <c r="AA151" s="192">
        <f t="shared" si="332"/>
        <v>2.9365631065490123</v>
      </c>
      <c r="AB151" s="192">
        <f t="shared" si="332"/>
        <v>3.0738201891759065</v>
      </c>
      <c r="AC151" s="242">
        <f t="shared" ref="AC151:AG151" si="339">AC134*AC$111</f>
        <v>3.7891143972252102</v>
      </c>
      <c r="AD151" s="242">
        <f t="shared" si="339"/>
        <v>4.8193945657211898</v>
      </c>
      <c r="AE151" s="242">
        <f t="shared" si="339"/>
        <v>6.45081220762704</v>
      </c>
      <c r="AF151" s="242">
        <f t="shared" si="339"/>
        <v>7.000863446646318</v>
      </c>
      <c r="AG151" s="242">
        <f t="shared" si="339"/>
        <v>6.5832071128729028</v>
      </c>
      <c r="AH151" s="192"/>
      <c r="AI151" s="192"/>
      <c r="AJ151" s="192"/>
      <c r="AL151" s="202"/>
      <c r="AM151" s="192"/>
      <c r="AN151" s="192"/>
      <c r="AO151" s="192"/>
      <c r="AP151" s="192"/>
      <c r="AQ151" s="192"/>
      <c r="AR151" s="192"/>
      <c r="AS151" s="192"/>
      <c r="AT151" s="192"/>
      <c r="AU151" s="192"/>
      <c r="AV151" s="192"/>
      <c r="AW151" s="192"/>
      <c r="AX151" s="192"/>
      <c r="AY151" s="192"/>
    </row>
    <row r="152" spans="1:51">
      <c r="A152" t="s">
        <v>16</v>
      </c>
      <c r="B152" t="s">
        <v>117</v>
      </c>
      <c r="C152" t="s">
        <v>76</v>
      </c>
      <c r="D152" t="s">
        <v>75</v>
      </c>
      <c r="E152" s="256">
        <f>SUMIF('BY-DMD'!$H$5:$H$138,B152,'BY-DMD'!$I$5:$I$138)</f>
        <v>0.64296697178877804</v>
      </c>
      <c r="F152" s="39">
        <f t="shared" si="324"/>
        <v>0.65561461783585018</v>
      </c>
      <c r="G152" s="39">
        <f t="shared" si="324"/>
        <v>0.6666265611015576</v>
      </c>
      <c r="H152" s="39">
        <f t="shared" si="324"/>
        <v>0.67620071242540647</v>
      </c>
      <c r="I152" s="39">
        <f t="shared" si="324"/>
        <v>0.70635027881461387</v>
      </c>
      <c r="J152" s="39">
        <f t="shared" si="324"/>
        <v>0.71510047568098489</v>
      </c>
      <c r="K152" s="39">
        <f t="shared" si="325"/>
        <v>0.66801859801056995</v>
      </c>
      <c r="L152" s="39">
        <f t="shared" si="326"/>
        <v>0.66153964240051011</v>
      </c>
      <c r="M152" s="39">
        <f t="shared" si="327"/>
        <v>0.69553202688274296</v>
      </c>
      <c r="N152" s="203" t="str">
        <f t="shared" si="328"/>
        <v>Bus vehicle km</v>
      </c>
      <c r="O152" s="192">
        <f t="shared" ref="O152:R152" si="340">O137*O$129/O142</f>
        <v>0.6407849258947157</v>
      </c>
      <c r="P152" s="192">
        <f t="shared" si="340"/>
        <v>0.65561461783585018</v>
      </c>
      <c r="Q152" s="192">
        <f t="shared" si="340"/>
        <v>0.6666265611015576</v>
      </c>
      <c r="R152" s="192">
        <f t="shared" si="340"/>
        <v>0.67620071242540647</v>
      </c>
      <c r="S152" s="242">
        <f t="shared" ref="S152:W153" si="341">S137*S$129/S142</f>
        <v>0.67390348186529703</v>
      </c>
      <c r="T152" s="242">
        <f t="shared" si="341"/>
        <v>0.64135939000008302</v>
      </c>
      <c r="U152" s="242">
        <f t="shared" ref="U152:V152" si="342">U137*U$129/U142</f>
        <v>0.57047849738166667</v>
      </c>
      <c r="V152" s="242">
        <f t="shared" si="342"/>
        <v>0.55742952669467971</v>
      </c>
      <c r="W152" s="242">
        <f t="shared" si="341"/>
        <v>0.54835869552745942</v>
      </c>
      <c r="X152" s="192"/>
      <c r="Y152" s="192">
        <f t="shared" si="332"/>
        <v>0.6407849258947157</v>
      </c>
      <c r="Z152" s="192">
        <f t="shared" si="332"/>
        <v>0.65561461783585018</v>
      </c>
      <c r="AA152" s="192">
        <f t="shared" si="332"/>
        <v>0.6666265611015576</v>
      </c>
      <c r="AB152" s="192">
        <f t="shared" si="332"/>
        <v>0.67620071242540647</v>
      </c>
      <c r="AC152" s="242">
        <f t="shared" ref="AC152:AG152" si="343">AC137*AC$129/AC142</f>
        <v>0.70635027881461387</v>
      </c>
      <c r="AD152" s="242">
        <f t="shared" si="343"/>
        <v>0.71510047568098489</v>
      </c>
      <c r="AE152" s="242">
        <f t="shared" si="343"/>
        <v>0.66801859801056995</v>
      </c>
      <c r="AF152" s="242">
        <f t="shared" si="343"/>
        <v>0.66153964240051011</v>
      </c>
      <c r="AG152" s="242">
        <f t="shared" si="343"/>
        <v>0.69553202688274296</v>
      </c>
      <c r="AH152" s="192"/>
      <c r="AI152" s="192"/>
      <c r="AJ152" s="192"/>
      <c r="AL152" s="202"/>
      <c r="AM152" s="192"/>
      <c r="AN152" s="192"/>
      <c r="AO152" s="192"/>
      <c r="AP152" s="192"/>
      <c r="AQ152" s="192"/>
      <c r="AR152" s="192"/>
      <c r="AS152" s="192"/>
      <c r="AT152" s="192"/>
      <c r="AU152" s="192"/>
      <c r="AV152" s="192"/>
      <c r="AW152" s="192"/>
      <c r="AX152" s="192"/>
      <c r="AY152" s="192"/>
    </row>
    <row r="153" spans="1:51">
      <c r="A153" t="s">
        <v>16</v>
      </c>
      <c r="B153" t="s">
        <v>118</v>
      </c>
      <c r="C153" t="s">
        <v>77</v>
      </c>
      <c r="D153" t="s">
        <v>75</v>
      </c>
      <c r="E153" s="256">
        <f>SUMIF('BY-DMD'!$H$5:$H$138,B153,'BY-DMD'!$I$5:$I$138)</f>
        <v>7.2130505455454896</v>
      </c>
      <c r="F153" s="256">
        <f t="shared" si="324"/>
        <v>7.3560605036075861</v>
      </c>
      <c r="G153" s="39">
        <f t="shared" si="324"/>
        <v>7.4796155902715018</v>
      </c>
      <c r="H153" s="39">
        <f t="shared" si="324"/>
        <v>7.5870385099150655</v>
      </c>
      <c r="I153" s="39">
        <f t="shared" si="324"/>
        <v>7.6706829406259498</v>
      </c>
      <c r="J153" s="39">
        <f t="shared" si="324"/>
        <v>7.565868547194861</v>
      </c>
      <c r="K153" s="39">
        <f t="shared" si="325"/>
        <v>7.0677353344176668</v>
      </c>
      <c r="L153" s="39">
        <f t="shared" si="326"/>
        <v>6.9991870280805148</v>
      </c>
      <c r="M153" s="39">
        <f t="shared" si="327"/>
        <v>7.3588314715461243</v>
      </c>
      <c r="N153" s="203" t="str">
        <f t="shared" si="328"/>
        <v>Minibus vehicle km</v>
      </c>
      <c r="O153" s="192">
        <f t="shared" ref="O153:R153" si="344">O138*O$129/O143</f>
        <v>7.1896699012611327</v>
      </c>
      <c r="P153" s="192">
        <f t="shared" si="344"/>
        <v>7.3560605036075861</v>
      </c>
      <c r="Q153" s="192">
        <f t="shared" si="344"/>
        <v>7.4796155902715018</v>
      </c>
      <c r="R153" s="192">
        <f t="shared" si="344"/>
        <v>7.5870385099150655</v>
      </c>
      <c r="S153" s="242">
        <f t="shared" si="341"/>
        <v>7.5612633570566938</v>
      </c>
      <c r="T153" s="242">
        <f t="shared" si="341"/>
        <v>7.1961154450322296</v>
      </c>
      <c r="U153" s="242">
        <f t="shared" ref="U153:V153" si="345">U138*U$129/U143</f>
        <v>6.4008248574429683</v>
      </c>
      <c r="V153" s="242">
        <f t="shared" si="345"/>
        <v>6.2544141227340111</v>
      </c>
      <c r="W153" s="242">
        <f t="shared" si="341"/>
        <v>6.1526385047584089</v>
      </c>
      <c r="X153" s="192"/>
      <c r="Y153" s="192">
        <f t="shared" si="332"/>
        <v>7.1896699012611327</v>
      </c>
      <c r="Z153" s="192">
        <f t="shared" si="332"/>
        <v>7.3560605036075861</v>
      </c>
      <c r="AA153" s="192">
        <f t="shared" si="332"/>
        <v>7.4796155902715018</v>
      </c>
      <c r="AB153" s="192">
        <f t="shared" si="332"/>
        <v>7.5870385099150655</v>
      </c>
      <c r="AC153" s="242">
        <f t="shared" ref="AC153:AG153" si="346">AC138*AC$129/AC143</f>
        <v>7.6706829406259498</v>
      </c>
      <c r="AD153" s="242">
        <f t="shared" si="346"/>
        <v>7.565868547194861</v>
      </c>
      <c r="AE153" s="242">
        <f t="shared" si="346"/>
        <v>7.0677353344176668</v>
      </c>
      <c r="AF153" s="242">
        <f t="shared" si="346"/>
        <v>6.9991870280805148</v>
      </c>
      <c r="AG153" s="242">
        <f t="shared" si="346"/>
        <v>7.3588314715461243</v>
      </c>
      <c r="AH153" s="192"/>
      <c r="AI153" s="192"/>
      <c r="AJ153" s="192"/>
      <c r="AL153" s="192"/>
      <c r="AM153" s="192"/>
      <c r="AN153" s="192"/>
      <c r="AO153" s="192"/>
      <c r="AP153" s="192"/>
      <c r="AQ153" s="192"/>
      <c r="AR153" s="192"/>
      <c r="AS153" s="192"/>
      <c r="AT153" s="192"/>
      <c r="AU153" s="192"/>
      <c r="AV153" s="192"/>
      <c r="AW153" s="192"/>
      <c r="AX153" s="192"/>
      <c r="AY153" s="192"/>
    </row>
    <row r="154" spans="1:51">
      <c r="A154" t="s">
        <v>16</v>
      </c>
      <c r="B154" t="s">
        <v>119</v>
      </c>
      <c r="C154" t="s">
        <v>78</v>
      </c>
      <c r="D154" t="s">
        <v>75</v>
      </c>
      <c r="E154" s="256">
        <f>SUMIF('BY-DMD'!$H$5:$H$138,B154,'BY-DMD'!$I$5:$I$138)</f>
        <v>7.2799982901224303E-2</v>
      </c>
      <c r="F154" s="39">
        <f t="shared" si="324"/>
        <v>0.1113095478662298</v>
      </c>
      <c r="G154" s="39">
        <f t="shared" si="324"/>
        <v>0.11091277099762989</v>
      </c>
      <c r="H154" s="39">
        <f t="shared" si="324"/>
        <v>0.11321787750148378</v>
      </c>
      <c r="I154" s="39">
        <f t="shared" si="324"/>
        <v>0.10848473548945574</v>
      </c>
      <c r="J154" s="39">
        <f t="shared" si="324"/>
        <v>0.11710388262711133</v>
      </c>
      <c r="K154" s="39">
        <f t="shared" si="325"/>
        <v>0.12359958948541468</v>
      </c>
      <c r="L154" s="39">
        <f t="shared" si="326"/>
        <v>0.12724652598918682</v>
      </c>
      <c r="M154" s="39">
        <f t="shared" si="327"/>
        <v>0.12871195614866676</v>
      </c>
      <c r="N154" s="203" t="str">
        <f t="shared" si="328"/>
        <v>BRT vehicle km</v>
      </c>
      <c r="O154" s="285">
        <f t="shared" ref="O154:R154" si="347">O$127/O144</f>
        <v>7.2799982901224289E-2</v>
      </c>
      <c r="P154" s="192">
        <f t="shared" si="347"/>
        <v>0.1113095478662298</v>
      </c>
      <c r="Q154" s="192">
        <f t="shared" si="347"/>
        <v>0.11091277099762989</v>
      </c>
      <c r="R154" s="192">
        <f t="shared" si="347"/>
        <v>0.11321787750148378</v>
      </c>
      <c r="S154" s="242">
        <f>S$127/S144</f>
        <v>0.12340856153562427</v>
      </c>
      <c r="T154" s="242">
        <f>T$127/T144</f>
        <v>0.13321341145412138</v>
      </c>
      <c r="U154" s="242">
        <f>U$127/U144</f>
        <v>0.14060270761568339</v>
      </c>
      <c r="V154" s="242">
        <f>V$127/V144</f>
        <v>0.14475133908822843</v>
      </c>
      <c r="W154" s="242">
        <f>W$127/W144</f>
        <v>0.14641836281462095</v>
      </c>
      <c r="X154" s="192"/>
      <c r="Y154" s="192">
        <f t="shared" si="332"/>
        <v>7.2799982901224289E-2</v>
      </c>
      <c r="Z154" s="192">
        <f t="shared" si="332"/>
        <v>0.1113095478662298</v>
      </c>
      <c r="AA154" s="192">
        <f t="shared" si="332"/>
        <v>0.11091277099762989</v>
      </c>
      <c r="AB154" s="192">
        <f t="shared" si="332"/>
        <v>0.11321787750148378</v>
      </c>
      <c r="AC154" s="242">
        <f>AC$127/AC144</f>
        <v>0.10848473548945574</v>
      </c>
      <c r="AD154" s="242">
        <f>AD$127/AD144</f>
        <v>0.11710388262711133</v>
      </c>
      <c r="AE154" s="242">
        <f>AE$127/AE144</f>
        <v>0.12359958948541468</v>
      </c>
      <c r="AF154" s="242">
        <f>AF$127/AF144</f>
        <v>0.12724652598918682</v>
      </c>
      <c r="AG154" s="242">
        <f>AG$127/AG144</f>
        <v>0.12871195614866676</v>
      </c>
      <c r="AH154" s="192"/>
      <c r="AI154" s="192"/>
      <c r="AJ154" s="192"/>
      <c r="AL154" s="192"/>
      <c r="AM154" s="192"/>
      <c r="AN154" s="192"/>
      <c r="AO154" s="192"/>
      <c r="AP154" s="192"/>
      <c r="AQ154" s="192"/>
      <c r="AR154" s="192"/>
      <c r="AS154" s="192"/>
      <c r="AT154" s="192"/>
      <c r="AU154" s="192"/>
      <c r="AV154" s="192"/>
      <c r="AW154" s="192"/>
      <c r="AX154" s="192"/>
      <c r="AY154" s="192"/>
    </row>
    <row r="155" spans="1:51">
      <c r="A155" t="s">
        <v>16</v>
      </c>
      <c r="B155" t="s">
        <v>120</v>
      </c>
      <c r="C155" t="s">
        <v>79</v>
      </c>
      <c r="D155" t="str">
        <f>D154</f>
        <v>billion</v>
      </c>
      <c r="E155" s="256">
        <f>SUMIF('BY-DMD'!$H$5:$H$138,B155,'BY-DMD'!$I$5:$I$138)</f>
        <v>8.7048317578401608</v>
      </c>
      <c r="F155" s="39">
        <f t="shared" si="324"/>
        <v>8.8749083635056305</v>
      </c>
      <c r="G155" s="39">
        <f t="shared" si="324"/>
        <v>9.0239745751619225</v>
      </c>
      <c r="H155" s="39">
        <f t="shared" si="324"/>
        <v>9.1535777190606566</v>
      </c>
      <c r="I155" s="39">
        <f t="shared" si="324"/>
        <v>13.126619031179249</v>
      </c>
      <c r="J155" s="39">
        <f t="shared" si="324"/>
        <v>16.086962970131705</v>
      </c>
      <c r="K155" s="39">
        <f t="shared" si="325"/>
        <v>15.027804923946704</v>
      </c>
      <c r="L155" s="39">
        <f t="shared" si="326"/>
        <v>14.882053770747001</v>
      </c>
      <c r="M155" s="39">
        <f t="shared" si="327"/>
        <v>15.646749431047624</v>
      </c>
      <c r="N155" s="203" t="str">
        <f t="shared" si="328"/>
        <v>Metro Rail pkm</v>
      </c>
      <c r="O155" s="192">
        <f t="shared" ref="O155:R155" si="348">O139*O$129</f>
        <v>8.6741621423932465</v>
      </c>
      <c r="P155" s="192">
        <f t="shared" si="348"/>
        <v>8.8749083635056305</v>
      </c>
      <c r="Q155" s="192">
        <f t="shared" si="348"/>
        <v>9.0239745751619225</v>
      </c>
      <c r="R155" s="192">
        <f t="shared" si="348"/>
        <v>9.1535777190606566</v>
      </c>
      <c r="S155" s="242">
        <f>S139*S$129</f>
        <v>9.1224806230591735</v>
      </c>
      <c r="T155" s="242">
        <f>T139*T$129</f>
        <v>8.6819385344299089</v>
      </c>
      <c r="U155" s="242">
        <f>U139*U$129</f>
        <v>7.7224397532885929</v>
      </c>
      <c r="V155" s="242">
        <f>V139*V$129</f>
        <v>7.5457987572910374</v>
      </c>
      <c r="W155" s="242">
        <f>W139*W$129</f>
        <v>7.4230089457159902</v>
      </c>
      <c r="X155" s="192"/>
      <c r="Y155" s="192">
        <f t="shared" si="332"/>
        <v>8.6741621423932465</v>
      </c>
      <c r="Z155" s="192">
        <f t="shared" si="332"/>
        <v>8.8749083635056305</v>
      </c>
      <c r="AA155" s="192">
        <f t="shared" si="332"/>
        <v>9.0239745751619225</v>
      </c>
      <c r="AB155" s="192">
        <f t="shared" si="332"/>
        <v>9.1535777190606566</v>
      </c>
      <c r="AC155" s="242">
        <f>AC139*AC$129</f>
        <v>13.126619031179249</v>
      </c>
      <c r="AD155" s="242">
        <f>AD139*AD$129</f>
        <v>16.086962970131705</v>
      </c>
      <c r="AE155" s="242">
        <f>AE139*AE$129</f>
        <v>15.027804923946704</v>
      </c>
      <c r="AF155" s="242">
        <f>AF139*AF$129</f>
        <v>14.882053770747001</v>
      </c>
      <c r="AG155" s="242">
        <f>AG139*AG$129</f>
        <v>15.646749431047624</v>
      </c>
      <c r="AH155" s="192"/>
      <c r="AI155" s="192"/>
      <c r="AJ155" s="192"/>
      <c r="AL155" s="192"/>
      <c r="AM155" s="192"/>
      <c r="AN155" s="192"/>
      <c r="AO155" s="192"/>
      <c r="AP155" s="192"/>
      <c r="AQ155" s="192"/>
      <c r="AR155" s="192"/>
      <c r="AS155" s="192"/>
      <c r="AT155" s="192"/>
      <c r="AU155" s="192"/>
      <c r="AV155" s="192"/>
      <c r="AW155" s="192"/>
      <c r="AX155" s="192"/>
      <c r="AY155" s="192"/>
    </row>
    <row r="156" spans="1:51">
      <c r="A156" t="s">
        <v>16</v>
      </c>
      <c r="B156" t="s">
        <v>121</v>
      </c>
      <c r="C156" t="s">
        <v>80</v>
      </c>
      <c r="D156" t="s">
        <v>75</v>
      </c>
      <c r="E156" s="256">
        <f>SUMIF('BY-DMD'!$H$5:$H$138,B156,'BY-DMD'!$I$5:$I$138)</f>
        <v>0.64854136839212595</v>
      </c>
      <c r="F156" s="39">
        <f t="shared" si="324"/>
        <v>0.6995709084876961</v>
      </c>
      <c r="G156" s="39">
        <f t="shared" si="324"/>
        <v>0.64248252977129328</v>
      </c>
      <c r="H156" s="39">
        <f t="shared" si="324"/>
        <v>0.6528281316673451</v>
      </c>
      <c r="I156" s="39">
        <f t="shared" si="324"/>
        <v>1.610210986386059</v>
      </c>
      <c r="J156" s="39">
        <f t="shared" si="324"/>
        <v>2.8089920653060978</v>
      </c>
      <c r="K156" s="39">
        <f t="shared" si="325"/>
        <v>4.729195272103615</v>
      </c>
      <c r="L156" s="39">
        <f t="shared" si="326"/>
        <v>6.0843487560592608</v>
      </c>
      <c r="M156" s="39">
        <f t="shared" si="327"/>
        <v>6.9301888327392636</v>
      </c>
      <c r="N156" s="203" t="str">
        <f t="shared" si="328"/>
        <v>Gautrain pkm</v>
      </c>
      <c r="O156" s="189">
        <f t="shared" ref="O156:R156" si="349">O128</f>
        <v>0.64854136839212595</v>
      </c>
      <c r="P156" s="192">
        <f t="shared" si="349"/>
        <v>0.6995709084876961</v>
      </c>
      <c r="Q156" s="192">
        <f t="shared" si="349"/>
        <v>0.64248252977129328</v>
      </c>
      <c r="R156" s="192">
        <f t="shared" si="349"/>
        <v>0.6528281316673451</v>
      </c>
      <c r="S156" s="242">
        <f>S128</f>
        <v>0.91068205290937376</v>
      </c>
      <c r="T156" s="242">
        <f>T128</f>
        <v>1.2038134916712031</v>
      </c>
      <c r="U156" s="242">
        <f>U128</f>
        <v>1.4057825304383706</v>
      </c>
      <c r="V156" s="242">
        <f>V128</f>
        <v>1.5316476978095188</v>
      </c>
      <c r="W156" s="242">
        <f>W128</f>
        <v>1.6059537886070023</v>
      </c>
      <c r="X156" s="192"/>
      <c r="Y156" s="192">
        <f t="shared" si="332"/>
        <v>0.64854136839212595</v>
      </c>
      <c r="Z156" s="192">
        <f t="shared" si="332"/>
        <v>0.6995709084876961</v>
      </c>
      <c r="AA156" s="192">
        <f t="shared" si="332"/>
        <v>0.64248252977129328</v>
      </c>
      <c r="AB156" s="192">
        <f t="shared" si="332"/>
        <v>0.6528281316673451</v>
      </c>
      <c r="AC156" s="242">
        <f>AC128</f>
        <v>1.610210986386059</v>
      </c>
      <c r="AD156" s="242">
        <f>AD128</f>
        <v>2.8089920653060978</v>
      </c>
      <c r="AE156" s="242">
        <f>AE128</f>
        <v>4.729195272103615</v>
      </c>
      <c r="AF156" s="242">
        <f>AF128</f>
        <v>6.0843487560592608</v>
      </c>
      <c r="AG156" s="242">
        <f>AG128</f>
        <v>6.9301888327392636</v>
      </c>
      <c r="AH156" s="192"/>
      <c r="AI156" s="192"/>
      <c r="AJ156" s="192"/>
      <c r="AL156" s="192"/>
      <c r="AM156" s="192"/>
      <c r="AN156" s="192"/>
      <c r="AO156" s="192"/>
      <c r="AP156" s="192"/>
      <c r="AQ156" s="192"/>
      <c r="AR156" s="192"/>
      <c r="AS156" s="192"/>
      <c r="AT156" s="192"/>
      <c r="AU156" s="192"/>
      <c r="AV156" s="192"/>
      <c r="AW156" s="192"/>
      <c r="AX156" s="192"/>
      <c r="AY156" s="192"/>
    </row>
    <row r="157" spans="1:51" ht="15.75" thickBot="1">
      <c r="A157" t="s">
        <v>16</v>
      </c>
      <c r="J157"/>
      <c r="N157" s="32"/>
      <c r="AK157" t="s">
        <v>603</v>
      </c>
    </row>
    <row r="158" spans="1:51" ht="15.75" thickTop="1">
      <c r="A158" t="s">
        <v>16</v>
      </c>
      <c r="J158"/>
      <c r="N158" s="308" t="s">
        <v>777</v>
      </c>
      <c r="O158" s="299"/>
      <c r="P158" s="299"/>
      <c r="Q158" s="299"/>
      <c r="R158" s="299"/>
      <c r="S158" s="299"/>
      <c r="T158" s="299"/>
      <c r="U158" s="299"/>
      <c r="V158" s="299"/>
      <c r="W158" s="299"/>
      <c r="X158" s="299"/>
      <c r="Y158" s="299"/>
      <c r="Z158" s="299"/>
      <c r="AA158" s="299"/>
      <c r="AB158" s="299"/>
      <c r="AC158" s="299"/>
      <c r="AD158" s="299"/>
      <c r="AE158" s="299"/>
      <c r="AF158" s="299"/>
      <c r="AG158" s="300"/>
      <c r="AK158" t="s">
        <v>593</v>
      </c>
      <c r="AQ158" t="s">
        <v>598</v>
      </c>
      <c r="AU158" t="s">
        <v>599</v>
      </c>
    </row>
    <row r="159" spans="1:51" ht="15.75" thickBot="1">
      <c r="A159" t="s">
        <v>16</v>
      </c>
      <c r="J159"/>
      <c r="N159" s="301"/>
      <c r="O159" t="s">
        <v>32</v>
      </c>
      <c r="Q159" s="324" t="s">
        <v>779</v>
      </c>
      <c r="S159" s="8"/>
      <c r="Y159" t="s">
        <v>185</v>
      </c>
      <c r="AB159" s="8"/>
      <c r="AG159" s="302"/>
      <c r="AK159" s="2">
        <v>-1</v>
      </c>
      <c r="AL159" s="2">
        <v>-1</v>
      </c>
      <c r="AM159" s="2">
        <v>-1</v>
      </c>
      <c r="AN159" s="2">
        <v>-1</v>
      </c>
      <c r="AO159" s="2">
        <v>-1</v>
      </c>
      <c r="AP159" s="2"/>
      <c r="AQ159" s="2">
        <v>2</v>
      </c>
      <c r="AR159" s="2">
        <v>2</v>
      </c>
      <c r="AS159" s="2">
        <v>2</v>
      </c>
      <c r="AU159" s="2">
        <v>3</v>
      </c>
      <c r="AV159" s="2">
        <v>3</v>
      </c>
      <c r="AW159" s="2">
        <v>3</v>
      </c>
    </row>
    <row r="160" spans="1:51" ht="15.75" thickBot="1">
      <c r="A160" t="s">
        <v>16</v>
      </c>
      <c r="C160" s="2" t="s">
        <v>129</v>
      </c>
      <c r="D160" s="2"/>
      <c r="E160" s="6">
        <f t="shared" ref="E160:M160" si="350">E4</f>
        <v>2017</v>
      </c>
      <c r="F160" s="6">
        <f t="shared" si="350"/>
        <v>2019</v>
      </c>
      <c r="G160" s="6">
        <f t="shared" si="350"/>
        <v>2020</v>
      </c>
      <c r="H160" s="6">
        <f t="shared" si="350"/>
        <v>2021</v>
      </c>
      <c r="I160" s="6">
        <f t="shared" si="350"/>
        <v>2030</v>
      </c>
      <c r="J160" s="6">
        <f t="shared" si="350"/>
        <v>2040</v>
      </c>
      <c r="K160" s="6">
        <f t="shared" ref="K160:L160" si="351">K4</f>
        <v>2050</v>
      </c>
      <c r="L160" s="6">
        <f t="shared" si="351"/>
        <v>2060</v>
      </c>
      <c r="M160" s="6">
        <f t="shared" si="350"/>
        <v>2070</v>
      </c>
      <c r="N160" s="301"/>
      <c r="O160" s="303">
        <f t="shared" ref="O160:W160" si="352">O$12</f>
        <v>2017</v>
      </c>
      <c r="P160" s="303">
        <f t="shared" si="352"/>
        <v>2019</v>
      </c>
      <c r="Q160" s="303">
        <f t="shared" si="352"/>
        <v>2020</v>
      </c>
      <c r="R160" s="303">
        <f t="shared" si="352"/>
        <v>2021</v>
      </c>
      <c r="S160" s="303">
        <f t="shared" si="352"/>
        <v>2030</v>
      </c>
      <c r="T160" s="303">
        <f t="shared" si="352"/>
        <v>2040</v>
      </c>
      <c r="U160" s="303">
        <f t="shared" si="352"/>
        <v>2050</v>
      </c>
      <c r="V160" s="303">
        <f t="shared" si="352"/>
        <v>2060</v>
      </c>
      <c r="W160" s="303">
        <f t="shared" si="352"/>
        <v>2070</v>
      </c>
      <c r="Y160" s="303">
        <f t="shared" ref="Y160:AG160" si="353">Y$12</f>
        <v>2017</v>
      </c>
      <c r="Z160" s="303">
        <f t="shared" si="353"/>
        <v>2019</v>
      </c>
      <c r="AA160" s="303">
        <f t="shared" si="353"/>
        <v>2020</v>
      </c>
      <c r="AB160" s="303">
        <f t="shared" si="353"/>
        <v>2021</v>
      </c>
      <c r="AC160" s="303">
        <f t="shared" si="353"/>
        <v>2030</v>
      </c>
      <c r="AD160" s="303">
        <f t="shared" si="353"/>
        <v>2040</v>
      </c>
      <c r="AE160" s="303">
        <f t="shared" si="353"/>
        <v>2050</v>
      </c>
      <c r="AF160" s="303">
        <f t="shared" si="353"/>
        <v>2060</v>
      </c>
      <c r="AG160" s="304">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50">
      <c r="A161" t="s">
        <v>16</v>
      </c>
      <c r="B161" t="s">
        <v>116</v>
      </c>
      <c r="C161" t="s">
        <v>88</v>
      </c>
      <c r="D161" t="s">
        <v>75</v>
      </c>
      <c r="E161" s="39">
        <f t="shared" ref="E161:J168" si="354">IF($D$4,Y161,O161)</f>
        <v>113.03311091083582</v>
      </c>
      <c r="F161" s="39">
        <f t="shared" si="354"/>
        <v>118.46307900397879</v>
      </c>
      <c r="G161" s="39">
        <f t="shared" si="354"/>
        <v>109.6316893111631</v>
      </c>
      <c r="H161" s="39">
        <f t="shared" si="354"/>
        <v>114.7559537292338</v>
      </c>
      <c r="I161" s="39">
        <f t="shared" si="354"/>
        <v>141.46027082974115</v>
      </c>
      <c r="J161" s="39">
        <f t="shared" si="354"/>
        <v>179.92406378692436</v>
      </c>
      <c r="K161" s="39">
        <f t="shared" ref="K161:K168" si="355">IF($D$4,AD161,T161)</f>
        <v>179.92406378692436</v>
      </c>
      <c r="L161" s="39">
        <f t="shared" ref="L161:L168" si="356">IF($D$4,AD161,T161)</f>
        <v>179.92406378692436</v>
      </c>
      <c r="M161" s="297">
        <f t="shared" ref="M161:M168" si="357">IF($D$4,AG161,W161)</f>
        <v>245.77306554725499</v>
      </c>
      <c r="N161" s="301" t="str">
        <f t="shared" ref="N161:N168" si="358">C161</f>
        <v>Car</v>
      </c>
      <c r="O161" s="8">
        <f t="shared" ref="O161:R161" si="359">SUMPRODUCT(O$35:O$38,O$41:O$44,O$54:O$57)*O132</f>
        <v>113.03311091083582</v>
      </c>
      <c r="P161" s="8">
        <f t="shared" si="359"/>
        <v>118.46307900397879</v>
      </c>
      <c r="Q161" s="8">
        <f t="shared" si="359"/>
        <v>109.6316893111631</v>
      </c>
      <c r="R161" s="8">
        <f t="shared" si="359"/>
        <v>114.7559537292338</v>
      </c>
      <c r="S161" s="330">
        <f t="shared" ref="S161:W163" si="360">SUMPRODUCT(S$35:S$38,S$41:S$44,S$54:S$57)*S132</f>
        <v>163.39581442493377</v>
      </c>
      <c r="T161" s="331">
        <f t="shared" si="360"/>
        <v>230.32789607820939</v>
      </c>
      <c r="U161" s="331">
        <f t="shared" ref="U161:V161" si="361">SUMPRODUCT(U$35:U$38,U$41:U$44,U$54:U$57)*U132</f>
        <v>310.91945380807283</v>
      </c>
      <c r="V161" s="331">
        <f t="shared" si="361"/>
        <v>337.46530142504378</v>
      </c>
      <c r="W161" s="332">
        <f t="shared" si="360"/>
        <v>348.40056077558927</v>
      </c>
      <c r="X161" s="338" t="s">
        <v>780</v>
      </c>
      <c r="Y161" s="8">
        <f t="shared" ref="Y161:AB168" si="362">O161</f>
        <v>113.03311091083582</v>
      </c>
      <c r="Z161" s="8">
        <f t="shared" si="362"/>
        <v>118.46307900397879</v>
      </c>
      <c r="AA161" s="8">
        <f t="shared" si="362"/>
        <v>109.6316893111631</v>
      </c>
      <c r="AB161" s="8">
        <f t="shared" si="362"/>
        <v>114.7559537292338</v>
      </c>
      <c r="AC161" s="330">
        <f t="shared" ref="AC161:AG161" si="363">SUMPRODUCT(AC$35:AC$38,AC$41:AC$44,AC$54:AC$57)*AC132</f>
        <v>141.46027082974115</v>
      </c>
      <c r="AD161" s="331">
        <f t="shared" si="363"/>
        <v>179.92406378692436</v>
      </c>
      <c r="AE161" s="331">
        <f t="shared" si="363"/>
        <v>240.83032241807615</v>
      </c>
      <c r="AF161" s="331">
        <f t="shared" si="363"/>
        <v>261.3655686747959</v>
      </c>
      <c r="AG161" s="332">
        <f t="shared" si="363"/>
        <v>245.77306554725499</v>
      </c>
      <c r="AK161" s="192">
        <v>0.8</v>
      </c>
      <c r="AL161" s="192">
        <f>AVERAGE(AK161,AN161)</f>
        <v>0.8</v>
      </c>
      <c r="AM161" s="192">
        <v>0.8</v>
      </c>
      <c r="AN161" s="192">
        <v>0.8</v>
      </c>
      <c r="AO161" s="192">
        <v>0.8</v>
      </c>
      <c r="AP161" s="202"/>
      <c r="AQ161" s="192">
        <f>AVERAGE(1,1,AS161)</f>
        <v>0.93333333333333335</v>
      </c>
      <c r="AR161" s="192">
        <f>AVERAGE(AQ161,AS161)</f>
        <v>0.8666666666666667</v>
      </c>
      <c r="AS161" s="192">
        <v>0.8</v>
      </c>
      <c r="AU161" s="192">
        <v>0.8</v>
      </c>
      <c r="AV161" s="192">
        <f>AVERAGE(AW161,AU161)</f>
        <v>0.75</v>
      </c>
      <c r="AW161" s="192">
        <v>0.7</v>
      </c>
    </row>
    <row r="162" spans="1:50">
      <c r="A162" t="s">
        <v>16</v>
      </c>
      <c r="B162" t="s">
        <v>115</v>
      </c>
      <c r="C162" t="s">
        <v>87</v>
      </c>
      <c r="D162" t="s">
        <v>75</v>
      </c>
      <c r="E162" s="39">
        <f t="shared" si="354"/>
        <v>24.019536068552615</v>
      </c>
      <c r="F162" s="39">
        <f t="shared" si="354"/>
        <v>25.173404288345498</v>
      </c>
      <c r="G162" s="39">
        <f t="shared" si="354"/>
        <v>23.296733978622161</v>
      </c>
      <c r="H162" s="39">
        <f t="shared" si="354"/>
        <v>24.385640167462185</v>
      </c>
      <c r="I162" s="39">
        <f t="shared" si="354"/>
        <v>30.060307551320001</v>
      </c>
      <c r="J162" s="39">
        <f t="shared" si="354"/>
        <v>38.233863554721431</v>
      </c>
      <c r="K162" s="39">
        <f t="shared" si="355"/>
        <v>38.233863554721431</v>
      </c>
      <c r="L162" s="39">
        <f t="shared" si="356"/>
        <v>38.233863554721431</v>
      </c>
      <c r="M162" s="297">
        <f t="shared" si="357"/>
        <v>52.226776428791695</v>
      </c>
      <c r="N162" s="301" t="str">
        <f t="shared" si="358"/>
        <v>SUV</v>
      </c>
      <c r="O162" s="8">
        <f t="shared" ref="O162:R162" si="364">SUMPRODUCT(O$35:O$38,O$41:O$44,O$54:O$57)*O133</f>
        <v>24.019536068552615</v>
      </c>
      <c r="P162" s="8">
        <f t="shared" si="364"/>
        <v>25.173404288345498</v>
      </c>
      <c r="Q162" s="8">
        <f t="shared" si="364"/>
        <v>23.296733978622161</v>
      </c>
      <c r="R162" s="8">
        <f t="shared" si="364"/>
        <v>24.385640167462185</v>
      </c>
      <c r="S162" s="333">
        <f t="shared" si="360"/>
        <v>34.721610565298434</v>
      </c>
      <c r="T162" s="305">
        <f t="shared" si="360"/>
        <v>48.944677916619504</v>
      </c>
      <c r="U162" s="305">
        <f>SUMPRODUCT(U$35:U$38,U$41:U$44,U$54:U$57)*U133</f>
        <v>66.070383934215485</v>
      </c>
      <c r="V162" s="305">
        <f>SUMPRODUCT(V$35:V$38,V$41:V$44,V$54:V$57)*V133</f>
        <v>71.711376552821818</v>
      </c>
      <c r="W162" s="334">
        <f>SUMPRODUCT(W$35:W$38,W$41:W$44,W$54:W$57)*W133</f>
        <v>74.035119164812727</v>
      </c>
      <c r="Y162" s="8">
        <f t="shared" si="362"/>
        <v>24.019536068552615</v>
      </c>
      <c r="Z162" s="8">
        <f t="shared" si="362"/>
        <v>25.173404288345498</v>
      </c>
      <c r="AA162" s="8">
        <f t="shared" si="362"/>
        <v>23.296733978622161</v>
      </c>
      <c r="AB162" s="8">
        <f t="shared" si="362"/>
        <v>24.385640167462185</v>
      </c>
      <c r="AC162" s="333">
        <f t="shared" ref="AC162:AD162" si="365">SUMPRODUCT(AC$35:AC$38,AC$41:AC$44,AC$54:AC$57)*AC133</f>
        <v>30.060307551320001</v>
      </c>
      <c r="AD162" s="305">
        <f t="shared" si="365"/>
        <v>38.233863554721431</v>
      </c>
      <c r="AE162" s="305">
        <f>SUMPRODUCT(AE$35:AE$38,AE$41:AE$44,AE$54:AE$57)*AE133</f>
        <v>51.176443513841193</v>
      </c>
      <c r="AF162" s="305">
        <f>SUMPRODUCT(AF$35:AF$38,AF$41:AF$44,AF$54:AF$57)*AF133</f>
        <v>55.540183343394133</v>
      </c>
      <c r="AG162" s="334">
        <f>SUMPRODUCT(AG$35:AG$38,AG$41:AG$44,AG$54:AG$57)*AG133</f>
        <v>52.226776428791695</v>
      </c>
      <c r="AK162" s="192">
        <f>AK161</f>
        <v>0.8</v>
      </c>
      <c r="AL162" s="192">
        <f t="shared" ref="AL162:AN162" si="366">AL161</f>
        <v>0.8</v>
      </c>
      <c r="AM162" s="192">
        <f t="shared" ref="AM162" si="367">AM161</f>
        <v>0.8</v>
      </c>
      <c r="AN162" s="192">
        <f t="shared" si="366"/>
        <v>0.8</v>
      </c>
      <c r="AO162" s="192">
        <f t="shared" ref="AO162" si="368">AO161</f>
        <v>0.8</v>
      </c>
      <c r="AP162" s="202"/>
      <c r="AQ162" s="192">
        <f>AQ161</f>
        <v>0.93333333333333335</v>
      </c>
      <c r="AR162" s="192">
        <f t="shared" ref="AR162:AS162" si="369">AR161</f>
        <v>0.8666666666666667</v>
      </c>
      <c r="AS162" s="192">
        <f t="shared" si="369"/>
        <v>0.8</v>
      </c>
      <c r="AU162" s="192">
        <f>AU161</f>
        <v>0.8</v>
      </c>
      <c r="AV162" s="192">
        <f t="shared" ref="AV162:AW162" si="370">AV161</f>
        <v>0.75</v>
      </c>
      <c r="AW162" s="192">
        <f t="shared" si="370"/>
        <v>0.7</v>
      </c>
    </row>
    <row r="163" spans="1:50" ht="15.75" thickBot="1">
      <c r="A163" t="s">
        <v>16</v>
      </c>
      <c r="B163" t="s">
        <v>171</v>
      </c>
      <c r="C163" t="s">
        <v>198</v>
      </c>
      <c r="D163" t="s">
        <v>75</v>
      </c>
      <c r="E163" s="39">
        <f t="shared" si="354"/>
        <v>4.2387416591563438</v>
      </c>
      <c r="F163" s="39">
        <f t="shared" si="354"/>
        <v>4.4423654626492048</v>
      </c>
      <c r="G163" s="39">
        <f t="shared" si="354"/>
        <v>4.1111883491686161</v>
      </c>
      <c r="H163" s="39">
        <f t="shared" si="354"/>
        <v>4.3033482648462673</v>
      </c>
      <c r="I163" s="39">
        <f t="shared" si="354"/>
        <v>5.3047601561152939</v>
      </c>
      <c r="J163" s="39">
        <f t="shared" si="354"/>
        <v>6.7471523920096637</v>
      </c>
      <c r="K163" s="39">
        <f t="shared" si="355"/>
        <v>6.7471523920096637</v>
      </c>
      <c r="L163" s="39">
        <f t="shared" si="356"/>
        <v>6.7471523920096637</v>
      </c>
      <c r="M163" s="297">
        <f t="shared" si="357"/>
        <v>9.2164899580220627</v>
      </c>
      <c r="N163" s="301" t="str">
        <f t="shared" si="358"/>
        <v>Motorbike</v>
      </c>
      <c r="O163" s="8">
        <f t="shared" ref="O163:R163" si="371">SUMPRODUCT(O$35:O$38,O$41:O$44,O$54:O$57)*O134</f>
        <v>4.2387416591563438</v>
      </c>
      <c r="P163" s="8">
        <f t="shared" si="371"/>
        <v>4.4423654626492048</v>
      </c>
      <c r="Q163" s="8">
        <f t="shared" si="371"/>
        <v>4.1111883491686161</v>
      </c>
      <c r="R163" s="8">
        <f t="shared" si="371"/>
        <v>4.3033482648462673</v>
      </c>
      <c r="S163" s="335">
        <f t="shared" si="360"/>
        <v>6.1273430409350169</v>
      </c>
      <c r="T163" s="336">
        <f t="shared" si="360"/>
        <v>8.6372961029328525</v>
      </c>
      <c r="U163" s="336">
        <f t="shared" ref="U163:V163" si="372">SUMPRODUCT(U$35:U$38,U$41:U$44,U$54:U$57)*U134</f>
        <v>11.659479517802732</v>
      </c>
      <c r="V163" s="336">
        <f t="shared" si="372"/>
        <v>12.654948803439142</v>
      </c>
      <c r="W163" s="337">
        <f t="shared" si="360"/>
        <v>13.065021029084598</v>
      </c>
      <c r="Y163" s="8">
        <f t="shared" si="362"/>
        <v>4.2387416591563438</v>
      </c>
      <c r="Z163" s="8">
        <f t="shared" si="362"/>
        <v>4.4423654626492048</v>
      </c>
      <c r="AA163" s="8">
        <f t="shared" si="362"/>
        <v>4.1111883491686161</v>
      </c>
      <c r="AB163" s="8">
        <f t="shared" si="362"/>
        <v>4.3033482648462673</v>
      </c>
      <c r="AC163" s="335">
        <f t="shared" ref="AC163:AG163" si="373">SUMPRODUCT(AC$35:AC$38,AC$41:AC$44,AC$54:AC$57)*AC134</f>
        <v>5.3047601561152939</v>
      </c>
      <c r="AD163" s="336">
        <f t="shared" si="373"/>
        <v>6.7471523920096637</v>
      </c>
      <c r="AE163" s="336">
        <f t="shared" si="373"/>
        <v>9.0311370906778574</v>
      </c>
      <c r="AF163" s="336">
        <f t="shared" si="373"/>
        <v>9.8012088253048457</v>
      </c>
      <c r="AG163" s="337">
        <f t="shared" si="373"/>
        <v>9.2164899580220627</v>
      </c>
      <c r="AK163" s="202">
        <v>1</v>
      </c>
      <c r="AL163" s="202">
        <v>1</v>
      </c>
      <c r="AM163" s="202">
        <v>1</v>
      </c>
      <c r="AN163" s="202">
        <v>1</v>
      </c>
      <c r="AO163" s="202">
        <v>1</v>
      </c>
      <c r="AP163" s="202"/>
      <c r="AQ163" s="202">
        <v>1</v>
      </c>
      <c r="AR163" s="202">
        <v>1</v>
      </c>
      <c r="AS163" s="202">
        <v>1</v>
      </c>
      <c r="AT163" s="202"/>
      <c r="AU163" s="202">
        <v>1</v>
      </c>
      <c r="AV163" s="202">
        <v>1</v>
      </c>
      <c r="AW163" s="202">
        <v>1</v>
      </c>
    </row>
    <row r="164" spans="1:50">
      <c r="A164" t="s">
        <v>16</v>
      </c>
      <c r="B164" t="s">
        <v>117</v>
      </c>
      <c r="C164" t="s">
        <v>53</v>
      </c>
      <c r="D164" t="s">
        <v>75</v>
      </c>
      <c r="E164" s="39">
        <f t="shared" si="354"/>
        <v>16.019623147367891</v>
      </c>
      <c r="F164" s="39">
        <f t="shared" si="354"/>
        <v>16.390365445896254</v>
      </c>
      <c r="G164" s="39">
        <f t="shared" si="354"/>
        <v>16.665664027538941</v>
      </c>
      <c r="H164" s="39">
        <f t="shared" si="354"/>
        <v>16.905017810635162</v>
      </c>
      <c r="I164" s="39">
        <f t="shared" si="354"/>
        <v>17.658756970365346</v>
      </c>
      <c r="J164" s="39">
        <f t="shared" si="354"/>
        <v>17.877511892024621</v>
      </c>
      <c r="K164" s="39">
        <f t="shared" si="355"/>
        <v>17.877511892024621</v>
      </c>
      <c r="L164" s="39">
        <f t="shared" si="356"/>
        <v>17.877511892024621</v>
      </c>
      <c r="M164" s="297">
        <f t="shared" si="357"/>
        <v>17.388300672068574</v>
      </c>
      <c r="N164" s="301" t="str">
        <f t="shared" si="358"/>
        <v>Bus</v>
      </c>
      <c r="O164" s="8">
        <f t="shared" ref="O164:R164" si="374">O152*O142</f>
        <v>16.019623147367891</v>
      </c>
      <c r="P164" s="8">
        <f t="shared" si="374"/>
        <v>16.390365445896254</v>
      </c>
      <c r="Q164" s="8">
        <f t="shared" si="374"/>
        <v>16.665664027538941</v>
      </c>
      <c r="R164" s="8">
        <f t="shared" si="374"/>
        <v>16.905017810635162</v>
      </c>
      <c r="S164" s="246">
        <f>S152*S142</f>
        <v>16.847587046632427</v>
      </c>
      <c r="T164" s="246">
        <f t="shared" ref="S164:W166" si="375">T152*T142</f>
        <v>16.033984750002077</v>
      </c>
      <c r="U164" s="246">
        <f t="shared" ref="U164:V164" si="376">U152*U142</f>
        <v>14.261962434541667</v>
      </c>
      <c r="V164" s="246">
        <f t="shared" si="376"/>
        <v>13.935738167366992</v>
      </c>
      <c r="W164" s="246">
        <f t="shared" si="375"/>
        <v>13.708967388186485</v>
      </c>
      <c r="X164" s="245" t="s">
        <v>781</v>
      </c>
      <c r="Y164" s="8">
        <f t="shared" si="362"/>
        <v>16.019623147367891</v>
      </c>
      <c r="Z164" s="8">
        <f t="shared" si="362"/>
        <v>16.390365445896254</v>
      </c>
      <c r="AA164" s="8">
        <f t="shared" si="362"/>
        <v>16.665664027538941</v>
      </c>
      <c r="AB164" s="8">
        <f t="shared" si="362"/>
        <v>16.905017810635162</v>
      </c>
      <c r="AC164" s="246">
        <f>AC152*AC142</f>
        <v>17.658756970365346</v>
      </c>
      <c r="AD164" s="246">
        <f t="shared" ref="AD164:AG164" si="377">AD152*AD142</f>
        <v>17.877511892024621</v>
      </c>
      <c r="AE164" s="246">
        <f t="shared" si="377"/>
        <v>16.700464950264248</v>
      </c>
      <c r="AF164" s="246">
        <f t="shared" si="377"/>
        <v>16.538491060012753</v>
      </c>
      <c r="AG164" s="246">
        <f t="shared" si="377"/>
        <v>17.388300672068574</v>
      </c>
      <c r="AK164" s="8">
        <f t="shared" ref="AK164:AL168" si="378">SUM(S$161:S$162)*(1-AK$161)*AK175</f>
        <v>4.9149033239884963</v>
      </c>
      <c r="AL164" s="8">
        <f t="shared" si="378"/>
        <v>6.9282028185742934</v>
      </c>
      <c r="AM164" s="8">
        <f t="shared" ref="AM164:AO168" si="379">SUM(V$161:V$162)*(1-AM$161)*AM175</f>
        <v>10.150867924874015</v>
      </c>
      <c r="AN164" s="8">
        <f t="shared" si="379"/>
        <v>10.479797663495711</v>
      </c>
      <c r="AO164" s="8">
        <f t="shared" si="379"/>
        <v>0</v>
      </c>
      <c r="AP164" s="8"/>
      <c r="AQ164" s="8">
        <f t="shared" ref="AQ164:AR168" si="380">SUM(S$161:S$162)*(1-AQ$161)*AQ175</f>
        <v>1.6383011079961656</v>
      </c>
      <c r="AR164" s="8">
        <f t="shared" si="380"/>
        <v>4.6188018790495287</v>
      </c>
      <c r="AS164" s="8">
        <f>SUM(W$161:W$162)*(1-AS$161)*AS175</f>
        <v>10.479797663495711</v>
      </c>
      <c r="AT164" s="8"/>
      <c r="AU164" s="8">
        <f t="shared" ref="AU164:AV168" si="381">SUM(S$161:S$162)*(1-AU$161)*AU175</f>
        <v>4.9149033239884963</v>
      </c>
      <c r="AV164" s="8">
        <f t="shared" si="381"/>
        <v>8.6602535232178681</v>
      </c>
      <c r="AW164" s="8">
        <f>SUM(W$161:W$162)*(1-AW$161)*AW175</f>
        <v>15.719696495243571</v>
      </c>
    </row>
    <row r="165" spans="1:50">
      <c r="A165" t="s">
        <v>16</v>
      </c>
      <c r="B165" t="s">
        <v>118</v>
      </c>
      <c r="C165" t="s">
        <v>52</v>
      </c>
      <c r="D165" t="s">
        <v>75</v>
      </c>
      <c r="E165" s="39">
        <f t="shared" si="354"/>
        <v>100.65537861765586</v>
      </c>
      <c r="F165" s="39">
        <f t="shared" si="354"/>
        <v>102.9848470505062</v>
      </c>
      <c r="G165" s="39">
        <f t="shared" si="354"/>
        <v>104.71461826380103</v>
      </c>
      <c r="H165" s="39">
        <f t="shared" si="354"/>
        <v>106.21853913881091</v>
      </c>
      <c r="I165" s="39">
        <f t="shared" si="354"/>
        <v>107.38956116876329</v>
      </c>
      <c r="J165" s="39">
        <f t="shared" si="354"/>
        <v>105.92215966072806</v>
      </c>
      <c r="K165" s="39">
        <f t="shared" si="355"/>
        <v>105.92215966072806</v>
      </c>
      <c r="L165" s="39">
        <f t="shared" si="356"/>
        <v>105.92215966072806</v>
      </c>
      <c r="M165" s="297">
        <f t="shared" si="357"/>
        <v>103.02364060164574</v>
      </c>
      <c r="N165" s="301" t="str">
        <f t="shared" si="358"/>
        <v>Minibus</v>
      </c>
      <c r="O165" s="8">
        <f t="shared" ref="O165:R165" si="382">O153*O143</f>
        <v>100.65537861765586</v>
      </c>
      <c r="P165" s="8">
        <f t="shared" si="382"/>
        <v>102.9848470505062</v>
      </c>
      <c r="Q165" s="8">
        <f t="shared" si="382"/>
        <v>104.71461826380103</v>
      </c>
      <c r="R165" s="8">
        <f t="shared" si="382"/>
        <v>106.21853913881091</v>
      </c>
      <c r="S165" s="246">
        <f t="shared" si="375"/>
        <v>105.85768699879371</v>
      </c>
      <c r="T165" s="246">
        <f t="shared" si="375"/>
        <v>100.74561623045122</v>
      </c>
      <c r="U165" s="246">
        <f t="shared" ref="U165:V165" si="383">U153*U143</f>
        <v>89.611548004201552</v>
      </c>
      <c r="V165" s="246">
        <f t="shared" si="383"/>
        <v>87.561797718276154</v>
      </c>
      <c r="W165" s="246">
        <f t="shared" si="375"/>
        <v>86.136939066617728</v>
      </c>
      <c r="X165" s="324" t="s">
        <v>783</v>
      </c>
      <c r="Y165" s="8">
        <f t="shared" si="362"/>
        <v>100.65537861765586</v>
      </c>
      <c r="Z165" s="8">
        <f t="shared" si="362"/>
        <v>102.9848470505062</v>
      </c>
      <c r="AA165" s="8">
        <f t="shared" si="362"/>
        <v>104.71461826380103</v>
      </c>
      <c r="AB165" s="8">
        <f t="shared" si="362"/>
        <v>106.21853913881091</v>
      </c>
      <c r="AC165" s="246">
        <f t="shared" ref="AC165:AG165" si="384">AC153*AC143</f>
        <v>107.38956116876329</v>
      </c>
      <c r="AD165" s="246">
        <f t="shared" si="384"/>
        <v>105.92215966072806</v>
      </c>
      <c r="AE165" s="246">
        <f t="shared" si="384"/>
        <v>98.948294681847329</v>
      </c>
      <c r="AF165" s="246">
        <f t="shared" si="384"/>
        <v>97.988618393127211</v>
      </c>
      <c r="AG165" s="246">
        <f t="shared" si="384"/>
        <v>103.02364060164574</v>
      </c>
      <c r="AK165" s="8">
        <f t="shared" si="378"/>
        <v>30.881591308002836</v>
      </c>
      <c r="AL165" s="8">
        <f t="shared" si="378"/>
        <v>43.531665597145206</v>
      </c>
      <c r="AM165" s="8">
        <f t="shared" si="379"/>
        <v>63.780492517009662</v>
      </c>
      <c r="AN165" s="8">
        <f t="shared" si="379"/>
        <v>65.847241970164745</v>
      </c>
      <c r="AO165" s="8">
        <f t="shared" si="379"/>
        <v>0</v>
      </c>
      <c r="AP165" s="8"/>
      <c r="AQ165" s="8">
        <f t="shared" si="380"/>
        <v>10.293863769334278</v>
      </c>
      <c r="AR165" s="8">
        <f t="shared" si="380"/>
        <v>29.021110398096798</v>
      </c>
      <c r="AS165" s="8">
        <f>SUM(W$161:W$162)*(1-AS$161)*AS176</f>
        <v>65.847241970164745</v>
      </c>
      <c r="AT165" s="8"/>
      <c r="AU165" s="8">
        <f t="shared" si="381"/>
        <v>30.881591308002836</v>
      </c>
      <c r="AV165" s="8">
        <f t="shared" si="381"/>
        <v>54.414581996431515</v>
      </c>
      <c r="AW165" s="8">
        <f>SUM(W$161:W$162)*(1-AW$161)*AW176</f>
        <v>98.770862955247154</v>
      </c>
    </row>
    <row r="166" spans="1:50">
      <c r="A166" t="s">
        <v>16</v>
      </c>
      <c r="B166" t="s">
        <v>119</v>
      </c>
      <c r="C166" t="s">
        <v>54</v>
      </c>
      <c r="D166" t="s">
        <v>75</v>
      </c>
      <c r="E166" s="39">
        <f t="shared" si="354"/>
        <v>1.8199995725306073</v>
      </c>
      <c r="F166" s="39">
        <f t="shared" si="354"/>
        <v>2.7827386966557452</v>
      </c>
      <c r="G166" s="39">
        <f t="shared" si="354"/>
        <v>2.7728192749407472</v>
      </c>
      <c r="H166" s="39">
        <f t="shared" si="354"/>
        <v>2.8304469375370944</v>
      </c>
      <c r="I166" s="39">
        <f t="shared" si="354"/>
        <v>2.7121183872363934</v>
      </c>
      <c r="J166" s="39">
        <f t="shared" si="354"/>
        <v>2.9275970656777832</v>
      </c>
      <c r="K166" s="39">
        <f t="shared" si="355"/>
        <v>2.9275970656777832</v>
      </c>
      <c r="L166" s="39">
        <f t="shared" si="356"/>
        <v>2.9275970656777832</v>
      </c>
      <c r="M166" s="297">
        <f t="shared" si="357"/>
        <v>3.2177989037166692</v>
      </c>
      <c r="N166" s="301" t="str">
        <f t="shared" si="358"/>
        <v>BRT</v>
      </c>
      <c r="O166" s="8">
        <f t="shared" ref="O166:R166" si="385">O154*O144</f>
        <v>1.8199995725306073</v>
      </c>
      <c r="P166" s="8">
        <f t="shared" si="385"/>
        <v>2.7827386966557452</v>
      </c>
      <c r="Q166" s="8">
        <f t="shared" si="385"/>
        <v>2.7728192749407472</v>
      </c>
      <c r="R166" s="8">
        <f t="shared" si="385"/>
        <v>2.8304469375370944</v>
      </c>
      <c r="S166" s="246">
        <f t="shared" si="375"/>
        <v>3.0852140383906068</v>
      </c>
      <c r="T166" s="246">
        <f t="shared" si="375"/>
        <v>3.3303352863530344</v>
      </c>
      <c r="U166" s="246">
        <f t="shared" ref="U166:V166" si="386">U154*U144</f>
        <v>3.5150676903920846</v>
      </c>
      <c r="V166" s="246">
        <f t="shared" si="386"/>
        <v>3.6187834772057106</v>
      </c>
      <c r="W166" s="246">
        <f t="shared" si="375"/>
        <v>3.6604590703655235</v>
      </c>
      <c r="Y166" s="8">
        <f t="shared" si="362"/>
        <v>1.8199995725306073</v>
      </c>
      <c r="Z166" s="8">
        <f t="shared" si="362"/>
        <v>2.7827386966557452</v>
      </c>
      <c r="AA166" s="8">
        <f t="shared" si="362"/>
        <v>2.7728192749407472</v>
      </c>
      <c r="AB166" s="8">
        <f t="shared" si="362"/>
        <v>2.8304469375370944</v>
      </c>
      <c r="AC166" s="246">
        <f t="shared" ref="AC166:AG166" si="387">AC154*AC144</f>
        <v>2.7121183872363934</v>
      </c>
      <c r="AD166" s="246">
        <f t="shared" si="387"/>
        <v>2.9275970656777832</v>
      </c>
      <c r="AE166" s="246">
        <f t="shared" si="387"/>
        <v>3.0899897371353671</v>
      </c>
      <c r="AF166" s="246">
        <f t="shared" si="387"/>
        <v>3.1811631497296702</v>
      </c>
      <c r="AG166" s="246">
        <f t="shared" si="387"/>
        <v>3.2177989037166692</v>
      </c>
      <c r="AK166" s="8">
        <f t="shared" si="378"/>
        <v>0.90004157215694114</v>
      </c>
      <c r="AL166" s="8">
        <f t="shared" si="378"/>
        <v>1.2687270015295935</v>
      </c>
      <c r="AM166" s="8">
        <f t="shared" si="379"/>
        <v>1.8588774841754059</v>
      </c>
      <c r="AN166" s="8">
        <f t="shared" si="379"/>
        <v>1.9191127359316895</v>
      </c>
      <c r="AO166" s="8">
        <f t="shared" si="379"/>
        <v>0</v>
      </c>
      <c r="AP166" s="8"/>
      <c r="AQ166" s="8">
        <f t="shared" si="380"/>
        <v>0.30001385738564706</v>
      </c>
      <c r="AR166" s="8">
        <f t="shared" si="380"/>
        <v>0.84581800101972893</v>
      </c>
      <c r="AS166" s="8">
        <f>SUM(W$161:W$162)*(1-AS$161)*AS177</f>
        <v>1.9191127359316895</v>
      </c>
      <c r="AT166" s="8"/>
      <c r="AU166" s="8">
        <f t="shared" si="381"/>
        <v>0.90004157215694114</v>
      </c>
      <c r="AV166" s="8">
        <f t="shared" si="381"/>
        <v>1.5859087519119923</v>
      </c>
      <c r="AW166" s="8">
        <f>SUM(W$161:W$162)*(1-AW$161)*AW177</f>
        <v>2.8786691038975349</v>
      </c>
    </row>
    <row r="167" spans="1:50">
      <c r="A167" t="s">
        <v>16</v>
      </c>
      <c r="B167" t="s">
        <v>120</v>
      </c>
      <c r="C167" t="s">
        <v>74</v>
      </c>
      <c r="D167" t="str">
        <f>D166</f>
        <v>billion</v>
      </c>
      <c r="E167" s="39">
        <f t="shared" si="354"/>
        <v>8.6741621423932465</v>
      </c>
      <c r="F167" s="39">
        <f t="shared" si="354"/>
        <v>8.8749083635056305</v>
      </c>
      <c r="G167" s="39">
        <f t="shared" si="354"/>
        <v>9.0239745751619225</v>
      </c>
      <c r="H167" s="39">
        <f t="shared" si="354"/>
        <v>9.1535777190606566</v>
      </c>
      <c r="I167" s="39">
        <f t="shared" si="354"/>
        <v>13.126619031179249</v>
      </c>
      <c r="J167" s="39">
        <f t="shared" si="354"/>
        <v>16.086962970131705</v>
      </c>
      <c r="K167" s="39">
        <f t="shared" si="355"/>
        <v>16.086962970131705</v>
      </c>
      <c r="L167" s="39">
        <f t="shared" si="356"/>
        <v>16.086962970131705</v>
      </c>
      <c r="M167" s="297">
        <f t="shared" si="357"/>
        <v>15.646749431047624</v>
      </c>
      <c r="N167" s="301" t="str">
        <f t="shared" si="358"/>
        <v>Metro Rail</v>
      </c>
      <c r="O167" s="8">
        <f t="shared" ref="O167:R167" si="388">O155</f>
        <v>8.6741621423932465</v>
      </c>
      <c r="P167" s="8">
        <f t="shared" si="388"/>
        <v>8.8749083635056305</v>
      </c>
      <c r="Q167" s="8">
        <f t="shared" si="388"/>
        <v>9.0239745751619225</v>
      </c>
      <c r="R167" s="8">
        <f t="shared" si="388"/>
        <v>9.1535777190606566</v>
      </c>
      <c r="S167" s="328">
        <f t="shared" ref="S167:W168" si="389">S155</f>
        <v>9.1224806230591735</v>
      </c>
      <c r="T167" s="328">
        <f t="shared" si="389"/>
        <v>8.6819385344299089</v>
      </c>
      <c r="U167" s="328">
        <f t="shared" ref="U167:V167" si="390">U155</f>
        <v>7.7224397532885929</v>
      </c>
      <c r="V167" s="328">
        <f t="shared" si="390"/>
        <v>7.5457987572910374</v>
      </c>
      <c r="W167" s="328">
        <f t="shared" si="389"/>
        <v>7.4230089457159902</v>
      </c>
      <c r="X167" s="273" t="s">
        <v>782</v>
      </c>
      <c r="Y167" s="8">
        <f t="shared" si="362"/>
        <v>8.6741621423932465</v>
      </c>
      <c r="Z167" s="8">
        <f t="shared" si="362"/>
        <v>8.8749083635056305</v>
      </c>
      <c r="AA167" s="8">
        <f t="shared" si="362"/>
        <v>9.0239745751619225</v>
      </c>
      <c r="AB167" s="8">
        <f t="shared" si="362"/>
        <v>9.1535777190606566</v>
      </c>
      <c r="AC167" s="328">
        <f t="shared" ref="AC167:AG167" si="391">AC155</f>
        <v>13.126619031179249</v>
      </c>
      <c r="AD167" s="328">
        <f t="shared" si="391"/>
        <v>16.086962970131705</v>
      </c>
      <c r="AE167" s="328">
        <f t="shared" si="391"/>
        <v>15.027804923946704</v>
      </c>
      <c r="AF167" s="328">
        <f t="shared" si="391"/>
        <v>14.882053770747001</v>
      </c>
      <c r="AG167" s="328">
        <f t="shared" si="391"/>
        <v>15.646749431047624</v>
      </c>
      <c r="AK167" s="8">
        <f t="shared" si="378"/>
        <v>2.6612778561815613</v>
      </c>
      <c r="AL167" s="8">
        <f t="shared" si="378"/>
        <v>3.7514212444862323</v>
      </c>
      <c r="AM167" s="8">
        <f t="shared" si="379"/>
        <v>5.4964010986015728</v>
      </c>
      <c r="AN167" s="8">
        <f t="shared" si="379"/>
        <v>5.6745070290602682</v>
      </c>
      <c r="AO167" s="8">
        <f t="shared" si="379"/>
        <v>0</v>
      </c>
      <c r="AP167" s="8"/>
      <c r="AQ167" s="8">
        <f t="shared" si="380"/>
        <v>0.88709261872718714</v>
      </c>
      <c r="AR167" s="8">
        <f t="shared" si="380"/>
        <v>2.5009474963241547</v>
      </c>
      <c r="AS167" s="8">
        <f>SUM(W$161:W$162)*(1-AS$161)*AS178</f>
        <v>5.6745070290602682</v>
      </c>
      <c r="AT167" s="8"/>
      <c r="AU167" s="8">
        <f t="shared" si="381"/>
        <v>2.6612778561815613</v>
      </c>
      <c r="AV167" s="8">
        <f t="shared" si="381"/>
        <v>4.6892765556077913</v>
      </c>
      <c r="AW167" s="8">
        <f>SUM(W$161:W$162)*(1-AW$161)*AW178</f>
        <v>8.5117605435904053</v>
      </c>
    </row>
    <row r="168" spans="1:50" ht="15.75" thickBot="1">
      <c r="A168" t="s">
        <v>16</v>
      </c>
      <c r="B168" t="s">
        <v>121</v>
      </c>
      <c r="C168" t="s">
        <v>71</v>
      </c>
      <c r="D168" t="s">
        <v>75</v>
      </c>
      <c r="E168" s="39">
        <f t="shared" si="354"/>
        <v>0.64854136839212595</v>
      </c>
      <c r="F168" s="39">
        <f t="shared" si="354"/>
        <v>0.6995709084876961</v>
      </c>
      <c r="G168" s="39">
        <f t="shared" si="354"/>
        <v>0.64248252977129328</v>
      </c>
      <c r="H168" s="39">
        <f t="shared" si="354"/>
        <v>0.6528281316673451</v>
      </c>
      <c r="I168" s="39">
        <f t="shared" si="354"/>
        <v>1.610210986386059</v>
      </c>
      <c r="J168" s="39">
        <f t="shared" si="354"/>
        <v>2.8089920653060978</v>
      </c>
      <c r="K168" s="39">
        <f t="shared" si="355"/>
        <v>2.8089920653060978</v>
      </c>
      <c r="L168" s="39">
        <f t="shared" si="356"/>
        <v>2.8089920653060978</v>
      </c>
      <c r="M168" s="297">
        <f t="shared" si="357"/>
        <v>6.9301888327392636</v>
      </c>
      <c r="N168" s="306" t="str">
        <f t="shared" si="358"/>
        <v>Gautrain</v>
      </c>
      <c r="O168" s="307">
        <f t="shared" ref="O168:R168" si="392">O156</f>
        <v>0.64854136839212595</v>
      </c>
      <c r="P168" s="307">
        <f t="shared" si="392"/>
        <v>0.6995709084876961</v>
      </c>
      <c r="Q168" s="307">
        <f t="shared" si="392"/>
        <v>0.64248252977129328</v>
      </c>
      <c r="R168" s="307">
        <f t="shared" si="392"/>
        <v>0.6528281316673451</v>
      </c>
      <c r="S168" s="329">
        <f t="shared" si="389"/>
        <v>0.91068205290937376</v>
      </c>
      <c r="T168" s="329">
        <f t="shared" si="389"/>
        <v>1.2038134916712031</v>
      </c>
      <c r="U168" s="329">
        <f t="shared" ref="U168:V168" si="393">U156</f>
        <v>1.4057825304383706</v>
      </c>
      <c r="V168" s="329">
        <f t="shared" si="393"/>
        <v>1.5316476978095188</v>
      </c>
      <c r="W168" s="329">
        <f t="shared" si="389"/>
        <v>1.6059537886070023</v>
      </c>
      <c r="X168" s="339" t="s">
        <v>784</v>
      </c>
      <c r="Y168" s="307">
        <f t="shared" si="362"/>
        <v>0.64854136839212595</v>
      </c>
      <c r="Z168" s="307">
        <f t="shared" si="362"/>
        <v>0.6995709084876961</v>
      </c>
      <c r="AA168" s="307">
        <f t="shared" si="362"/>
        <v>0.64248252977129328</v>
      </c>
      <c r="AB168" s="307">
        <f t="shared" si="362"/>
        <v>0.6528281316673451</v>
      </c>
      <c r="AC168" s="329">
        <f t="shared" ref="AC168:AG168" si="394">AC156</f>
        <v>1.610210986386059</v>
      </c>
      <c r="AD168" s="329">
        <f t="shared" si="394"/>
        <v>2.8089920653060978</v>
      </c>
      <c r="AE168" s="329">
        <f t="shared" si="394"/>
        <v>4.729195272103615</v>
      </c>
      <c r="AF168" s="329">
        <f t="shared" si="394"/>
        <v>6.0843487560592608</v>
      </c>
      <c r="AG168" s="329">
        <f t="shared" si="394"/>
        <v>6.9301888327392636</v>
      </c>
      <c r="AK168" s="8">
        <f t="shared" si="378"/>
        <v>0.26567093771660411</v>
      </c>
      <c r="AL168" s="8">
        <f t="shared" si="378"/>
        <v>0.37449813723045267</v>
      </c>
      <c r="AM168" s="8">
        <f t="shared" si="379"/>
        <v>0.54869657091244772</v>
      </c>
      <c r="AN168" s="8">
        <f t="shared" si="379"/>
        <v>0.56647658942796708</v>
      </c>
      <c r="AO168" s="8">
        <f t="shared" si="379"/>
        <v>0</v>
      </c>
      <c r="AP168" s="8"/>
      <c r="AQ168" s="8">
        <f t="shared" si="380"/>
        <v>8.855697923886803E-2</v>
      </c>
      <c r="AR168" s="8">
        <f t="shared" si="380"/>
        <v>0.24966542482030174</v>
      </c>
      <c r="AS168" s="8">
        <f>SUM(W$161:W$162)*(1-AS$161)*AS179</f>
        <v>0.56647658942796708</v>
      </c>
      <c r="AT168" s="8"/>
      <c r="AU168" s="8">
        <f t="shared" si="381"/>
        <v>0.26567093771660411</v>
      </c>
      <c r="AV168" s="8">
        <f t="shared" si="381"/>
        <v>0.46812267153806592</v>
      </c>
      <c r="AW168" s="8">
        <f>SUM(W$161:W$162)*(1-AW$161)*AW179</f>
        <v>0.84971488414195084</v>
      </c>
    </row>
    <row r="169" spans="1:50" ht="15.75" thickTop="1">
      <c r="A169" t="s">
        <v>16</v>
      </c>
      <c r="C169" s="4" t="s">
        <v>5</v>
      </c>
      <c r="E169" s="8">
        <f t="shared" ref="E169:M169" si="395">SUM(E161:E168)</f>
        <v>269.10909348688449</v>
      </c>
      <c r="F169" s="8">
        <f t="shared" si="395"/>
        <v>279.81127922002509</v>
      </c>
      <c r="G169" s="8">
        <f t="shared" si="395"/>
        <v>270.85917031016783</v>
      </c>
      <c r="H169" s="8">
        <f t="shared" si="395"/>
        <v>279.2053518992534</v>
      </c>
      <c r="I169" s="8">
        <f t="shared" si="395"/>
        <v>319.32260508110676</v>
      </c>
      <c r="J169" s="8">
        <f t="shared" si="395"/>
        <v>370.52830338752375</v>
      </c>
      <c r="K169" s="8">
        <f t="shared" ref="K169:L169" si="396">SUM(K161:K168)</f>
        <v>370.52830338752375</v>
      </c>
      <c r="L169" s="8">
        <f t="shared" si="396"/>
        <v>370.52830338752375</v>
      </c>
      <c r="M169" s="8">
        <f t="shared" si="395"/>
        <v>453.42301037528659</v>
      </c>
      <c r="N169" s="31"/>
      <c r="O169" s="8">
        <f t="shared" ref="O169:R169" si="397">SUM(O161:O168)</f>
        <v>269.10909348688449</v>
      </c>
      <c r="P169" s="8">
        <f t="shared" si="397"/>
        <v>279.81127922002509</v>
      </c>
      <c r="Q169" s="8">
        <f t="shared" si="397"/>
        <v>270.85917031016783</v>
      </c>
      <c r="R169" s="8">
        <f t="shared" si="397"/>
        <v>279.2053518992534</v>
      </c>
      <c r="S169" s="8">
        <f>SUM(S161:S168)</f>
        <v>340.06841879095253</v>
      </c>
      <c r="T169" s="8">
        <f>SUM(T161:T168)</f>
        <v>417.90555839066923</v>
      </c>
      <c r="U169" s="8">
        <f>SUM(U161:U168)</f>
        <v>505.16611767295331</v>
      </c>
      <c r="V169" s="8">
        <f>SUM(V161:V168)</f>
        <v>536.02539259925413</v>
      </c>
      <c r="W169" s="8">
        <f>SUM(W161:W168)</f>
        <v>548.03602922897937</v>
      </c>
      <c r="Y169" s="8">
        <f t="shared" ref="Y169:AB169" si="398">SUM(Y161:Y168)</f>
        <v>269.10909348688449</v>
      </c>
      <c r="Z169" s="8">
        <f t="shared" si="398"/>
        <v>279.81127922002509</v>
      </c>
      <c r="AA169" s="8">
        <f t="shared" si="398"/>
        <v>270.85917031016783</v>
      </c>
      <c r="AB169" s="8">
        <f t="shared" si="398"/>
        <v>279.2053518992534</v>
      </c>
      <c r="AC169" s="8">
        <f>SUM(AC161:AC168)</f>
        <v>319.32260508110676</v>
      </c>
      <c r="AD169" s="8">
        <f>SUM(AD161:AD168)</f>
        <v>370.52830338752375</v>
      </c>
      <c r="AE169" s="8">
        <f>SUM(AE161:AE168)</f>
        <v>439.53365258789239</v>
      </c>
      <c r="AF169" s="8">
        <f>SUM(AF161:AF168)</f>
        <v>465.38163597317083</v>
      </c>
      <c r="AG169" s="8">
        <f>SUM(AG161:AG168)</f>
        <v>453.42301037528659</v>
      </c>
      <c r="AU169" t="s">
        <v>599</v>
      </c>
    </row>
    <row r="170" spans="1:50" ht="15.75" thickBot="1">
      <c r="A170" t="s">
        <v>16</v>
      </c>
      <c r="C170" t="s">
        <v>776</v>
      </c>
      <c r="J170"/>
      <c r="N170" s="32"/>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0.51376143467802138</v>
      </c>
      <c r="S170" s="107">
        <f t="shared" ref="S170" si="403">SUM(S161:S163)/S169</f>
        <v>0.60059904638401884</v>
      </c>
      <c r="T170" s="107">
        <f t="shared" ref="T170" si="404">SUM(T161:T163)/T169</f>
        <v>0.68893524940535955</v>
      </c>
      <c r="U170" s="107">
        <f>SUM(U161:U163)/U169</f>
        <v>0.76934953407089801</v>
      </c>
      <c r="V170" s="107">
        <f t="shared" ref="V170" si="405">SUM(V161:V163)/V169</f>
        <v>0.78696202195905396</v>
      </c>
      <c r="W170" s="107">
        <f t="shared" ref="W170" si="406">SUM(W161:W163)/W169</f>
        <v>0.79465706220480359</v>
      </c>
      <c r="Y170" s="107">
        <f t="shared" ref="Y170:AD170" si="407">SUM(Y161:Y163)/Y169</f>
        <v>0.52503386937918872</v>
      </c>
      <c r="Z170" s="107">
        <f t="shared" si="407"/>
        <v>0.52920972009328504</v>
      </c>
      <c r="AA170" s="107">
        <f t="shared" si="407"/>
        <v>0.50594414611115546</v>
      </c>
      <c r="AB170" s="107">
        <f t="shared" si="407"/>
        <v>0.51376143467802138</v>
      </c>
      <c r="AC170" s="107">
        <f t="shared" si="407"/>
        <v>0.55375139662368544</v>
      </c>
      <c r="AD170" s="107">
        <f t="shared" si="407"/>
        <v>0.60698488530425276</v>
      </c>
      <c r="AE170" s="107">
        <f>SUM(AE161:AE163)/AE169</f>
        <v>0.68490296761155844</v>
      </c>
      <c r="AF170" s="107">
        <f t="shared" ref="AF170" si="408">SUM(AF161:AF163)/AF169</f>
        <v>0.70201945154176537</v>
      </c>
      <c r="AG170" s="107">
        <f t="shared" ref="AG170" si="409">SUM(AG161:AG163)/AG169</f>
        <v>0.67754905442446267</v>
      </c>
      <c r="AK170" s="2">
        <v>1</v>
      </c>
      <c r="AL170" s="2">
        <v>1</v>
      </c>
      <c r="AM170" s="2">
        <v>1</v>
      </c>
      <c r="AN170" s="2">
        <v>1</v>
      </c>
      <c r="AO170" s="2">
        <v>1</v>
      </c>
      <c r="AP170" s="2"/>
      <c r="AQ170" s="2">
        <v>2</v>
      </c>
      <c r="AR170" s="2">
        <v>2</v>
      </c>
      <c r="AS170" s="2">
        <v>2</v>
      </c>
      <c r="AU170" s="2">
        <v>2</v>
      </c>
      <c r="AV170" s="2">
        <v>2</v>
      </c>
      <c r="AW170" s="2">
        <v>2</v>
      </c>
    </row>
    <row r="171" spans="1:50" ht="15.75" thickBot="1">
      <c r="A171" t="s">
        <v>16</v>
      </c>
      <c r="C171" s="2" t="s">
        <v>131</v>
      </c>
      <c r="D171" s="2"/>
      <c r="E171" s="2">
        <f>E4</f>
        <v>2017</v>
      </c>
      <c r="F171" s="2">
        <f t="shared" ref="F171:H171" si="410">F4</f>
        <v>2019</v>
      </c>
      <c r="G171" s="2">
        <f t="shared" si="410"/>
        <v>2020</v>
      </c>
      <c r="H171" s="2">
        <f t="shared" si="410"/>
        <v>2021</v>
      </c>
      <c r="I171" s="2">
        <v>2030</v>
      </c>
      <c r="J171" s="2">
        <v>2040</v>
      </c>
      <c r="K171" s="2">
        <v>2050</v>
      </c>
      <c r="L171" s="2">
        <v>2050</v>
      </c>
      <c r="M171" s="2">
        <v>2050</v>
      </c>
      <c r="N171" s="2"/>
      <c r="O171" s="236">
        <f t="shared" ref="O171:W171" si="411">O160</f>
        <v>2017</v>
      </c>
      <c r="P171" s="236">
        <f t="shared" si="411"/>
        <v>2019</v>
      </c>
      <c r="Q171" s="236">
        <f t="shared" si="411"/>
        <v>2020</v>
      </c>
      <c r="R171" s="236">
        <f t="shared" si="411"/>
        <v>2021</v>
      </c>
      <c r="S171" s="236">
        <f t="shared" si="411"/>
        <v>2030</v>
      </c>
      <c r="T171" s="236">
        <f t="shared" si="411"/>
        <v>2040</v>
      </c>
      <c r="U171" s="236">
        <f t="shared" ref="U171:V171" si="412">U160</f>
        <v>2050</v>
      </c>
      <c r="V171" s="236">
        <f t="shared" si="412"/>
        <v>2060</v>
      </c>
      <c r="W171" s="236">
        <f t="shared" si="411"/>
        <v>2070</v>
      </c>
      <c r="Y171" s="236">
        <f t="shared" ref="Y171:AG171" si="413">Y160</f>
        <v>2017</v>
      </c>
      <c r="Z171" s="236">
        <f t="shared" si="413"/>
        <v>2019</v>
      </c>
      <c r="AA171" s="236">
        <f t="shared" si="413"/>
        <v>2020</v>
      </c>
      <c r="AB171" s="236">
        <f t="shared" si="413"/>
        <v>2021</v>
      </c>
      <c r="AC171" s="236">
        <f t="shared" si="413"/>
        <v>2030</v>
      </c>
      <c r="AD171" s="236">
        <f t="shared" si="413"/>
        <v>2040</v>
      </c>
      <c r="AE171" s="236">
        <f t="shared" ref="AE171:AF171" si="414">AE160</f>
        <v>2050</v>
      </c>
      <c r="AF171" s="236">
        <f t="shared" si="414"/>
        <v>2060</v>
      </c>
      <c r="AG171" s="236">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50">
      <c r="A172" t="s">
        <v>16</v>
      </c>
      <c r="B172" t="str">
        <f t="shared" ref="B172:C179" si="415">B161</f>
        <v>TPPRCAR</v>
      </c>
      <c r="C172" t="str">
        <f t="shared" si="415"/>
        <v>Car</v>
      </c>
      <c r="E172" s="46">
        <f t="shared" ref="E172:E179" si="416">E161/E$169</f>
        <v>0.42002709550335088</v>
      </c>
      <c r="F172" s="46">
        <f>F161/F$169</f>
        <v>0.423367776074628</v>
      </c>
      <c r="G172" s="46">
        <f t="shared" ref="G172:H172" si="417">G161/G$169</f>
        <v>0.4047553168889243</v>
      </c>
      <c r="H172" s="46">
        <f t="shared" si="417"/>
        <v>0.41100914774241709</v>
      </c>
      <c r="I172" s="46">
        <f t="shared" ref="I172:M179" si="418">I161/I$169</f>
        <v>0.44300111729894837</v>
      </c>
      <c r="J172" s="46">
        <f t="shared" si="418"/>
        <v>0.48558790824340214</v>
      </c>
      <c r="K172" s="46">
        <f t="shared" ref="K172:L172" si="419">K161/K$169</f>
        <v>0.48558790824340214</v>
      </c>
      <c r="L172" s="46">
        <f t="shared" si="419"/>
        <v>0.48558790824340214</v>
      </c>
      <c r="M172" s="46">
        <f t="shared" si="418"/>
        <v>0.54203924353957011</v>
      </c>
      <c r="N172" s="32" t="str">
        <f>C172</f>
        <v>Car</v>
      </c>
      <c r="O172" s="46">
        <f t="shared" ref="O172:R172" si="420">O161/O$169</f>
        <v>0.42002709550335088</v>
      </c>
      <c r="P172" s="46">
        <f t="shared" si="420"/>
        <v>0.423367776074628</v>
      </c>
      <c r="Q172" s="46">
        <f t="shared" si="420"/>
        <v>0.4047553168889243</v>
      </c>
      <c r="R172" s="46">
        <f t="shared" si="420"/>
        <v>0.41100914774241709</v>
      </c>
      <c r="S172" s="243">
        <f t="shared" ref="S172:W179" si="421">S161/S$169</f>
        <v>0.48047923710721502</v>
      </c>
      <c r="T172" s="243">
        <f t="shared" si="421"/>
        <v>0.55114819952428762</v>
      </c>
      <c r="U172" s="243">
        <f t="shared" ref="U172:V172" si="422">U161/U$169</f>
        <v>0.61547962725671834</v>
      </c>
      <c r="V172" s="243">
        <f t="shared" si="422"/>
        <v>0.62956961756724317</v>
      </c>
      <c r="W172" s="243">
        <f t="shared" si="421"/>
        <v>0.63572564976384283</v>
      </c>
      <c r="Y172" s="46">
        <f t="shared" ref="Y172:AB179" si="423">O172</f>
        <v>0.42002709550335088</v>
      </c>
      <c r="Z172" s="46">
        <f t="shared" si="423"/>
        <v>0.423367776074628</v>
      </c>
      <c r="AA172" s="46">
        <f t="shared" si="423"/>
        <v>0.4047553168889243</v>
      </c>
      <c r="AB172" s="46">
        <f t="shared" si="423"/>
        <v>0.41100914774241709</v>
      </c>
      <c r="AC172" s="46">
        <f t="shared" ref="AC172:AG179" si="424">AC161/AC$169</f>
        <v>0.44300111729894837</v>
      </c>
      <c r="AD172" s="46">
        <f t="shared" si="424"/>
        <v>0.48558790824340214</v>
      </c>
      <c r="AE172" s="46">
        <f t="shared" ref="AE172:AF172" si="425">AE161/AE$169</f>
        <v>0.5479223740892466</v>
      </c>
      <c r="AF172" s="46">
        <f t="shared" si="425"/>
        <v>0.56161556123341227</v>
      </c>
      <c r="AG172" s="46">
        <f t="shared" si="424"/>
        <v>0.54203924353957011</v>
      </c>
      <c r="AK172" s="64"/>
      <c r="AL172" s="64"/>
      <c r="AM172" s="64"/>
      <c r="AN172" s="64"/>
      <c r="AO172" s="64"/>
      <c r="AQ172" s="64"/>
      <c r="AR172" s="64"/>
      <c r="AS172" s="64"/>
      <c r="AU172" s="192"/>
      <c r="AV172" s="192"/>
      <c r="AW172" s="192"/>
    </row>
    <row r="173" spans="1:50">
      <c r="A173" t="s">
        <v>16</v>
      </c>
      <c r="B173" t="str">
        <f t="shared" si="415"/>
        <v>TPPRSUV</v>
      </c>
      <c r="C173" t="str">
        <f t="shared" si="415"/>
        <v>SUV</v>
      </c>
      <c r="E173" s="46">
        <f t="shared" si="416"/>
        <v>8.9255757794462084E-2</v>
      </c>
      <c r="F173" s="46">
        <f t="shared" ref="F173:H173" si="426">F162/F$169</f>
        <v>8.9965652415858466E-2</v>
      </c>
      <c r="G173" s="46">
        <f t="shared" si="426"/>
        <v>8.6010504838896426E-2</v>
      </c>
      <c r="H173" s="46">
        <f t="shared" si="426"/>
        <v>8.7339443895263644E-2</v>
      </c>
      <c r="I173" s="46">
        <f t="shared" si="418"/>
        <v>9.413773742602656E-2</v>
      </c>
      <c r="J173" s="46">
        <f t="shared" si="418"/>
        <v>0.10318743050172297</v>
      </c>
      <c r="K173" s="46">
        <f t="shared" ref="K173:L173" si="427">K162/K$169</f>
        <v>0.10318743050172297</v>
      </c>
      <c r="L173" s="46">
        <f t="shared" si="427"/>
        <v>0.10318743050172297</v>
      </c>
      <c r="M173" s="46">
        <f t="shared" si="418"/>
        <v>0.11518333925215866</v>
      </c>
      <c r="N173" s="32"/>
      <c r="O173" s="46">
        <f t="shared" ref="O173:R173" si="428">O162/O$169</f>
        <v>8.9255757794462084E-2</v>
      </c>
      <c r="P173" s="46">
        <f t="shared" si="428"/>
        <v>8.9965652415858466E-2</v>
      </c>
      <c r="Q173" s="46">
        <f t="shared" si="428"/>
        <v>8.6010504838896426E-2</v>
      </c>
      <c r="R173" s="46">
        <f t="shared" si="428"/>
        <v>8.7339443895263644E-2</v>
      </c>
      <c r="S173" s="243">
        <f t="shared" si="421"/>
        <v>0.10210183788528321</v>
      </c>
      <c r="T173" s="243">
        <f t="shared" si="421"/>
        <v>0.11711899239891115</v>
      </c>
      <c r="U173" s="243">
        <f t="shared" ref="U173:V173" si="429">U162/U$169</f>
        <v>0.13078942079205266</v>
      </c>
      <c r="V173" s="243">
        <f t="shared" si="429"/>
        <v>0.13378354373303919</v>
      </c>
      <c r="W173" s="243">
        <f t="shared" si="421"/>
        <v>0.13509170057481662</v>
      </c>
      <c r="Y173" s="46">
        <f t="shared" si="423"/>
        <v>8.9255757794462084E-2</v>
      </c>
      <c r="Z173" s="46">
        <f t="shared" si="423"/>
        <v>8.9965652415858466E-2</v>
      </c>
      <c r="AA173" s="46">
        <f t="shared" si="423"/>
        <v>8.6010504838896426E-2</v>
      </c>
      <c r="AB173" s="46">
        <f t="shared" si="423"/>
        <v>8.7339443895263644E-2</v>
      </c>
      <c r="AC173" s="243">
        <f t="shared" si="424"/>
        <v>9.413773742602656E-2</v>
      </c>
      <c r="AD173" s="243">
        <f t="shared" si="424"/>
        <v>0.10318743050172297</v>
      </c>
      <c r="AE173" s="243">
        <f t="shared" ref="AE173:AF173" si="430">AE162/AE$169</f>
        <v>0.11643350449396493</v>
      </c>
      <c r="AF173" s="243">
        <f t="shared" si="430"/>
        <v>0.11934330676210012</v>
      </c>
      <c r="AG173" s="243">
        <f t="shared" si="424"/>
        <v>0.11518333925215866</v>
      </c>
      <c r="AK173" s="64"/>
      <c r="AL173" s="64"/>
      <c r="AM173" s="64"/>
      <c r="AN173" s="64"/>
      <c r="AO173" s="64"/>
      <c r="AQ173" s="64"/>
      <c r="AR173" s="64"/>
      <c r="AS173" s="64"/>
      <c r="AU173" s="192"/>
      <c r="AV173" s="192"/>
      <c r="AW173" s="192"/>
    </row>
    <row r="174" spans="1:50">
      <c r="A174" t="s">
        <v>16</v>
      </c>
      <c r="B174" t="str">
        <f t="shared" si="415"/>
        <v>TPPRMOT</v>
      </c>
      <c r="C174" t="str">
        <f t="shared" si="415"/>
        <v>Motorbike</v>
      </c>
      <c r="E174" s="46">
        <f t="shared" si="416"/>
        <v>1.5751016081375663E-2</v>
      </c>
      <c r="F174" s="46">
        <f t="shared" ref="F174:H174" si="431">F163/F$169</f>
        <v>1.5876291602798551E-2</v>
      </c>
      <c r="G174" s="46">
        <f t="shared" si="431"/>
        <v>1.5178324383334661E-2</v>
      </c>
      <c r="H174" s="46">
        <f t="shared" si="431"/>
        <v>1.5412843040340641E-2</v>
      </c>
      <c r="I174" s="46">
        <f t="shared" si="418"/>
        <v>1.6612541898710566E-2</v>
      </c>
      <c r="J174" s="46">
        <f t="shared" si="418"/>
        <v>1.8209546559127581E-2</v>
      </c>
      <c r="K174" s="46">
        <f t="shared" ref="K174:L174" si="432">K163/K$169</f>
        <v>1.8209546559127581E-2</v>
      </c>
      <c r="L174" s="46">
        <f t="shared" si="432"/>
        <v>1.8209546559127581E-2</v>
      </c>
      <c r="M174" s="46">
        <f t="shared" si="418"/>
        <v>2.0326471632733881E-2</v>
      </c>
      <c r="N174" s="32"/>
      <c r="O174" s="46">
        <f t="shared" ref="O174:R174" si="433">O163/O$169</f>
        <v>1.5751016081375663E-2</v>
      </c>
      <c r="P174" s="46">
        <f t="shared" si="433"/>
        <v>1.5876291602798551E-2</v>
      </c>
      <c r="Q174" s="46">
        <f t="shared" si="433"/>
        <v>1.5178324383334661E-2</v>
      </c>
      <c r="R174" s="46">
        <f t="shared" si="433"/>
        <v>1.5412843040340641E-2</v>
      </c>
      <c r="S174" s="243">
        <f t="shared" si="421"/>
        <v>1.8017971391520563E-2</v>
      </c>
      <c r="T174" s="243">
        <f t="shared" si="421"/>
        <v>2.0668057482160787E-2</v>
      </c>
      <c r="U174" s="243">
        <f t="shared" ref="U174:V174" si="434">U163/U$169</f>
        <v>2.308048602212694E-2</v>
      </c>
      <c r="V174" s="243">
        <f t="shared" si="434"/>
        <v>2.3608860658771619E-2</v>
      </c>
      <c r="W174" s="243">
        <f t="shared" si="421"/>
        <v>2.3839711866144107E-2</v>
      </c>
      <c r="Y174" s="46">
        <f t="shared" si="423"/>
        <v>1.5751016081375663E-2</v>
      </c>
      <c r="Z174" s="46">
        <f t="shared" si="423"/>
        <v>1.5876291602798551E-2</v>
      </c>
      <c r="AA174" s="46">
        <f t="shared" si="423"/>
        <v>1.5178324383334661E-2</v>
      </c>
      <c r="AB174" s="46">
        <f t="shared" si="423"/>
        <v>1.5412843040340641E-2</v>
      </c>
      <c r="AC174" s="243">
        <f t="shared" si="424"/>
        <v>1.6612541898710566E-2</v>
      </c>
      <c r="AD174" s="243">
        <f t="shared" si="424"/>
        <v>1.8209546559127581E-2</v>
      </c>
      <c r="AE174" s="243">
        <f t="shared" ref="AE174:AF174" si="435">AE163/AE$169</f>
        <v>2.0547089028346753E-2</v>
      </c>
      <c r="AF174" s="243">
        <f t="shared" si="435"/>
        <v>2.106058354625296E-2</v>
      </c>
      <c r="AG174" s="243">
        <f t="shared" si="424"/>
        <v>2.0326471632733881E-2</v>
      </c>
      <c r="AK174" s="64"/>
      <c r="AL174" s="64"/>
      <c r="AM174" s="64"/>
      <c r="AN174" s="64"/>
      <c r="AO174" s="64"/>
      <c r="AQ174" s="64"/>
      <c r="AR174" s="64"/>
      <c r="AS174" s="64"/>
    </row>
    <row r="175" spans="1:50">
      <c r="A175" t="s">
        <v>16</v>
      </c>
      <c r="B175" t="str">
        <f t="shared" si="415"/>
        <v>TPPUBUS</v>
      </c>
      <c r="C175" t="str">
        <f t="shared" si="415"/>
        <v>Bus</v>
      </c>
      <c r="E175" s="46">
        <f t="shared" si="416"/>
        <v>5.9528360561136653E-2</v>
      </c>
      <c r="F175" s="46">
        <f t="shared" ref="F175:H175" si="436">F164/F$169</f>
        <v>5.8576500173918848E-2</v>
      </c>
      <c r="G175" s="46">
        <f t="shared" si="436"/>
        <v>6.1528889749070191E-2</v>
      </c>
      <c r="H175" s="46">
        <f t="shared" si="436"/>
        <v>6.0546897456088364E-2</v>
      </c>
      <c r="I175" s="46">
        <f t="shared" si="418"/>
        <v>5.5300679279752483E-2</v>
      </c>
      <c r="J175" s="46">
        <f t="shared" si="418"/>
        <v>4.8248707935617814E-2</v>
      </c>
      <c r="K175" s="46">
        <f t="shared" ref="K175:L175" si="437">K164/K$169</f>
        <v>4.8248707935617814E-2</v>
      </c>
      <c r="L175" s="46">
        <f t="shared" si="437"/>
        <v>4.8248707935617814E-2</v>
      </c>
      <c r="M175" s="46">
        <f t="shared" si="418"/>
        <v>3.8348959523859902E-2</v>
      </c>
      <c r="N175" s="32"/>
      <c r="O175" s="46">
        <f t="shared" ref="O175:R175" si="438">O164/O$169</f>
        <v>5.9528360561136653E-2</v>
      </c>
      <c r="P175" s="46">
        <f t="shared" si="438"/>
        <v>5.8576500173918848E-2</v>
      </c>
      <c r="Q175" s="46">
        <f t="shared" si="438"/>
        <v>6.1528889749070191E-2</v>
      </c>
      <c r="R175" s="46">
        <f t="shared" si="438"/>
        <v>6.0546897456088364E-2</v>
      </c>
      <c r="S175" s="243">
        <f t="shared" si="421"/>
        <v>4.954175723382595E-2</v>
      </c>
      <c r="T175" s="243">
        <f t="shared" si="421"/>
        <v>3.8367483820382887E-2</v>
      </c>
      <c r="U175" s="243">
        <f t="shared" ref="U175:V175" si="439">U164/U$169</f>
        <v>2.8232222897765526E-2</v>
      </c>
      <c r="V175" s="243">
        <f t="shared" si="439"/>
        <v>2.5998279857211346E-2</v>
      </c>
      <c r="W175" s="243">
        <f t="shared" si="421"/>
        <v>2.5014719210109872E-2</v>
      </c>
      <c r="Y175" s="46">
        <f t="shared" si="423"/>
        <v>5.9528360561136653E-2</v>
      </c>
      <c r="Z175" s="46">
        <f t="shared" si="423"/>
        <v>5.8576500173918848E-2</v>
      </c>
      <c r="AA175" s="46">
        <f t="shared" si="423"/>
        <v>6.1528889749070191E-2</v>
      </c>
      <c r="AB175" s="46">
        <f t="shared" si="423"/>
        <v>6.0546897456088364E-2</v>
      </c>
      <c r="AC175" s="243">
        <f t="shared" si="424"/>
        <v>5.5300679279752483E-2</v>
      </c>
      <c r="AD175" s="243">
        <f t="shared" si="424"/>
        <v>4.8248707935617814E-2</v>
      </c>
      <c r="AE175" s="243">
        <f t="shared" ref="AE175:AF175" si="440">AE164/AE$169</f>
        <v>3.7995873244141866E-2</v>
      </c>
      <c r="AF175" s="243">
        <f t="shared" si="440"/>
        <v>3.5537481029797646E-2</v>
      </c>
      <c r="AG175" s="243">
        <f t="shared" si="424"/>
        <v>3.8348959523859902E-2</v>
      </c>
      <c r="AI175" s="209">
        <f>S175</f>
        <v>4.954175723382595E-2</v>
      </c>
      <c r="AK175" s="244">
        <f>AI175/$AI$180</f>
        <v>0.1240401576042798</v>
      </c>
      <c r="AL175" s="244">
        <f>AK175</f>
        <v>0.1240401576042798</v>
      </c>
      <c r="AM175" s="244">
        <f>AK175</f>
        <v>0.1240401576042798</v>
      </c>
      <c r="AN175" s="244">
        <f>AL175</f>
        <v>0.1240401576042798</v>
      </c>
      <c r="AO175" s="244">
        <f>AN175</f>
        <v>0.1240401576042798</v>
      </c>
      <c r="AP175" s="245"/>
      <c r="AQ175" s="244">
        <f>AK175</f>
        <v>0.1240401576042798</v>
      </c>
      <c r="AR175" s="244">
        <f>AL175</f>
        <v>0.1240401576042798</v>
      </c>
      <c r="AS175" s="244">
        <f>AN175</f>
        <v>0.1240401576042798</v>
      </c>
      <c r="AT175" s="245"/>
      <c r="AU175" s="244">
        <f>AQ175</f>
        <v>0.1240401576042798</v>
      </c>
      <c r="AV175" s="244">
        <f t="shared" ref="AV175:AW179" si="441">AR175</f>
        <v>0.1240401576042798</v>
      </c>
      <c r="AW175" s="244">
        <f t="shared" si="441"/>
        <v>0.1240401576042798</v>
      </c>
    </row>
    <row r="176" spans="1:50">
      <c r="A176" t="s">
        <v>16</v>
      </c>
      <c r="B176" t="str">
        <f t="shared" si="415"/>
        <v>TPPUMBT</v>
      </c>
      <c r="C176" t="str">
        <f t="shared" si="415"/>
        <v>Minibus</v>
      </c>
      <c r="E176" s="46">
        <f t="shared" si="416"/>
        <v>0.37403187426128903</v>
      </c>
      <c r="F176" s="46">
        <f t="shared" ref="F176:H176" si="442">F165/F$169</f>
        <v>0.36805109264207225</v>
      </c>
      <c r="G176" s="46">
        <f t="shared" si="442"/>
        <v>0.38660170945620786</v>
      </c>
      <c r="H176" s="46">
        <f t="shared" si="442"/>
        <v>0.38043160138684629</v>
      </c>
      <c r="I176" s="46">
        <f t="shared" si="418"/>
        <v>0.33630428745088919</v>
      </c>
      <c r="J176" s="46">
        <f t="shared" si="418"/>
        <v>0.2858679315246464</v>
      </c>
      <c r="K176" s="46">
        <f t="shared" ref="K176:L176" si="443">K165/K$169</f>
        <v>0.2858679315246464</v>
      </c>
      <c r="L176" s="46">
        <f t="shared" si="443"/>
        <v>0.2858679315246464</v>
      </c>
      <c r="M176" s="46">
        <f t="shared" si="418"/>
        <v>0.22721308412728264</v>
      </c>
      <c r="N176" s="32"/>
      <c r="O176" s="46">
        <f t="shared" ref="O176:R176" si="444">O165/O$169</f>
        <v>0.37403187426128903</v>
      </c>
      <c r="P176" s="46">
        <f t="shared" si="444"/>
        <v>0.36805109264207225</v>
      </c>
      <c r="Q176" s="46">
        <f t="shared" si="444"/>
        <v>0.38660170945620786</v>
      </c>
      <c r="R176" s="46">
        <f t="shared" si="444"/>
        <v>0.38043160138684629</v>
      </c>
      <c r="S176" s="243">
        <f t="shared" si="421"/>
        <v>0.31128349811238054</v>
      </c>
      <c r="T176" s="243">
        <f t="shared" si="421"/>
        <v>0.24107268785420541</v>
      </c>
      <c r="U176" s="243">
        <f t="shared" ref="U176:V176" si="445">U165/U$169</f>
        <v>0.17739025811350326</v>
      </c>
      <c r="V176" s="243">
        <f t="shared" si="445"/>
        <v>0.16335382414194605</v>
      </c>
      <c r="W176" s="243">
        <f t="shared" si="421"/>
        <v>0.15717386170358547</v>
      </c>
      <c r="Y176" s="46">
        <f t="shared" si="423"/>
        <v>0.37403187426128903</v>
      </c>
      <c r="Z176" s="46">
        <f t="shared" si="423"/>
        <v>0.36805109264207225</v>
      </c>
      <c r="AA176" s="46">
        <f t="shared" si="423"/>
        <v>0.38660170945620786</v>
      </c>
      <c r="AB176" s="46">
        <f t="shared" si="423"/>
        <v>0.38043160138684629</v>
      </c>
      <c r="AC176" s="243">
        <f t="shared" si="424"/>
        <v>0.33630428745088919</v>
      </c>
      <c r="AD176" s="243">
        <f t="shared" si="424"/>
        <v>0.2858679315246464</v>
      </c>
      <c r="AE176" s="243">
        <f t="shared" ref="AE176:AF176" si="446">AE165/AE$169</f>
        <v>0.22512108936200487</v>
      </c>
      <c r="AF176" s="243">
        <f t="shared" si="446"/>
        <v>0.21055540403570253</v>
      </c>
      <c r="AG176" s="243">
        <f t="shared" si="424"/>
        <v>0.22721308412728264</v>
      </c>
      <c r="AI176" s="209">
        <f>S176</f>
        <v>0.31128349811238054</v>
      </c>
      <c r="AK176" s="244">
        <f>1-SUM(AK177:AK179,AK175)</f>
        <v>0.77937595114426195</v>
      </c>
      <c r="AL176" s="244">
        <f t="shared" ref="AL176:AN176" si="447">1-SUM(AL177:AL179,AL175)</f>
        <v>0.77937595114426195</v>
      </c>
      <c r="AM176" s="244">
        <f t="shared" ref="AM176" si="448">1-SUM(AM177:AM179,AM175)</f>
        <v>0.77937595114426195</v>
      </c>
      <c r="AN176" s="244">
        <f t="shared" si="447"/>
        <v>0.77937595114426195</v>
      </c>
      <c r="AO176" s="244">
        <f t="shared" ref="AO176" si="449">1-SUM(AO177:AO179,AO175)</f>
        <v>0.77937595114426195</v>
      </c>
      <c r="AP176" s="245"/>
      <c r="AQ176" s="244">
        <f t="shared" ref="AQ176:AQ179" si="450">AK176</f>
        <v>0.77937595114426195</v>
      </c>
      <c r="AR176" s="244">
        <f>AL176</f>
        <v>0.77937595114426195</v>
      </c>
      <c r="AS176" s="244">
        <f>AN176</f>
        <v>0.77937595114426195</v>
      </c>
      <c r="AT176" s="245"/>
      <c r="AU176" s="244">
        <f t="shared" ref="AU176:AU178" si="451">AQ176</f>
        <v>0.77937595114426195</v>
      </c>
      <c r="AV176" s="244">
        <f t="shared" si="441"/>
        <v>0.77937595114426195</v>
      </c>
      <c r="AW176" s="244">
        <f t="shared" si="441"/>
        <v>0.77937595114426195</v>
      </c>
    </row>
    <row r="177" spans="1:51">
      <c r="A177" t="s">
        <v>16</v>
      </c>
      <c r="B177" t="str">
        <f t="shared" si="415"/>
        <v>TPPUBRT</v>
      </c>
      <c r="C177" t="str">
        <f t="shared" si="415"/>
        <v>BRT</v>
      </c>
      <c r="E177" s="46">
        <f t="shared" si="416"/>
        <v>6.7630548969884888E-3</v>
      </c>
      <c r="F177" s="46">
        <f t="shared" ref="F177:H177" si="452">F166/F$169</f>
        <v>9.945055483155071E-3</v>
      </c>
      <c r="G177" s="46">
        <f t="shared" si="452"/>
        <v>1.0237125336260613E-2</v>
      </c>
      <c r="H177" s="46">
        <f t="shared" si="452"/>
        <v>1.0137509608191228E-2</v>
      </c>
      <c r="I177" s="46">
        <f t="shared" si="418"/>
        <v>8.4933491838059053E-3</v>
      </c>
      <c r="J177" s="46">
        <f t="shared" si="418"/>
        <v>7.9011428787287615E-3</v>
      </c>
      <c r="K177" s="46">
        <f t="shared" ref="K177:L177" si="453">K166/K$169</f>
        <v>7.9011428787287615E-3</v>
      </c>
      <c r="L177" s="46">
        <f t="shared" si="453"/>
        <v>7.9011428787287615E-3</v>
      </c>
      <c r="M177" s="46">
        <f t="shared" si="418"/>
        <v>7.0966819726537029E-3</v>
      </c>
      <c r="N177" s="32"/>
      <c r="O177" s="46">
        <f t="shared" ref="O177:R177" si="454">O166/O$169</f>
        <v>6.7630548969884888E-3</v>
      </c>
      <c r="P177" s="46">
        <f t="shared" si="454"/>
        <v>9.945055483155071E-3</v>
      </c>
      <c r="Q177" s="46">
        <f t="shared" si="454"/>
        <v>1.0237125336260613E-2</v>
      </c>
      <c r="R177" s="46">
        <f t="shared" si="454"/>
        <v>1.0137509608191228E-2</v>
      </c>
      <c r="S177" s="243">
        <f t="shared" si="421"/>
        <v>9.0723332950454153E-3</v>
      </c>
      <c r="T177" s="243">
        <f t="shared" si="421"/>
        <v>7.9691098131787676E-3</v>
      </c>
      <c r="U177" s="243">
        <f t="shared" ref="U177:V177" si="455">U166/U$169</f>
        <v>6.9582411951621707E-3</v>
      </c>
      <c r="V177" s="243">
        <f t="shared" si="455"/>
        <v>6.7511418809056362E-3</v>
      </c>
      <c r="W177" s="243">
        <f t="shared" si="421"/>
        <v>6.6792306986008711E-3</v>
      </c>
      <c r="Y177" s="46">
        <f t="shared" si="423"/>
        <v>6.7630548969884888E-3</v>
      </c>
      <c r="Z177" s="46">
        <f t="shared" si="423"/>
        <v>9.945055483155071E-3</v>
      </c>
      <c r="AA177" s="46">
        <f t="shared" si="423"/>
        <v>1.0237125336260613E-2</v>
      </c>
      <c r="AB177" s="46">
        <f t="shared" si="423"/>
        <v>1.0137509608191228E-2</v>
      </c>
      <c r="AC177" s="243">
        <f t="shared" si="424"/>
        <v>8.4933491838059053E-3</v>
      </c>
      <c r="AD177" s="243">
        <f t="shared" si="424"/>
        <v>7.9011428787287615E-3</v>
      </c>
      <c r="AE177" s="243">
        <f t="shared" ref="AE177:AF177" si="456">AE166/AE$169</f>
        <v>7.0301550721818054E-3</v>
      </c>
      <c r="AF177" s="243">
        <f t="shared" si="456"/>
        <v>6.8356009430356286E-3</v>
      </c>
      <c r="AG177" s="243">
        <f t="shared" si="424"/>
        <v>7.0966819726537029E-3</v>
      </c>
      <c r="AI177" s="209">
        <f>S177</f>
        <v>9.0723332950454153E-3</v>
      </c>
      <c r="AK177" s="244">
        <f>AI177/$AI$180</f>
        <v>2.2714851361542682E-2</v>
      </c>
      <c r="AL177" s="244">
        <f t="shared" ref="AL177:AO177" si="457">AK177</f>
        <v>2.2714851361542682E-2</v>
      </c>
      <c r="AM177" s="244">
        <f>AK177</f>
        <v>2.2714851361542682E-2</v>
      </c>
      <c r="AN177" s="244">
        <f>AL177</f>
        <v>2.2714851361542682E-2</v>
      </c>
      <c r="AO177" s="244">
        <f t="shared" si="457"/>
        <v>2.2714851361542682E-2</v>
      </c>
      <c r="AP177" s="245"/>
      <c r="AQ177" s="244">
        <f t="shared" si="450"/>
        <v>2.2714851361542682E-2</v>
      </c>
      <c r="AR177" s="244">
        <f>AL177</f>
        <v>2.2714851361542682E-2</v>
      </c>
      <c r="AS177" s="244">
        <f>AN177</f>
        <v>2.2714851361542682E-2</v>
      </c>
      <c r="AT177" s="245"/>
      <c r="AU177" s="244">
        <f t="shared" si="451"/>
        <v>2.2714851361542682E-2</v>
      </c>
      <c r="AV177" s="244">
        <f t="shared" si="441"/>
        <v>2.2714851361542682E-2</v>
      </c>
      <c r="AW177" s="244">
        <f t="shared" si="441"/>
        <v>2.2714851361542682E-2</v>
      </c>
    </row>
    <row r="178" spans="1:51">
      <c r="A178" t="s">
        <v>16</v>
      </c>
      <c r="B178" t="str">
        <f t="shared" si="415"/>
        <v>TPPUMER</v>
      </c>
      <c r="C178" t="str">
        <f t="shared" si="415"/>
        <v>Metro Rail</v>
      </c>
      <c r="D178" s="208">
        <f>INDEX($Y$5:$Y$8,MATCH($D$3,$P$5:$P$8,0))</f>
        <v>0</v>
      </c>
      <c r="E178" s="46">
        <f t="shared" si="416"/>
        <v>3.2232883809316527E-2</v>
      </c>
      <c r="F178" s="46">
        <f t="shared" ref="F178:H178" si="458">F167/F$169</f>
        <v>3.1717478967411422E-2</v>
      </c>
      <c r="G178" s="46">
        <f t="shared" si="458"/>
        <v>3.3316112446288362E-2</v>
      </c>
      <c r="H178" s="46">
        <f t="shared" si="458"/>
        <v>3.2784392049775513E-2</v>
      </c>
      <c r="I178" s="46">
        <f t="shared" si="418"/>
        <v>4.1107703689956858E-2</v>
      </c>
      <c r="J178" s="46">
        <f t="shared" si="418"/>
        <v>4.341628648353716E-2</v>
      </c>
      <c r="K178" s="46">
        <f t="shared" ref="K178:L178" si="459">K167/K$169</f>
        <v>4.341628648353716E-2</v>
      </c>
      <c r="L178" s="46">
        <f t="shared" si="459"/>
        <v>4.341628648353716E-2</v>
      </c>
      <c r="M178" s="46">
        <f t="shared" si="418"/>
        <v>3.4508062169357506E-2</v>
      </c>
      <c r="N178" s="32"/>
      <c r="O178" s="46">
        <f t="shared" ref="O178:R178" si="460">O167/O$169</f>
        <v>3.2232883809316527E-2</v>
      </c>
      <c r="P178" s="46">
        <f t="shared" si="460"/>
        <v>3.1717478967411422E-2</v>
      </c>
      <c r="Q178" s="46">
        <f t="shared" si="460"/>
        <v>3.3316112446288362E-2</v>
      </c>
      <c r="R178" s="46">
        <f t="shared" si="460"/>
        <v>3.2784392049775513E-2</v>
      </c>
      <c r="S178" s="243">
        <f t="shared" si="421"/>
        <v>2.6825427234591168E-2</v>
      </c>
      <c r="T178" s="243">
        <f t="shared" si="421"/>
        <v>2.0774881693039846E-2</v>
      </c>
      <c r="U178" s="243">
        <f t="shared" ref="U178:V178" si="461">U167/U$169</f>
        <v>1.5286931334314335E-2</v>
      </c>
      <c r="V178" s="243">
        <f t="shared" si="461"/>
        <v>1.407731585382647E-2</v>
      </c>
      <c r="W178" s="243">
        <f t="shared" si="421"/>
        <v>1.3544746238964013E-2</v>
      </c>
      <c r="Y178" s="46">
        <f t="shared" si="423"/>
        <v>3.2232883809316527E-2</v>
      </c>
      <c r="Z178" s="46">
        <f t="shared" si="423"/>
        <v>3.1717478967411422E-2</v>
      </c>
      <c r="AA178" s="46">
        <f t="shared" si="423"/>
        <v>3.3316112446288362E-2</v>
      </c>
      <c r="AB178" s="46">
        <f t="shared" si="423"/>
        <v>3.2784392049775513E-2</v>
      </c>
      <c r="AC178" s="243">
        <f t="shared" si="424"/>
        <v>4.1107703689956858E-2</v>
      </c>
      <c r="AD178" s="243">
        <f t="shared" si="424"/>
        <v>4.341628648353716E-2</v>
      </c>
      <c r="AE178" s="243">
        <f t="shared" ref="AE178:AF178" si="462">AE167/AE$169</f>
        <v>3.4190339773680092E-2</v>
      </c>
      <c r="AF178" s="243">
        <f t="shared" si="462"/>
        <v>3.1978171505686465E-2</v>
      </c>
      <c r="AG178" s="243">
        <f t="shared" si="424"/>
        <v>3.4508062169357506E-2</v>
      </c>
      <c r="AI178" s="209">
        <f>S178</f>
        <v>2.6825427234591168E-2</v>
      </c>
      <c r="AK178" s="244">
        <f>AI178/$AI$180</f>
        <v>6.7164154195744535E-2</v>
      </c>
      <c r="AL178" s="244">
        <f>AK178*(1+$D$178)</f>
        <v>6.7164154195744535E-2</v>
      </c>
      <c r="AM178" s="244">
        <f>AK178*(1+$D$178)</f>
        <v>6.7164154195744535E-2</v>
      </c>
      <c r="AN178" s="244">
        <f>AL178*(1+$D$178)</f>
        <v>6.7164154195744535E-2</v>
      </c>
      <c r="AO178" s="244">
        <f>AN178*(1+$D$178)</f>
        <v>6.7164154195744535E-2</v>
      </c>
      <c r="AP178" s="245"/>
      <c r="AQ178" s="244">
        <f>AK178</f>
        <v>6.7164154195744535E-2</v>
      </c>
      <c r="AR178" s="244">
        <f>AL178</f>
        <v>6.7164154195744535E-2</v>
      </c>
      <c r="AS178" s="244">
        <f>AN178</f>
        <v>6.7164154195744535E-2</v>
      </c>
      <c r="AT178" s="245"/>
      <c r="AU178" s="244">
        <f t="shared" si="451"/>
        <v>6.7164154195744535E-2</v>
      </c>
      <c r="AV178" s="244">
        <f t="shared" si="441"/>
        <v>6.7164154195744535E-2</v>
      </c>
      <c r="AW178" s="244">
        <f>AS178</f>
        <v>6.7164154195744535E-2</v>
      </c>
    </row>
    <row r="179" spans="1:51">
      <c r="A179" t="s">
        <v>16</v>
      </c>
      <c r="B179" t="str">
        <f t="shared" si="415"/>
        <v>TPPUGAT</v>
      </c>
      <c r="C179" t="str">
        <f t="shared" si="415"/>
        <v>Gautrain</v>
      </c>
      <c r="E179" s="46">
        <f t="shared" si="416"/>
        <v>2.4099570920807019E-3</v>
      </c>
      <c r="F179" s="46">
        <f t="shared" ref="F179:H179" si="463">F168/F$169</f>
        <v>2.5001526401571533E-3</v>
      </c>
      <c r="G179" s="46">
        <f t="shared" si="463"/>
        <v>2.3720169010174917E-3</v>
      </c>
      <c r="H179" s="46">
        <f t="shared" si="463"/>
        <v>2.3381648210773097E-3</v>
      </c>
      <c r="I179" s="46">
        <f t="shared" si="418"/>
        <v>5.0425837719101389E-3</v>
      </c>
      <c r="J179" s="46">
        <f t="shared" si="418"/>
        <v>7.5810458732170384E-3</v>
      </c>
      <c r="K179" s="46">
        <f t="shared" ref="K179:L179" si="464">K168/K$169</f>
        <v>7.5810458732170384E-3</v>
      </c>
      <c r="L179" s="46">
        <f t="shared" si="464"/>
        <v>7.5810458732170384E-3</v>
      </c>
      <c r="M179" s="46">
        <f t="shared" si="418"/>
        <v>1.5284157782383659E-2</v>
      </c>
      <c r="N179" s="32"/>
      <c r="O179" s="46">
        <f t="shared" ref="O179:R179" si="465">O168/O$169</f>
        <v>2.4099570920807019E-3</v>
      </c>
      <c r="P179" s="46">
        <f t="shared" si="465"/>
        <v>2.5001526401571533E-3</v>
      </c>
      <c r="Q179" s="46">
        <f t="shared" si="465"/>
        <v>2.3720169010174917E-3</v>
      </c>
      <c r="R179" s="46">
        <f t="shared" si="465"/>
        <v>2.3381648210773097E-3</v>
      </c>
      <c r="S179" s="243">
        <f t="shared" si="421"/>
        <v>2.6779377401380806E-3</v>
      </c>
      <c r="T179" s="243">
        <f t="shared" si="421"/>
        <v>2.8805874138334532E-3</v>
      </c>
      <c r="U179" s="243">
        <f t="shared" ref="U179:V179" si="466">U168/U$169</f>
        <v>2.7828123883567352E-3</v>
      </c>
      <c r="V179" s="243">
        <f t="shared" si="466"/>
        <v>2.8574163070565887E-3</v>
      </c>
      <c r="W179" s="243">
        <f t="shared" si="421"/>
        <v>2.9303799439361418E-3</v>
      </c>
      <c r="Y179" s="46">
        <f t="shared" si="423"/>
        <v>2.4099570920807019E-3</v>
      </c>
      <c r="Z179" s="46">
        <f t="shared" si="423"/>
        <v>2.5001526401571533E-3</v>
      </c>
      <c r="AA179" s="46">
        <f t="shared" si="423"/>
        <v>2.3720169010174917E-3</v>
      </c>
      <c r="AB179" s="46">
        <f t="shared" si="423"/>
        <v>2.3381648210773097E-3</v>
      </c>
      <c r="AC179" s="243">
        <f t="shared" si="424"/>
        <v>5.0425837719101389E-3</v>
      </c>
      <c r="AD179" s="243">
        <f t="shared" si="424"/>
        <v>7.5810458732170384E-3</v>
      </c>
      <c r="AE179" s="243">
        <f t="shared" ref="AE179:AF179" si="467">AE168/AE$169</f>
        <v>1.0759574936433178E-2</v>
      </c>
      <c r="AF179" s="243">
        <f t="shared" si="467"/>
        <v>1.3073890944012286E-2</v>
      </c>
      <c r="AG179" s="243">
        <f t="shared" si="424"/>
        <v>1.5284157782383659E-2</v>
      </c>
      <c r="AI179" s="209">
        <f>S179</f>
        <v>2.6779377401380806E-3</v>
      </c>
      <c r="AK179" s="244">
        <f>AI179/$AI$180</f>
        <v>6.7048856941710833E-3</v>
      </c>
      <c r="AL179" s="244">
        <f t="shared" ref="AL179:AO179" si="468">AK179</f>
        <v>6.7048856941710833E-3</v>
      </c>
      <c r="AM179" s="244">
        <f>AK179</f>
        <v>6.7048856941710833E-3</v>
      </c>
      <c r="AN179" s="244">
        <f>AL179</f>
        <v>6.7048856941710833E-3</v>
      </c>
      <c r="AO179" s="244">
        <f t="shared" si="468"/>
        <v>6.7048856941710833E-3</v>
      </c>
      <c r="AP179" s="245"/>
      <c r="AQ179" s="244">
        <f t="shared" si="450"/>
        <v>6.7048856941710833E-3</v>
      </c>
      <c r="AR179" s="244">
        <f>AL179</f>
        <v>6.7048856941710833E-3</v>
      </c>
      <c r="AS179" s="244">
        <f>AN179</f>
        <v>6.7048856941710833E-3</v>
      </c>
      <c r="AT179" s="245"/>
      <c r="AU179" s="244">
        <f>AQ179</f>
        <v>6.7048856941710833E-3</v>
      </c>
      <c r="AV179" s="244">
        <f t="shared" si="441"/>
        <v>6.7048856941710833E-3</v>
      </c>
      <c r="AW179" s="244">
        <f t="shared" si="441"/>
        <v>6.7048856941710833E-3</v>
      </c>
    </row>
    <row r="180" spans="1:51">
      <c r="A180" t="s">
        <v>16</v>
      </c>
      <c r="J180"/>
      <c r="N180" s="32"/>
      <c r="AI180" s="209">
        <f>SUM(AI175:AI179)</f>
        <v>0.39940095361598116</v>
      </c>
      <c r="AK180" s="25"/>
      <c r="AL180" s="25"/>
      <c r="AM180" s="25"/>
      <c r="AN180" s="25"/>
      <c r="AO180" s="25"/>
    </row>
    <row r="181" spans="1:51">
      <c r="A181" t="s">
        <v>16</v>
      </c>
      <c r="C181" t="s">
        <v>133</v>
      </c>
      <c r="E181" s="25">
        <f t="shared" ref="E181" si="469">SUM(E172:E174)</f>
        <v>0.52503386937918861</v>
      </c>
      <c r="F181" s="25">
        <f t="shared" ref="F181:H181" si="470">SUM(F172:F174)</f>
        <v>0.52920972009328504</v>
      </c>
      <c r="G181" s="25">
        <f t="shared" si="470"/>
        <v>0.50594414611115535</v>
      </c>
      <c r="H181" s="25">
        <f t="shared" si="470"/>
        <v>0.51376143467802138</v>
      </c>
      <c r="I181" s="25">
        <f>SUM(I172:I174)</f>
        <v>0.55375139662368544</v>
      </c>
      <c r="J181" s="25">
        <f>SUM(J172:J174)</f>
        <v>0.60698488530425265</v>
      </c>
      <c r="K181" s="25">
        <f>SUM(K172:K174)</f>
        <v>0.60698488530425265</v>
      </c>
      <c r="L181" s="25">
        <f>SUM(L172:L174)</f>
        <v>0.60698488530425265</v>
      </c>
      <c r="M181" s="25">
        <f>SUM(M172:M174)</f>
        <v>0.67754905442446267</v>
      </c>
      <c r="N181" s="32"/>
      <c r="O181" s="25">
        <f t="shared" ref="O181:R181" si="471">SUM(O172:O174)</f>
        <v>0.52503386937918861</v>
      </c>
      <c r="P181" s="25">
        <f t="shared" si="471"/>
        <v>0.52920972009328504</v>
      </c>
      <c r="Q181" s="25">
        <f t="shared" si="471"/>
        <v>0.50594414611115535</v>
      </c>
      <c r="R181" s="25">
        <f t="shared" si="471"/>
        <v>0.51376143467802138</v>
      </c>
      <c r="S181" s="25">
        <f>SUM(S172:S174)</f>
        <v>0.60059904638401884</v>
      </c>
      <c r="T181" s="25">
        <f>SUM(T172:T174)</f>
        <v>0.68893524940535955</v>
      </c>
      <c r="U181" s="25">
        <f>SUM(U172:U174)</f>
        <v>0.76934953407089801</v>
      </c>
      <c r="V181" s="25">
        <f>SUM(V172:V174)</f>
        <v>0.78696202195905407</v>
      </c>
      <c r="W181" s="25">
        <f>SUM(W172:W174)</f>
        <v>0.79465706220480359</v>
      </c>
      <c r="Y181" s="46">
        <f t="shared" ref="Y181:AB182" si="472">O181</f>
        <v>0.52503386937918861</v>
      </c>
      <c r="Z181" s="46">
        <f t="shared" si="472"/>
        <v>0.52920972009328504</v>
      </c>
      <c r="AA181" s="46">
        <f t="shared" si="472"/>
        <v>0.50594414611115535</v>
      </c>
      <c r="AB181" s="46">
        <f t="shared" si="472"/>
        <v>0.51376143467802138</v>
      </c>
      <c r="AC181" s="243">
        <f>SUM(AC172:AC174)</f>
        <v>0.55375139662368544</v>
      </c>
      <c r="AD181" s="243">
        <f>SUM(AD172:AD174)</f>
        <v>0.60698488530425265</v>
      </c>
      <c r="AE181" s="243">
        <f>SUM(AE172:AE174)</f>
        <v>0.68490296761155833</v>
      </c>
      <c r="AF181" s="243">
        <f>SUM(AF172:AF174)</f>
        <v>0.70201945154176537</v>
      </c>
      <c r="AG181" s="243">
        <f>SUM(AG172:AG174)</f>
        <v>0.67754905442446267</v>
      </c>
    </row>
    <row r="182" spans="1:51">
      <c r="A182" t="s">
        <v>16</v>
      </c>
      <c r="C182" t="s">
        <v>134</v>
      </c>
      <c r="E182" s="25">
        <f t="shared" ref="E182" si="473">1-E181</f>
        <v>0.47496613062081139</v>
      </c>
      <c r="F182" s="25">
        <f t="shared" ref="F182:H182" si="474">1-F181</f>
        <v>0.47079027990671496</v>
      </c>
      <c r="G182" s="25">
        <f t="shared" si="474"/>
        <v>0.49405585388884465</v>
      </c>
      <c r="H182" s="25">
        <f t="shared" si="474"/>
        <v>0.48623856532197862</v>
      </c>
      <c r="I182" s="25">
        <f>1-I181</f>
        <v>0.44624860337631456</v>
      </c>
      <c r="J182" s="25">
        <f>1-J181</f>
        <v>0.39301511469574735</v>
      </c>
      <c r="K182" s="25">
        <f>1-K181</f>
        <v>0.39301511469574735</v>
      </c>
      <c r="L182" s="25">
        <f>1-L181</f>
        <v>0.39301511469574735</v>
      </c>
      <c r="M182" s="25">
        <f>1-M181</f>
        <v>0.32245094557553733</v>
      </c>
      <c r="N182" s="32"/>
      <c r="O182" s="25">
        <f t="shared" ref="O182:R182" si="475">1-O181</f>
        <v>0.47496613062081139</v>
      </c>
      <c r="P182" s="25">
        <f t="shared" si="475"/>
        <v>0.47079027990671496</v>
      </c>
      <c r="Q182" s="25">
        <f t="shared" si="475"/>
        <v>0.49405585388884465</v>
      </c>
      <c r="R182" s="25">
        <f t="shared" si="475"/>
        <v>0.48623856532197862</v>
      </c>
      <c r="S182" s="25">
        <f>1-S181</f>
        <v>0.39940095361598116</v>
      </c>
      <c r="T182" s="25">
        <f>1-T181</f>
        <v>0.31106475059464045</v>
      </c>
      <c r="U182" s="25">
        <f>1-U181</f>
        <v>0.23065046592910199</v>
      </c>
      <c r="V182" s="25">
        <f>1-V181</f>
        <v>0.21303797804094593</v>
      </c>
      <c r="W182" s="25">
        <f>1-W181</f>
        <v>0.20534293779519641</v>
      </c>
      <c r="Y182" s="46">
        <f t="shared" si="472"/>
        <v>0.47496613062081139</v>
      </c>
      <c r="Z182" s="46">
        <f t="shared" si="472"/>
        <v>0.47079027990671496</v>
      </c>
      <c r="AA182" s="46">
        <f t="shared" si="472"/>
        <v>0.49405585388884465</v>
      </c>
      <c r="AB182" s="46">
        <f t="shared" si="472"/>
        <v>0.48623856532197862</v>
      </c>
      <c r="AC182" s="243">
        <f>1-AC181</f>
        <v>0.44624860337631456</v>
      </c>
      <c r="AD182" s="243">
        <f>1-AD181</f>
        <v>0.39301511469574735</v>
      </c>
      <c r="AE182" s="243">
        <f>1-AE181</f>
        <v>0.31509703238844167</v>
      </c>
      <c r="AF182" s="243">
        <f>1-AF181</f>
        <v>0.29798054845823463</v>
      </c>
      <c r="AG182" s="243">
        <f>1-AG181</f>
        <v>0.32245094557553733</v>
      </c>
    </row>
    <row r="183" spans="1:51">
      <c r="A183" t="s">
        <v>16</v>
      </c>
      <c r="J183"/>
      <c r="N183" s="32"/>
      <c r="Y183" s="18">
        <f t="shared" ref="Y183:AD183" si="476">SUM(Y161:Y162)/SUM(O161:O162)</f>
        <v>1</v>
      </c>
      <c r="Z183" s="18">
        <f t="shared" si="476"/>
        <v>1</v>
      </c>
      <c r="AA183" s="18">
        <f t="shared" si="476"/>
        <v>1</v>
      </c>
      <c r="AB183" s="18">
        <f t="shared" si="476"/>
        <v>1</v>
      </c>
      <c r="AC183" s="18">
        <f t="shared" si="476"/>
        <v>0.86575210832423055</v>
      </c>
      <c r="AD183" s="18">
        <f t="shared" si="476"/>
        <v>0.78116488211150037</v>
      </c>
      <c r="AE183" s="18">
        <f>SUM(AE161:AE162)/SUM(V161:V162)</f>
        <v>0.71364469591718382</v>
      </c>
      <c r="AF183" s="18">
        <f>SUM(AF161:AF162)/SUM(V161:V162)</f>
        <v>0.77449612618276598</v>
      </c>
      <c r="AG183" s="18">
        <f>SUM(AG161:AG162)/SUM(W161:W162)</f>
        <v>0.70543246256587289</v>
      </c>
    </row>
    <row r="184" spans="1:51">
      <c r="A184" t="s">
        <v>16</v>
      </c>
      <c r="J184"/>
      <c r="N184" s="32"/>
    </row>
    <row r="185" spans="1:51" ht="15.75" thickBot="1">
      <c r="A185" t="s">
        <v>16</v>
      </c>
      <c r="C185" s="2" t="s">
        <v>190</v>
      </c>
      <c r="E185" s="6">
        <f>E4</f>
        <v>2017</v>
      </c>
      <c r="F185" s="6">
        <f t="shared" ref="F185:H185" si="477">F4</f>
        <v>2019</v>
      </c>
      <c r="G185" s="6">
        <f t="shared" si="477"/>
        <v>2020</v>
      </c>
      <c r="H185" s="6">
        <f t="shared" si="477"/>
        <v>2021</v>
      </c>
      <c r="I185" s="6">
        <v>2030</v>
      </c>
      <c r="J185" s="6">
        <v>2040</v>
      </c>
      <c r="K185" s="6">
        <v>2050</v>
      </c>
      <c r="L185" s="6">
        <v>2060</v>
      </c>
      <c r="M185" s="6">
        <v>2070</v>
      </c>
      <c r="N185" s="32"/>
    </row>
    <row r="186" spans="1:51">
      <c r="A186" t="s">
        <v>16</v>
      </c>
      <c r="B186" t="str">
        <f>B149</f>
        <v>TPPRCAR</v>
      </c>
      <c r="C186" t="str">
        <f>C149</f>
        <v>Car Priv.Veh. Vehicle km</v>
      </c>
      <c r="E186" s="5">
        <f>E149</f>
        <v>81.1386031348502</v>
      </c>
      <c r="F186" s="5">
        <f>F149</f>
        <v>84.616485002842012</v>
      </c>
      <c r="G186" s="5">
        <f t="shared" ref="G186:H186" si="478">G149</f>
        <v>78.308349507973659</v>
      </c>
      <c r="H186" s="5">
        <f t="shared" si="478"/>
        <v>81.968538378024164</v>
      </c>
      <c r="I186" s="8">
        <f t="shared" ref="I186:M193" si="479">I149</f>
        <v>101.04305059267226</v>
      </c>
      <c r="J186" s="8">
        <f t="shared" si="479"/>
        <v>128.51718841923173</v>
      </c>
      <c r="K186" s="8">
        <f t="shared" ref="K186:L186" si="480">K149</f>
        <v>172.02165887005438</v>
      </c>
      <c r="L186" s="8">
        <f t="shared" si="480"/>
        <v>186.68969191056848</v>
      </c>
      <c r="M186" s="8">
        <f t="shared" si="479"/>
        <v>175.55218967661071</v>
      </c>
      <c r="N186" s="32"/>
      <c r="AH186" s="192"/>
      <c r="AI186" s="192"/>
      <c r="AJ186" s="192"/>
      <c r="AK186" s="192"/>
      <c r="AL186" s="192"/>
      <c r="AM186" s="192"/>
      <c r="AN186" s="192"/>
      <c r="AO186" s="192"/>
      <c r="AP186" s="192"/>
      <c r="AQ186" s="192"/>
      <c r="AR186" s="192"/>
      <c r="AS186" s="192"/>
      <c r="AT186" s="192"/>
      <c r="AU186" s="192"/>
      <c r="AV186" s="192"/>
      <c r="AW186" s="192"/>
      <c r="AX186" s="192"/>
      <c r="AY186" s="192"/>
    </row>
    <row r="187" spans="1:51">
      <c r="A187" t="s">
        <v>16</v>
      </c>
      <c r="B187" t="str">
        <f t="shared" ref="B187:C193" si="481">B150</f>
        <v>TPPRSUV</v>
      </c>
      <c r="C187" t="str">
        <f t="shared" si="481"/>
        <v>SUV Priv.Veh. Vehicle km</v>
      </c>
      <c r="E187" s="8">
        <f t="shared" ref="E187:E193" si="482">E150</f>
        <v>17.754191802068</v>
      </c>
      <c r="F187" s="8">
        <f t="shared" ref="F187:H187" si="483">F150</f>
        <v>17.98100306310393</v>
      </c>
      <c r="G187" s="8">
        <f t="shared" si="483"/>
        <v>16.640524270444406</v>
      </c>
      <c r="H187" s="8">
        <f t="shared" si="483"/>
        <v>17.41831440533014</v>
      </c>
      <c r="I187" s="8">
        <f t="shared" si="479"/>
        <v>21.471648250942859</v>
      </c>
      <c r="J187" s="8">
        <f t="shared" si="479"/>
        <v>27.309902539086746</v>
      </c>
      <c r="K187" s="8">
        <f t="shared" ref="K187:L187" si="484">K150</f>
        <v>36.554602509886564</v>
      </c>
      <c r="L187" s="8">
        <f t="shared" si="484"/>
        <v>39.671559530995808</v>
      </c>
      <c r="M187" s="8">
        <f t="shared" si="479"/>
        <v>37.304840306279786</v>
      </c>
      <c r="N187" s="32"/>
      <c r="AH187" s="192"/>
      <c r="AI187" s="192"/>
      <c r="AJ187" s="192"/>
      <c r="AK187" s="192"/>
      <c r="AL187" s="192"/>
      <c r="AM187" s="192"/>
      <c r="AN187" s="192"/>
      <c r="AO187" s="192"/>
      <c r="AP187" s="192"/>
      <c r="AQ187" s="192"/>
      <c r="AR187" s="192"/>
      <c r="AS187" s="192"/>
      <c r="AT187" s="192"/>
      <c r="AU187" s="192"/>
      <c r="AV187" s="192"/>
      <c r="AW187" s="192"/>
      <c r="AX187" s="192"/>
      <c r="AY187" s="192"/>
    </row>
    <row r="188" spans="1:51">
      <c r="A188" t="s">
        <v>16</v>
      </c>
      <c r="B188" t="str">
        <f t="shared" si="481"/>
        <v>TPPRMOT</v>
      </c>
      <c r="C188" t="str">
        <f t="shared" si="481"/>
        <v>Motorbikes Priv.Veh. Vehicle km</v>
      </c>
      <c r="E188" s="8">
        <f t="shared" si="482"/>
        <v>5.9227912022632498</v>
      </c>
      <c r="F188" s="8">
        <f t="shared" ref="F188:H188" si="485">F151</f>
        <v>3.1731181876065753</v>
      </c>
      <c r="G188" s="8">
        <f t="shared" si="485"/>
        <v>2.9365631065490123</v>
      </c>
      <c r="H188" s="8">
        <f t="shared" si="485"/>
        <v>3.0738201891759065</v>
      </c>
      <c r="I188" s="8">
        <f t="shared" si="479"/>
        <v>3.7891143972252102</v>
      </c>
      <c r="J188" s="8">
        <f t="shared" si="479"/>
        <v>4.8193945657211898</v>
      </c>
      <c r="K188" s="8">
        <f t="shared" ref="K188:L188" si="486">K151</f>
        <v>6.45081220762704</v>
      </c>
      <c r="L188" s="8">
        <f t="shared" si="486"/>
        <v>7.000863446646318</v>
      </c>
      <c r="M188" s="8">
        <f t="shared" si="479"/>
        <v>6.5832071128729028</v>
      </c>
      <c r="N188" s="32"/>
      <c r="AH188" s="192"/>
      <c r="AI188" s="192"/>
      <c r="AJ188" s="192"/>
      <c r="AK188" s="192"/>
      <c r="AL188" s="192"/>
      <c r="AM188" s="192"/>
      <c r="AN188" s="192"/>
      <c r="AO188" s="192"/>
      <c r="AP188" s="192"/>
      <c r="AQ188" s="192"/>
      <c r="AR188" s="192"/>
      <c r="AS188" s="192"/>
      <c r="AT188" s="192"/>
      <c r="AU188" s="192"/>
      <c r="AV188" s="192"/>
      <c r="AW188" s="192"/>
      <c r="AX188" s="192"/>
      <c r="AY188" s="192"/>
    </row>
    <row r="189" spans="1:51">
      <c r="A189" t="s">
        <v>16</v>
      </c>
      <c r="B189" t="str">
        <f t="shared" si="481"/>
        <v>TPPUBUS</v>
      </c>
      <c r="C189" t="str">
        <f t="shared" si="481"/>
        <v>Bus vehicle km</v>
      </c>
      <c r="E189" s="8">
        <f t="shared" si="482"/>
        <v>0.64296697178877804</v>
      </c>
      <c r="F189" s="8">
        <f t="shared" ref="F189:H189" si="487">F152</f>
        <v>0.65561461783585018</v>
      </c>
      <c r="G189" s="8">
        <f t="shared" si="487"/>
        <v>0.6666265611015576</v>
      </c>
      <c r="H189" s="8">
        <f t="shared" si="487"/>
        <v>0.67620071242540647</v>
      </c>
      <c r="I189" s="8">
        <f t="shared" si="479"/>
        <v>0.70635027881461387</v>
      </c>
      <c r="J189" s="8">
        <f t="shared" si="479"/>
        <v>0.71510047568098489</v>
      </c>
      <c r="K189" s="8">
        <f t="shared" ref="K189:L189" si="488">K152</f>
        <v>0.66801859801056995</v>
      </c>
      <c r="L189" s="8">
        <f t="shared" si="488"/>
        <v>0.66153964240051011</v>
      </c>
      <c r="M189" s="8">
        <f t="shared" si="479"/>
        <v>0.69553202688274296</v>
      </c>
      <c r="N189" s="32"/>
      <c r="AH189" s="192"/>
      <c r="AI189" s="192"/>
      <c r="AJ189" s="192"/>
      <c r="AK189" s="192"/>
      <c r="AL189" s="192"/>
      <c r="AM189" s="192"/>
      <c r="AN189" s="192"/>
      <c r="AO189" s="192"/>
      <c r="AP189" s="192"/>
      <c r="AQ189" s="192"/>
      <c r="AR189" s="192"/>
      <c r="AS189" s="192"/>
      <c r="AT189" s="192"/>
      <c r="AU189" s="192"/>
      <c r="AV189" s="192"/>
      <c r="AW189" s="192"/>
      <c r="AX189" s="192"/>
      <c r="AY189" s="192"/>
    </row>
    <row r="190" spans="1:51">
      <c r="A190" t="s">
        <v>16</v>
      </c>
      <c r="B190" t="str">
        <f t="shared" si="481"/>
        <v>TPPUMBT</v>
      </c>
      <c r="C190" t="str">
        <f t="shared" si="481"/>
        <v>Minibus vehicle km</v>
      </c>
      <c r="E190" s="8">
        <f t="shared" si="482"/>
        <v>7.2130505455454896</v>
      </c>
      <c r="F190" s="8">
        <f t="shared" ref="F190:H190" si="489">F153</f>
        <v>7.3560605036075861</v>
      </c>
      <c r="G190" s="8">
        <f t="shared" si="489"/>
        <v>7.4796155902715018</v>
      </c>
      <c r="H190" s="8">
        <f t="shared" si="489"/>
        <v>7.5870385099150655</v>
      </c>
      <c r="I190" s="8">
        <f t="shared" si="479"/>
        <v>7.6706829406259498</v>
      </c>
      <c r="J190" s="8">
        <f t="shared" si="479"/>
        <v>7.565868547194861</v>
      </c>
      <c r="K190" s="8">
        <f t="shared" ref="K190:L190" si="490">K153</f>
        <v>7.0677353344176668</v>
      </c>
      <c r="L190" s="8">
        <f t="shared" si="490"/>
        <v>6.9991870280805148</v>
      </c>
      <c r="M190" s="8">
        <f t="shared" si="479"/>
        <v>7.3588314715461243</v>
      </c>
      <c r="N190" s="32"/>
      <c r="AH190" s="192"/>
      <c r="AI190" s="192"/>
      <c r="AJ190" s="192"/>
      <c r="AK190" s="192"/>
      <c r="AL190" s="192"/>
      <c r="AM190" s="192"/>
      <c r="AN190" s="192"/>
      <c r="AO190" s="192"/>
      <c r="AP190" s="192"/>
      <c r="AQ190" s="192"/>
      <c r="AR190" s="192"/>
      <c r="AS190" s="192"/>
      <c r="AT190" s="192"/>
      <c r="AU190" s="192"/>
      <c r="AV190" s="192"/>
      <c r="AW190" s="192"/>
      <c r="AX190" s="192"/>
      <c r="AY190" s="192"/>
    </row>
    <row r="191" spans="1:51">
      <c r="A191" t="s">
        <v>16</v>
      </c>
      <c r="B191" t="str">
        <f t="shared" si="481"/>
        <v>TPPUBRT</v>
      </c>
      <c r="C191" t="str">
        <f t="shared" si="481"/>
        <v>BRT vehicle km</v>
      </c>
      <c r="E191" s="8">
        <f t="shared" si="482"/>
        <v>7.2799982901224303E-2</v>
      </c>
      <c r="F191" s="8">
        <f t="shared" ref="F191:H191" si="491">F154</f>
        <v>0.1113095478662298</v>
      </c>
      <c r="G191" s="8">
        <f t="shared" si="491"/>
        <v>0.11091277099762989</v>
      </c>
      <c r="H191" s="8">
        <f t="shared" si="491"/>
        <v>0.11321787750148378</v>
      </c>
      <c r="I191" s="8">
        <f t="shared" si="479"/>
        <v>0.10848473548945574</v>
      </c>
      <c r="J191" s="8">
        <f t="shared" si="479"/>
        <v>0.11710388262711133</v>
      </c>
      <c r="K191" s="8">
        <f t="shared" ref="K191:L191" si="492">K154</f>
        <v>0.12359958948541468</v>
      </c>
      <c r="L191" s="8">
        <f t="shared" si="492"/>
        <v>0.12724652598918682</v>
      </c>
      <c r="M191" s="8">
        <f t="shared" si="479"/>
        <v>0.12871195614866676</v>
      </c>
      <c r="N191" s="32"/>
      <c r="AH191" s="192"/>
      <c r="AI191" s="192"/>
      <c r="AJ191" s="192"/>
      <c r="AK191" s="192"/>
      <c r="AL191" s="192"/>
      <c r="AM191" s="192"/>
      <c r="AN191" s="192"/>
      <c r="AO191" s="192"/>
      <c r="AP191" s="192"/>
      <c r="AQ191" s="192"/>
      <c r="AR191" s="192"/>
      <c r="AS191" s="192"/>
      <c r="AT191" s="192"/>
      <c r="AU191" s="192"/>
      <c r="AV191" s="192"/>
      <c r="AW191" s="192"/>
      <c r="AX191" s="192"/>
      <c r="AY191" s="192"/>
    </row>
    <row r="192" spans="1:51">
      <c r="A192" t="s">
        <v>16</v>
      </c>
      <c r="B192" t="str">
        <f t="shared" si="481"/>
        <v>TPPUMER</v>
      </c>
      <c r="C192" t="str">
        <f t="shared" si="481"/>
        <v>Metro Rail pkm</v>
      </c>
      <c r="E192" s="8">
        <f t="shared" si="482"/>
        <v>8.7048317578401608</v>
      </c>
      <c r="F192" s="8">
        <f t="shared" ref="F192:H192" si="493">F155</f>
        <v>8.8749083635056305</v>
      </c>
      <c r="G192" s="8">
        <f t="shared" si="493"/>
        <v>9.0239745751619225</v>
      </c>
      <c r="H192" s="8">
        <f t="shared" si="493"/>
        <v>9.1535777190606566</v>
      </c>
      <c r="I192" s="8">
        <f t="shared" si="479"/>
        <v>13.126619031179249</v>
      </c>
      <c r="J192" s="8">
        <f t="shared" si="479"/>
        <v>16.086962970131705</v>
      </c>
      <c r="K192" s="8">
        <f t="shared" ref="K192:L192" si="494">K155</f>
        <v>15.027804923946704</v>
      </c>
      <c r="L192" s="8">
        <f t="shared" si="494"/>
        <v>14.882053770747001</v>
      </c>
      <c r="M192" s="8">
        <f t="shared" si="479"/>
        <v>15.646749431047624</v>
      </c>
      <c r="N192" s="32"/>
      <c r="AH192" s="192"/>
      <c r="AI192" s="192"/>
      <c r="AJ192" s="192"/>
      <c r="AK192" s="192"/>
      <c r="AL192" s="192"/>
      <c r="AM192" s="192"/>
      <c r="AN192" s="192"/>
      <c r="AO192" s="192"/>
      <c r="AP192" s="192"/>
      <c r="AQ192" s="192"/>
      <c r="AR192" s="192"/>
      <c r="AS192" s="192"/>
      <c r="AT192" s="192"/>
      <c r="AU192" s="192"/>
      <c r="AV192" s="192"/>
      <c r="AW192" s="192"/>
      <c r="AX192" s="192"/>
      <c r="AY192" s="192"/>
    </row>
    <row r="193" spans="1:66">
      <c r="A193" t="s">
        <v>16</v>
      </c>
      <c r="B193" t="str">
        <f t="shared" si="481"/>
        <v>TPPUGAT</v>
      </c>
      <c r="C193" t="str">
        <f t="shared" si="481"/>
        <v>Gautrain pkm</v>
      </c>
      <c r="E193" s="8">
        <f t="shared" si="482"/>
        <v>0.64854136839212595</v>
      </c>
      <c r="F193" s="8">
        <f t="shared" ref="F193:H193" si="495">F156</f>
        <v>0.6995709084876961</v>
      </c>
      <c r="G193" s="8">
        <f t="shared" si="495"/>
        <v>0.64248252977129328</v>
      </c>
      <c r="H193" s="8">
        <f t="shared" si="495"/>
        <v>0.6528281316673451</v>
      </c>
      <c r="I193" s="8">
        <f t="shared" si="479"/>
        <v>1.610210986386059</v>
      </c>
      <c r="J193" s="8">
        <f t="shared" si="479"/>
        <v>2.8089920653060978</v>
      </c>
      <c r="K193" s="8">
        <f t="shared" ref="K193:L193" si="496">K156</f>
        <v>4.729195272103615</v>
      </c>
      <c r="L193" s="8">
        <f t="shared" si="496"/>
        <v>6.0843487560592608</v>
      </c>
      <c r="M193" s="8">
        <f t="shared" si="479"/>
        <v>6.9301888327392636</v>
      </c>
      <c r="N193" s="32"/>
      <c r="AH193" s="192"/>
      <c r="AI193" s="192"/>
      <c r="AJ193" s="192"/>
      <c r="AK193" s="192"/>
      <c r="AL193" s="192"/>
      <c r="AM193" s="192"/>
      <c r="AN193" s="192"/>
      <c r="AO193" s="192"/>
      <c r="AP193" s="192"/>
      <c r="AQ193" s="192"/>
      <c r="AR193" s="192"/>
      <c r="AS193" s="192"/>
      <c r="AT193" s="192"/>
      <c r="AU193" s="192"/>
      <c r="AV193" s="192"/>
      <c r="AW193" s="192"/>
      <c r="AX193" s="192"/>
      <c r="AY193" s="192"/>
    </row>
    <row r="194" spans="1:66">
      <c r="E194" s="8"/>
      <c r="G194" s="8"/>
      <c r="I194" s="8"/>
      <c r="J194" s="8"/>
      <c r="K194" s="8"/>
      <c r="L194" s="8"/>
      <c r="M194" s="8"/>
      <c r="N194" s="32"/>
      <c r="Q194" s="192"/>
      <c r="S194" s="192"/>
      <c r="T194" s="192"/>
      <c r="U194" s="192"/>
      <c r="V194" s="192"/>
      <c r="W194" s="192"/>
      <c r="X194" s="192"/>
      <c r="AA194" s="192"/>
      <c r="AB194" s="192"/>
      <c r="AD194" s="192"/>
      <c r="AE194" s="192"/>
      <c r="AF194" s="192"/>
      <c r="AG194" s="192"/>
      <c r="AH194" s="192"/>
      <c r="AI194" s="192"/>
      <c r="AJ194" s="192"/>
      <c r="AK194" s="192"/>
      <c r="AL194" s="192"/>
      <c r="AM194" s="192"/>
      <c r="AN194" s="192"/>
      <c r="AO194" s="192"/>
      <c r="AP194" s="192"/>
      <c r="AQ194" s="192"/>
      <c r="AR194" s="192"/>
      <c r="AS194" s="192"/>
      <c r="AT194" s="192"/>
      <c r="AU194" s="192"/>
      <c r="AV194" s="192"/>
      <c r="AW194" s="192"/>
      <c r="AX194" s="192"/>
      <c r="AY194" s="192"/>
    </row>
    <row r="195" spans="1:66" ht="23.25">
      <c r="E195" t="s">
        <v>16</v>
      </c>
      <c r="F195" s="12" t="s">
        <v>18</v>
      </c>
      <c r="G195" s="12" t="s">
        <v>19</v>
      </c>
      <c r="H195" s="12" t="s">
        <v>20</v>
      </c>
      <c r="I195" s="12" t="s">
        <v>21</v>
      </c>
      <c r="J195" s="12" t="s">
        <v>22</v>
      </c>
      <c r="K195" s="12" t="s">
        <v>23</v>
      </c>
      <c r="L195" s="12" t="s">
        <v>24</v>
      </c>
      <c r="M195" s="12" t="s">
        <v>591</v>
      </c>
      <c r="N195" s="12" t="s">
        <v>619</v>
      </c>
      <c r="O195" s="12" t="s">
        <v>759</v>
      </c>
      <c r="P195" s="13" t="s">
        <v>25</v>
      </c>
      <c r="Q195" s="14">
        <v>2017</v>
      </c>
      <c r="R195" s="14">
        <f t="shared" ref="R195:AT195" si="497">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1:66">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7">
        <f t="shared" ref="Q199" si="506">IF(ISNA(Q196),-1,IF(ISNA(Q198),99,IF(ISNA(Q197),Q196,0)))</f>
        <v>0</v>
      </c>
      <c r="R199" s="67">
        <f t="shared" ref="R199:AX199" si="507">IF(ISNA(R196),-1,IF(ISNA(R198),99,IF(ISNA(R197),R196,0)))</f>
        <v>1</v>
      </c>
      <c r="S199" s="67">
        <f t="shared" si="507"/>
        <v>0</v>
      </c>
      <c r="T199" s="67">
        <f t="shared" si="507"/>
        <v>0</v>
      </c>
      <c r="U199" s="67">
        <f t="shared" ref="U199:V199" si="508">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ref="AF199:AG199" si="50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ref="AN199" si="510">IF(ISNA(AN196),-1,IF(ISNA(AN198),99,IF(ISNA(AN197),AN196,0)))</f>
        <v>5</v>
      </c>
      <c r="AO199" s="67">
        <f t="shared" si="507"/>
        <v>5</v>
      </c>
      <c r="AP199" s="67">
        <f t="shared" ref="AP199" si="511">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1:66">
      <c r="E200" t="s">
        <v>16</v>
      </c>
      <c r="F200" s="16" t="str">
        <f t="shared" ref="F200:F207" si="512">IF(E200="*","","COM_PROJ")</f>
        <v/>
      </c>
      <c r="G200" s="44" t="str">
        <f t="shared" ref="G200:G207" si="513">B172</f>
        <v>TPPRCAR</v>
      </c>
      <c r="H200" s="17"/>
      <c r="J200" s="17" t="str">
        <f t="shared" ref="J200:M207" si="514">IF($E200="*","","-")</f>
        <v/>
      </c>
      <c r="L200" s="17" t="str">
        <f t="shared" si="514"/>
        <v/>
      </c>
      <c r="M200" s="17" t="str">
        <f t="shared" si="514"/>
        <v/>
      </c>
      <c r="N200" s="16" t="str">
        <f t="shared" ref="N200:N207" si="515">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81.968538378024164</v>
      </c>
      <c r="X200" s="5" cm="1">
        <f t="array" ref="X200">IF(X$199=-1,Y200,IF(X$199=99,W200,IF(X$199=0,INDEX($E186:$M186,0,X$197),(INDEX($E186:$M186,0,X$199+1)-INDEX($E186:$M186,0,X$199))/(INDEX($E$185:$M$185,0,X$199+1)-INDEX($E$185:$M$185,0,X$199))+W200)))</f>
        <v>84.087928624096179</v>
      </c>
      <c r="Y200" s="5" cm="1">
        <f t="array" ref="Y200">IF(Y$199=-1,Z200,IF(Y$199=99,X200,IF(Y$199=0,INDEX($E186:$M186,0,Y$197),(INDEX($E186:$M186,0,Y$199+1)-INDEX($E186:$M186,0,Y$199))/(INDEX($E$185:$M$185,0,Y$199+1)-INDEX($E$185:$M$185,0,Y$199))+X200)))</f>
        <v>86.207318870168194</v>
      </c>
      <c r="Z200" s="5" cm="1">
        <f t="array" ref="Z200">IF(Z$199=-1,AA200,IF(Z$199=99,Y200,IF(Z$199=0,INDEX($E186:$M186,0,Z$197),(INDEX($E186:$M186,0,Z$199+1)-INDEX($E186:$M186,0,Z$199))/(INDEX($E$185:$M$185,0,Z$199+1)-INDEX($E$185:$M$185,0,Z$199))+Y200)))</f>
        <v>88.32670911624021</v>
      </c>
      <c r="AA200" s="5" cm="1">
        <f t="array" ref="AA200">IF(AA$199=-1,AB200,IF(AA$199=99,Z200,IF(AA$199=0,INDEX($E186:$M186,0,AA$197),(INDEX($E186:$M186,0,AA$199+1)-INDEX($E186:$M186,0,AA$199))/(INDEX($E$185:$M$185,0,AA$199+1)-INDEX($E$185:$M$185,0,AA$199))+Z200)))</f>
        <v>90.446099362312225</v>
      </c>
      <c r="AB200" s="5" cm="1">
        <f t="array" ref="AB200">IF(AB$199=-1,AC200,IF(AB$199=99,AA200,IF(AB$199=0,INDEX($E186:$M186,0,AB$197),(INDEX($E186:$M186,0,AB$199+1)-INDEX($E186:$M186,0,AB$199))/(INDEX($E$185:$M$185,0,AB$199+1)-INDEX($E$185:$M$185,0,AB$199))+AA200)))</f>
        <v>92.56548960838424</v>
      </c>
      <c r="AC200" s="5" cm="1">
        <f t="array" ref="AC200">IF(AC$199=-1,AD200,IF(AC$199=99,AB200,IF(AC$199=0,INDEX($E186:$M186,0,AC$197),(INDEX($E186:$M186,0,AC$199+1)-INDEX($E186:$M186,0,AC$199))/(INDEX($E$185:$M$185,0,AC$199+1)-INDEX($E$185:$M$185,0,AC$199))+AB200)))</f>
        <v>94.684879854456256</v>
      </c>
      <c r="AD200" s="5" cm="1">
        <f t="array" ref="AD200">IF(AD$199=-1,AE200,IF(AD$199=99,AC200,IF(AD$199=0,INDEX($E186:$M186,0,AD$197),(INDEX($E186:$M186,0,AD$199+1)-INDEX($E186:$M186,0,AD$199))/(INDEX($E$185:$M$185,0,AD$199+1)-INDEX($E$185:$M$185,0,AD$199))+AC200)))</f>
        <v>96.804270100528271</v>
      </c>
      <c r="AE200" s="5" cm="1">
        <f t="array" ref="AE200">IF(AE$199=-1,AH200,IF(AE$199=99,AD200,IF(AE$199=0,INDEX($E186:$M186,0,AE$197),(INDEX($E186:$M186,0,AE$199+1)-INDEX($E186:$M186,0,AE$199))/(INDEX($E$185:$M$185,0,AE$199+1)-INDEX($E$185:$M$185,0,AE$199))+AD200)))</f>
        <v>98.923660346600286</v>
      </c>
      <c r="AF200" s="5" cm="1">
        <f t="array" ref="AF200">IF(AF$199=-1,AH200,IF(AF$199=99,AD200,IF(AF$199=0,INDEX($E186:$M186,0,AF$197),(INDEX($E186:$M186,0,AF$199+1)-INDEX($E186:$M186,0,AF$199))/(INDEX($E$185:$M$185,0,AF$199+1)-INDEX($E$185:$M$185,0,AF$199))+AD200)))</f>
        <v>98.923660346600286</v>
      </c>
      <c r="AG200" s="5" cm="1">
        <f t="array" ref="AG200">IF(AG$199=-1,AH200,IF(AG$199=99,AD200,IF(AG$199=0,INDEX($E186:$M186,0,AG$197),(INDEX($E186:$M186,0,AG$199+1)-INDEX($E186:$M186,0,AG$199))/(INDEX($E$185:$M$185,0,AG$199+1)-INDEX($E$185:$M$185,0,AG$199))+AD200)))</f>
        <v>98.923660346600286</v>
      </c>
      <c r="AH200" s="5" cm="1">
        <f t="array" ref="AH200">IF(AH$199=-1,AI200,IF(AH$199=99,AE200,IF(AH$199=0,INDEX($E186:$M186,0,AH$197),(INDEX($E186:$M186,0,AH$199+1)-INDEX($E186:$M186,0,AH$199))/(INDEX($E$185:$M$185,0,AH$199+1)-INDEX($E$185:$M$185,0,AH$199))+AE200)))</f>
        <v>101.04305059267226</v>
      </c>
      <c r="AI200" s="5" cm="1">
        <f t="array" ref="AI200">IF(AI$199=-1,AJ200,IF(AI$199=99,AH200,IF(AI$199=0,INDEX($E186:$M186,0,AI$197),(INDEX($E186:$M186,0,AI$199+1)-INDEX($E186:$M186,0,AI$199))/(INDEX($E$185:$M$185,0,AI$199+1)-INDEX($E$185:$M$185,0,AI$199))+AH200)))</f>
        <v>103.79046437532821</v>
      </c>
      <c r="AJ200" s="5" cm="1">
        <f t="array" ref="AJ200">IF(AJ$199=-1,AK200,IF(AJ$199=99,AI200,IF(AJ$199=0,INDEX($E186:$M186,0,AJ$197),(INDEX($E186:$M186,0,AJ$199+1)-INDEX($E186:$M186,0,AJ$199))/(INDEX($E$185:$M$185,0,AJ$199+1)-INDEX($E$185:$M$185,0,AJ$199))+AI200)))</f>
        <v>106.53787815798415</v>
      </c>
      <c r="AK200" s="5" cm="1">
        <f t="array" ref="AK200">IF(AK$199=-1,AL200,IF(AK$199=99,AJ200,IF(AK$199=0,INDEX($E186:$M186,0,AK$197),(INDEX($E186:$M186,0,AK$199+1)-INDEX($E186:$M186,0,AK$199))/(INDEX($E$185:$M$185,0,AK$199+1)-INDEX($E$185:$M$185,0,AK$199))+AJ200)))</f>
        <v>109.28529194064009</v>
      </c>
      <c r="AL200" s="5" cm="1">
        <f t="array" ref="AL200">IF(AL$199=-1,AM200,IF(AL$199=99,AK200,IF(AL$199=0,INDEX($E186:$M186,0,AL$197),(INDEX($E186:$M186,0,AL$199+1)-INDEX($E186:$M186,0,AL$199))/(INDEX($E$185:$M$185,0,AL$199+1)-INDEX($E$185:$M$185,0,AL$199))+AK200)))</f>
        <v>112.03270572329603</v>
      </c>
      <c r="AM200" s="5" cm="1">
        <f t="array" ref="AM200">IF(AM$199=-1,AO200,IF(AM$199=99,AL200,IF(AM$199=0,INDEX($E186:$M186,0,AM$197),(INDEX($E186:$M186,0,AM$199+1)-INDEX($E186:$M186,0,AM$199))/(INDEX($E$185:$M$185,0,AM$199+1)-INDEX($E$185:$M$185,0,AM$199))+AL200)))</f>
        <v>114.78011950595197</v>
      </c>
      <c r="AN200" s="5" cm="1">
        <f t="array" ref="AN200">IF(AN$199=-1,AP200,IF(AN$199=99,AL200,IF(AN$199=0,INDEX($E186:$M186,0,AN$197),(INDEX($E186:$M186,0,AN$199+1)-INDEX($E186:$M186,0,AN$199))/(INDEX($E$185:$M$185,0,AN$199+1)-INDEX($E$185:$M$185,0,AN$199))+AL200)))</f>
        <v>114.78011950595197</v>
      </c>
      <c r="AO200" s="5" cm="1">
        <f t="array" ref="AO200">IF(AO$199=-1,AQ200,IF(AO$199=99,AM200,IF(AO$199=0,INDEX($E186:$M186,0,AO$197),(INDEX($E186:$M186,0,AO$199+1)-INDEX($E186:$M186,0,AO$199))/(INDEX($E$185:$M$185,0,AO$199+1)-INDEX($E$185:$M$185,0,AO$199))+AM200)))</f>
        <v>117.52753328860791</v>
      </c>
      <c r="AP200" s="5" cm="1">
        <f t="array" ref="AP200">IF(AP$199=-1,AR200,IF(AP$199=99,AO200,IF(AP$199=0,INDEX($E186:$M186,0,AP$197),(INDEX($E186:$M186,0,AP$199+1)-INDEX($E186:$M186,0,AP$199))/(INDEX($E$185:$M$185,0,AP$199+1)-INDEX($E$185:$M$185,0,AP$199))+AO200)))</f>
        <v>120.27494707126385</v>
      </c>
      <c r="AQ200" s="5" cm="1">
        <f t="array" ref="AQ200">IF(AQ$199=-1,AR200,IF(AQ$199=99,AO200,IF(AQ$199=0,INDEX($E186:$M186,0,AQ$197),(INDEX($E186:$M186,0,AQ$199+1)-INDEX($E186:$M186,0,AQ$199))/(INDEX($E$185:$M$185,0,AQ$199+1)-INDEX($E$185:$M$185,0,AQ$199))+AO200)))</f>
        <v>120.27494707126385</v>
      </c>
      <c r="AR200" s="5" cm="1">
        <f t="array" ref="AR200">IF(AR$199=-1,AS200,IF(AR$199=99,AQ200,IF(AR$199=0,INDEX($E186:$M186,0,AR$197),(INDEX($E186:$M186,0,AR$199+1)-INDEX($E186:$M186,0,AR$199))/(INDEX($E$185:$M$185,0,AR$199+1)-INDEX($E$185:$M$185,0,AR$199))+AQ200)))</f>
        <v>123.02236085391979</v>
      </c>
      <c r="AS200" s="5" cm="1">
        <f t="array" ref="AS200">IF(AS$199=-1,AT200,IF(AS$199=99,AR200,IF(AS$199=0,INDEX($E186:$M186,0,AS$197),(INDEX($E186:$M186,0,AS$199+1)-INDEX($E186:$M186,0,AS$199))/(INDEX($E$185:$M$185,0,AS$199+1)-INDEX($E$185:$M$185,0,AS$199))+AR200)))</f>
        <v>125.76977463657573</v>
      </c>
      <c r="AT200" s="5" cm="1">
        <f t="array" ref="AT200">IF(AT$199=-1,AU200,IF(AT$199=99,AS200,IF(AT$199=0,INDEX($E186:$M186,0,AT$197),(INDEX($E186:$M186,0,AT$199+1)-INDEX($E186:$M186,0,AT$199))/(INDEX($E$185:$M$185,0,AT$199+1)-INDEX($E$185:$M$185,0,AT$199))+AS200)))</f>
        <v>128.51718841923173</v>
      </c>
      <c r="AU200" s="237">
        <f>(AT200+AV200)/2</f>
        <v>150.26942364464304</v>
      </c>
      <c r="AV200" s="5" cm="1">
        <f t="array" ref="AV200">IF(AV$199=-1,AW200,IF(AV$199=99,AU200,IF(AV$199=0,INDEX($E186:$M186,0,AV$197),(INDEX($E186:$M186,0,AV$199+1)-INDEX($E186:$M186,0,AV$199))/(INDEX($E$185:$M$185,0,AV$199+1)-INDEX($E$185:$M$185,0,AV$199))+AU200)))</f>
        <v>172.02165887005438</v>
      </c>
      <c r="AW200" s="5" cm="1">
        <f t="array" ref="AW200">IF(AW$199=-1,AX200,IF(AW$199=99,AV200,IF(AW$199=0,INDEX($E186:$M186,0,AW$197),(INDEX($E186:$M186,0,AW$199+1)-INDEX($E186:$M186,0,AW$199))/(INDEX($E$185:$M$185,0,AW$199+1)-INDEX($E$185:$M$185,0,AW$199))+AV200)))</f>
        <v>186.68969191056848</v>
      </c>
      <c r="AX200" s="5" cm="1">
        <f t="array" ref="AX200">IF(AX$199=-1,AY200,IF(AX$199=99,AW200,IF(AX$199=0,INDEX($E186:$M186,0,AX$197),(INDEX($E186:$M186,0,AX$199+1)-INDEX($E186:$M186,0,AX$199))/(INDEX($E$185:$M$185,0,AX$199+1)-INDEX($E$185:$M$185,0,AX$199))+AW200)))</f>
        <v>175.55218967661071</v>
      </c>
      <c r="AY200" s="5"/>
      <c r="BB200" s="5"/>
      <c r="BC200" s="5"/>
      <c r="BM200" s="5"/>
      <c r="BN200" s="46"/>
    </row>
    <row r="201" spans="1:66">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ref="Q201:Q207" si="516">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17.41831440533014</v>
      </c>
      <c r="X201" s="5" cm="1">
        <f t="array" ref="X201">IF(X$199=-1,Y201,IF(X$199=99,W201,IF(X$199=0,INDEX($E187:$M187,0,X$197),(INDEX($E187:$M187,0,X$199+1)-INDEX($E187:$M187,0,X$199))/(INDEX($E$185:$M$185,0,X$199+1)-INDEX($E$185:$M$185,0,X$199))+W201)))</f>
        <v>17.868684832620442</v>
      </c>
      <c r="Y201" s="5" cm="1">
        <f t="array" ref="Y201">IF(Y$199=-1,Z201,IF(Y$199=99,X201,IF(Y$199=0,INDEX($E187:$M187,0,Y$197),(INDEX($E187:$M187,0,Y$199+1)-INDEX($E187:$M187,0,Y$199))/(INDEX($E$185:$M$185,0,Y$199+1)-INDEX($E$185:$M$185,0,Y$199))+X201)))</f>
        <v>18.319055259910744</v>
      </c>
      <c r="Z201" s="5" cm="1">
        <f t="array" ref="Z201">IF(Z$199=-1,AA201,IF(Z$199=99,Y201,IF(Z$199=0,INDEX($E187:$M187,0,Z$197),(INDEX($E187:$M187,0,Z$199+1)-INDEX($E187:$M187,0,Z$199))/(INDEX($E$185:$M$185,0,Z$199+1)-INDEX($E$185:$M$185,0,Z$199))+Y201)))</f>
        <v>18.769425687201046</v>
      </c>
      <c r="AA201" s="5" cm="1">
        <f t="array" ref="AA201">IF(AA$199=-1,AB201,IF(AA$199=99,Z201,IF(AA$199=0,INDEX($E187:$M187,0,AA$197),(INDEX($E187:$M187,0,AA$199+1)-INDEX($E187:$M187,0,AA$199))/(INDEX($E$185:$M$185,0,AA$199+1)-INDEX($E$185:$M$185,0,AA$199))+Z201)))</f>
        <v>19.219796114491349</v>
      </c>
      <c r="AB201" s="5" cm="1">
        <f t="array" ref="AB201">IF(AB$199=-1,AC201,IF(AB$199=99,AA201,IF(AB$199=0,INDEX($E187:$M187,0,AB$197),(INDEX($E187:$M187,0,AB$199+1)-INDEX($E187:$M187,0,AB$199))/(INDEX($E$185:$M$185,0,AB$199+1)-INDEX($E$185:$M$185,0,AB$199))+AA201)))</f>
        <v>19.670166541781651</v>
      </c>
      <c r="AC201" s="5" cm="1">
        <f t="array" ref="AC201">IF(AC$199=-1,AD201,IF(AC$199=99,AB201,IF(AC$199=0,INDEX($E187:$M187,0,AC$197),(INDEX($E187:$M187,0,AC$199+1)-INDEX($E187:$M187,0,AC$199))/(INDEX($E$185:$M$185,0,AC$199+1)-INDEX($E$185:$M$185,0,AC$199))+AB201)))</f>
        <v>20.120536969071953</v>
      </c>
      <c r="AD201" s="5" cm="1">
        <f t="array" ref="AD201">IF(AD$199=-1,AE201,IF(AD$199=99,AC201,IF(AD$199=0,INDEX($E187:$M187,0,AD$197),(INDEX($E187:$M187,0,AD$199+1)-INDEX($E187:$M187,0,AD$199))/(INDEX($E$185:$M$185,0,AD$199+1)-INDEX($E$185:$M$185,0,AD$199))+AC201)))</f>
        <v>20.570907396362255</v>
      </c>
      <c r="AE201" s="5" cm="1">
        <f t="array" ref="AE201">IF(AE$199=-1,AH201,IF(AE$199=99,AD201,IF(AE$199=0,INDEX($E187:$M187,0,AE$197),(INDEX($E187:$M187,0,AE$199+1)-INDEX($E187:$M187,0,AE$199))/(INDEX($E$185:$M$185,0,AE$199+1)-INDEX($E$185:$M$185,0,AE$199))+AD201)))</f>
        <v>21.021277823652557</v>
      </c>
      <c r="AF201" s="5" cm="1">
        <f t="array" ref="AF201">IF(AF$199=-1,AH201,IF(AF$199=99,AD201,IF(AF$199=0,INDEX($E187:$M187,0,AF$197),(INDEX($E187:$M187,0,AF$199+1)-INDEX($E187:$M187,0,AF$199))/(INDEX($E$185:$M$185,0,AF$199+1)-INDEX($E$185:$M$185,0,AF$199))+AD201)))</f>
        <v>21.021277823652557</v>
      </c>
      <c r="AG201" s="5" cm="1">
        <f t="array" ref="AG201">IF(AG$199=-1,AH201,IF(AG$199=99,AD201,IF(AG$199=0,INDEX($E187:$M187,0,AG$197),(INDEX($E187:$M187,0,AG$199+1)-INDEX($E187:$M187,0,AG$199))/(INDEX($E$185:$M$185,0,AG$199+1)-INDEX($E$185:$M$185,0,AG$199))+AD201)))</f>
        <v>21.021277823652557</v>
      </c>
      <c r="AH201" s="5" cm="1">
        <f t="array" ref="AH201">IF(AH$199=-1,AI201,IF(AH$199=99,AE201,IF(AH$199=0,INDEX($E187:$M187,0,AH$197),(INDEX($E187:$M187,0,AH$199+1)-INDEX($E187:$M187,0,AH$199))/(INDEX($E$185:$M$185,0,AH$199+1)-INDEX($E$185:$M$185,0,AH$199))+AE201)))</f>
        <v>21.471648250942859</v>
      </c>
      <c r="AI201" s="5" cm="1">
        <f t="array" ref="AI201">IF(AI$199=-1,AJ201,IF(AI$199=99,AH201,IF(AI$199=0,INDEX($E187:$M187,0,AI$197),(INDEX($E187:$M187,0,AI$199+1)-INDEX($E187:$M187,0,AI$199))/(INDEX($E$185:$M$185,0,AI$199+1)-INDEX($E$185:$M$185,0,AI$199))+AH201)))</f>
        <v>22.055473679757249</v>
      </c>
      <c r="AJ201" s="5" cm="1">
        <f t="array" ref="AJ201">IF(AJ$199=-1,AK201,IF(AJ$199=99,AI201,IF(AJ$199=0,INDEX($E187:$M187,0,AJ$197),(INDEX($E187:$M187,0,AJ$199+1)-INDEX($E187:$M187,0,AJ$199))/(INDEX($E$185:$M$185,0,AJ$199+1)-INDEX($E$185:$M$185,0,AJ$199))+AI201)))</f>
        <v>22.639299108571638</v>
      </c>
      <c r="AK201" s="5" cm="1">
        <f t="array" ref="AK201">IF(AK$199=-1,AL201,IF(AK$199=99,AJ201,IF(AK$199=0,INDEX($E187:$M187,0,AK$197),(INDEX($E187:$M187,0,AK$199+1)-INDEX($E187:$M187,0,AK$199))/(INDEX($E$185:$M$185,0,AK$199+1)-INDEX($E$185:$M$185,0,AK$199))+AJ201)))</f>
        <v>23.223124537386028</v>
      </c>
      <c r="AL201" s="5" cm="1">
        <f t="array" ref="AL201">IF(AL$199=-1,AM201,IF(AL$199=99,AK201,IF(AL$199=0,INDEX($E187:$M187,0,AL$197),(INDEX($E187:$M187,0,AL$199+1)-INDEX($E187:$M187,0,AL$199))/(INDEX($E$185:$M$185,0,AL$199+1)-INDEX($E$185:$M$185,0,AL$199))+AK201)))</f>
        <v>23.806949966200417</v>
      </c>
      <c r="AM201" s="5" cm="1">
        <f t="array" ref="AM201">IF(AM$199=-1,AO201,IF(AM$199=99,AL201,IF(AM$199=0,INDEX($E187:$M187,0,AM$197),(INDEX($E187:$M187,0,AM$199+1)-INDEX($E187:$M187,0,AM$199))/(INDEX($E$185:$M$185,0,AM$199+1)-INDEX($E$185:$M$185,0,AM$199))+AL201)))</f>
        <v>24.390775395014806</v>
      </c>
      <c r="AN201" s="5" cm="1">
        <f t="array" ref="AN201">IF(AN$199=-1,AP201,IF(AN$199=99,AL201,IF(AN$199=0,INDEX($E187:$M187,0,AN$197),(INDEX($E187:$M187,0,AN$199+1)-INDEX($E187:$M187,0,AN$199))/(INDEX($E$185:$M$185,0,AN$199+1)-INDEX($E$185:$M$185,0,AN$199))+AL201)))</f>
        <v>24.390775395014806</v>
      </c>
      <c r="AO201" s="5" cm="1">
        <f t="array" ref="AO201">IF(AO$199=-1,AQ201,IF(AO$199=99,AM201,IF(AO$199=0,INDEX($E187:$M187,0,AO$197),(INDEX($E187:$M187,0,AO$199+1)-INDEX($E187:$M187,0,AO$199))/(INDEX($E$185:$M$185,0,AO$199+1)-INDEX($E$185:$M$185,0,AO$199))+AM201)))</f>
        <v>24.974600823829196</v>
      </c>
      <c r="AP201" s="5" cm="1">
        <f t="array" ref="AP201">IF(AP$199=-1,AR201,IF(AP$199=99,AO201,IF(AP$199=0,INDEX($E187:$M187,0,AP$197),(INDEX($E187:$M187,0,AP$199+1)-INDEX($E187:$M187,0,AP$199))/(INDEX($E$185:$M$185,0,AP$199+1)-INDEX($E$185:$M$185,0,AP$199))+AO201)))</f>
        <v>25.558426252643585</v>
      </c>
      <c r="AQ201" s="5" cm="1">
        <f t="array" ref="AQ201">IF(AQ$199=-1,AR201,IF(AQ$199=99,AO201,IF(AQ$199=0,INDEX($E187:$M187,0,AQ$197),(INDEX($E187:$M187,0,AQ$199+1)-INDEX($E187:$M187,0,AQ$199))/(INDEX($E$185:$M$185,0,AQ$199+1)-INDEX($E$185:$M$185,0,AQ$199))+AO201)))</f>
        <v>25.558426252643585</v>
      </c>
      <c r="AR201" s="5" cm="1">
        <f t="array" ref="AR201">IF(AR$199=-1,AS201,IF(AR$199=99,AQ201,IF(AR$199=0,INDEX($E187:$M187,0,AR$197),(INDEX($E187:$M187,0,AR$199+1)-INDEX($E187:$M187,0,AR$199))/(INDEX($E$185:$M$185,0,AR$199+1)-INDEX($E$185:$M$185,0,AR$199))+AQ201)))</f>
        <v>26.142251681457974</v>
      </c>
      <c r="AS201" s="5" cm="1">
        <f t="array" ref="AS201">IF(AS$199=-1,AT201,IF(AS$199=99,AR201,IF(AS$199=0,INDEX($E187:$M187,0,AS$197),(INDEX($E187:$M187,0,AS$199+1)-INDEX($E187:$M187,0,AS$199))/(INDEX($E$185:$M$185,0,AS$199+1)-INDEX($E$185:$M$185,0,AS$199))+AR201)))</f>
        <v>26.726077110272364</v>
      </c>
      <c r="AT201" s="5" cm="1">
        <f t="array" ref="AT201">IF(AT$199=-1,AU201,IF(AT$199=99,AS201,IF(AT$199=0,INDEX($E187:$M187,0,AT$197),(INDEX($E187:$M187,0,AT$199+1)-INDEX($E187:$M187,0,AT$199))/(INDEX($E$185:$M$185,0,AT$199+1)-INDEX($E$185:$M$185,0,AT$199))+AS201)))</f>
        <v>27.309902539086746</v>
      </c>
      <c r="AU201" s="237">
        <f t="shared" ref="AU201:AU207" si="517">(AT201+AV201)/2</f>
        <v>31.932252524486657</v>
      </c>
      <c r="AV201" s="5" cm="1">
        <f t="array" ref="AV201">IF(AV$199=-1,AW201,IF(AV$199=99,AU201,IF(AV$199=0,INDEX($E187:$M187,0,AV$197),(INDEX($E187:$M187,0,AV$199+1)-INDEX($E187:$M187,0,AV$199))/(INDEX($E$185:$M$185,0,AV$199+1)-INDEX($E$185:$M$185,0,AV$199))+AU201)))</f>
        <v>36.554602509886564</v>
      </c>
      <c r="AW201" s="5" cm="1">
        <f t="array" ref="AW201">IF(AW$199=-1,AX201,IF(AW$199=99,AV201,IF(AW$199=0,INDEX($E187:$M187,0,AW$197),(INDEX($E187:$M187,0,AW$199+1)-INDEX($E187:$M187,0,AW$199))/(INDEX($E$185:$M$185,0,AW$199+1)-INDEX($E$185:$M$185,0,AW$199))+AV201)))</f>
        <v>39.671559530995808</v>
      </c>
      <c r="AX201" s="5" cm="1">
        <f t="array" ref="AX201">IF(AX$199=-1,AY201,IF(AX$199=99,AW201,IF(AX$199=0,INDEX($E187:$M187,0,AX$197),(INDEX($E187:$M187,0,AX$199+1)-INDEX($E187:$M187,0,AX$199))/(INDEX($E$185:$M$185,0,AX$199+1)-INDEX($E$185:$M$185,0,AX$199))+AW201)))</f>
        <v>37.304840306279786</v>
      </c>
      <c r="AY201" s="5"/>
      <c r="BB201" s="5"/>
      <c r="BC201" s="5"/>
      <c r="BM201" s="5"/>
      <c r="BN201" s="46"/>
    </row>
    <row r="202" spans="1:66">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3.0738201891759065</v>
      </c>
      <c r="X202" s="5" cm="1">
        <f t="array" ref="X202">IF(X$199=-1,Y202,IF(X$199=99,W202,IF(X$199=0,INDEX($E188:$M188,0,X$197),(INDEX($E188:$M188,0,X$199+1)-INDEX($E188:$M188,0,X$199))/(INDEX($E$185:$M$185,0,X$199+1)-INDEX($E$185:$M$185,0,X$199))+W202)))</f>
        <v>3.1532973234036068</v>
      </c>
      <c r="Y202" s="5" cm="1">
        <f t="array" ref="Y202">IF(Y$199=-1,Z202,IF(Y$199=99,X202,IF(Y$199=0,INDEX($E188:$M188,0,Y$197),(INDEX($E188:$M188,0,Y$199+1)-INDEX($E188:$M188,0,Y$199))/(INDEX($E$185:$M$185,0,Y$199+1)-INDEX($E$185:$M$185,0,Y$199))+X202)))</f>
        <v>3.2327744576313071</v>
      </c>
      <c r="Z202" s="5" cm="1">
        <f t="array" ref="Z202">IF(Z$199=-1,AA202,IF(Z$199=99,Y202,IF(Z$199=0,INDEX($E188:$M188,0,Z$197),(INDEX($E188:$M188,0,Z$199+1)-INDEX($E188:$M188,0,Z$199))/(INDEX($E$185:$M$185,0,Z$199+1)-INDEX($E$185:$M$185,0,Z$199))+Y202)))</f>
        <v>3.3122515918590074</v>
      </c>
      <c r="AA202" s="5" cm="1">
        <f t="array" ref="AA202">IF(AA$199=-1,AB202,IF(AA$199=99,Z202,IF(AA$199=0,INDEX($E188:$M188,0,AA$197),(INDEX($E188:$M188,0,AA$199+1)-INDEX($E188:$M188,0,AA$199))/(INDEX($E$185:$M$185,0,AA$199+1)-INDEX($E$185:$M$185,0,AA$199))+Z202)))</f>
        <v>3.3917287260867077</v>
      </c>
      <c r="AB202" s="5" cm="1">
        <f t="array" ref="AB202">IF(AB$199=-1,AC202,IF(AB$199=99,AA202,IF(AB$199=0,INDEX($E188:$M188,0,AB$197),(INDEX($E188:$M188,0,AB$199+1)-INDEX($E188:$M188,0,AB$199))/(INDEX($E$185:$M$185,0,AB$199+1)-INDEX($E$185:$M$185,0,AB$199))+AA202)))</f>
        <v>3.471205860314408</v>
      </c>
      <c r="AC202" s="5" cm="1">
        <f t="array" ref="AC202">IF(AC$199=-1,AD202,IF(AC$199=99,AB202,IF(AC$199=0,INDEX($E188:$M188,0,AC$197),(INDEX($E188:$M188,0,AC$199+1)-INDEX($E188:$M188,0,AC$199))/(INDEX($E$185:$M$185,0,AC$199+1)-INDEX($E$185:$M$185,0,AC$199))+AB202)))</f>
        <v>3.5506829945421083</v>
      </c>
      <c r="AD202" s="5" cm="1">
        <f t="array" ref="AD202">IF(AD$199=-1,AE202,IF(AD$199=99,AC202,IF(AD$199=0,INDEX($E188:$M188,0,AD$197),(INDEX($E188:$M188,0,AD$199+1)-INDEX($E188:$M188,0,AD$199))/(INDEX($E$185:$M$185,0,AD$199+1)-INDEX($E$185:$M$185,0,AD$199))+AC202)))</f>
        <v>3.6301601287698086</v>
      </c>
      <c r="AE202" s="5" cm="1">
        <f t="array" ref="AE202">IF(AE$199=-1,AH202,IF(AE$199=99,AD202,IF(AE$199=0,INDEX($E188:$M188,0,AE$197),(INDEX($E188:$M188,0,AE$199+1)-INDEX($E188:$M188,0,AE$199))/(INDEX($E$185:$M$185,0,AE$199+1)-INDEX($E$185:$M$185,0,AE$199))+AD202)))</f>
        <v>3.709637262997509</v>
      </c>
      <c r="AF202" s="5" cm="1">
        <f t="array" ref="AF202">IF(AF$199=-1,AH202,IF(AF$199=99,AD202,IF(AF$199=0,INDEX($E188:$M188,0,AF$197),(INDEX($E188:$M188,0,AF$199+1)-INDEX($E188:$M188,0,AF$199))/(INDEX($E$185:$M$185,0,AF$199+1)-INDEX($E$185:$M$185,0,AF$199))+AD202)))</f>
        <v>3.709637262997509</v>
      </c>
      <c r="AG202" s="5" cm="1">
        <f t="array" ref="AG202">IF(AG$199=-1,AH202,IF(AG$199=99,AD202,IF(AG$199=0,INDEX($E188:$M188,0,AG$197),(INDEX($E188:$M188,0,AG$199+1)-INDEX($E188:$M188,0,AG$199))/(INDEX($E$185:$M$185,0,AG$199+1)-INDEX($E$185:$M$185,0,AG$199))+AD202)))</f>
        <v>3.709637262997509</v>
      </c>
      <c r="AH202" s="5" cm="1">
        <f t="array" ref="AH202">IF(AH$199=-1,AI202,IF(AH$199=99,AE202,IF(AH$199=0,INDEX($E188:$M188,0,AH$197),(INDEX($E188:$M188,0,AH$199+1)-INDEX($E188:$M188,0,AH$199))/(INDEX($E$185:$M$185,0,AH$199+1)-INDEX($E$185:$M$185,0,AH$199))+AE202)))</f>
        <v>3.7891143972252102</v>
      </c>
      <c r="AI202" s="5" cm="1">
        <f t="array" ref="AI202">IF(AI$199=-1,AJ202,IF(AI$199=99,AH202,IF(AI$199=0,INDEX($E188:$M188,0,AI$197),(INDEX($E188:$M188,0,AI$199+1)-INDEX($E188:$M188,0,AI$199))/(INDEX($E$185:$M$185,0,AI$199+1)-INDEX($E$185:$M$185,0,AI$199))+AH202)))</f>
        <v>3.892142414074808</v>
      </c>
      <c r="AJ202" s="5" cm="1">
        <f t="array" ref="AJ202">IF(AJ$199=-1,AK202,IF(AJ$199=99,AI202,IF(AJ$199=0,INDEX($E188:$M188,0,AJ$197),(INDEX($E188:$M188,0,AJ$199+1)-INDEX($E188:$M188,0,AJ$199))/(INDEX($E$185:$M$185,0,AJ$199+1)-INDEX($E$185:$M$185,0,AJ$199))+AI202)))</f>
        <v>3.9951704309244058</v>
      </c>
      <c r="AK202" s="5" cm="1">
        <f t="array" ref="AK202">IF(AK$199=-1,AL202,IF(AK$199=99,AJ202,IF(AK$199=0,INDEX($E188:$M188,0,AK$197),(INDEX($E188:$M188,0,AK$199+1)-INDEX($E188:$M188,0,AK$199))/(INDEX($E$185:$M$185,0,AK$199+1)-INDEX($E$185:$M$185,0,AK$199))+AJ202)))</f>
        <v>4.0981984477740037</v>
      </c>
      <c r="AL202" s="5" cm="1">
        <f t="array" ref="AL202">IF(AL$199=-1,AM202,IF(AL$199=99,AK202,IF(AL$199=0,INDEX($E188:$M188,0,AL$197),(INDEX($E188:$M188,0,AL$199+1)-INDEX($E188:$M188,0,AL$199))/(INDEX($E$185:$M$185,0,AL$199+1)-INDEX($E$185:$M$185,0,AL$199))+AK202)))</f>
        <v>4.2012264646236019</v>
      </c>
      <c r="AM202" s="5" cm="1">
        <f t="array" ref="AM202">IF(AM$199=-1,AO202,IF(AM$199=99,AL202,IF(AM$199=0,INDEX($E188:$M188,0,AM$197),(INDEX($E188:$M188,0,AM$199+1)-INDEX($E188:$M188,0,AM$199))/(INDEX($E$185:$M$185,0,AM$199+1)-INDEX($E$185:$M$185,0,AM$199))+AL202)))</f>
        <v>4.3042544814732002</v>
      </c>
      <c r="AN202" s="5" cm="1">
        <f t="array" ref="AN202">IF(AN$199=-1,AP202,IF(AN$199=99,AL202,IF(AN$199=0,INDEX($E188:$M188,0,AN$197),(INDEX($E188:$M188,0,AN$199+1)-INDEX($E188:$M188,0,AN$199))/(INDEX($E$185:$M$185,0,AN$199+1)-INDEX($E$185:$M$185,0,AN$199))+AL202)))</f>
        <v>4.3042544814732002</v>
      </c>
      <c r="AO202" s="5" cm="1">
        <f t="array" ref="AO202">IF(AO$199=-1,AQ202,IF(AO$199=99,AM202,IF(AO$199=0,INDEX($E188:$M188,0,AO$197),(INDEX($E188:$M188,0,AO$199+1)-INDEX($E188:$M188,0,AO$199))/(INDEX($E$185:$M$185,0,AO$199+1)-INDEX($E$185:$M$185,0,AO$199))+AM202)))</f>
        <v>4.4072824983227985</v>
      </c>
      <c r="AP202" s="5" cm="1">
        <f t="array" ref="AP202">IF(AP$199=-1,AR202,IF(AP$199=99,AO202,IF(AP$199=0,INDEX($E188:$M188,0,AP$197),(INDEX($E188:$M188,0,AP$199+1)-INDEX($E188:$M188,0,AP$199))/(INDEX($E$185:$M$185,0,AP$199+1)-INDEX($E$185:$M$185,0,AP$199))+AO202)))</f>
        <v>4.5103105151723968</v>
      </c>
      <c r="AQ202" s="5" cm="1">
        <f t="array" ref="AQ202">IF(AQ$199=-1,AR202,IF(AQ$199=99,AO202,IF(AQ$199=0,INDEX($E188:$M188,0,AQ$197),(INDEX($E188:$M188,0,AQ$199+1)-INDEX($E188:$M188,0,AQ$199))/(INDEX($E$185:$M$185,0,AQ$199+1)-INDEX($E$185:$M$185,0,AQ$199))+AO202)))</f>
        <v>4.5103105151723968</v>
      </c>
      <c r="AR202" s="5" cm="1">
        <f t="array" ref="AR202">IF(AR$199=-1,AS202,IF(AR$199=99,AQ202,IF(AR$199=0,INDEX($E188:$M188,0,AR$197),(INDEX($E188:$M188,0,AR$199+1)-INDEX($E188:$M188,0,AR$199))/(INDEX($E$185:$M$185,0,AR$199+1)-INDEX($E$185:$M$185,0,AR$199))+AQ202)))</f>
        <v>4.6133385320219951</v>
      </c>
      <c r="AS202" s="5" cm="1">
        <f t="array" ref="AS202">IF(AS$199=-1,AT202,IF(AS$199=99,AR202,IF(AS$199=0,INDEX($E188:$M188,0,AS$197),(INDEX($E188:$M188,0,AS$199+1)-INDEX($E188:$M188,0,AS$199))/(INDEX($E$185:$M$185,0,AS$199+1)-INDEX($E$185:$M$185,0,AS$199))+AR202)))</f>
        <v>4.7163665488715933</v>
      </c>
      <c r="AT202" s="5" cm="1">
        <f t="array" ref="AT202">IF(AT$199=-1,AU202,IF(AT$199=99,AS202,IF(AT$199=0,INDEX($E188:$M188,0,AT$197),(INDEX($E188:$M188,0,AT$199+1)-INDEX($E188:$M188,0,AT$199))/(INDEX($E$185:$M$185,0,AT$199+1)-INDEX($E$185:$M$185,0,AT$199))+AS202)))</f>
        <v>4.8193945657211898</v>
      </c>
      <c r="AU202" s="237">
        <f t="shared" si="517"/>
        <v>5.6351033866741149</v>
      </c>
      <c r="AV202" s="5" cm="1">
        <f t="array" ref="AV202">IF(AV$199=-1,AW202,IF(AV$199=99,AU202,IF(AV$199=0,INDEX($E188:$M188,0,AV$197),(INDEX($E188:$M188,0,AV$199+1)-INDEX($E188:$M188,0,AV$199))/(INDEX($E$185:$M$185,0,AV$199+1)-INDEX($E$185:$M$185,0,AV$199))+AU202)))</f>
        <v>6.45081220762704</v>
      </c>
      <c r="AW202" s="5" cm="1">
        <f t="array" ref="AW202">IF(AW$199=-1,AX202,IF(AW$199=99,AV202,IF(AW$199=0,INDEX($E188:$M188,0,AW$197),(INDEX($E188:$M188,0,AW$199+1)-INDEX($E188:$M188,0,AW$199))/(INDEX($E$185:$M$185,0,AW$199+1)-INDEX($E$185:$M$185,0,AW$199))+AV202)))</f>
        <v>7.000863446646318</v>
      </c>
      <c r="AX202" s="5" cm="1">
        <f t="array" ref="AX202">IF(AX$199=-1,AY202,IF(AX$199=99,AW202,IF(AX$199=0,INDEX($E188:$M188,0,AX$197),(INDEX($E188:$M188,0,AX$199+1)-INDEX($E188:$M188,0,AX$199))/(INDEX($E$185:$M$185,0,AX$199+1)-INDEX($E$185:$M$185,0,AX$199))+AW202)))</f>
        <v>6.5832071128729028</v>
      </c>
      <c r="AY202" s="5"/>
      <c r="BB202" s="5"/>
      <c r="BC202" s="5"/>
      <c r="BM202" s="5"/>
      <c r="BN202" s="46"/>
    </row>
    <row r="203" spans="1:66">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0.67620071242540647</v>
      </c>
      <c r="X203" s="5" cm="1">
        <f t="array" ref="X203">IF(X$199=-1,Y203,IF(X$199=99,W203,IF(X$199=0,INDEX($E189:$M189,0,X$197),(INDEX($E189:$M189,0,X$199+1)-INDEX($E189:$M189,0,X$199))/(INDEX($E$185:$M$185,0,X$199+1)-INDEX($E$185:$M$185,0,X$199))+W203)))</f>
        <v>0.67955066424642951</v>
      </c>
      <c r="Y203" s="5" cm="1">
        <f t="array" ref="Y203">IF(Y$199=-1,Z203,IF(Y$199=99,X203,IF(Y$199=0,INDEX($E189:$M189,0,Y$197),(INDEX($E189:$M189,0,Y$199+1)-INDEX($E189:$M189,0,Y$199))/(INDEX($E$185:$M$185,0,Y$199+1)-INDEX($E$185:$M$185,0,Y$199))+X203)))</f>
        <v>0.68290061606745256</v>
      </c>
      <c r="Z203" s="5" cm="1">
        <f t="array" ref="Z203">IF(Z$199=-1,AA203,IF(Z$199=99,Y203,IF(Z$199=0,INDEX($E189:$M189,0,Z$197),(INDEX($E189:$M189,0,Z$199+1)-INDEX($E189:$M189,0,Z$199))/(INDEX($E$185:$M$185,0,Z$199+1)-INDEX($E$185:$M$185,0,Z$199))+Y203)))</f>
        <v>0.6862505678884756</v>
      </c>
      <c r="AA203" s="5" cm="1">
        <f t="array" ref="AA203">IF(AA$199=-1,AB203,IF(AA$199=99,Z203,IF(AA$199=0,INDEX($E189:$M189,0,AA$197),(INDEX($E189:$M189,0,AA$199+1)-INDEX($E189:$M189,0,AA$199))/(INDEX($E$185:$M$185,0,AA$199+1)-INDEX($E$185:$M$185,0,AA$199))+Z203)))</f>
        <v>0.68960051970949865</v>
      </c>
      <c r="AB203" s="5" cm="1">
        <f t="array" ref="AB203">IF(AB$199=-1,AC203,IF(AB$199=99,AA203,IF(AB$199=0,INDEX($E189:$M189,0,AB$197),(INDEX($E189:$M189,0,AB$199+1)-INDEX($E189:$M189,0,AB$199))/(INDEX($E$185:$M$185,0,AB$199+1)-INDEX($E$185:$M$185,0,AB$199))+AA203)))</f>
        <v>0.69295047153052169</v>
      </c>
      <c r="AC203" s="5" cm="1">
        <f t="array" ref="AC203">IF(AC$199=-1,AD203,IF(AC$199=99,AB203,IF(AC$199=0,INDEX($E189:$M189,0,AC$197),(INDEX($E189:$M189,0,AC$199+1)-INDEX($E189:$M189,0,AC$199))/(INDEX($E$185:$M$185,0,AC$199+1)-INDEX($E$185:$M$185,0,AC$199))+AB203)))</f>
        <v>0.69630042335154474</v>
      </c>
      <c r="AD203" s="5" cm="1">
        <f t="array" ref="AD203">IF(AD$199=-1,AE203,IF(AD$199=99,AC203,IF(AD$199=0,INDEX($E189:$M189,0,AD$197),(INDEX($E189:$M189,0,AD$199+1)-INDEX($E189:$M189,0,AD$199))/(INDEX($E$185:$M$185,0,AD$199+1)-INDEX($E$185:$M$185,0,AD$199))+AC203)))</f>
        <v>0.69965037517256778</v>
      </c>
      <c r="AE203" s="5" cm="1">
        <f t="array" ref="AE203">IF(AE$199=-1,AH203,IF(AE$199=99,AD203,IF(AE$199=0,INDEX($E189:$M189,0,AE$197),(INDEX($E189:$M189,0,AE$199+1)-INDEX($E189:$M189,0,AE$199))/(INDEX($E$185:$M$185,0,AE$199+1)-INDEX($E$185:$M$185,0,AE$199))+AD203)))</f>
        <v>0.70300032699359083</v>
      </c>
      <c r="AF203" s="5" cm="1">
        <f t="array" ref="AF203">IF(AF$199=-1,AH203,IF(AF$199=99,AD203,IF(AF$199=0,INDEX($E189:$M189,0,AF$197),(INDEX($E189:$M189,0,AF$199+1)-INDEX($E189:$M189,0,AF$199))/(INDEX($E$185:$M$185,0,AF$199+1)-INDEX($E$185:$M$185,0,AF$199))+AD203)))</f>
        <v>0.70300032699359083</v>
      </c>
      <c r="AG203" s="5" cm="1">
        <f t="array" ref="AG203">IF(AG$199=-1,AH203,IF(AG$199=99,AD203,IF(AG$199=0,INDEX($E189:$M189,0,AG$197),(INDEX($E189:$M189,0,AG$199+1)-INDEX($E189:$M189,0,AG$199))/(INDEX($E$185:$M$185,0,AG$199+1)-INDEX($E$185:$M$185,0,AG$199))+AD203)))</f>
        <v>0.70300032699359083</v>
      </c>
      <c r="AH203" s="5" cm="1">
        <f t="array" ref="AH203">IF(AH$199=-1,AI203,IF(AH$199=99,AE203,IF(AH$199=0,INDEX($E189:$M189,0,AH$197),(INDEX($E189:$M189,0,AH$199+1)-INDEX($E189:$M189,0,AH$199))/(INDEX($E$185:$M$185,0,AH$199+1)-INDEX($E$185:$M$185,0,AH$199))+AE203)))</f>
        <v>0.70635027881461387</v>
      </c>
      <c r="AI203" s="5" cm="1">
        <f t="array" ref="AI203">IF(AI$199=-1,AJ203,IF(AI$199=99,AH203,IF(AI$199=0,INDEX($E189:$M189,0,AI$197),(INDEX($E189:$M189,0,AI$199+1)-INDEX($E189:$M189,0,AI$199))/(INDEX($E$185:$M$185,0,AI$199+1)-INDEX($E$185:$M$185,0,AI$199))+AH203)))</f>
        <v>0.70722529850125093</v>
      </c>
      <c r="AJ203" s="5" cm="1">
        <f t="array" ref="AJ203">IF(AJ$199=-1,AK203,IF(AJ$199=99,AI203,IF(AJ$199=0,INDEX($E189:$M189,0,AJ$197),(INDEX($E189:$M189,0,AJ$199+1)-INDEX($E189:$M189,0,AJ$199))/(INDEX($E$185:$M$185,0,AJ$199+1)-INDEX($E$185:$M$185,0,AJ$199))+AI203)))</f>
        <v>0.70810031818788799</v>
      </c>
      <c r="AK203" s="5" cm="1">
        <f t="array" ref="AK203">IF(AK$199=-1,AL203,IF(AK$199=99,AJ203,IF(AK$199=0,INDEX($E189:$M189,0,AK$197),(INDEX($E189:$M189,0,AK$199+1)-INDEX($E189:$M189,0,AK$199))/(INDEX($E$185:$M$185,0,AK$199+1)-INDEX($E$185:$M$185,0,AK$199))+AJ203)))</f>
        <v>0.70897533787452505</v>
      </c>
      <c r="AL203" s="5" cm="1">
        <f t="array" ref="AL203">IF(AL$199=-1,AM203,IF(AL$199=99,AK203,IF(AL$199=0,INDEX($E189:$M189,0,AL$197),(INDEX($E189:$M189,0,AL$199+1)-INDEX($E189:$M189,0,AL$199))/(INDEX($E$185:$M$185,0,AL$199+1)-INDEX($E$185:$M$185,0,AL$199))+AK203)))</f>
        <v>0.7098503575611621</v>
      </c>
      <c r="AM203" s="5" cm="1">
        <f t="array" ref="AM203">IF(AM$199=-1,AO203,IF(AM$199=99,AL203,IF(AM$199=0,INDEX($E189:$M189,0,AM$197),(INDEX($E189:$M189,0,AM$199+1)-INDEX($E189:$M189,0,AM$199))/(INDEX($E$185:$M$185,0,AM$199+1)-INDEX($E$185:$M$185,0,AM$199))+AL203)))</f>
        <v>0.71072537724779916</v>
      </c>
      <c r="AN203" s="5" cm="1">
        <f t="array" ref="AN203">IF(AN$199=-1,AP203,IF(AN$199=99,AL203,IF(AN$199=0,INDEX($E189:$M189,0,AN$197),(INDEX($E189:$M189,0,AN$199+1)-INDEX($E189:$M189,0,AN$199))/(INDEX($E$185:$M$185,0,AN$199+1)-INDEX($E$185:$M$185,0,AN$199))+AL203)))</f>
        <v>0.71072537724779916</v>
      </c>
      <c r="AO203" s="5" cm="1">
        <f t="array" ref="AO203">IF(AO$199=-1,AQ203,IF(AO$199=99,AM203,IF(AO$199=0,INDEX($E189:$M189,0,AO$197),(INDEX($E189:$M189,0,AO$199+1)-INDEX($E189:$M189,0,AO$199))/(INDEX($E$185:$M$185,0,AO$199+1)-INDEX($E$185:$M$185,0,AO$199))+AM203)))</f>
        <v>0.71160039693443622</v>
      </c>
      <c r="AP203" s="5" cm="1">
        <f t="array" ref="AP203">IF(AP$199=-1,AR203,IF(AP$199=99,AO203,IF(AP$199=0,INDEX($E189:$M189,0,AP$197),(INDEX($E189:$M189,0,AP$199+1)-INDEX($E189:$M189,0,AP$199))/(INDEX($E$185:$M$185,0,AP$199+1)-INDEX($E$185:$M$185,0,AP$199))+AO203)))</f>
        <v>0.71247541662107328</v>
      </c>
      <c r="AQ203" s="5" cm="1">
        <f t="array" ref="AQ203">IF(AQ$199=-1,AR203,IF(AQ$199=99,AO203,IF(AQ$199=0,INDEX($E189:$M189,0,AQ$197),(INDEX($E189:$M189,0,AQ$199+1)-INDEX($E189:$M189,0,AQ$199))/(INDEX($E$185:$M$185,0,AQ$199+1)-INDEX($E$185:$M$185,0,AQ$199))+AO203)))</f>
        <v>0.71247541662107328</v>
      </c>
      <c r="AR203" s="5" cm="1">
        <f t="array" ref="AR203">IF(AR$199=-1,AS203,IF(AR$199=99,AQ203,IF(AR$199=0,INDEX($E189:$M189,0,AR$197),(INDEX($E189:$M189,0,AR$199+1)-INDEX($E189:$M189,0,AR$199))/(INDEX($E$185:$M$185,0,AR$199+1)-INDEX($E$185:$M$185,0,AR$199))+AQ203)))</f>
        <v>0.71335043630771033</v>
      </c>
      <c r="AS203" s="5" cm="1">
        <f t="array" ref="AS203">IF(AS$199=-1,AT203,IF(AS$199=99,AR203,IF(AS$199=0,INDEX($E189:$M189,0,AS$197),(INDEX($E189:$M189,0,AS$199+1)-INDEX($E189:$M189,0,AS$199))/(INDEX($E$185:$M$185,0,AS$199+1)-INDEX($E$185:$M$185,0,AS$199))+AR203)))</f>
        <v>0.71422545599434739</v>
      </c>
      <c r="AT203" s="5" cm="1">
        <f t="array" ref="AT203">IF(AT$199=-1,AU203,IF(AT$199=99,AS203,IF(AT$199=0,INDEX($E189:$M189,0,AT$197),(INDEX($E189:$M189,0,AT$199+1)-INDEX($E189:$M189,0,AT$199))/(INDEX($E$185:$M$185,0,AT$199+1)-INDEX($E$185:$M$185,0,AT$199))+AS203)))</f>
        <v>0.71510047568098489</v>
      </c>
      <c r="AU203" s="237">
        <f t="shared" si="517"/>
        <v>0.69155953684577742</v>
      </c>
      <c r="AV203" s="5" cm="1">
        <f t="array" ref="AV203">IF(AV$199=-1,AW203,IF(AV$199=99,AU203,IF(AV$199=0,INDEX($E189:$M189,0,AV$197),(INDEX($E189:$M189,0,AV$199+1)-INDEX($E189:$M189,0,AV$199))/(INDEX($E$185:$M$185,0,AV$199+1)-INDEX($E$185:$M$185,0,AV$199))+AU203)))</f>
        <v>0.66801859801056995</v>
      </c>
      <c r="AW203" s="5" cm="1">
        <f t="array" ref="AW203">IF(AW$199=-1,AX203,IF(AW$199=99,AV203,IF(AW$199=0,INDEX($E189:$M189,0,AW$197),(INDEX($E189:$M189,0,AW$199+1)-INDEX($E189:$M189,0,AW$199))/(INDEX($E$185:$M$185,0,AW$199+1)-INDEX($E$185:$M$185,0,AW$199))+AV203)))</f>
        <v>0.66153964240051011</v>
      </c>
      <c r="AX203" s="5" cm="1">
        <f t="array" ref="AX203">IF(AX$199=-1,AY203,IF(AX$199=99,AW203,IF(AX$199=0,INDEX($E189:$M189,0,AX$197),(INDEX($E189:$M189,0,AX$199+1)-INDEX($E189:$M189,0,AX$199))/(INDEX($E$185:$M$185,0,AX$199+1)-INDEX($E$185:$M$185,0,AX$199))+AW203)))</f>
        <v>0.69553202688274296</v>
      </c>
      <c r="AY203" s="5"/>
      <c r="BB203" s="5"/>
      <c r="BC203" s="5"/>
      <c r="BM203" s="5"/>
      <c r="BN203" s="46"/>
    </row>
    <row r="204" spans="1:66">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7.5870385099150655</v>
      </c>
      <c r="X204" s="5" cm="1">
        <f t="array" ref="X204">IF(X$199=-1,Y204,IF(X$199=99,W204,IF(X$199=0,INDEX($E190:$M190,0,X$197),(INDEX($E190:$M190,0,X$199+1)-INDEX($E190:$M190,0,X$199))/(INDEX($E$185:$M$185,0,X$199+1)-INDEX($E$185:$M$185,0,X$199))+W204)))</f>
        <v>7.596332335549608</v>
      </c>
      <c r="Y204" s="5" cm="1">
        <f t="array" ref="Y204">IF(Y$199=-1,Z204,IF(Y$199=99,X204,IF(Y$199=0,INDEX($E190:$M190,0,Y$197),(INDEX($E190:$M190,0,Y$199+1)-INDEX($E190:$M190,0,Y$199))/(INDEX($E$185:$M$185,0,Y$199+1)-INDEX($E$185:$M$185,0,Y$199))+X204)))</f>
        <v>7.6056261611841505</v>
      </c>
      <c r="Z204" s="5" cm="1">
        <f t="array" ref="Z204">IF(Z$199=-1,AA204,IF(Z$199=99,Y204,IF(Z$199=0,INDEX($E190:$M190,0,Z$197),(INDEX($E190:$M190,0,Z$199+1)-INDEX($E190:$M190,0,Z$199))/(INDEX($E$185:$M$185,0,Z$199+1)-INDEX($E$185:$M$185,0,Z$199))+Y204)))</f>
        <v>7.614919986818693</v>
      </c>
      <c r="AA204" s="5" cm="1">
        <f t="array" ref="AA204">IF(AA$199=-1,AB204,IF(AA$199=99,Z204,IF(AA$199=0,INDEX($E190:$M190,0,AA$197),(INDEX($E190:$M190,0,AA$199+1)-INDEX($E190:$M190,0,AA$199))/(INDEX($E$185:$M$185,0,AA$199+1)-INDEX($E$185:$M$185,0,AA$199))+Z204)))</f>
        <v>7.6242138124532355</v>
      </c>
      <c r="AB204" s="5" cm="1">
        <f t="array" ref="AB204">IF(AB$199=-1,AC204,IF(AB$199=99,AA204,IF(AB$199=0,INDEX($E190:$M190,0,AB$197),(INDEX($E190:$M190,0,AB$199+1)-INDEX($E190:$M190,0,AB$199))/(INDEX($E$185:$M$185,0,AB$199+1)-INDEX($E$185:$M$185,0,AB$199))+AA204)))</f>
        <v>7.633507638087778</v>
      </c>
      <c r="AC204" s="5" cm="1">
        <f t="array" ref="AC204">IF(AC$199=-1,AD204,IF(AC$199=99,AB204,IF(AC$199=0,INDEX($E190:$M190,0,AC$197),(INDEX($E190:$M190,0,AC$199+1)-INDEX($E190:$M190,0,AC$199))/(INDEX($E$185:$M$185,0,AC$199+1)-INDEX($E$185:$M$185,0,AC$199))+AB204)))</f>
        <v>7.6428014637223205</v>
      </c>
      <c r="AD204" s="5" cm="1">
        <f t="array" ref="AD204">IF(AD$199=-1,AE204,IF(AD$199=99,AC204,IF(AD$199=0,INDEX($E190:$M190,0,AD$197),(INDEX($E190:$M190,0,AD$199+1)-INDEX($E190:$M190,0,AD$199))/(INDEX($E$185:$M$185,0,AD$199+1)-INDEX($E$185:$M$185,0,AD$199))+AC204)))</f>
        <v>7.652095289356863</v>
      </c>
      <c r="AE204" s="5" cm="1">
        <f t="array" ref="AE204">IF(AE$199=-1,AH204,IF(AE$199=99,AD204,IF(AE$199=0,INDEX($E190:$M190,0,AE$197),(INDEX($E190:$M190,0,AE$199+1)-INDEX($E190:$M190,0,AE$199))/(INDEX($E$185:$M$185,0,AE$199+1)-INDEX($E$185:$M$185,0,AE$199))+AD204)))</f>
        <v>7.6613891149914055</v>
      </c>
      <c r="AF204" s="5" cm="1">
        <f t="array" ref="AF204">IF(AF$199=-1,AH204,IF(AF$199=99,AD204,IF(AF$199=0,INDEX($E190:$M190,0,AF$197),(INDEX($E190:$M190,0,AF$199+1)-INDEX($E190:$M190,0,AF$199))/(INDEX($E$185:$M$185,0,AF$199+1)-INDEX($E$185:$M$185,0,AF$199))+AD204)))</f>
        <v>7.6613891149914055</v>
      </c>
      <c r="AG204" s="5" cm="1">
        <f t="array" ref="AG204">IF(AG$199=-1,AH204,IF(AG$199=99,AD204,IF(AG$199=0,INDEX($E190:$M190,0,AG$197),(INDEX($E190:$M190,0,AG$199+1)-INDEX($E190:$M190,0,AG$199))/(INDEX($E$185:$M$185,0,AG$199+1)-INDEX($E$185:$M$185,0,AG$199))+AD204)))</f>
        <v>7.6613891149914055</v>
      </c>
      <c r="AH204" s="5" cm="1">
        <f t="array" ref="AH204">IF(AH$199=-1,AI204,IF(AH$199=99,AE204,IF(AH$199=0,INDEX($E190:$M190,0,AH$197),(INDEX($E190:$M190,0,AH$199+1)-INDEX($E190:$M190,0,AH$199))/(INDEX($E$185:$M$185,0,AH$199+1)-INDEX($E$185:$M$185,0,AH$199))+AE204)))</f>
        <v>7.6706829406259498</v>
      </c>
      <c r="AI204" s="5" cm="1">
        <f t="array" ref="AI204">IF(AI$199=-1,AJ204,IF(AI$199=99,AH204,IF(AI$199=0,INDEX($E190:$M190,0,AI$197),(INDEX($E190:$M190,0,AI$199+1)-INDEX($E190:$M190,0,AI$199))/(INDEX($E$185:$M$185,0,AI$199+1)-INDEX($E$185:$M$185,0,AI$199))+AH204)))</f>
        <v>7.6602015012828408</v>
      </c>
      <c r="AJ204" s="5" cm="1">
        <f t="array" ref="AJ204">IF(AJ$199=-1,AK204,IF(AJ$199=99,AI204,IF(AJ$199=0,INDEX($E190:$M190,0,AJ$197),(INDEX($E190:$M190,0,AJ$199+1)-INDEX($E190:$M190,0,AJ$199))/(INDEX($E$185:$M$185,0,AJ$199+1)-INDEX($E$185:$M$185,0,AJ$199))+AI204)))</f>
        <v>7.6497200619397319</v>
      </c>
      <c r="AK204" s="5" cm="1">
        <f t="array" ref="AK204">IF(AK$199=-1,AL204,IF(AK$199=99,AJ204,IF(AK$199=0,INDEX($E190:$M190,0,AK$197),(INDEX($E190:$M190,0,AK$199+1)-INDEX($E190:$M190,0,AK$199))/(INDEX($E$185:$M$185,0,AK$199+1)-INDEX($E$185:$M$185,0,AK$199))+AJ204)))</f>
        <v>7.6392386225966229</v>
      </c>
      <c r="AL204" s="5" cm="1">
        <f t="array" ref="AL204">IF(AL$199=-1,AM204,IF(AL$199=99,AK204,IF(AL$199=0,INDEX($E190:$M190,0,AL$197),(INDEX($E190:$M190,0,AL$199+1)-INDEX($E190:$M190,0,AL$199))/(INDEX($E$185:$M$185,0,AL$199+1)-INDEX($E$185:$M$185,0,AL$199))+AK204)))</f>
        <v>7.6287571832535139</v>
      </c>
      <c r="AM204" s="5" cm="1">
        <f t="array" ref="AM204">IF(AM$199=-1,AO204,IF(AM$199=99,AL204,IF(AM$199=0,INDEX($E190:$M190,0,AM$197),(INDEX($E190:$M190,0,AM$199+1)-INDEX($E190:$M190,0,AM$199))/(INDEX($E$185:$M$185,0,AM$199+1)-INDEX($E$185:$M$185,0,AM$199))+AL204)))</f>
        <v>7.618275743910405</v>
      </c>
      <c r="AN204" s="5" cm="1">
        <f t="array" ref="AN204">IF(AN$199=-1,AP204,IF(AN$199=99,AL204,IF(AN$199=0,INDEX($E190:$M190,0,AN$197),(INDEX($E190:$M190,0,AN$199+1)-INDEX($E190:$M190,0,AN$199))/(INDEX($E$185:$M$185,0,AN$199+1)-INDEX($E$185:$M$185,0,AN$199))+AL204)))</f>
        <v>7.618275743910405</v>
      </c>
      <c r="AO204" s="5" cm="1">
        <f t="array" ref="AO204">IF(AO$199=-1,AQ204,IF(AO$199=99,AM204,IF(AO$199=0,INDEX($E190:$M190,0,AO$197),(INDEX($E190:$M190,0,AO$199+1)-INDEX($E190:$M190,0,AO$199))/(INDEX($E$185:$M$185,0,AO$199+1)-INDEX($E$185:$M$185,0,AO$199))+AM204)))</f>
        <v>7.607794304567296</v>
      </c>
      <c r="AP204" s="5" cm="1">
        <f t="array" ref="AP204">IF(AP$199=-1,AR204,IF(AP$199=99,AO204,IF(AP$199=0,INDEX($E190:$M190,0,AP$197),(INDEX($E190:$M190,0,AP$199+1)-INDEX($E190:$M190,0,AP$199))/(INDEX($E$185:$M$185,0,AP$199+1)-INDEX($E$185:$M$185,0,AP$199))+AO204)))</f>
        <v>7.597312865224187</v>
      </c>
      <c r="AQ204" s="5" cm="1">
        <f t="array" ref="AQ204">IF(AQ$199=-1,AR204,IF(AQ$199=99,AO204,IF(AQ$199=0,INDEX($E190:$M190,0,AQ$197),(INDEX($E190:$M190,0,AQ$199+1)-INDEX($E190:$M190,0,AQ$199))/(INDEX($E$185:$M$185,0,AQ$199+1)-INDEX($E$185:$M$185,0,AQ$199))+AO204)))</f>
        <v>7.597312865224187</v>
      </c>
      <c r="AR204" s="5" cm="1">
        <f t="array" ref="AR204">IF(AR$199=-1,AS204,IF(AR$199=99,AQ204,IF(AR$199=0,INDEX($E190:$M190,0,AR$197),(INDEX($E190:$M190,0,AR$199+1)-INDEX($E190:$M190,0,AR$199))/(INDEX($E$185:$M$185,0,AR$199+1)-INDEX($E$185:$M$185,0,AR$199))+AQ204)))</f>
        <v>7.5868314258810781</v>
      </c>
      <c r="AS204" s="5" cm="1">
        <f t="array" ref="AS204">IF(AS$199=-1,AT204,IF(AS$199=99,AR204,IF(AS$199=0,INDEX($E190:$M190,0,AS$197),(INDEX($E190:$M190,0,AS$199+1)-INDEX($E190:$M190,0,AS$199))/(INDEX($E$185:$M$185,0,AS$199+1)-INDEX($E$185:$M$185,0,AS$199))+AR204)))</f>
        <v>7.5763499865379691</v>
      </c>
      <c r="AT204" s="5" cm="1">
        <f t="array" ref="AT204">IF(AT$199=-1,AU204,IF(AT$199=99,AS204,IF(AT$199=0,INDEX($E190:$M190,0,AT$197),(INDEX($E190:$M190,0,AT$199+1)-INDEX($E190:$M190,0,AT$199))/(INDEX($E$185:$M$185,0,AT$199+1)-INDEX($E$185:$M$185,0,AT$199))+AS204)))</f>
        <v>7.565868547194861</v>
      </c>
      <c r="AU204" s="237">
        <f t="shared" si="517"/>
        <v>7.3168019408062639</v>
      </c>
      <c r="AV204" s="5" cm="1">
        <f t="array" ref="AV204">IF(AV$199=-1,AW204,IF(AV$199=99,AU204,IF(AV$199=0,INDEX($E190:$M190,0,AV$197),(INDEX($E190:$M190,0,AV$199+1)-INDEX($E190:$M190,0,AV$199))/(INDEX($E$185:$M$185,0,AV$199+1)-INDEX($E$185:$M$185,0,AV$199))+AU204)))</f>
        <v>7.0677353344176668</v>
      </c>
      <c r="AW204" s="5" cm="1">
        <f t="array" ref="AW204">IF(AW$199=-1,AX204,IF(AW$199=99,AV204,IF(AW$199=0,INDEX($E190:$M190,0,AW$197),(INDEX($E190:$M190,0,AW$199+1)-INDEX($E190:$M190,0,AW$199))/(INDEX($E$185:$M$185,0,AW$199+1)-INDEX($E$185:$M$185,0,AW$199))+AV204)))</f>
        <v>6.9991870280805148</v>
      </c>
      <c r="AX204" s="5" cm="1">
        <f t="array" ref="AX204">IF(AX$199=-1,AY204,IF(AX$199=99,AW204,IF(AX$199=0,INDEX($E190:$M190,0,AX$197),(INDEX($E190:$M190,0,AX$199+1)-INDEX($E190:$M190,0,AX$199))/(INDEX($E$185:$M$185,0,AX$199+1)-INDEX($E$185:$M$185,0,AX$199))+AW204)))</f>
        <v>7.3588314715461243</v>
      </c>
      <c r="AY204" s="5"/>
      <c r="BB204" s="5"/>
      <c r="BC204" s="5"/>
      <c r="BM204" s="5"/>
      <c r="BN204" s="46"/>
    </row>
    <row r="205" spans="1:66">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7.2799982901224303E-2</v>
      </c>
      <c r="R205" s="5" cm="1">
        <f t="array" ref="R205">IF(R$199=-1,S205,IF(R$199=99,Q205,IF(R$199=0,INDEX($E191:$M191,0,R$197),(INDEX($E191:$M191,0,R$199+1)-INDEX($E191:$M191,0,R$199))/(INDEX($E$185:$M$185,0,R$199+1)-INDEX($E$185:$M$185,0,R$199))+Q205)))</f>
        <v>9.2054765383727061E-2</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0.11321787750148378</v>
      </c>
      <c r="X205" s="5" cm="1">
        <f t="array" ref="X205">IF(X$199=-1,Y205,IF(X$199=99,W205,IF(X$199=0,INDEX($E191:$M191,0,X$197),(INDEX($E191:$M191,0,X$199+1)-INDEX($E191:$M191,0,X$199))/(INDEX($E$185:$M$185,0,X$199+1)-INDEX($E$185:$M$185,0,X$199))+W205)))</f>
        <v>0.11269197283348066</v>
      </c>
      <c r="Y205" s="5" cm="1">
        <f t="array" ref="Y205">IF(Y$199=-1,Z205,IF(Y$199=99,X205,IF(Y$199=0,INDEX($E191:$M191,0,Y$197),(INDEX($E191:$M191,0,Y$199+1)-INDEX($E191:$M191,0,Y$199))/(INDEX($E$185:$M$185,0,Y$199+1)-INDEX($E$185:$M$185,0,Y$199))+X205)))</f>
        <v>0.11216606816547754</v>
      </c>
      <c r="Z205" s="5" cm="1">
        <f t="array" ref="Z205">IF(Z$199=-1,AA205,IF(Z$199=99,Y205,IF(Z$199=0,INDEX($E191:$M191,0,Z$197),(INDEX($E191:$M191,0,Z$199+1)-INDEX($E191:$M191,0,Z$199))/(INDEX($E$185:$M$185,0,Z$199+1)-INDEX($E$185:$M$185,0,Z$199))+Y205)))</f>
        <v>0.11164016349747442</v>
      </c>
      <c r="AA205" s="5" cm="1">
        <f t="array" ref="AA205">IF(AA$199=-1,AB205,IF(AA$199=99,Z205,IF(AA$199=0,INDEX($E191:$M191,0,AA$197),(INDEX($E191:$M191,0,AA$199+1)-INDEX($E191:$M191,0,AA$199))/(INDEX($E$185:$M$185,0,AA$199+1)-INDEX($E$185:$M$185,0,AA$199))+Z205)))</f>
        <v>0.1111142588294713</v>
      </c>
      <c r="AB205" s="5" cm="1">
        <f t="array" ref="AB205">IF(AB$199=-1,AC205,IF(AB$199=99,AA205,IF(AB$199=0,INDEX($E191:$M191,0,AB$197),(INDEX($E191:$M191,0,AB$199+1)-INDEX($E191:$M191,0,AB$199))/(INDEX($E$185:$M$185,0,AB$199+1)-INDEX($E$185:$M$185,0,AB$199))+AA205)))</f>
        <v>0.11058835416146819</v>
      </c>
      <c r="AC205" s="5" cm="1">
        <f t="array" ref="AC205">IF(AC$199=-1,AD205,IF(AC$199=99,AB205,IF(AC$199=0,INDEX($E191:$M191,0,AC$197),(INDEX($E191:$M191,0,AC$199+1)-INDEX($E191:$M191,0,AC$199))/(INDEX($E$185:$M$185,0,AC$199+1)-INDEX($E$185:$M$185,0,AC$199))+AB205)))</f>
        <v>0.11006244949346507</v>
      </c>
      <c r="AD205" s="5" cm="1">
        <f t="array" ref="AD205">IF(AD$199=-1,AE205,IF(AD$199=99,AC205,IF(AD$199=0,INDEX($E191:$M191,0,AD$197),(INDEX($E191:$M191,0,AD$199+1)-INDEX($E191:$M191,0,AD$199))/(INDEX($E$185:$M$185,0,AD$199+1)-INDEX($E$185:$M$185,0,AD$199))+AC205)))</f>
        <v>0.10953654482546195</v>
      </c>
      <c r="AE205" s="5" cm="1">
        <f t="array" ref="AE205">IF(AE$199=-1,AH205,IF(AE$199=99,AD205,IF(AE$199=0,INDEX($E191:$M191,0,AE$197),(INDEX($E191:$M191,0,AE$199+1)-INDEX($E191:$M191,0,AE$199))/(INDEX($E$185:$M$185,0,AE$199+1)-INDEX($E$185:$M$185,0,AE$199))+AD205)))</f>
        <v>0.10901064015745883</v>
      </c>
      <c r="AF205" s="5" cm="1">
        <f t="array" ref="AF205">IF(AF$199=-1,AH205,IF(AF$199=99,AD205,IF(AF$199=0,INDEX($E191:$M191,0,AF$197),(INDEX($E191:$M191,0,AF$199+1)-INDEX($E191:$M191,0,AF$199))/(INDEX($E$185:$M$185,0,AF$199+1)-INDEX($E$185:$M$185,0,AF$199))+AD205)))</f>
        <v>0.10901064015745883</v>
      </c>
      <c r="AG205" s="5" cm="1">
        <f t="array" ref="AG205">IF(AG$199=-1,AH205,IF(AG$199=99,AD205,IF(AG$199=0,INDEX($E191:$M191,0,AG$197),(INDEX($E191:$M191,0,AG$199+1)-INDEX($E191:$M191,0,AG$199))/(INDEX($E$185:$M$185,0,AG$199+1)-INDEX($E$185:$M$185,0,AG$199))+AD205)))</f>
        <v>0.10901064015745883</v>
      </c>
      <c r="AH205" s="5" cm="1">
        <f t="array" ref="AH205">IF(AH$199=-1,AI205,IF(AH$199=99,AE205,IF(AH$199=0,INDEX($E191:$M191,0,AH$197),(INDEX($E191:$M191,0,AH$199+1)-INDEX($E191:$M191,0,AH$199))/(INDEX($E$185:$M$185,0,AH$199+1)-INDEX($E$185:$M$185,0,AH$199))+AE205)))</f>
        <v>0.10848473548945574</v>
      </c>
      <c r="AI205" s="5" cm="1">
        <f t="array" ref="AI205">IF(AI$199=-1,AJ205,IF(AI$199=99,AH205,IF(AI$199=0,INDEX($E191:$M191,0,AI$197),(INDEX($E191:$M191,0,AI$199+1)-INDEX($E191:$M191,0,AI$199))/(INDEX($E$185:$M$185,0,AI$199+1)-INDEX($E$185:$M$185,0,AI$199))+AH205)))</f>
        <v>0.10934665020322129</v>
      </c>
      <c r="AJ205" s="5" cm="1">
        <f t="array" ref="AJ205">IF(AJ$199=-1,AK205,IF(AJ$199=99,AI205,IF(AJ$199=0,INDEX($E191:$M191,0,AJ$197),(INDEX($E191:$M191,0,AJ$199+1)-INDEX($E191:$M191,0,AJ$199))/(INDEX($E$185:$M$185,0,AJ$199+1)-INDEX($E$185:$M$185,0,AJ$199))+AI205)))</f>
        <v>0.11020856491698686</v>
      </c>
      <c r="AK205" s="5" cm="1">
        <f t="array" ref="AK205">IF(AK$199=-1,AL205,IF(AK$199=99,AJ205,IF(AK$199=0,INDEX($E191:$M191,0,AK$197),(INDEX($E191:$M191,0,AK$199+1)-INDEX($E191:$M191,0,AK$199))/(INDEX($E$185:$M$185,0,AK$199+1)-INDEX($E$185:$M$185,0,AK$199))+AJ205)))</f>
        <v>0.11107047963075242</v>
      </c>
      <c r="AL205" s="5" cm="1">
        <f t="array" ref="AL205">IF(AL$199=-1,AM205,IF(AL$199=99,AK205,IF(AL$199=0,INDEX($E191:$M191,0,AL$197),(INDEX($E191:$M191,0,AL$199+1)-INDEX($E191:$M191,0,AL$199))/(INDEX($E$185:$M$185,0,AL$199+1)-INDEX($E$185:$M$185,0,AL$199))+AK205)))</f>
        <v>0.11193239434451799</v>
      </c>
      <c r="AM205" s="5" cm="1">
        <f t="array" ref="AM205">IF(AM$199=-1,AO205,IF(AM$199=99,AL205,IF(AM$199=0,INDEX($E191:$M191,0,AM$197),(INDEX($E191:$M191,0,AM$199+1)-INDEX($E191:$M191,0,AM$199))/(INDEX($E$185:$M$185,0,AM$199+1)-INDEX($E$185:$M$185,0,AM$199))+AL205)))</f>
        <v>0.11279430905828355</v>
      </c>
      <c r="AN205" s="5" cm="1">
        <f t="array" ref="AN205">IF(AN$199=-1,AP205,IF(AN$199=99,AL205,IF(AN$199=0,INDEX($E191:$M191,0,AN$197),(INDEX($E191:$M191,0,AN$199+1)-INDEX($E191:$M191,0,AN$199))/(INDEX($E$185:$M$185,0,AN$199+1)-INDEX($E$185:$M$185,0,AN$199))+AL205)))</f>
        <v>0.11279430905828355</v>
      </c>
      <c r="AO205" s="5" cm="1">
        <f t="array" ref="AO205">IF(AO$199=-1,AQ205,IF(AO$199=99,AM205,IF(AO$199=0,INDEX($E191:$M191,0,AO$197),(INDEX($E191:$M191,0,AO$199+1)-INDEX($E191:$M191,0,AO$199))/(INDEX($E$185:$M$185,0,AO$199+1)-INDEX($E$185:$M$185,0,AO$199))+AM205)))</f>
        <v>0.11365622377204912</v>
      </c>
      <c r="AP205" s="5" cm="1">
        <f t="array" ref="AP205">IF(AP$199=-1,AR205,IF(AP$199=99,AO205,IF(AP$199=0,INDEX($E191:$M191,0,AP$197),(INDEX($E191:$M191,0,AP$199+1)-INDEX($E191:$M191,0,AP$199))/(INDEX($E$185:$M$185,0,AP$199+1)-INDEX($E$185:$M$185,0,AP$199))+AO205)))</f>
        <v>0.11451813848581469</v>
      </c>
      <c r="AQ205" s="5" cm="1">
        <f t="array" ref="AQ205">IF(AQ$199=-1,AR205,IF(AQ$199=99,AO205,IF(AQ$199=0,INDEX($E191:$M191,0,AQ$197),(INDEX($E191:$M191,0,AQ$199+1)-INDEX($E191:$M191,0,AQ$199))/(INDEX($E$185:$M$185,0,AQ$199+1)-INDEX($E$185:$M$185,0,AQ$199))+AO205)))</f>
        <v>0.11451813848581469</v>
      </c>
      <c r="AR205" s="5" cm="1">
        <f t="array" ref="AR205">IF(AR$199=-1,AS205,IF(AR$199=99,AQ205,IF(AR$199=0,INDEX($E191:$M191,0,AR$197),(INDEX($E191:$M191,0,AR$199+1)-INDEX($E191:$M191,0,AR$199))/(INDEX($E$185:$M$185,0,AR$199+1)-INDEX($E$185:$M$185,0,AR$199))+AQ205)))</f>
        <v>0.11538005319958025</v>
      </c>
      <c r="AS205" s="5" cm="1">
        <f t="array" ref="AS205">IF(AS$199=-1,AT205,IF(AS$199=99,AR205,IF(AS$199=0,INDEX($E191:$M191,0,AS$197),(INDEX($E191:$M191,0,AS$199+1)-INDEX($E191:$M191,0,AS$199))/(INDEX($E$185:$M$185,0,AS$199+1)-INDEX($E$185:$M$185,0,AS$199))+AR205)))</f>
        <v>0.11624196791334582</v>
      </c>
      <c r="AT205" s="5" cm="1">
        <f t="array" ref="AT205">IF(AT$199=-1,AU205,IF(AT$199=99,AS205,IF(AT$199=0,INDEX($E191:$M191,0,AT$197),(INDEX($E191:$M191,0,AT$199+1)-INDEX($E191:$M191,0,AT$199))/(INDEX($E$185:$M$185,0,AT$199+1)-INDEX($E$185:$M$185,0,AT$199))+AS205)))</f>
        <v>0.11710388262711133</v>
      </c>
      <c r="AU205" s="237">
        <f t="shared" si="517"/>
        <v>0.12035173605626301</v>
      </c>
      <c r="AV205" s="5" cm="1">
        <f t="array" ref="AV205">IF(AV$199=-1,AW205,IF(AV$199=99,AU205,IF(AV$199=0,INDEX($E191:$M191,0,AV$197),(INDEX($E191:$M191,0,AV$199+1)-INDEX($E191:$M191,0,AV$199))/(INDEX($E$185:$M$185,0,AV$199+1)-INDEX($E$185:$M$185,0,AV$199))+AU205)))</f>
        <v>0.12359958948541468</v>
      </c>
      <c r="AW205" s="5" cm="1">
        <f t="array" ref="AW205">IF(AW$199=-1,AX205,IF(AW$199=99,AV205,IF(AW$199=0,INDEX($E191:$M191,0,AW$197),(INDEX($E191:$M191,0,AW$199+1)-INDEX($E191:$M191,0,AW$199))/(INDEX($E$185:$M$185,0,AW$199+1)-INDEX($E$185:$M$185,0,AW$199))+AV205)))</f>
        <v>0.12724652598918682</v>
      </c>
      <c r="AX205" s="5" cm="1">
        <f t="array" ref="AX205">IF(AX$199=-1,AY205,IF(AX$199=99,AW205,IF(AX$199=0,INDEX($E191:$M191,0,AX$197),(INDEX($E191:$M191,0,AX$199+1)-INDEX($E191:$M191,0,AX$199))/(INDEX($E$185:$M$185,0,AX$199+1)-INDEX($E$185:$M$185,0,AX$199))+AW205)))</f>
        <v>0.12871195614866676</v>
      </c>
      <c r="AY205" s="5"/>
      <c r="BB205" s="5"/>
      <c r="BC205" s="5"/>
      <c r="BM205" s="5"/>
      <c r="BN205" s="46"/>
    </row>
    <row r="206" spans="1:66">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9.1535777190606566</v>
      </c>
      <c r="X206" s="5" cm="1">
        <f t="array" ref="X206">IF(X$199=-1,Y206,IF(X$199=99,W206,IF(X$199=0,INDEX($E192:$M192,0,X$197),(INDEX($E192:$M192,0,X$199+1)-INDEX($E192:$M192,0,X$199))/(INDEX($E$185:$M$185,0,X$199+1)-INDEX($E$185:$M$185,0,X$199))+W206)))</f>
        <v>9.5950267537405001</v>
      </c>
      <c r="Y206" s="5" cm="1">
        <f t="array" ref="Y206">IF(Y$199=-1,Z206,IF(Y$199=99,X206,IF(Y$199=0,INDEX($E192:$M192,0,Y$197),(INDEX($E192:$M192,0,Y$199+1)-INDEX($E192:$M192,0,Y$199))/(INDEX($E$185:$M$185,0,Y$199+1)-INDEX($E$185:$M$185,0,Y$199))+X206)))</f>
        <v>10.036475788420343</v>
      </c>
      <c r="Z206" s="5" cm="1">
        <f t="array" ref="Z206">IF(Z$199=-1,AA206,IF(Z$199=99,Y206,IF(Z$199=0,INDEX($E192:$M192,0,Z$197),(INDEX($E192:$M192,0,Z$199+1)-INDEX($E192:$M192,0,Z$199))/(INDEX($E$185:$M$185,0,Z$199+1)-INDEX($E$185:$M$185,0,Z$199))+Y206)))</f>
        <v>10.477924823100187</v>
      </c>
      <c r="AA206" s="5" cm="1">
        <f t="array" ref="AA206">IF(AA$199=-1,AB206,IF(AA$199=99,Z206,IF(AA$199=0,INDEX($E192:$M192,0,AA$197),(INDEX($E192:$M192,0,AA$199+1)-INDEX($E192:$M192,0,AA$199))/(INDEX($E$185:$M$185,0,AA$199+1)-INDEX($E$185:$M$185,0,AA$199))+Z206)))</f>
        <v>10.91937385778003</v>
      </c>
      <c r="AB206" s="5" cm="1">
        <f t="array" ref="AB206">IF(AB$199=-1,AC206,IF(AB$199=99,AA206,IF(AB$199=0,INDEX($E192:$M192,0,AB$197),(INDEX($E192:$M192,0,AB$199+1)-INDEX($E192:$M192,0,AB$199))/(INDEX($E$185:$M$185,0,AB$199+1)-INDEX($E$185:$M$185,0,AB$199))+AA206)))</f>
        <v>11.360822892459874</v>
      </c>
      <c r="AC206" s="5" cm="1">
        <f t="array" ref="AC206">IF(AC$199=-1,AD206,IF(AC$199=99,AB206,IF(AC$199=0,INDEX($E192:$M192,0,AC$197),(INDEX($E192:$M192,0,AC$199+1)-INDEX($E192:$M192,0,AC$199))/(INDEX($E$185:$M$185,0,AC$199+1)-INDEX($E$185:$M$185,0,AC$199))+AB206)))</f>
        <v>11.802271927139717</v>
      </c>
      <c r="AD206" s="5" cm="1">
        <f t="array" ref="AD206">IF(AD$199=-1,AE206,IF(AD$199=99,AC206,IF(AD$199=0,INDEX($E192:$M192,0,AD$197),(INDEX($E192:$M192,0,AD$199+1)-INDEX($E192:$M192,0,AD$199))/(INDEX($E$185:$M$185,0,AD$199+1)-INDEX($E$185:$M$185,0,AD$199))+AC206)))</f>
        <v>12.243720961819561</v>
      </c>
      <c r="AE206" s="5" cm="1">
        <f t="array" ref="AE206">IF(AE$199=-1,AH206,IF(AE$199=99,AD206,IF(AE$199=0,INDEX($E192:$M192,0,AE$197),(INDEX($E192:$M192,0,AE$199+1)-INDEX($E192:$M192,0,AE$199))/(INDEX($E$185:$M$185,0,AE$199+1)-INDEX($E$185:$M$185,0,AE$199))+AD206)))</f>
        <v>12.685169996499404</v>
      </c>
      <c r="AF206" s="5" cm="1">
        <f t="array" ref="AF206">IF(AF$199=-1,AH206,IF(AF$199=99,AD206,IF(AF$199=0,INDEX($E192:$M192,0,AF$197),(INDEX($E192:$M192,0,AF$199+1)-INDEX($E192:$M192,0,AF$199))/(INDEX($E$185:$M$185,0,AF$199+1)-INDEX($E$185:$M$185,0,AF$199))+AD206)))</f>
        <v>12.685169996499404</v>
      </c>
      <c r="AG206" s="5" cm="1">
        <f t="array" ref="AG206">IF(AG$199=-1,AH206,IF(AG$199=99,AD206,IF(AG$199=0,INDEX($E192:$M192,0,AG$197),(INDEX($E192:$M192,0,AG$199+1)-INDEX($E192:$M192,0,AG$199))/(INDEX($E$185:$M$185,0,AG$199+1)-INDEX($E$185:$M$185,0,AG$199))+AD206)))</f>
        <v>12.685169996499404</v>
      </c>
      <c r="AH206" s="5" cm="1">
        <f t="array" ref="AH206">IF(AH$199=-1,AI206,IF(AH$199=99,AE206,IF(AH$199=0,INDEX($E192:$M192,0,AH$197),(INDEX($E192:$M192,0,AH$199+1)-INDEX($E192:$M192,0,AH$199))/(INDEX($E$185:$M$185,0,AH$199+1)-INDEX($E$185:$M$185,0,AH$199))+AE206)))</f>
        <v>13.126619031179249</v>
      </c>
      <c r="AI206" s="5" cm="1">
        <f t="array" ref="AI206">IF(AI$199=-1,AJ206,IF(AI$199=99,AH206,IF(AI$199=0,INDEX($E192:$M192,0,AI$197),(INDEX($E192:$M192,0,AI$199+1)-INDEX($E192:$M192,0,AI$199))/(INDEX($E$185:$M$185,0,AI$199+1)-INDEX($E$185:$M$185,0,AI$199))+AH206)))</f>
        <v>13.422653425074495</v>
      </c>
      <c r="AJ206" s="5" cm="1">
        <f t="array" ref="AJ206">IF(AJ$199=-1,AK206,IF(AJ$199=99,AI206,IF(AJ$199=0,INDEX($E192:$M192,0,AJ$197),(INDEX($E192:$M192,0,AJ$199+1)-INDEX($E192:$M192,0,AJ$199))/(INDEX($E$185:$M$185,0,AJ$199+1)-INDEX($E$185:$M$185,0,AJ$199))+AI206)))</f>
        <v>13.718687818969741</v>
      </c>
      <c r="AK206" s="5" cm="1">
        <f t="array" ref="AK206">IF(AK$199=-1,AL206,IF(AK$199=99,AJ206,IF(AK$199=0,INDEX($E192:$M192,0,AK$197),(INDEX($E192:$M192,0,AK$199+1)-INDEX($E192:$M192,0,AK$199))/(INDEX($E$185:$M$185,0,AK$199+1)-INDEX($E$185:$M$185,0,AK$199))+AJ206)))</f>
        <v>14.014722212864987</v>
      </c>
      <c r="AL206" s="5" cm="1">
        <f t="array" ref="AL206">IF(AL$199=-1,AM206,IF(AL$199=99,AK206,IF(AL$199=0,INDEX($E192:$M192,0,AL$197),(INDEX($E192:$M192,0,AL$199+1)-INDEX($E192:$M192,0,AL$199))/(INDEX($E$185:$M$185,0,AL$199+1)-INDEX($E$185:$M$185,0,AL$199))+AK206)))</f>
        <v>14.310756606760233</v>
      </c>
      <c r="AM206" s="5" cm="1">
        <f t="array" ref="AM206">IF(AM$199=-1,AO206,IF(AM$199=99,AL206,IF(AM$199=0,INDEX($E192:$M192,0,AM$197),(INDEX($E192:$M192,0,AM$199+1)-INDEX($E192:$M192,0,AM$199))/(INDEX($E$185:$M$185,0,AM$199+1)-INDEX($E$185:$M$185,0,AM$199))+AL206)))</f>
        <v>14.606791000655479</v>
      </c>
      <c r="AN206" s="5" cm="1">
        <f t="array" ref="AN206">IF(AN$199=-1,AP206,IF(AN$199=99,AL206,IF(AN$199=0,INDEX($E192:$M192,0,AN$197),(INDEX($E192:$M192,0,AN$199+1)-INDEX($E192:$M192,0,AN$199))/(INDEX($E$185:$M$185,0,AN$199+1)-INDEX($E$185:$M$185,0,AN$199))+AL206)))</f>
        <v>14.606791000655479</v>
      </c>
      <c r="AO206" s="5" cm="1">
        <f t="array" ref="AO206">IF(AO$199=-1,AQ206,IF(AO$199=99,AM206,IF(AO$199=0,INDEX($E192:$M192,0,AO$197),(INDEX($E192:$M192,0,AO$199+1)-INDEX($E192:$M192,0,AO$199))/(INDEX($E$185:$M$185,0,AO$199+1)-INDEX($E$185:$M$185,0,AO$199))+AM206)))</f>
        <v>14.902825394550725</v>
      </c>
      <c r="AP206" s="5" cm="1">
        <f t="array" ref="AP206">IF(AP$199=-1,AR206,IF(AP$199=99,AO206,IF(AP$199=0,INDEX($E192:$M192,0,AP$197),(INDEX($E192:$M192,0,AP$199+1)-INDEX($E192:$M192,0,AP$199))/(INDEX($E$185:$M$185,0,AP$199+1)-INDEX($E$185:$M$185,0,AP$199))+AO206)))</f>
        <v>15.19885978844597</v>
      </c>
      <c r="AQ206" s="5" cm="1">
        <f t="array" ref="AQ206">IF(AQ$199=-1,AR206,IF(AQ$199=99,AO206,IF(AQ$199=0,INDEX($E192:$M192,0,AQ$197),(INDEX($E192:$M192,0,AQ$199+1)-INDEX($E192:$M192,0,AQ$199))/(INDEX($E$185:$M$185,0,AQ$199+1)-INDEX($E$185:$M$185,0,AQ$199))+AO206)))</f>
        <v>15.19885978844597</v>
      </c>
      <c r="AR206" s="5" cm="1">
        <f t="array" ref="AR206">IF(AR$199=-1,AS206,IF(AR$199=99,AQ206,IF(AR$199=0,INDEX($E192:$M192,0,AR$197),(INDEX($E192:$M192,0,AR$199+1)-INDEX($E192:$M192,0,AR$199))/(INDEX($E$185:$M$185,0,AR$199+1)-INDEX($E$185:$M$185,0,AR$199))+AQ206)))</f>
        <v>15.494894182341216</v>
      </c>
      <c r="AS206" s="5" cm="1">
        <f t="array" ref="AS206">IF(AS$199=-1,AT206,IF(AS$199=99,AR206,IF(AS$199=0,INDEX($E192:$M192,0,AS$197),(INDEX($E192:$M192,0,AS$199+1)-INDEX($E192:$M192,0,AS$199))/(INDEX($E$185:$M$185,0,AS$199+1)-INDEX($E$185:$M$185,0,AS$199))+AR206)))</f>
        <v>15.790928576236462</v>
      </c>
      <c r="AT206" s="5" cm="1">
        <f t="array" ref="AT206">IF(AT$199=-1,AU206,IF(AT$199=99,AS206,IF(AT$199=0,INDEX($E192:$M192,0,AT$197),(INDEX($E192:$M192,0,AT$199+1)-INDEX($E192:$M192,0,AT$199))/(INDEX($E$185:$M$185,0,AT$199+1)-INDEX($E$185:$M$185,0,AT$199))+AS206)))</f>
        <v>16.086962970131705</v>
      </c>
      <c r="AU206" s="237">
        <f t="shared" si="517"/>
        <v>15.557383947039204</v>
      </c>
      <c r="AV206" s="5" cm="1">
        <f t="array" ref="AV206">IF(AV$199=-1,AW206,IF(AV$199=99,AU206,IF(AV$199=0,INDEX($E192:$M192,0,AV$197),(INDEX($E192:$M192,0,AV$199+1)-INDEX($E192:$M192,0,AV$199))/(INDEX($E$185:$M$185,0,AV$199+1)-INDEX($E$185:$M$185,0,AV$199))+AU206)))</f>
        <v>15.027804923946704</v>
      </c>
      <c r="AW206" s="5" cm="1">
        <f t="array" ref="AW206">IF(AW$199=-1,AX206,IF(AW$199=99,AV206,IF(AW$199=0,INDEX($E192:$M192,0,AW$197),(INDEX($E192:$M192,0,AW$199+1)-INDEX($E192:$M192,0,AW$199))/(INDEX($E$185:$M$185,0,AW$199+1)-INDEX($E$185:$M$185,0,AW$199))+AV206)))</f>
        <v>14.882053770747001</v>
      </c>
      <c r="AX206" s="5" cm="1">
        <f t="array" ref="AX206">IF(AX$199=-1,AY206,IF(AX$199=99,AW206,IF(AX$199=0,INDEX($E192:$M192,0,AX$197),(INDEX($E192:$M192,0,AX$199+1)-INDEX($E192:$M192,0,AX$199))/(INDEX($E$185:$M$185,0,AX$199+1)-INDEX($E$185:$M$185,0,AX$199))+AW206)))</f>
        <v>15.646749431047624</v>
      </c>
      <c r="AY206" s="5"/>
      <c r="BB206" s="5"/>
      <c r="BC206" s="5"/>
      <c r="BM206" s="5"/>
      <c r="BN206" s="46"/>
    </row>
    <row r="207" spans="1:66">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0.6528281316673451</v>
      </c>
      <c r="X207" s="5" cm="1">
        <f t="array" ref="X207">IF(X$199=-1,Y207,IF(X$199=99,W207,IF(X$199=0,INDEX($E193:$M193,0,X$197),(INDEX($E193:$M193,0,X$199+1)-INDEX($E193:$M193,0,X$199))/(INDEX($E$185:$M$185,0,X$199+1)-INDEX($E$185:$M$185,0,X$199))+W207)))</f>
        <v>0.75920400441386882</v>
      </c>
      <c r="Y207" s="5" cm="1">
        <f t="array" ref="Y207">IF(Y$199=-1,Z207,IF(Y$199=99,X207,IF(Y$199=0,INDEX($E193:$M193,0,Y$197),(INDEX($E193:$M193,0,Y$199+1)-INDEX($E193:$M193,0,Y$199))/(INDEX($E$185:$M$185,0,Y$199+1)-INDEX($E$185:$M$185,0,Y$199))+X207)))</f>
        <v>0.86557987716039264</v>
      </c>
      <c r="Z207" s="5" cm="1">
        <f t="array" ref="Z207">IF(Z$199=-1,AA207,IF(Z$199=99,Y207,IF(Z$199=0,INDEX($E193:$M193,0,Z$197),(INDEX($E193:$M193,0,Z$199+1)-INDEX($E193:$M193,0,Z$199))/(INDEX($E$185:$M$185,0,Z$199+1)-INDEX($E$185:$M$185,0,Z$199))+Y207)))</f>
        <v>0.97195574990691647</v>
      </c>
      <c r="AA207" s="5" cm="1">
        <f t="array" ref="AA207">IF(AA$199=-1,AB207,IF(AA$199=99,Z207,IF(AA$199=0,INDEX($E193:$M193,0,AA$197),(INDEX($E193:$M193,0,AA$199+1)-INDEX($E193:$M193,0,AA$199))/(INDEX($E$185:$M$185,0,AA$199+1)-INDEX($E$185:$M$185,0,AA$199))+Z207)))</f>
        <v>1.0783316226534403</v>
      </c>
      <c r="AB207" s="5" cm="1">
        <f t="array" ref="AB207">IF(AB$199=-1,AC207,IF(AB$199=99,AA207,IF(AB$199=0,INDEX($E193:$M193,0,AB$197),(INDEX($E193:$M193,0,AB$199+1)-INDEX($E193:$M193,0,AB$199))/(INDEX($E$185:$M$185,0,AB$199+1)-INDEX($E$185:$M$185,0,AB$199))+AA207)))</f>
        <v>1.1847074953999641</v>
      </c>
      <c r="AC207" s="5" cm="1">
        <f t="array" ref="AC207">IF(AC$199=-1,AD207,IF(AC$199=99,AB207,IF(AC$199=0,INDEX($E193:$M193,0,AC$197),(INDEX($E193:$M193,0,AC$199+1)-INDEX($E193:$M193,0,AC$199))/(INDEX($E$185:$M$185,0,AC$199+1)-INDEX($E$185:$M$185,0,AC$199))+AB207)))</f>
        <v>1.2910833681464879</v>
      </c>
      <c r="AD207" s="5" cm="1">
        <f t="array" ref="AD207">IF(AD$199=-1,AE207,IF(AD$199=99,AC207,IF(AD$199=0,INDEX($E193:$M193,0,AD$197),(INDEX($E193:$M193,0,AD$199+1)-INDEX($E193:$M193,0,AD$199))/(INDEX($E$185:$M$185,0,AD$199+1)-INDEX($E$185:$M$185,0,AD$199))+AC207)))</f>
        <v>1.3974592408930118</v>
      </c>
      <c r="AE207" s="5" cm="1">
        <f t="array" ref="AE207">IF(AE$199=-1,AH207,IF(AE$199=99,AD207,IF(AE$199=0,INDEX($E193:$M193,0,AE$197),(INDEX($E193:$M193,0,AE$199+1)-INDEX($E193:$M193,0,AE$199))/(INDEX($E$185:$M$185,0,AE$199+1)-INDEX($E$185:$M$185,0,AE$199))+AD207)))</f>
        <v>1.5038351136395356</v>
      </c>
      <c r="AF207" s="5" cm="1">
        <f t="array" ref="AF207">IF(AF$199=-1,AH207,IF(AF$199=99,AD207,IF(AF$199=0,INDEX($E193:$M193,0,AF$197),(INDEX($E193:$M193,0,AF$199+1)-INDEX($E193:$M193,0,AF$199))/(INDEX($E$185:$M$185,0,AF$199+1)-INDEX($E$185:$M$185,0,AF$199))+AD207)))</f>
        <v>1.5038351136395356</v>
      </c>
      <c r="AG207" s="5" cm="1">
        <f t="array" ref="AG207">IF(AG$199=-1,AH207,IF(AG$199=99,AD207,IF(AG$199=0,INDEX($E193:$M193,0,AG$197),(INDEX($E193:$M193,0,AG$199+1)-INDEX($E193:$M193,0,AG$199))/(INDEX($E$185:$M$185,0,AG$199+1)-INDEX($E$185:$M$185,0,AG$199))+AD207)))</f>
        <v>1.5038351136395356</v>
      </c>
      <c r="AH207" s="5" cm="1">
        <f t="array" ref="AH207">IF(AH$199=-1,AI207,IF(AH$199=99,AE207,IF(AH$199=0,INDEX($E193:$M193,0,AH$197),(INDEX($E193:$M193,0,AH$199+1)-INDEX($E193:$M193,0,AH$199))/(INDEX($E$185:$M$185,0,AH$199+1)-INDEX($E$185:$M$185,0,AH$199))+AE207)))</f>
        <v>1.610210986386059</v>
      </c>
      <c r="AI207" s="5" cm="1">
        <f t="array" ref="AI207">IF(AI$199=-1,AJ207,IF(AI$199=99,AH207,IF(AI$199=0,INDEX($E193:$M193,0,AI$197),(INDEX($E193:$M193,0,AI$199+1)-INDEX($E193:$M193,0,AI$199))/(INDEX($E$185:$M$185,0,AI$199+1)-INDEX($E$185:$M$185,0,AI$199))+AH207)))</f>
        <v>1.7300890942780629</v>
      </c>
      <c r="AJ207" s="5" cm="1">
        <f t="array" ref="AJ207">IF(AJ$199=-1,AK207,IF(AJ$199=99,AI207,IF(AJ$199=0,INDEX($E193:$M193,0,AJ$197),(INDEX($E193:$M193,0,AJ$199+1)-INDEX($E193:$M193,0,AJ$199))/(INDEX($E$185:$M$185,0,AJ$199+1)-INDEX($E$185:$M$185,0,AJ$199))+AI207)))</f>
        <v>1.8499672021700668</v>
      </c>
      <c r="AK207" s="5" cm="1">
        <f t="array" ref="AK207">IF(AK$199=-1,AL207,IF(AK$199=99,AJ207,IF(AK$199=0,INDEX($E193:$M193,0,AK$197),(INDEX($E193:$M193,0,AK$199+1)-INDEX($E193:$M193,0,AK$199))/(INDEX($E$185:$M$185,0,AK$199+1)-INDEX($E$185:$M$185,0,AK$199))+AJ207)))</f>
        <v>1.9698453100620708</v>
      </c>
      <c r="AL207" s="5" cm="1">
        <f t="array" ref="AL207">IF(AL$199=-1,AM207,IF(AL$199=99,AK207,IF(AL$199=0,INDEX($E193:$M193,0,AL$197),(INDEX($E193:$M193,0,AL$199+1)-INDEX($E193:$M193,0,AL$199))/(INDEX($E$185:$M$185,0,AL$199+1)-INDEX($E$185:$M$185,0,AL$199))+AK207)))</f>
        <v>2.0897234179540747</v>
      </c>
      <c r="AM207" s="5" cm="1">
        <f t="array" ref="AM207">IF(AM$199=-1,AO207,IF(AM$199=99,AL207,IF(AM$199=0,INDEX($E193:$M193,0,AM$197),(INDEX($E193:$M193,0,AM$199+1)-INDEX($E193:$M193,0,AM$199))/(INDEX($E$185:$M$185,0,AM$199+1)-INDEX($E$185:$M$185,0,AM$199))+AL207)))</f>
        <v>2.2096015258460784</v>
      </c>
      <c r="AN207" s="5" cm="1">
        <f t="array" ref="AN207">IF(AN$199=-1,AP207,IF(AN$199=99,AL207,IF(AN$199=0,INDEX($E193:$M193,0,AN$197),(INDEX($E193:$M193,0,AN$199+1)-INDEX($E193:$M193,0,AN$199))/(INDEX($E$185:$M$185,0,AN$199+1)-INDEX($E$185:$M$185,0,AN$199))+AL207)))</f>
        <v>2.2096015258460784</v>
      </c>
      <c r="AO207" s="5" cm="1">
        <f t="array" ref="AO207">IF(AO$199=-1,AQ207,IF(AO$199=99,AM207,IF(AO$199=0,INDEX($E193:$M193,0,AO$197),(INDEX($E193:$M193,0,AO$199+1)-INDEX($E193:$M193,0,AO$199))/(INDEX($E$185:$M$185,0,AO$199+1)-INDEX($E$185:$M$185,0,AO$199))+AM207)))</f>
        <v>2.3294796337380821</v>
      </c>
      <c r="AP207" s="5" cm="1">
        <f t="array" ref="AP207">IF(AP$199=-1,AR207,IF(AP$199=99,AO207,IF(AP$199=0,INDEX($E193:$M193,0,AP$197),(INDEX($E193:$M193,0,AP$199+1)-INDEX($E193:$M193,0,AP$199))/(INDEX($E$185:$M$185,0,AP$199+1)-INDEX($E$185:$M$185,0,AP$199))+AO207)))</f>
        <v>2.4493577416300858</v>
      </c>
      <c r="AQ207" s="5" cm="1">
        <f t="array" ref="AQ207">IF(AQ$199=-1,AR207,IF(AQ$199=99,AO207,IF(AQ$199=0,INDEX($E193:$M193,0,AQ$197),(INDEX($E193:$M193,0,AQ$199+1)-INDEX($E193:$M193,0,AQ$199))/(INDEX($E$185:$M$185,0,AQ$199+1)-INDEX($E$185:$M$185,0,AQ$199))+AO207)))</f>
        <v>2.4493577416300858</v>
      </c>
      <c r="AR207" s="5" cm="1">
        <f t="array" ref="AR207">IF(AR$199=-1,AS207,IF(AR$199=99,AQ207,IF(AR$199=0,INDEX($E193:$M193,0,AR$197),(INDEX($E193:$M193,0,AR$199+1)-INDEX($E193:$M193,0,AR$199))/(INDEX($E$185:$M$185,0,AR$199+1)-INDEX($E$185:$M$185,0,AR$199))+AQ207)))</f>
        <v>2.5692358495220895</v>
      </c>
      <c r="AS207" s="5" cm="1">
        <f t="array" ref="AS207">IF(AS$199=-1,AT207,IF(AS$199=99,AR207,IF(AS$199=0,INDEX($E193:$M193,0,AS$197),(INDEX($E193:$M193,0,AS$199+1)-INDEX($E193:$M193,0,AS$199))/(INDEX($E$185:$M$185,0,AS$199+1)-INDEX($E$185:$M$185,0,AS$199))+AR207)))</f>
        <v>2.6891139574140932</v>
      </c>
      <c r="AT207" s="5" cm="1">
        <f t="array" ref="AT207">IF(AT$199=-1,AU207,IF(AT$199=99,AS207,IF(AT$199=0,INDEX($E193:$M193,0,AT$197),(INDEX($E193:$M193,0,AT$199+1)-INDEX($E193:$M193,0,AT$199))/(INDEX($E$185:$M$185,0,AT$199+1)-INDEX($E$185:$M$185,0,AT$199))+AS207)))</f>
        <v>2.8089920653060978</v>
      </c>
      <c r="AU207" s="237">
        <f t="shared" si="517"/>
        <v>3.7690936687048566</v>
      </c>
      <c r="AV207" s="5" cm="1">
        <f t="array" ref="AV207">IF(AV$199=-1,AW207,IF(AV$199=99,AU207,IF(AV$199=0,INDEX($E193:$M193,0,AV$197),(INDEX($E193:$M193,0,AV$199+1)-INDEX($E193:$M193,0,AV$199))/(INDEX($E$185:$M$185,0,AV$199+1)-INDEX($E$185:$M$185,0,AV$199))+AU207)))</f>
        <v>4.729195272103615</v>
      </c>
      <c r="AW207" s="5" cm="1">
        <f t="array" ref="AW207">IF(AW$199=-1,AX207,IF(AW$199=99,AV207,IF(AW$199=0,INDEX($E193:$M193,0,AW$197),(INDEX($E193:$M193,0,AW$199+1)-INDEX($E193:$M193,0,AW$199))/(INDEX($E$185:$M$185,0,AW$199+1)-INDEX($E$185:$M$185,0,AW$199))+AV207)))</f>
        <v>6.0843487560592608</v>
      </c>
      <c r="AX207" s="5" cm="1">
        <f t="array" ref="AX207">IF(AX$199=-1,AY207,IF(AX$199=99,AW207,IF(AX$199=0,INDEX($E193:$M193,0,AX$197),(INDEX($E193:$M193,0,AX$199+1)-INDEX($E193:$M193,0,AX$199))/(INDEX($E$185:$M$185,0,AX$199+1)-INDEX($E$185:$M$185,0,AX$199))+AW207)))</f>
        <v>6.9301888327392636</v>
      </c>
      <c r="AY207" s="5"/>
      <c r="BB207" s="5"/>
      <c r="BC207" s="5"/>
      <c r="BM207" s="5"/>
      <c r="BN207" s="46"/>
    </row>
    <row r="208" spans="1:66">
      <c r="E208" t="s">
        <v>16</v>
      </c>
      <c r="J208"/>
      <c r="K208" s="5"/>
      <c r="L208" s="5"/>
      <c r="M208" s="5"/>
      <c r="P208" s="5"/>
    </row>
    <row r="209" spans="1:63" ht="23.25">
      <c r="E209" t="s">
        <v>16</v>
      </c>
      <c r="F209" s="12" t="s">
        <v>19</v>
      </c>
      <c r="G209" s="12" t="s">
        <v>22</v>
      </c>
      <c r="H209" s="12" t="s">
        <v>23</v>
      </c>
      <c r="I209" s="12" t="s">
        <v>24</v>
      </c>
      <c r="J209" s="12" t="s">
        <v>591</v>
      </c>
      <c r="K209" s="12" t="s">
        <v>619</v>
      </c>
      <c r="L209" s="12" t="s">
        <v>620</v>
      </c>
      <c r="M209" s="13" t="s">
        <v>25</v>
      </c>
      <c r="N209" s="5"/>
      <c r="R209" s="192"/>
    </row>
    <row r="210" spans="1:63">
      <c r="E210" s="97" t="s">
        <v>16</v>
      </c>
      <c r="F210" s="98">
        <v>1</v>
      </c>
      <c r="G210" s="98">
        <v>2017</v>
      </c>
      <c r="H210" s="98">
        <v>2019</v>
      </c>
      <c r="I210" s="98">
        <v>2020</v>
      </c>
      <c r="J210" s="98">
        <v>2021</v>
      </c>
      <c r="K210" s="98">
        <v>2030</v>
      </c>
      <c r="L210" s="98">
        <v>2040</v>
      </c>
      <c r="M210" s="103">
        <v>2050</v>
      </c>
      <c r="N210" s="5">
        <v>2060</v>
      </c>
      <c r="O210">
        <v>2070</v>
      </c>
      <c r="R210" s="192"/>
    </row>
    <row r="211" spans="1:63">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2"/>
    </row>
    <row r="212" spans="1:63">
      <c r="E212" s="32" t="s">
        <v>16</v>
      </c>
      <c r="F212">
        <v>-1</v>
      </c>
      <c r="G212">
        <v>0</v>
      </c>
      <c r="H212">
        <v>1</v>
      </c>
      <c r="I212">
        <v>2</v>
      </c>
      <c r="J212">
        <v>3</v>
      </c>
      <c r="K212">
        <v>4</v>
      </c>
      <c r="L212">
        <v>5</v>
      </c>
      <c r="M212">
        <v>6</v>
      </c>
      <c r="N212">
        <v>7</v>
      </c>
      <c r="O212">
        <v>8</v>
      </c>
      <c r="R212" s="192"/>
    </row>
    <row r="213" spans="1:63">
      <c r="E213" s="99" t="s">
        <v>16</v>
      </c>
      <c r="F213" s="100"/>
      <c r="G213" s="100"/>
      <c r="H213" s="100"/>
      <c r="I213" s="100"/>
      <c r="J213" s="100"/>
      <c r="K213" s="100"/>
      <c r="L213" s="100"/>
      <c r="M213" s="100"/>
    </row>
    <row r="214" spans="1:63">
      <c r="E214" s="99" t="s">
        <v>16</v>
      </c>
      <c r="J214"/>
      <c r="N214" s="14">
        <v>2017</v>
      </c>
      <c r="O214" s="14">
        <f t="shared" ref="O214:AP214" si="518">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7">
        <f t="shared" ref="N218:AU218" si="522">IF(ISNA(N215),-1,IF(ISNA(N217),99,IF(ISNA(N216),N215,0)))</f>
        <v>0</v>
      </c>
      <c r="O218" s="67">
        <f t="shared" si="522"/>
        <v>1</v>
      </c>
      <c r="P218" s="67">
        <f t="shared" si="522"/>
        <v>0</v>
      </c>
      <c r="Q218" s="67">
        <f t="shared" si="522"/>
        <v>0</v>
      </c>
      <c r="R218" s="67">
        <f t="shared" si="522"/>
        <v>0</v>
      </c>
      <c r="S218" s="67">
        <f t="shared" si="522"/>
        <v>4</v>
      </c>
      <c r="T218" s="67">
        <f t="shared" si="522"/>
        <v>4</v>
      </c>
      <c r="U218" s="67">
        <f t="shared" ref="U218:V218" si="523">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ref="AF218:AG218" si="524">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ref="AN218" si="525">IF(ISNA(AN215),-1,IF(ISNA(AN217),99,IF(ISNA(AN216),AN215,0)))</f>
        <v>5</v>
      </c>
      <c r="AO218" s="67">
        <f t="shared" si="522"/>
        <v>5</v>
      </c>
      <c r="AP218" s="67">
        <f t="shared" ref="AP218" si="526">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1:63">
      <c r="F219" s="16" t="str">
        <f t="shared" ref="F219:F226" si="527">IF(E219="*","","COM_PROJ")</f>
        <v>COM_PROJ</v>
      </c>
      <c r="G219" s="17" t="str">
        <f t="shared" ref="G219:G226" si="528">IF($E219="*","","-")</f>
        <v>-</v>
      </c>
      <c r="H219" s="44" t="str">
        <f t="shared" ref="H219:H226" si="529">B186</f>
        <v>TPPRCAR</v>
      </c>
      <c r="I219" s="17" t="str">
        <f t="shared" ref="I219:L226" si="530">IF($E219="*","","-")</f>
        <v>-</v>
      </c>
      <c r="J219" s="17" t="str">
        <f t="shared" si="530"/>
        <v>-</v>
      </c>
      <c r="K219" s="17" t="str">
        <f t="shared" si="530"/>
        <v>-</v>
      </c>
      <c r="L219" s="17" t="str">
        <f t="shared" si="530"/>
        <v>-</v>
      </c>
      <c r="M219" s="16">
        <f t="shared" ref="M219:M226" si="531">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81.968538378024164</v>
      </c>
      <c r="S219" s="5" cm="1">
        <f t="array" ref="S219">IF(S$218=-1,T219,IF(S$218=99,R219,IF(S$218=0,INDEX($E186:$M186,0,S$216),(INDEX($E186:$M186,0,S$218+1)-INDEX($E186:$M186,0,S$218))/(INDEX($E$185:$M$185,0,S$218+1)-INDEX($E$185:$M$185,0,S$218))+R219)))</f>
        <v>84.087928624096179</v>
      </c>
      <c r="T219" s="5" cm="1">
        <f t="array" ref="T219">IF(T$218=-1,W219,IF(T$218=99,S219,IF(T$218=0,INDEX($E186:$M186,0,T$216),(INDEX($E186:$M186,0,T$218+1)-INDEX($E186:$M186,0,T$218))/(INDEX($E$185:$M$185,0,T$218+1)-INDEX($E$185:$M$185,0,T$218))+S219)))</f>
        <v>86.207318870168194</v>
      </c>
      <c r="U219" s="5" cm="1">
        <f t="array" ref="U219">IF(U$218=-1,W219,IF(U$218=99,S219,IF(U$218=0,INDEX($E186:$M186,0,U$216),(INDEX($E186:$M186,0,U$218+1)-INDEX($E186:$M186,0,U$218))/(INDEX($E$185:$M$185,0,U$218+1)-INDEX($E$185:$M$185,0,U$218))+S219)))</f>
        <v>86.207318870168194</v>
      </c>
      <c r="V219" s="5" cm="1">
        <f t="array" ref="V219">IF(V$218=-1,W219,IF(V$218=99,S219,IF(V$218=0,INDEX($E186:$M186,0,V$216),(INDEX($E186:$M186,0,V$218+1)-INDEX($E186:$M186,0,V$218))/(INDEX($E$185:$M$185,0,V$218+1)-INDEX($E$185:$M$185,0,V$218))+S219)))</f>
        <v>86.207318870168194</v>
      </c>
      <c r="W219" s="5" cm="1">
        <f t="array" ref="W219">IF(W$218=-1,X219,IF(W$218=99,T219,IF(W$218=0,INDEX($E186:$M186,0,W$216),(INDEX($E186:$M186,0,W$218+1)-INDEX($E186:$M186,0,W$218))/(INDEX($E$185:$M$185,0,W$218+1)-INDEX($E$185:$M$185,0,W$218))+T219)))</f>
        <v>88.32670911624021</v>
      </c>
      <c r="X219" s="5" cm="1">
        <f t="array" ref="X219">IF(X$218=-1,Y219,IF(X$218=99,W219,IF(X$218=0,INDEX($E186:$M186,0,X$216),(INDEX($E186:$M186,0,X$218+1)-INDEX($E186:$M186,0,X$218))/(INDEX($E$185:$M$185,0,X$218+1)-INDEX($E$185:$M$185,0,X$218))+W219)))</f>
        <v>90.446099362312225</v>
      </c>
      <c r="Y219" s="5" cm="1">
        <f t="array" ref="Y219">IF(Y$218=-1,Z219,IF(Y$218=99,X219,IF(Y$218=0,INDEX($E186:$M186,0,Y$216),(INDEX($E186:$M186,0,Y$218+1)-INDEX($E186:$M186,0,Y$218))/(INDEX($E$185:$M$185,0,Y$218+1)-INDEX($E$185:$M$185,0,Y$218))+X219)))</f>
        <v>92.56548960838424</v>
      </c>
      <c r="Z219" s="5" cm="1">
        <f t="array" ref="Z219">IF(Z$218=-1,AA219,IF(Z$218=99,Y219,IF(Z$218=0,INDEX($E186:$M186,0,Z$216),(INDEX($E186:$M186,0,Z$218+1)-INDEX($E186:$M186,0,Z$218))/(INDEX($E$185:$M$185,0,Z$218+1)-INDEX($E$185:$M$185,0,Z$218))+Y219)))</f>
        <v>94.684879854456256</v>
      </c>
      <c r="AA219" s="5" cm="1">
        <f t="array" ref="AA219">IF(AA$218=-1,AB219,IF(AA$218=99,Z219,IF(AA$218=0,INDEX($E186:$M186,0,AA$216),(INDEX($E186:$M186,0,AA$218+1)-INDEX($E186:$M186,0,AA$218))/(INDEX($E$185:$M$185,0,AA$218+1)-INDEX($E$185:$M$185,0,AA$218))+Z219)))</f>
        <v>96.804270100528271</v>
      </c>
      <c r="AB219" s="5" cm="1">
        <f t="array" ref="AB219">IF(AB$218=-1,AC219,IF(AB$218=99,AA219,IF(AB$218=0,INDEX($E186:$M186,0,AB$216),(INDEX($E186:$M186,0,AB$218+1)-INDEX($E186:$M186,0,AB$218))/(INDEX($E$185:$M$185,0,AB$218+1)-INDEX($E$185:$M$185,0,AB$218))+AA219)))</f>
        <v>98.923660346600286</v>
      </c>
      <c r="AC219" s="5" cm="1">
        <f t="array" ref="AC219">IF(AC$218=-1,AD219,IF(AC$218=99,AB219,IF(AC$218=0,INDEX($E186:$M186,0,AC$216),(INDEX($E186:$M186,0,AC$218+1)-INDEX($E186:$M186,0,AC$218))/(INDEX($E$185:$M$185,0,AC$218+1)-INDEX($E$185:$M$185,0,AC$218))+AB219)))</f>
        <v>101.04305059267226</v>
      </c>
      <c r="AD219" s="5" cm="1">
        <f t="array" ref="AD219">IF(AD$218=-1,AE219,IF(AD$218=99,AC219,IF(AD$218=0,INDEX($E186:$M186,0,AD$216),(INDEX($E186:$M186,0,AD$218+1)-INDEX($E186:$M186,0,AD$218))/(INDEX($E$185:$M$185,0,AD$218+1)-INDEX($E$185:$M$185,0,AD$218))+AC219)))</f>
        <v>103.79046437532821</v>
      </c>
      <c r="AE219" s="5" cm="1">
        <f t="array" ref="AE219">IF(AE$218=-1,AH219,IF(AE$218=99,AD219,IF(AE$218=0,INDEX($E186:$M186,0,AE$216),(INDEX($E186:$M186,0,AE$218+1)-INDEX($E186:$M186,0,AE$218))/(INDEX($E$185:$M$185,0,AE$218+1)-INDEX($E$185:$M$185,0,AE$218))+AD219)))</f>
        <v>106.53787815798415</v>
      </c>
      <c r="AF219" s="5" cm="1">
        <f t="array" ref="AF219">IF(AF$218=-1,AH219,IF(AF$218=99,AD219,IF(AF$218=0,INDEX($E186:$M186,0,AF$216),(INDEX($E186:$M186,0,AF$218+1)-INDEX($E186:$M186,0,AF$218))/(INDEX($E$185:$M$185,0,AF$218+1)-INDEX($E$185:$M$185,0,AF$218))+AD219)))</f>
        <v>106.53787815798415</v>
      </c>
      <c r="AG219" s="5" cm="1">
        <f t="array" ref="AG219">IF(AG$218=-1,AH219,IF(AG$218=99,AD219,IF(AG$218=0,INDEX($E186:$M186,0,AG$216),(INDEX($E186:$M186,0,AG$218+1)-INDEX($E186:$M186,0,AG$218))/(INDEX($E$185:$M$185,0,AG$218+1)-INDEX($E$185:$M$185,0,AG$218))+AD219)))</f>
        <v>106.53787815798415</v>
      </c>
      <c r="AH219" s="5" cm="1">
        <f t="array" ref="AH219">IF(AH$218=-1,AI219,IF(AH$218=99,AE219,IF(AH$218=0,INDEX($E186:$M186,0,AH$216),(INDEX($E186:$M186,0,AH$218+1)-INDEX($E186:$M186,0,AH$218))/(INDEX($E$185:$M$185,0,AH$218+1)-INDEX($E$185:$M$185,0,AH$218))+AE219)))</f>
        <v>109.28529194064009</v>
      </c>
      <c r="AI219" s="5" cm="1">
        <f t="array" ref="AI219">IF(AI$218=-1,AJ219,IF(AI$218=99,AH219,IF(AI$218=0,INDEX($E186:$M186,0,AI$216),(INDEX($E186:$M186,0,AI$218+1)-INDEX($E186:$M186,0,AI$218))/(INDEX($E$185:$M$185,0,AI$218+1)-INDEX($E$185:$M$185,0,AI$218))+AH219)))</f>
        <v>112.03270572329603</v>
      </c>
      <c r="AJ219" s="5" cm="1">
        <f t="array" ref="AJ219">IF(AJ$218=-1,AK219,IF(AJ$218=99,AI219,IF(AJ$218=0,INDEX($E186:$M186,0,AJ$216),(INDEX($E186:$M186,0,AJ$218+1)-INDEX($E186:$M186,0,AJ$218))/(INDEX($E$185:$M$185,0,AJ$218+1)-INDEX($E$185:$M$185,0,AJ$218))+AI219)))</f>
        <v>114.78011950595197</v>
      </c>
      <c r="AK219" s="5" cm="1">
        <f t="array" ref="AK219">IF(AK$218=-1,AL219,IF(AK$218=99,AJ219,IF(AK$218=0,INDEX($E186:$M186,0,AK$216),(INDEX($E186:$M186,0,AK$218+1)-INDEX($E186:$M186,0,AK$218))/(INDEX($E$185:$M$185,0,AK$218+1)-INDEX($E$185:$M$185,0,AK$218))+AJ219)))</f>
        <v>117.52753328860791</v>
      </c>
      <c r="AL219" s="5" cm="1">
        <f t="array" ref="AL219">IF(AL$218=-1,AM219,IF(AL$218=99,AK219,IF(AL$218=0,INDEX($E186:$M186,0,AL$216),(INDEX($E186:$M186,0,AL$218+1)-INDEX($E186:$M186,0,AL$218))/(INDEX($E$185:$M$185,0,AL$218+1)-INDEX($E$185:$M$185,0,AL$218))+AK219)))</f>
        <v>120.27494707126385</v>
      </c>
      <c r="AM219" s="5" cm="1">
        <f t="array" ref="AM219">IF(AM$218=-1,AO219,IF(AM$218=99,AL219,IF(AM$218=0,INDEX($E186:$M186,0,AM$216),(INDEX($E186:$M186,0,AM$218+1)-INDEX($E186:$M186,0,AM$218))/(INDEX($E$185:$M$185,0,AM$218+1)-INDEX($E$185:$M$185,0,AM$218))+AL219)))</f>
        <v>123.02236085391979</v>
      </c>
      <c r="AN219" s="5" cm="1">
        <f t="array" ref="AN219">IF(AN$218=-1,AP219,IF(AN$218=99,AL219,IF(AN$218=0,INDEX($E186:$M186,0,AN$216),(INDEX($E186:$M186,0,AN$218+1)-INDEX($E186:$M186,0,AN$218))/(INDEX($E$185:$M$185,0,AN$218+1)-INDEX($E$185:$M$185,0,AN$218))+AL219)))</f>
        <v>123.02236085391979</v>
      </c>
      <c r="AO219" s="5" cm="1">
        <f t="array" ref="AO219">IF(AO$218=-1,AQ219,IF(AO$218=99,AM219,IF(AO$218=0,INDEX($E186:$M186,0,AO$216),(INDEX($E186:$M186,0,AO$218+1)-INDEX($E186:$M186,0,AO$218))/(INDEX($E$185:$M$185,0,AO$218+1)-INDEX($E$185:$M$185,0,AO$218))+AM219)))</f>
        <v>125.76977463657573</v>
      </c>
      <c r="AP219" s="5" cm="1">
        <f t="array" ref="AP219">IF(AP$218=-1,AR219,IF(AP$218=99,AO219,IF(AP$218=0,INDEX($E186:$M186,0,AP$216),(INDEX($E186:$M186,0,AP$218+1)-INDEX($E186:$M186,0,AP$218))/(INDEX($E$185:$M$185,0,AP$218+1)-INDEX($E$185:$M$185,0,AP$218))+AO219)))</f>
        <v>128.51718841923173</v>
      </c>
      <c r="AQ219" s="5" cm="1">
        <f t="array" ref="AQ219">IF(AQ$218=-1,AR219,IF(AQ$218=99,AO219,IF(AQ$218=0,INDEX($E186:$M186,0,AQ$216),(INDEX($E186:$M186,0,AQ$218+1)-INDEX($E186:$M186,0,AQ$218))/(INDEX($E$185:$M$185,0,AQ$218+1)-INDEX($E$185:$M$185,0,AQ$218))+AO219)))</f>
        <v>128.51718841923173</v>
      </c>
      <c r="AR219" s="237">
        <f>(AQ219+AS219)/2</f>
        <v>150.26942364464304</v>
      </c>
      <c r="AS219" s="5" cm="1">
        <f t="array" ref="AS219">IF(AS$218=-1,AT219,IF(AS$218=99,AR219,IF(AS$218=0,INDEX($E186:$M186,0,AS$216),(INDEX($E186:$M186,0,AS$218+1)-INDEX($E186:$M186,0,AS$218))/(INDEX($E$185:$M$185,0,AS$218+1)-INDEX($E$185:$M$185,0,AS$218))+AR219)))</f>
        <v>172.02165887005438</v>
      </c>
      <c r="AT219" s="5" cm="1">
        <f t="array" ref="AT219">IF(AT$218=-1,AU219,IF(AT$218=99,AS219,IF(AT$218=0,INDEX($E186:$M186,0,AT$216),(INDEX($E186:$M186,0,AT$218+1)-INDEX($E186:$M186,0,AT$218))/(INDEX($E$185:$M$185,0,AT$218+1)-INDEX($E$185:$M$185,0,AT$218))+AS219)))</f>
        <v>186.68969191056848</v>
      </c>
      <c r="AU219" s="5" cm="1">
        <f t="array" ref="AU219">IF(AU$218=-1,AV219,IF(AU$218=99,AT219,IF(AU$218=0,INDEX($E186:$M186,0,AU$216),(INDEX($E186:$M186,0,AU$218+1)-INDEX($E186:$M186,0,AU$218))/(INDEX($E$185:$M$185,0,AU$218+1)-INDEX($E$185:$M$185,0,AU$218))+AT219)))</f>
        <v>175.55218967661071</v>
      </c>
      <c r="AV219" s="5"/>
      <c r="AY219" s="5"/>
      <c r="AZ219" s="5"/>
      <c r="BJ219" s="5"/>
      <c r="BK219" s="46"/>
    </row>
    <row r="220" spans="1:63">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17.41831440533014</v>
      </c>
      <c r="S220" s="5" cm="1">
        <f t="array" ref="S220">IF(S$218=-1,T220,IF(S$218=99,R220,IF(S$218=0,INDEX($E187:$M187,0,S$216),(INDEX($E187:$M187,0,S$218+1)-INDEX($E187:$M187,0,S$218))/(INDEX($E$185:$M$185,0,S$218+1)-INDEX($E$185:$M$185,0,S$218))+R220)))</f>
        <v>17.868684832620442</v>
      </c>
      <c r="T220" s="5" cm="1">
        <f t="array" ref="T220">IF(T$218=-1,W220,IF(T$218=99,S220,IF(T$218=0,INDEX($E187:$M187,0,T$216),(INDEX($E187:$M187,0,T$218+1)-INDEX($E187:$M187,0,T$218))/(INDEX($E$185:$M$185,0,T$218+1)-INDEX($E$185:$M$185,0,T$218))+S220)))</f>
        <v>18.319055259910744</v>
      </c>
      <c r="U220" s="5" cm="1">
        <f t="array" ref="U220">IF(U$218=-1,W220,IF(U$218=99,S220,IF(U$218=0,INDEX($E187:$M187,0,U$216),(INDEX($E187:$M187,0,U$218+1)-INDEX($E187:$M187,0,U$218))/(INDEX($E$185:$M$185,0,U$218+1)-INDEX($E$185:$M$185,0,U$218))+S220)))</f>
        <v>18.319055259910744</v>
      </c>
      <c r="V220" s="5" cm="1">
        <f t="array" ref="V220">IF(V$218=-1,W220,IF(V$218=99,S220,IF(V$218=0,INDEX($E187:$M187,0,V$216),(INDEX($E187:$M187,0,V$218+1)-INDEX($E187:$M187,0,V$218))/(INDEX($E$185:$M$185,0,V$218+1)-INDEX($E$185:$M$185,0,V$218))+S220)))</f>
        <v>18.319055259910744</v>
      </c>
      <c r="W220" s="5" cm="1">
        <f t="array" ref="W220">IF(W$218=-1,X220,IF(W$218=99,T220,IF(W$218=0,INDEX($E187:$M187,0,W$216),(INDEX($E187:$M187,0,W$218+1)-INDEX($E187:$M187,0,W$218))/(INDEX($E$185:$M$185,0,W$218+1)-INDEX($E$185:$M$185,0,W$218))+T220)))</f>
        <v>18.769425687201046</v>
      </c>
      <c r="X220" s="5" cm="1">
        <f t="array" ref="X220">IF(X$218=-1,Y220,IF(X$218=99,W220,IF(X$218=0,INDEX($E187:$M187,0,X$216),(INDEX($E187:$M187,0,X$218+1)-INDEX($E187:$M187,0,X$218))/(INDEX($E$185:$M$185,0,X$218+1)-INDEX($E$185:$M$185,0,X$218))+W220)))</f>
        <v>19.219796114491349</v>
      </c>
      <c r="Y220" s="5" cm="1">
        <f t="array" ref="Y220">IF(Y$218=-1,Z220,IF(Y$218=99,X220,IF(Y$218=0,INDEX($E187:$M187,0,Y$216),(INDEX($E187:$M187,0,Y$218+1)-INDEX($E187:$M187,0,Y$218))/(INDEX($E$185:$M$185,0,Y$218+1)-INDEX($E$185:$M$185,0,Y$218))+X220)))</f>
        <v>19.670166541781651</v>
      </c>
      <c r="Z220" s="5" cm="1">
        <f t="array" ref="Z220">IF(Z$218=-1,AA220,IF(Z$218=99,Y220,IF(Z$218=0,INDEX($E187:$M187,0,Z$216),(INDEX($E187:$M187,0,Z$218+1)-INDEX($E187:$M187,0,Z$218))/(INDEX($E$185:$M$185,0,Z$218+1)-INDEX($E$185:$M$185,0,Z$218))+Y220)))</f>
        <v>20.120536969071953</v>
      </c>
      <c r="AA220" s="5" cm="1">
        <f t="array" ref="AA220">IF(AA$218=-1,AB220,IF(AA$218=99,Z220,IF(AA$218=0,INDEX($E187:$M187,0,AA$216),(INDEX($E187:$M187,0,AA$218+1)-INDEX($E187:$M187,0,AA$218))/(INDEX($E$185:$M$185,0,AA$218+1)-INDEX($E$185:$M$185,0,AA$218))+Z220)))</f>
        <v>20.570907396362255</v>
      </c>
      <c r="AB220" s="5" cm="1">
        <f t="array" ref="AB220">IF(AB$218=-1,AC220,IF(AB$218=99,AA220,IF(AB$218=0,INDEX($E187:$M187,0,AB$216),(INDEX($E187:$M187,0,AB$218+1)-INDEX($E187:$M187,0,AB$218))/(INDEX($E$185:$M$185,0,AB$218+1)-INDEX($E$185:$M$185,0,AB$218))+AA220)))</f>
        <v>21.021277823652557</v>
      </c>
      <c r="AC220" s="5" cm="1">
        <f t="array" ref="AC220">IF(AC$218=-1,AD220,IF(AC$218=99,AB220,IF(AC$218=0,INDEX($E187:$M187,0,AC$216),(INDEX($E187:$M187,0,AC$218+1)-INDEX($E187:$M187,0,AC$218))/(INDEX($E$185:$M$185,0,AC$218+1)-INDEX($E$185:$M$185,0,AC$218))+AB220)))</f>
        <v>21.471648250942859</v>
      </c>
      <c r="AD220" s="5" cm="1">
        <f t="array" ref="AD220">IF(AD$218=-1,AE220,IF(AD$218=99,AC220,IF(AD$218=0,INDEX($E187:$M187,0,AD$216),(INDEX($E187:$M187,0,AD$218+1)-INDEX($E187:$M187,0,AD$218))/(INDEX($E$185:$M$185,0,AD$218+1)-INDEX($E$185:$M$185,0,AD$218))+AC220)))</f>
        <v>22.055473679757249</v>
      </c>
      <c r="AE220" s="5" cm="1">
        <f t="array" ref="AE220">IF(AE$218=-1,AH220,IF(AE$218=99,AD220,IF(AE$218=0,INDEX($E187:$M187,0,AE$216),(INDEX($E187:$M187,0,AE$218+1)-INDEX($E187:$M187,0,AE$218))/(INDEX($E$185:$M$185,0,AE$218+1)-INDEX($E$185:$M$185,0,AE$218))+AD220)))</f>
        <v>22.639299108571638</v>
      </c>
      <c r="AF220" s="5" cm="1">
        <f t="array" ref="AF220">IF(AF$218=-1,AH220,IF(AF$218=99,AD220,IF(AF$218=0,INDEX($E187:$M187,0,AF$216),(INDEX($E187:$M187,0,AF$218+1)-INDEX($E187:$M187,0,AF$218))/(INDEX($E$185:$M$185,0,AF$218+1)-INDEX($E$185:$M$185,0,AF$218))+AD220)))</f>
        <v>22.639299108571638</v>
      </c>
      <c r="AG220" s="5" cm="1">
        <f t="array" ref="AG220">IF(AG$218=-1,AH220,IF(AG$218=99,AD220,IF(AG$218=0,INDEX($E187:$M187,0,AG$216),(INDEX($E187:$M187,0,AG$218+1)-INDEX($E187:$M187,0,AG$218))/(INDEX($E$185:$M$185,0,AG$218+1)-INDEX($E$185:$M$185,0,AG$218))+AD220)))</f>
        <v>22.639299108571638</v>
      </c>
      <c r="AH220" s="5" cm="1">
        <f t="array" ref="AH220">IF(AH$218=-1,AI220,IF(AH$218=99,AE220,IF(AH$218=0,INDEX($E187:$M187,0,AH$216),(INDEX($E187:$M187,0,AH$218+1)-INDEX($E187:$M187,0,AH$218))/(INDEX($E$185:$M$185,0,AH$218+1)-INDEX($E$185:$M$185,0,AH$218))+AE220)))</f>
        <v>23.223124537386028</v>
      </c>
      <c r="AI220" s="5" cm="1">
        <f t="array" ref="AI220">IF(AI$218=-1,AJ220,IF(AI$218=99,AH220,IF(AI$218=0,INDEX($E187:$M187,0,AI$216),(INDEX($E187:$M187,0,AI$218+1)-INDEX($E187:$M187,0,AI$218))/(INDEX($E$185:$M$185,0,AI$218+1)-INDEX($E$185:$M$185,0,AI$218))+AH220)))</f>
        <v>23.806949966200417</v>
      </c>
      <c r="AJ220" s="5" cm="1">
        <f t="array" ref="AJ220">IF(AJ$218=-1,AK220,IF(AJ$218=99,AI220,IF(AJ$218=0,INDEX($E187:$M187,0,AJ$216),(INDEX($E187:$M187,0,AJ$218+1)-INDEX($E187:$M187,0,AJ$218))/(INDEX($E$185:$M$185,0,AJ$218+1)-INDEX($E$185:$M$185,0,AJ$218))+AI220)))</f>
        <v>24.390775395014806</v>
      </c>
      <c r="AK220" s="5" cm="1">
        <f t="array" ref="AK220">IF(AK$218=-1,AL220,IF(AK$218=99,AJ220,IF(AK$218=0,INDEX($E187:$M187,0,AK$216),(INDEX($E187:$M187,0,AK$218+1)-INDEX($E187:$M187,0,AK$218))/(INDEX($E$185:$M$185,0,AK$218+1)-INDEX($E$185:$M$185,0,AK$218))+AJ220)))</f>
        <v>24.974600823829196</v>
      </c>
      <c r="AL220" s="5" cm="1">
        <f t="array" ref="AL220">IF(AL$218=-1,AM220,IF(AL$218=99,AK220,IF(AL$218=0,INDEX($E187:$M187,0,AL$216),(INDEX($E187:$M187,0,AL$218+1)-INDEX($E187:$M187,0,AL$218))/(INDEX($E$185:$M$185,0,AL$218+1)-INDEX($E$185:$M$185,0,AL$218))+AK220)))</f>
        <v>25.558426252643585</v>
      </c>
      <c r="AM220" s="5" cm="1">
        <f t="array" ref="AM220">IF(AM$218=-1,AO220,IF(AM$218=99,AL220,IF(AM$218=0,INDEX($E187:$M187,0,AM$216),(INDEX($E187:$M187,0,AM$218+1)-INDEX($E187:$M187,0,AM$218))/(INDEX($E$185:$M$185,0,AM$218+1)-INDEX($E$185:$M$185,0,AM$218))+AL220)))</f>
        <v>26.142251681457974</v>
      </c>
      <c r="AN220" s="5" cm="1">
        <f t="array" ref="AN220">IF(AN$218=-1,AP220,IF(AN$218=99,AL220,IF(AN$218=0,INDEX($E187:$M187,0,AN$216),(INDEX($E187:$M187,0,AN$218+1)-INDEX($E187:$M187,0,AN$218))/(INDEX($E$185:$M$185,0,AN$218+1)-INDEX($E$185:$M$185,0,AN$218))+AL220)))</f>
        <v>26.142251681457974</v>
      </c>
      <c r="AO220" s="5" cm="1">
        <f t="array" ref="AO220">IF(AO$218=-1,AQ220,IF(AO$218=99,AM220,IF(AO$218=0,INDEX($E187:$M187,0,AO$216),(INDEX($E187:$M187,0,AO$218+1)-INDEX($E187:$M187,0,AO$218))/(INDEX($E$185:$M$185,0,AO$218+1)-INDEX($E$185:$M$185,0,AO$218))+AM220)))</f>
        <v>26.726077110272364</v>
      </c>
      <c r="AP220" s="5" cm="1">
        <f t="array" ref="AP220">IF(AP$218=-1,AR220,IF(AP$218=99,AO220,IF(AP$218=0,INDEX($E187:$M187,0,AP$216),(INDEX($E187:$M187,0,AP$218+1)-INDEX($E187:$M187,0,AP$218))/(INDEX($E$185:$M$185,0,AP$218+1)-INDEX($E$185:$M$185,0,AP$218))+AO220)))</f>
        <v>27.309902539086746</v>
      </c>
      <c r="AQ220" s="5" cm="1">
        <f t="array" ref="AQ220">IF(AQ$218=-1,AR220,IF(AQ$218=99,AO220,IF(AQ$218=0,INDEX($E187:$M187,0,AQ$216),(INDEX($E187:$M187,0,AQ$218+1)-INDEX($E187:$M187,0,AQ$218))/(INDEX($E$185:$M$185,0,AQ$218+1)-INDEX($E$185:$M$185,0,AQ$218))+AO220)))</f>
        <v>27.309902539086746</v>
      </c>
      <c r="AR220" s="237">
        <f t="shared" ref="AR220:AR226" si="532">(AQ220+AS220)/2</f>
        <v>31.932252524486657</v>
      </c>
      <c r="AS220" s="5" cm="1">
        <f t="array" ref="AS220">IF(AS$218=-1,AT220,IF(AS$218=99,AR220,IF(AS$218=0,INDEX($E187:$M187,0,AS$216),(INDEX($E187:$M187,0,AS$218+1)-INDEX($E187:$M187,0,AS$218))/(INDEX($E$185:$M$185,0,AS$218+1)-INDEX($E$185:$M$185,0,AS$218))+AR220)))</f>
        <v>36.554602509886564</v>
      </c>
      <c r="AT220" s="5" cm="1">
        <f t="array" ref="AT220">IF(AT$218=-1,AU220,IF(AT$218=99,AS220,IF(AT$218=0,INDEX($E187:$M187,0,AT$216),(INDEX($E187:$M187,0,AT$218+1)-INDEX($E187:$M187,0,AT$218))/(INDEX($E$185:$M$185,0,AT$218+1)-INDEX($E$185:$M$185,0,AT$218))+AS220)))</f>
        <v>39.671559530995808</v>
      </c>
      <c r="AU220" s="5" cm="1">
        <f t="array" ref="AU220">IF(AU$218=-1,#REF!,IF(AU$218=99,AT220,IF(AU$218=0,INDEX($E187:$M187,0,AU$216),(INDEX($E187:$M187,0,AU$218+1)-INDEX($E187:$M187,0,AU$218))/(INDEX($E$185:$M$185,0,AU$218+1)-INDEX($E$185:$M$185,0,AU$218))+AT220)))</f>
        <v>37.304840306279786</v>
      </c>
      <c r="AV220" s="5"/>
      <c r="AY220" s="5"/>
      <c r="AZ220" s="5"/>
      <c r="BJ220" s="5"/>
      <c r="BK220" s="46"/>
    </row>
    <row r="221" spans="1:63">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3.0738201891759065</v>
      </c>
      <c r="S221" s="5" cm="1">
        <f t="array" ref="S221">IF(S$218=-1,T221,IF(S$218=99,R221,IF(S$218=0,INDEX($E188:$M188,0,S$216),(INDEX($E188:$M188,0,S$218+1)-INDEX($E188:$M188,0,S$218))/(INDEX($E$185:$M$185,0,S$218+1)-INDEX($E$185:$M$185,0,S$218))+R221)))</f>
        <v>3.1532973234036068</v>
      </c>
      <c r="T221" s="5" cm="1">
        <f t="array" ref="T221">IF(T$218=-1,W221,IF(T$218=99,S221,IF(T$218=0,INDEX($E188:$M188,0,T$216),(INDEX($E188:$M188,0,T$218+1)-INDEX($E188:$M188,0,T$218))/(INDEX($E$185:$M$185,0,T$218+1)-INDEX($E$185:$M$185,0,T$218))+S221)))</f>
        <v>3.2327744576313071</v>
      </c>
      <c r="U221" s="5" cm="1">
        <f t="array" ref="U221">IF(U$218=-1,W221,IF(U$218=99,S221,IF(U$218=0,INDEX($E188:$M188,0,U$216),(INDEX($E188:$M188,0,U$218+1)-INDEX($E188:$M188,0,U$218))/(INDEX($E$185:$M$185,0,U$218+1)-INDEX($E$185:$M$185,0,U$218))+S221)))</f>
        <v>3.2327744576313071</v>
      </c>
      <c r="V221" s="5" cm="1">
        <f t="array" ref="V221">IF(V$218=-1,W221,IF(V$218=99,S221,IF(V$218=0,INDEX($E188:$M188,0,V$216),(INDEX($E188:$M188,0,V$218+1)-INDEX($E188:$M188,0,V$218))/(INDEX($E$185:$M$185,0,V$218+1)-INDEX($E$185:$M$185,0,V$218))+S221)))</f>
        <v>3.2327744576313071</v>
      </c>
      <c r="W221" s="5" cm="1">
        <f t="array" ref="W221">IF(W$218=-1,X221,IF(W$218=99,T221,IF(W$218=0,INDEX($E188:$M188,0,W$216),(INDEX($E188:$M188,0,W$218+1)-INDEX($E188:$M188,0,W$218))/(INDEX($E$185:$M$185,0,W$218+1)-INDEX($E$185:$M$185,0,W$218))+T221)))</f>
        <v>3.3122515918590074</v>
      </c>
      <c r="X221" s="5" cm="1">
        <f t="array" ref="X221">IF(X$218=-1,Y221,IF(X$218=99,W221,IF(X$218=0,INDEX($E188:$M188,0,X$216),(INDEX($E188:$M188,0,X$218+1)-INDEX($E188:$M188,0,X$218))/(INDEX($E$185:$M$185,0,X$218+1)-INDEX($E$185:$M$185,0,X$218))+W221)))</f>
        <v>3.3917287260867077</v>
      </c>
      <c r="Y221" s="5" cm="1">
        <f t="array" ref="Y221">IF(Y$218=-1,Z221,IF(Y$218=99,X221,IF(Y$218=0,INDEX($E188:$M188,0,Y$216),(INDEX($E188:$M188,0,Y$218+1)-INDEX($E188:$M188,0,Y$218))/(INDEX($E$185:$M$185,0,Y$218+1)-INDEX($E$185:$M$185,0,Y$218))+X221)))</f>
        <v>3.471205860314408</v>
      </c>
      <c r="Z221" s="5" cm="1">
        <f t="array" ref="Z221">IF(Z$218=-1,AA221,IF(Z$218=99,Y221,IF(Z$218=0,INDEX($E188:$M188,0,Z$216),(INDEX($E188:$M188,0,Z$218+1)-INDEX($E188:$M188,0,Z$218))/(INDEX($E$185:$M$185,0,Z$218+1)-INDEX($E$185:$M$185,0,Z$218))+Y221)))</f>
        <v>3.5506829945421083</v>
      </c>
      <c r="AA221" s="5" cm="1">
        <f t="array" ref="AA221">IF(AA$218=-1,AB221,IF(AA$218=99,Z221,IF(AA$218=0,INDEX($E188:$M188,0,AA$216),(INDEX($E188:$M188,0,AA$218+1)-INDEX($E188:$M188,0,AA$218))/(INDEX($E$185:$M$185,0,AA$218+1)-INDEX($E$185:$M$185,0,AA$218))+Z221)))</f>
        <v>3.6301601287698086</v>
      </c>
      <c r="AB221" s="5" cm="1">
        <f t="array" ref="AB221">IF(AB$218=-1,AC221,IF(AB$218=99,AA221,IF(AB$218=0,INDEX($E188:$M188,0,AB$216),(INDEX($E188:$M188,0,AB$218+1)-INDEX($E188:$M188,0,AB$218))/(INDEX($E$185:$M$185,0,AB$218+1)-INDEX($E$185:$M$185,0,AB$218))+AA221)))</f>
        <v>3.709637262997509</v>
      </c>
      <c r="AC221" s="5" cm="1">
        <f t="array" ref="AC221">IF(AC$218=-1,AD221,IF(AC$218=99,AB221,IF(AC$218=0,INDEX($E188:$M188,0,AC$216),(INDEX($E188:$M188,0,AC$218+1)-INDEX($E188:$M188,0,AC$218))/(INDEX($E$185:$M$185,0,AC$218+1)-INDEX($E$185:$M$185,0,AC$218))+AB221)))</f>
        <v>3.7891143972252102</v>
      </c>
      <c r="AD221" s="5" cm="1">
        <f t="array" ref="AD221">IF(AD$218=-1,AE221,IF(AD$218=99,AC221,IF(AD$218=0,INDEX($E188:$M188,0,AD$216),(INDEX($E188:$M188,0,AD$218+1)-INDEX($E188:$M188,0,AD$218))/(INDEX($E$185:$M$185,0,AD$218+1)-INDEX($E$185:$M$185,0,AD$218))+AC221)))</f>
        <v>3.892142414074808</v>
      </c>
      <c r="AE221" s="5" cm="1">
        <f t="array" ref="AE221">IF(AE$218=-1,AH221,IF(AE$218=99,AD221,IF(AE$218=0,INDEX($E188:$M188,0,AE$216),(INDEX($E188:$M188,0,AE$218+1)-INDEX($E188:$M188,0,AE$218))/(INDEX($E$185:$M$185,0,AE$218+1)-INDEX($E$185:$M$185,0,AE$218))+AD221)))</f>
        <v>3.9951704309244058</v>
      </c>
      <c r="AF221" s="5" cm="1">
        <f t="array" ref="AF221">IF(AF$218=-1,AH221,IF(AF$218=99,AD221,IF(AF$218=0,INDEX($E188:$M188,0,AF$216),(INDEX($E188:$M188,0,AF$218+1)-INDEX($E188:$M188,0,AF$218))/(INDEX($E$185:$M$185,0,AF$218+1)-INDEX($E$185:$M$185,0,AF$218))+AD221)))</f>
        <v>3.9951704309244058</v>
      </c>
      <c r="AG221" s="5" cm="1">
        <f t="array" ref="AG221">IF(AG$218=-1,AH221,IF(AG$218=99,AD221,IF(AG$218=0,INDEX($E188:$M188,0,AG$216),(INDEX($E188:$M188,0,AG$218+1)-INDEX($E188:$M188,0,AG$218))/(INDEX($E$185:$M$185,0,AG$218+1)-INDEX($E$185:$M$185,0,AG$218))+AD221)))</f>
        <v>3.9951704309244058</v>
      </c>
      <c r="AH221" s="5" cm="1">
        <f t="array" ref="AH221">IF(AH$218=-1,AI221,IF(AH$218=99,AE221,IF(AH$218=0,INDEX($E188:$M188,0,AH$216),(INDEX($E188:$M188,0,AH$218+1)-INDEX($E188:$M188,0,AH$218))/(INDEX($E$185:$M$185,0,AH$218+1)-INDEX($E$185:$M$185,0,AH$218))+AE221)))</f>
        <v>4.0981984477740037</v>
      </c>
      <c r="AI221" s="5" cm="1">
        <f t="array" ref="AI221">IF(AI$218=-1,AJ221,IF(AI$218=99,AH221,IF(AI$218=0,INDEX($E188:$M188,0,AI$216),(INDEX($E188:$M188,0,AI$218+1)-INDEX($E188:$M188,0,AI$218))/(INDEX($E$185:$M$185,0,AI$218+1)-INDEX($E$185:$M$185,0,AI$218))+AH221)))</f>
        <v>4.2012264646236019</v>
      </c>
      <c r="AJ221" s="5" cm="1">
        <f t="array" ref="AJ221">IF(AJ$218=-1,AK221,IF(AJ$218=99,AI221,IF(AJ$218=0,INDEX($E188:$M188,0,AJ$216),(INDEX($E188:$M188,0,AJ$218+1)-INDEX($E188:$M188,0,AJ$218))/(INDEX($E$185:$M$185,0,AJ$218+1)-INDEX($E$185:$M$185,0,AJ$218))+AI221)))</f>
        <v>4.3042544814732002</v>
      </c>
      <c r="AK221" s="5" cm="1">
        <f t="array" ref="AK221">IF(AK$218=-1,AL221,IF(AK$218=99,AJ221,IF(AK$218=0,INDEX($E188:$M188,0,AK$216),(INDEX($E188:$M188,0,AK$218+1)-INDEX($E188:$M188,0,AK$218))/(INDEX($E$185:$M$185,0,AK$218+1)-INDEX($E$185:$M$185,0,AK$218))+AJ221)))</f>
        <v>4.4072824983227985</v>
      </c>
      <c r="AL221" s="5" cm="1">
        <f t="array" ref="AL221">IF(AL$218=-1,AM221,IF(AL$218=99,AK221,IF(AL$218=0,INDEX($E188:$M188,0,AL$216),(INDEX($E188:$M188,0,AL$218+1)-INDEX($E188:$M188,0,AL$218))/(INDEX($E$185:$M$185,0,AL$218+1)-INDEX($E$185:$M$185,0,AL$218))+AK221)))</f>
        <v>4.5103105151723968</v>
      </c>
      <c r="AM221" s="5" cm="1">
        <f t="array" ref="AM221">IF(AM$218=-1,AO221,IF(AM$218=99,AL221,IF(AM$218=0,INDEX($E188:$M188,0,AM$216),(INDEX($E188:$M188,0,AM$218+1)-INDEX($E188:$M188,0,AM$218))/(INDEX($E$185:$M$185,0,AM$218+1)-INDEX($E$185:$M$185,0,AM$218))+AL221)))</f>
        <v>4.6133385320219951</v>
      </c>
      <c r="AN221" s="5" cm="1">
        <f t="array" ref="AN221">IF(AN$218=-1,AP221,IF(AN$218=99,AL221,IF(AN$218=0,INDEX($E188:$M188,0,AN$216),(INDEX($E188:$M188,0,AN$218+1)-INDEX($E188:$M188,0,AN$218))/(INDEX($E$185:$M$185,0,AN$218+1)-INDEX($E$185:$M$185,0,AN$218))+AL221)))</f>
        <v>4.6133385320219951</v>
      </c>
      <c r="AO221" s="5" cm="1">
        <f t="array" ref="AO221">IF(AO$218=-1,AQ221,IF(AO$218=99,AM221,IF(AO$218=0,INDEX($E188:$M188,0,AO$216),(INDEX($E188:$M188,0,AO$218+1)-INDEX($E188:$M188,0,AO$218))/(INDEX($E$185:$M$185,0,AO$218+1)-INDEX($E$185:$M$185,0,AO$218))+AM221)))</f>
        <v>4.7163665488715933</v>
      </c>
      <c r="AP221" s="5" cm="1">
        <f t="array" ref="AP221">IF(AP$218=-1,AR221,IF(AP$218=99,AO221,IF(AP$218=0,INDEX($E188:$M188,0,AP$216),(INDEX($E188:$M188,0,AP$218+1)-INDEX($E188:$M188,0,AP$218))/(INDEX($E$185:$M$185,0,AP$218+1)-INDEX($E$185:$M$185,0,AP$218))+AO221)))</f>
        <v>4.8193945657211898</v>
      </c>
      <c r="AQ221" s="5" cm="1">
        <f t="array" ref="AQ221">IF(AQ$218=-1,AR221,IF(AQ$218=99,AO221,IF(AQ$218=0,INDEX($E188:$M188,0,AQ$216),(INDEX($E188:$M188,0,AQ$218+1)-INDEX($E188:$M188,0,AQ$218))/(INDEX($E$185:$M$185,0,AQ$218+1)-INDEX($E$185:$M$185,0,AQ$218))+AO221)))</f>
        <v>4.8193945657211898</v>
      </c>
      <c r="AR221" s="237">
        <f t="shared" si="532"/>
        <v>5.6351033866741149</v>
      </c>
      <c r="AS221" s="5" cm="1">
        <f t="array" ref="AS221">IF(AS$218=-1,AT221,IF(AS$218=99,AR221,IF(AS$218=0,INDEX($E188:$M188,0,AS$216),(INDEX($E188:$M188,0,AS$218+1)-INDEX($E188:$M188,0,AS$218))/(INDEX($E$185:$M$185,0,AS$218+1)-INDEX($E$185:$M$185,0,AS$218))+AR221)))</f>
        <v>6.45081220762704</v>
      </c>
      <c r="AT221" s="5" cm="1">
        <f t="array" ref="AT221">IF(AT$218=-1,AU221,IF(AT$218=99,AS221,IF(AT$218=0,INDEX($E188:$M188,0,AT$216),(INDEX($E188:$M188,0,AT$218+1)-INDEX($E188:$M188,0,AT$218))/(INDEX($E$185:$M$185,0,AT$218+1)-INDEX($E$185:$M$185,0,AT$218))+AS221)))</f>
        <v>7.000863446646318</v>
      </c>
      <c r="AU221" s="5" cm="1">
        <f t="array" ref="AU221">IF(AU$218=-1,#REF!,IF(AU$218=99,AT221,IF(AU$218=0,INDEX($E188:$M188,0,AU$216),(INDEX($E188:$M188,0,AU$218+1)-INDEX($E188:$M188,0,AU$218))/(INDEX($E$185:$M$185,0,AU$218+1)-INDEX($E$185:$M$185,0,AU$218))+AT221)))</f>
        <v>6.5832071128729028</v>
      </c>
      <c r="AV221" s="5"/>
      <c r="AY221" s="5"/>
      <c r="AZ221" s="5"/>
      <c r="BJ221" s="5"/>
      <c r="BK221" s="46"/>
    </row>
    <row r="222" spans="1:63">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0.67620071242540647</v>
      </c>
      <c r="S222" s="5" cm="1">
        <f t="array" ref="S222">IF(S$218=-1,T222,IF(S$218=99,R222,IF(S$218=0,INDEX($E189:$M189,0,S$216),(INDEX($E189:$M189,0,S$218+1)-INDEX($E189:$M189,0,S$218))/(INDEX($E$185:$M$185,0,S$218+1)-INDEX($E$185:$M$185,0,S$218))+R222)))</f>
        <v>0.67955066424642951</v>
      </c>
      <c r="T222" s="5" cm="1">
        <f t="array" ref="T222">IF(T$218=-1,W222,IF(T$218=99,S222,IF(T$218=0,INDEX($E189:$M189,0,T$216),(INDEX($E189:$M189,0,T$218+1)-INDEX($E189:$M189,0,T$218))/(INDEX($E$185:$M$185,0,T$218+1)-INDEX($E$185:$M$185,0,T$218))+S222)))</f>
        <v>0.68290061606745256</v>
      </c>
      <c r="U222" s="5" cm="1">
        <f t="array" ref="U222">IF(U$218=-1,W222,IF(U$218=99,S222,IF(U$218=0,INDEX($E189:$M189,0,U$216),(INDEX($E189:$M189,0,U$218+1)-INDEX($E189:$M189,0,U$218))/(INDEX($E$185:$M$185,0,U$218+1)-INDEX($E$185:$M$185,0,U$218))+S222)))</f>
        <v>0.68290061606745256</v>
      </c>
      <c r="V222" s="5" cm="1">
        <f t="array" ref="V222">IF(V$218=-1,W222,IF(V$218=99,S222,IF(V$218=0,INDEX($E189:$M189,0,V$216),(INDEX($E189:$M189,0,V$218+1)-INDEX($E189:$M189,0,V$218))/(INDEX($E$185:$M$185,0,V$218+1)-INDEX($E$185:$M$185,0,V$218))+S222)))</f>
        <v>0.68290061606745256</v>
      </c>
      <c r="W222" s="5" cm="1">
        <f t="array" ref="W222">IF(W$218=-1,X222,IF(W$218=99,T222,IF(W$218=0,INDEX($E189:$M189,0,W$216),(INDEX($E189:$M189,0,W$218+1)-INDEX($E189:$M189,0,W$218))/(INDEX($E$185:$M$185,0,W$218+1)-INDEX($E$185:$M$185,0,W$218))+T222)))</f>
        <v>0.6862505678884756</v>
      </c>
      <c r="X222" s="5" cm="1">
        <f t="array" ref="X222">IF(X$218=-1,Y222,IF(X$218=99,W222,IF(X$218=0,INDEX($E189:$M189,0,X$216),(INDEX($E189:$M189,0,X$218+1)-INDEX($E189:$M189,0,X$218))/(INDEX($E$185:$M$185,0,X$218+1)-INDEX($E$185:$M$185,0,X$218))+W222)))</f>
        <v>0.68960051970949865</v>
      </c>
      <c r="Y222" s="5" cm="1">
        <f t="array" ref="Y222">IF(Y$218=-1,Z222,IF(Y$218=99,X222,IF(Y$218=0,INDEX($E189:$M189,0,Y$216),(INDEX($E189:$M189,0,Y$218+1)-INDEX($E189:$M189,0,Y$218))/(INDEX($E$185:$M$185,0,Y$218+1)-INDEX($E$185:$M$185,0,Y$218))+X222)))</f>
        <v>0.69295047153052169</v>
      </c>
      <c r="Z222" s="5" cm="1">
        <f t="array" ref="Z222">IF(Z$218=-1,AA222,IF(Z$218=99,Y222,IF(Z$218=0,INDEX($E189:$M189,0,Z$216),(INDEX($E189:$M189,0,Z$218+1)-INDEX($E189:$M189,0,Z$218))/(INDEX($E$185:$M$185,0,Z$218+1)-INDEX($E$185:$M$185,0,Z$218))+Y222)))</f>
        <v>0.69630042335154474</v>
      </c>
      <c r="AA222" s="5" cm="1">
        <f t="array" ref="AA222">IF(AA$218=-1,AB222,IF(AA$218=99,Z222,IF(AA$218=0,INDEX($E189:$M189,0,AA$216),(INDEX($E189:$M189,0,AA$218+1)-INDEX($E189:$M189,0,AA$218))/(INDEX($E$185:$M$185,0,AA$218+1)-INDEX($E$185:$M$185,0,AA$218))+Z222)))</f>
        <v>0.69965037517256778</v>
      </c>
      <c r="AB222" s="5" cm="1">
        <f t="array" ref="AB222">IF(AB$218=-1,AC222,IF(AB$218=99,AA222,IF(AB$218=0,INDEX($E189:$M189,0,AB$216),(INDEX($E189:$M189,0,AB$218+1)-INDEX($E189:$M189,0,AB$218))/(INDEX($E$185:$M$185,0,AB$218+1)-INDEX($E$185:$M$185,0,AB$218))+AA222)))</f>
        <v>0.70300032699359083</v>
      </c>
      <c r="AC222" s="5" cm="1">
        <f t="array" ref="AC222">IF(AC$218=-1,AD222,IF(AC$218=99,AB222,IF(AC$218=0,INDEX($E189:$M189,0,AC$216),(INDEX($E189:$M189,0,AC$218+1)-INDEX($E189:$M189,0,AC$218))/(INDEX($E$185:$M$185,0,AC$218+1)-INDEX($E$185:$M$185,0,AC$218))+AB222)))</f>
        <v>0.70635027881461387</v>
      </c>
      <c r="AD222" s="5" cm="1">
        <f t="array" ref="AD222">IF(AD$218=-1,AE222,IF(AD$218=99,AC222,IF(AD$218=0,INDEX($E189:$M189,0,AD$216),(INDEX($E189:$M189,0,AD$218+1)-INDEX($E189:$M189,0,AD$218))/(INDEX($E$185:$M$185,0,AD$218+1)-INDEX($E$185:$M$185,0,AD$218))+AC222)))</f>
        <v>0.70722529850125093</v>
      </c>
      <c r="AE222" s="5" cm="1">
        <f t="array" ref="AE222">IF(AE$218=-1,AH222,IF(AE$218=99,AD222,IF(AE$218=0,INDEX($E189:$M189,0,AE$216),(INDEX($E189:$M189,0,AE$218+1)-INDEX($E189:$M189,0,AE$218))/(INDEX($E$185:$M$185,0,AE$218+1)-INDEX($E$185:$M$185,0,AE$218))+AD222)))</f>
        <v>0.70810031818788799</v>
      </c>
      <c r="AF222" s="5" cm="1">
        <f t="array" ref="AF222">IF(AF$218=-1,AH222,IF(AF$218=99,AD222,IF(AF$218=0,INDEX($E189:$M189,0,AF$216),(INDEX($E189:$M189,0,AF$218+1)-INDEX($E189:$M189,0,AF$218))/(INDEX($E$185:$M$185,0,AF$218+1)-INDEX($E$185:$M$185,0,AF$218))+AD222)))</f>
        <v>0.70810031818788799</v>
      </c>
      <c r="AG222" s="5" cm="1">
        <f t="array" ref="AG222">IF(AG$218=-1,AH222,IF(AG$218=99,AD222,IF(AG$218=0,INDEX($E189:$M189,0,AG$216),(INDEX($E189:$M189,0,AG$218+1)-INDEX($E189:$M189,0,AG$218))/(INDEX($E$185:$M$185,0,AG$218+1)-INDEX($E$185:$M$185,0,AG$218))+AD222)))</f>
        <v>0.70810031818788799</v>
      </c>
      <c r="AH222" s="5" cm="1">
        <f t="array" ref="AH222">IF(AH$218=-1,AI222,IF(AH$218=99,AE222,IF(AH$218=0,INDEX($E189:$M189,0,AH$216),(INDEX($E189:$M189,0,AH$218+1)-INDEX($E189:$M189,0,AH$218))/(INDEX($E$185:$M$185,0,AH$218+1)-INDEX($E$185:$M$185,0,AH$218))+AE222)))</f>
        <v>0.70897533787452505</v>
      </c>
      <c r="AI222" s="5" cm="1">
        <f t="array" ref="AI222">IF(AI$218=-1,AJ222,IF(AI$218=99,AH222,IF(AI$218=0,INDEX($E189:$M189,0,AI$216),(INDEX($E189:$M189,0,AI$218+1)-INDEX($E189:$M189,0,AI$218))/(INDEX($E$185:$M$185,0,AI$218+1)-INDEX($E$185:$M$185,0,AI$218))+AH222)))</f>
        <v>0.7098503575611621</v>
      </c>
      <c r="AJ222" s="5" cm="1">
        <f t="array" ref="AJ222">IF(AJ$218=-1,AK222,IF(AJ$218=99,AI222,IF(AJ$218=0,INDEX($E189:$M189,0,AJ$216),(INDEX($E189:$M189,0,AJ$218+1)-INDEX($E189:$M189,0,AJ$218))/(INDEX($E$185:$M$185,0,AJ$218+1)-INDEX($E$185:$M$185,0,AJ$218))+AI222)))</f>
        <v>0.71072537724779916</v>
      </c>
      <c r="AK222" s="5" cm="1">
        <f t="array" ref="AK222">IF(AK$218=-1,AL222,IF(AK$218=99,AJ222,IF(AK$218=0,INDEX($E189:$M189,0,AK$216),(INDEX($E189:$M189,0,AK$218+1)-INDEX($E189:$M189,0,AK$218))/(INDEX($E$185:$M$185,0,AK$218+1)-INDEX($E$185:$M$185,0,AK$218))+AJ222)))</f>
        <v>0.71160039693443622</v>
      </c>
      <c r="AL222" s="5" cm="1">
        <f t="array" ref="AL222">IF(AL$218=-1,AM222,IF(AL$218=99,AK222,IF(AL$218=0,INDEX($E189:$M189,0,AL$216),(INDEX($E189:$M189,0,AL$218+1)-INDEX($E189:$M189,0,AL$218))/(INDEX($E$185:$M$185,0,AL$218+1)-INDEX($E$185:$M$185,0,AL$218))+AK222)))</f>
        <v>0.71247541662107328</v>
      </c>
      <c r="AM222" s="5" cm="1">
        <f t="array" ref="AM222">IF(AM$218=-1,AO222,IF(AM$218=99,AL222,IF(AM$218=0,INDEX($E189:$M189,0,AM$216),(INDEX($E189:$M189,0,AM$218+1)-INDEX($E189:$M189,0,AM$218))/(INDEX($E$185:$M$185,0,AM$218+1)-INDEX($E$185:$M$185,0,AM$218))+AL222)))</f>
        <v>0.71335043630771033</v>
      </c>
      <c r="AN222" s="5" cm="1">
        <f t="array" ref="AN222">IF(AN$218=-1,AP222,IF(AN$218=99,AL222,IF(AN$218=0,INDEX($E189:$M189,0,AN$216),(INDEX($E189:$M189,0,AN$218+1)-INDEX($E189:$M189,0,AN$218))/(INDEX($E$185:$M$185,0,AN$218+1)-INDEX($E$185:$M$185,0,AN$218))+AL222)))</f>
        <v>0.71335043630771033</v>
      </c>
      <c r="AO222" s="5" cm="1">
        <f t="array" ref="AO222">IF(AO$218=-1,AQ222,IF(AO$218=99,AM222,IF(AO$218=0,INDEX($E189:$M189,0,AO$216),(INDEX($E189:$M189,0,AO$218+1)-INDEX($E189:$M189,0,AO$218))/(INDEX($E$185:$M$185,0,AO$218+1)-INDEX($E$185:$M$185,0,AO$218))+AM222)))</f>
        <v>0.71422545599434739</v>
      </c>
      <c r="AP222" s="5" cm="1">
        <f t="array" ref="AP222">IF(AP$218=-1,AR222,IF(AP$218=99,AO222,IF(AP$218=0,INDEX($E189:$M189,0,AP$216),(INDEX($E189:$M189,0,AP$218+1)-INDEX($E189:$M189,0,AP$218))/(INDEX($E$185:$M$185,0,AP$218+1)-INDEX($E$185:$M$185,0,AP$218))+AO222)))</f>
        <v>0.71510047568098489</v>
      </c>
      <c r="AQ222" s="5" cm="1">
        <f t="array" ref="AQ222">IF(AQ$218=-1,AR222,IF(AQ$218=99,AO222,IF(AQ$218=0,INDEX($E189:$M189,0,AQ$216),(INDEX($E189:$M189,0,AQ$218+1)-INDEX($E189:$M189,0,AQ$218))/(INDEX($E$185:$M$185,0,AQ$218+1)-INDEX($E$185:$M$185,0,AQ$218))+AO222)))</f>
        <v>0.71510047568098489</v>
      </c>
      <c r="AR222" s="237">
        <f t="shared" si="532"/>
        <v>0.69155953684577742</v>
      </c>
      <c r="AS222" s="5" cm="1">
        <f t="array" ref="AS222">IF(AS$218=-1,AT222,IF(AS$218=99,AR222,IF(AS$218=0,INDEX($E189:$M189,0,AS$216),(INDEX($E189:$M189,0,AS$218+1)-INDEX($E189:$M189,0,AS$218))/(INDEX($E$185:$M$185,0,AS$218+1)-INDEX($E$185:$M$185,0,AS$218))+AR222)))</f>
        <v>0.66801859801056995</v>
      </c>
      <c r="AT222" s="5" cm="1">
        <f t="array" ref="AT222">IF(AT$218=-1,AU222,IF(AT$218=99,AS222,IF(AT$218=0,INDEX($E189:$M189,0,AT$216),(INDEX($E189:$M189,0,AT$218+1)-INDEX($E189:$M189,0,AT$218))/(INDEX($E$185:$M$185,0,AT$218+1)-INDEX($E$185:$M$185,0,AT$218))+AS222)))</f>
        <v>0.66153964240051011</v>
      </c>
      <c r="AU222" s="5" cm="1">
        <f t="array" ref="AU222">IF(AU$218=-1,#REF!,IF(AU$218=99,AT222,IF(AU$218=0,INDEX($E189:$M189,0,AU$216),(INDEX($E189:$M189,0,AU$218+1)-INDEX($E189:$M189,0,AU$218))/(INDEX($E$185:$M$185,0,AU$218+1)-INDEX($E$185:$M$185,0,AU$218))+AT222)))</f>
        <v>0.69553202688274296</v>
      </c>
      <c r="AV222" s="5"/>
      <c r="AY222" s="5"/>
      <c r="AZ222" s="5"/>
      <c r="BJ222" s="5"/>
      <c r="BK222" s="46"/>
    </row>
    <row r="223" spans="1:63">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7.5870385099150655</v>
      </c>
      <c r="S223" s="5" cm="1">
        <f t="array" ref="S223">IF(S$218=-1,T223,IF(S$218=99,R223,IF(S$218=0,INDEX($E190:$M190,0,S$216),(INDEX($E190:$M190,0,S$218+1)-INDEX($E190:$M190,0,S$218))/(INDEX($E$185:$M$185,0,S$218+1)-INDEX($E$185:$M$185,0,S$218))+R223)))</f>
        <v>7.596332335549608</v>
      </c>
      <c r="T223" s="5" cm="1">
        <f t="array" ref="T223">IF(T$218=-1,W223,IF(T$218=99,S223,IF(T$218=0,INDEX($E190:$M190,0,T$216),(INDEX($E190:$M190,0,T$218+1)-INDEX($E190:$M190,0,T$218))/(INDEX($E$185:$M$185,0,T$218+1)-INDEX($E$185:$M$185,0,T$218))+S223)))</f>
        <v>7.6056261611841505</v>
      </c>
      <c r="U223" s="5" cm="1">
        <f t="array" ref="U223">IF(U$218=-1,W223,IF(U$218=99,S223,IF(U$218=0,INDEX($E190:$M190,0,U$216),(INDEX($E190:$M190,0,U$218+1)-INDEX($E190:$M190,0,U$218))/(INDEX($E$185:$M$185,0,U$218+1)-INDEX($E$185:$M$185,0,U$218))+S223)))</f>
        <v>7.6056261611841505</v>
      </c>
      <c r="V223" s="5" cm="1">
        <f t="array" ref="V223">IF(V$218=-1,W223,IF(V$218=99,S223,IF(V$218=0,INDEX($E190:$M190,0,V$216),(INDEX($E190:$M190,0,V$218+1)-INDEX($E190:$M190,0,V$218))/(INDEX($E$185:$M$185,0,V$218+1)-INDEX($E$185:$M$185,0,V$218))+S223)))</f>
        <v>7.6056261611841505</v>
      </c>
      <c r="W223" s="5" cm="1">
        <f t="array" ref="W223">IF(W$218=-1,X223,IF(W$218=99,T223,IF(W$218=0,INDEX($E190:$M190,0,W$216),(INDEX($E190:$M190,0,W$218+1)-INDEX($E190:$M190,0,W$218))/(INDEX($E$185:$M$185,0,W$218+1)-INDEX($E$185:$M$185,0,W$218))+T223)))</f>
        <v>7.614919986818693</v>
      </c>
      <c r="X223" s="5" cm="1">
        <f t="array" ref="X223">IF(X$218=-1,Y223,IF(X$218=99,W223,IF(X$218=0,INDEX($E190:$M190,0,X$216),(INDEX($E190:$M190,0,X$218+1)-INDEX($E190:$M190,0,X$218))/(INDEX($E$185:$M$185,0,X$218+1)-INDEX($E$185:$M$185,0,X$218))+W223)))</f>
        <v>7.6242138124532355</v>
      </c>
      <c r="Y223" s="5" cm="1">
        <f t="array" ref="Y223">IF(Y$218=-1,Z223,IF(Y$218=99,X223,IF(Y$218=0,INDEX($E190:$M190,0,Y$216),(INDEX($E190:$M190,0,Y$218+1)-INDEX($E190:$M190,0,Y$218))/(INDEX($E$185:$M$185,0,Y$218+1)-INDEX($E$185:$M$185,0,Y$218))+X223)))</f>
        <v>7.633507638087778</v>
      </c>
      <c r="Z223" s="5" cm="1">
        <f t="array" ref="Z223">IF(Z$218=-1,AA223,IF(Z$218=99,Y223,IF(Z$218=0,INDEX($E190:$M190,0,Z$216),(INDEX($E190:$M190,0,Z$218+1)-INDEX($E190:$M190,0,Z$218))/(INDEX($E$185:$M$185,0,Z$218+1)-INDEX($E$185:$M$185,0,Z$218))+Y223)))</f>
        <v>7.6428014637223205</v>
      </c>
      <c r="AA223" s="5" cm="1">
        <f t="array" ref="AA223">IF(AA$218=-1,AB223,IF(AA$218=99,Z223,IF(AA$218=0,INDEX($E190:$M190,0,AA$216),(INDEX($E190:$M190,0,AA$218+1)-INDEX($E190:$M190,0,AA$218))/(INDEX($E$185:$M$185,0,AA$218+1)-INDEX($E$185:$M$185,0,AA$218))+Z223)))</f>
        <v>7.652095289356863</v>
      </c>
      <c r="AB223" s="5" cm="1">
        <f t="array" ref="AB223">IF(AB$218=-1,AC223,IF(AB$218=99,AA223,IF(AB$218=0,INDEX($E190:$M190,0,AB$216),(INDEX($E190:$M190,0,AB$218+1)-INDEX($E190:$M190,0,AB$218))/(INDEX($E$185:$M$185,0,AB$218+1)-INDEX($E$185:$M$185,0,AB$218))+AA223)))</f>
        <v>7.6613891149914055</v>
      </c>
      <c r="AC223" s="5" cm="1">
        <f t="array" ref="AC223">IF(AC$218=-1,AD223,IF(AC$218=99,AB223,IF(AC$218=0,INDEX($E190:$M190,0,AC$216),(INDEX($E190:$M190,0,AC$218+1)-INDEX($E190:$M190,0,AC$218))/(INDEX($E$185:$M$185,0,AC$218+1)-INDEX($E$185:$M$185,0,AC$218))+AB223)))</f>
        <v>7.6706829406259498</v>
      </c>
      <c r="AD223" s="5" cm="1">
        <f t="array" ref="AD223">IF(AD$218=-1,AE223,IF(AD$218=99,AC223,IF(AD$218=0,INDEX($E190:$M190,0,AD$216),(INDEX($E190:$M190,0,AD$218+1)-INDEX($E190:$M190,0,AD$218))/(INDEX($E$185:$M$185,0,AD$218+1)-INDEX($E$185:$M$185,0,AD$218))+AC223)))</f>
        <v>7.6602015012828408</v>
      </c>
      <c r="AE223" s="5" cm="1">
        <f t="array" ref="AE223">IF(AE$218=-1,AH223,IF(AE$218=99,AD223,IF(AE$218=0,INDEX($E190:$M190,0,AE$216),(INDEX($E190:$M190,0,AE$218+1)-INDEX($E190:$M190,0,AE$218))/(INDEX($E$185:$M$185,0,AE$218+1)-INDEX($E$185:$M$185,0,AE$218))+AD223)))</f>
        <v>7.6497200619397319</v>
      </c>
      <c r="AF223" s="5" cm="1">
        <f t="array" ref="AF223">IF(AF$218=-1,AH223,IF(AF$218=99,AD223,IF(AF$218=0,INDEX($E190:$M190,0,AF$216),(INDEX($E190:$M190,0,AF$218+1)-INDEX($E190:$M190,0,AF$218))/(INDEX($E$185:$M$185,0,AF$218+1)-INDEX($E$185:$M$185,0,AF$218))+AD223)))</f>
        <v>7.6497200619397319</v>
      </c>
      <c r="AG223" s="5" cm="1">
        <f t="array" ref="AG223">IF(AG$218=-1,AH223,IF(AG$218=99,AD223,IF(AG$218=0,INDEX($E190:$M190,0,AG$216),(INDEX($E190:$M190,0,AG$218+1)-INDEX($E190:$M190,0,AG$218))/(INDEX($E$185:$M$185,0,AG$218+1)-INDEX($E$185:$M$185,0,AG$218))+AD223)))</f>
        <v>7.6497200619397319</v>
      </c>
      <c r="AH223" s="5" cm="1">
        <f t="array" ref="AH223">IF(AH$218=-1,AI223,IF(AH$218=99,AE223,IF(AH$218=0,INDEX($E190:$M190,0,AH$216),(INDEX($E190:$M190,0,AH$218+1)-INDEX($E190:$M190,0,AH$218))/(INDEX($E$185:$M$185,0,AH$218+1)-INDEX($E$185:$M$185,0,AH$218))+AE223)))</f>
        <v>7.6392386225966229</v>
      </c>
      <c r="AI223" s="5" cm="1">
        <f t="array" ref="AI223">IF(AI$218=-1,AJ223,IF(AI$218=99,AH223,IF(AI$218=0,INDEX($E190:$M190,0,AI$216),(INDEX($E190:$M190,0,AI$218+1)-INDEX($E190:$M190,0,AI$218))/(INDEX($E$185:$M$185,0,AI$218+1)-INDEX($E$185:$M$185,0,AI$218))+AH223)))</f>
        <v>7.6287571832535139</v>
      </c>
      <c r="AJ223" s="5" cm="1">
        <f t="array" ref="AJ223">IF(AJ$218=-1,AK223,IF(AJ$218=99,AI223,IF(AJ$218=0,INDEX($E190:$M190,0,AJ$216),(INDEX($E190:$M190,0,AJ$218+1)-INDEX($E190:$M190,0,AJ$218))/(INDEX($E$185:$M$185,0,AJ$218+1)-INDEX($E$185:$M$185,0,AJ$218))+AI223)))</f>
        <v>7.618275743910405</v>
      </c>
      <c r="AK223" s="5" cm="1">
        <f t="array" ref="AK223">IF(AK$218=-1,AL223,IF(AK$218=99,AJ223,IF(AK$218=0,INDEX($E190:$M190,0,AK$216),(INDEX($E190:$M190,0,AK$218+1)-INDEX($E190:$M190,0,AK$218))/(INDEX($E$185:$M$185,0,AK$218+1)-INDEX($E$185:$M$185,0,AK$218))+AJ223)))</f>
        <v>7.607794304567296</v>
      </c>
      <c r="AL223" s="5" cm="1">
        <f t="array" ref="AL223">IF(AL$218=-1,AM223,IF(AL$218=99,AK223,IF(AL$218=0,INDEX($E190:$M190,0,AL$216),(INDEX($E190:$M190,0,AL$218+1)-INDEX($E190:$M190,0,AL$218))/(INDEX($E$185:$M$185,0,AL$218+1)-INDEX($E$185:$M$185,0,AL$218))+AK223)))</f>
        <v>7.597312865224187</v>
      </c>
      <c r="AM223" s="5" cm="1">
        <f t="array" ref="AM223">IF(AM$218=-1,AO223,IF(AM$218=99,AL223,IF(AM$218=0,INDEX($E190:$M190,0,AM$216),(INDEX($E190:$M190,0,AM$218+1)-INDEX($E190:$M190,0,AM$218))/(INDEX($E$185:$M$185,0,AM$218+1)-INDEX($E$185:$M$185,0,AM$218))+AL223)))</f>
        <v>7.5868314258810781</v>
      </c>
      <c r="AN223" s="5" cm="1">
        <f t="array" ref="AN223">IF(AN$218=-1,AP223,IF(AN$218=99,AL223,IF(AN$218=0,INDEX($E190:$M190,0,AN$216),(INDEX($E190:$M190,0,AN$218+1)-INDEX($E190:$M190,0,AN$218))/(INDEX($E$185:$M$185,0,AN$218+1)-INDEX($E$185:$M$185,0,AN$218))+AL223)))</f>
        <v>7.5868314258810781</v>
      </c>
      <c r="AO223" s="5" cm="1">
        <f t="array" ref="AO223">IF(AO$218=-1,AQ223,IF(AO$218=99,AM223,IF(AO$218=0,INDEX($E190:$M190,0,AO$216),(INDEX($E190:$M190,0,AO$218+1)-INDEX($E190:$M190,0,AO$218))/(INDEX($E$185:$M$185,0,AO$218+1)-INDEX($E$185:$M$185,0,AO$218))+AM223)))</f>
        <v>7.5763499865379691</v>
      </c>
      <c r="AP223" s="5" cm="1">
        <f t="array" ref="AP223">IF(AP$218=-1,AR223,IF(AP$218=99,AO223,IF(AP$218=0,INDEX($E190:$M190,0,AP$216),(INDEX($E190:$M190,0,AP$218+1)-INDEX($E190:$M190,0,AP$218))/(INDEX($E$185:$M$185,0,AP$218+1)-INDEX($E$185:$M$185,0,AP$218))+AO223)))</f>
        <v>7.565868547194861</v>
      </c>
      <c r="AQ223" s="5" cm="1">
        <f t="array" ref="AQ223">IF(AQ$218=-1,AR223,IF(AQ$218=99,AO223,IF(AQ$218=0,INDEX($E190:$M190,0,AQ$216),(INDEX($E190:$M190,0,AQ$218+1)-INDEX($E190:$M190,0,AQ$218))/(INDEX($E$185:$M$185,0,AQ$218+1)-INDEX($E$185:$M$185,0,AQ$218))+AO223)))</f>
        <v>7.565868547194861</v>
      </c>
      <c r="AR223" s="237">
        <f t="shared" si="532"/>
        <v>7.3168019408062639</v>
      </c>
      <c r="AS223" s="5" cm="1">
        <f t="array" ref="AS223">IF(AS$218=-1,AT223,IF(AS$218=99,AR223,IF(AS$218=0,INDEX($E190:$M190,0,AS$216),(INDEX($E190:$M190,0,AS$218+1)-INDEX($E190:$M190,0,AS$218))/(INDEX($E$185:$M$185,0,AS$218+1)-INDEX($E$185:$M$185,0,AS$218))+AR223)))</f>
        <v>7.0677353344176668</v>
      </c>
      <c r="AT223" s="5" cm="1">
        <f t="array" ref="AT223">IF(AT$218=-1,AU223,IF(AT$218=99,AS223,IF(AT$218=0,INDEX($E190:$M190,0,AT$216),(INDEX($E190:$M190,0,AT$218+1)-INDEX($E190:$M190,0,AT$218))/(INDEX($E$185:$M$185,0,AT$218+1)-INDEX($E$185:$M$185,0,AT$218))+AS223)))</f>
        <v>6.9991870280805148</v>
      </c>
      <c r="AU223" s="5" cm="1">
        <f t="array" ref="AU223">IF(AU$218=-1,#REF!,IF(AU$218=99,AT223,IF(AU$218=0,INDEX($E190:$M190,0,AU$216),(INDEX($E190:$M190,0,AU$218+1)-INDEX($E190:$M190,0,AU$218))/(INDEX($E$185:$M$185,0,AU$218+1)-INDEX($E$185:$M$185,0,AU$218))+AT223)))</f>
        <v>7.3588314715461243</v>
      </c>
      <c r="AV223" s="5"/>
      <c r="AY223" s="5"/>
      <c r="AZ223" s="5"/>
      <c r="BJ223" s="5"/>
      <c r="BK223" s="46"/>
    </row>
    <row r="224" spans="1:63">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7.2799982901224303E-2</v>
      </c>
      <c r="O224" s="5" cm="1">
        <f t="array" ref="O224">IF(O$218=-1,P224,IF(O$218=99,N224,IF(O$218=0,INDEX($E191:$M191,0,O$216),(INDEX($E191:$M191,0,O$218+1)-INDEX($E191:$M191,0,O$218))/(INDEX($E$185:$M$185,0,O$218+1)-INDEX($E$185:$M$185,0,O$218))+N224)))</f>
        <v>9.2054765383727061E-2</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0.11321787750148378</v>
      </c>
      <c r="S224" s="5" cm="1">
        <f t="array" ref="S224">IF(S$218=-1,T224,IF(S$218=99,R224,IF(S$218=0,INDEX($E191:$M191,0,S$216),(INDEX($E191:$M191,0,S$218+1)-INDEX($E191:$M191,0,S$218))/(INDEX($E$185:$M$185,0,S$218+1)-INDEX($E$185:$M$185,0,S$218))+R224)))</f>
        <v>0.11269197283348066</v>
      </c>
      <c r="T224" s="5" cm="1">
        <f t="array" ref="T224">IF(T$218=-1,W224,IF(T$218=99,S224,IF(T$218=0,INDEX($E191:$M191,0,T$216),(INDEX($E191:$M191,0,T$218+1)-INDEX($E191:$M191,0,T$218))/(INDEX($E$185:$M$185,0,T$218+1)-INDEX($E$185:$M$185,0,T$218))+S224)))</f>
        <v>0.11216606816547754</v>
      </c>
      <c r="U224" s="5" cm="1">
        <f t="array" ref="U224">IF(U$218=-1,W224,IF(U$218=99,S224,IF(U$218=0,INDEX($E191:$M191,0,U$216),(INDEX($E191:$M191,0,U$218+1)-INDEX($E191:$M191,0,U$218))/(INDEX($E$185:$M$185,0,U$218+1)-INDEX($E$185:$M$185,0,U$218))+S224)))</f>
        <v>0.11216606816547754</v>
      </c>
      <c r="V224" s="5" cm="1">
        <f t="array" ref="V224">IF(V$218=-1,W224,IF(V$218=99,S224,IF(V$218=0,INDEX($E191:$M191,0,V$216),(INDEX($E191:$M191,0,V$218+1)-INDEX($E191:$M191,0,V$218))/(INDEX($E$185:$M$185,0,V$218+1)-INDEX($E$185:$M$185,0,V$218))+S224)))</f>
        <v>0.11216606816547754</v>
      </c>
      <c r="W224" s="5" cm="1">
        <f t="array" ref="W224">IF(W$218=-1,X224,IF(W$218=99,T224,IF(W$218=0,INDEX($E191:$M191,0,W$216),(INDEX($E191:$M191,0,W$218+1)-INDEX($E191:$M191,0,W$218))/(INDEX($E$185:$M$185,0,W$218+1)-INDEX($E$185:$M$185,0,W$218))+T224)))</f>
        <v>0.11164016349747442</v>
      </c>
      <c r="X224" s="5" cm="1">
        <f t="array" ref="X224">IF(X$218=-1,Y224,IF(X$218=99,W224,IF(X$218=0,INDEX($E191:$M191,0,X$216),(INDEX($E191:$M191,0,X$218+1)-INDEX($E191:$M191,0,X$218))/(INDEX($E$185:$M$185,0,X$218+1)-INDEX($E$185:$M$185,0,X$218))+W224)))</f>
        <v>0.1111142588294713</v>
      </c>
      <c r="Y224" s="5" cm="1">
        <f t="array" ref="Y224">IF(Y$218=-1,Z224,IF(Y$218=99,X224,IF(Y$218=0,INDEX($E191:$M191,0,Y$216),(INDEX($E191:$M191,0,Y$218+1)-INDEX($E191:$M191,0,Y$218))/(INDEX($E$185:$M$185,0,Y$218+1)-INDEX($E$185:$M$185,0,Y$218))+X224)))</f>
        <v>0.11058835416146819</v>
      </c>
      <c r="Z224" s="5" cm="1">
        <f t="array" ref="Z224">IF(Z$218=-1,AA224,IF(Z$218=99,Y224,IF(Z$218=0,INDEX($E191:$M191,0,Z$216),(INDEX($E191:$M191,0,Z$218+1)-INDEX($E191:$M191,0,Z$218))/(INDEX($E$185:$M$185,0,Z$218+1)-INDEX($E$185:$M$185,0,Z$218))+Y224)))</f>
        <v>0.11006244949346507</v>
      </c>
      <c r="AA224" s="5" cm="1">
        <f t="array" ref="AA224">IF(AA$218=-1,AB224,IF(AA$218=99,Z224,IF(AA$218=0,INDEX($E191:$M191,0,AA$216),(INDEX($E191:$M191,0,AA$218+1)-INDEX($E191:$M191,0,AA$218))/(INDEX($E$185:$M$185,0,AA$218+1)-INDEX($E$185:$M$185,0,AA$218))+Z224)))</f>
        <v>0.10953654482546195</v>
      </c>
      <c r="AB224" s="5" cm="1">
        <f t="array" ref="AB224">IF(AB$218=-1,AC224,IF(AB$218=99,AA224,IF(AB$218=0,INDEX($E191:$M191,0,AB$216),(INDEX($E191:$M191,0,AB$218+1)-INDEX($E191:$M191,0,AB$218))/(INDEX($E$185:$M$185,0,AB$218+1)-INDEX($E$185:$M$185,0,AB$218))+AA224)))</f>
        <v>0.10901064015745883</v>
      </c>
      <c r="AC224" s="5" cm="1">
        <f t="array" ref="AC224">IF(AC$218=-1,AD224,IF(AC$218=99,AB224,IF(AC$218=0,INDEX($E191:$M191,0,AC$216),(INDEX($E191:$M191,0,AC$218+1)-INDEX($E191:$M191,0,AC$218))/(INDEX($E$185:$M$185,0,AC$218+1)-INDEX($E$185:$M$185,0,AC$218))+AB224)))</f>
        <v>0.10848473548945574</v>
      </c>
      <c r="AD224" s="5" cm="1">
        <f t="array" ref="AD224">IF(AD$218=-1,AE224,IF(AD$218=99,AC224,IF(AD$218=0,INDEX($E191:$M191,0,AD$216),(INDEX($E191:$M191,0,AD$218+1)-INDEX($E191:$M191,0,AD$218))/(INDEX($E$185:$M$185,0,AD$218+1)-INDEX($E$185:$M$185,0,AD$218))+AC224)))</f>
        <v>0.10934665020322129</v>
      </c>
      <c r="AE224" s="5" cm="1">
        <f t="array" ref="AE224">IF(AE$218=-1,AH224,IF(AE$218=99,AD224,IF(AE$218=0,INDEX($E191:$M191,0,AE$216),(INDEX($E191:$M191,0,AE$218+1)-INDEX($E191:$M191,0,AE$218))/(INDEX($E$185:$M$185,0,AE$218+1)-INDEX($E$185:$M$185,0,AE$218))+AD224)))</f>
        <v>0.11020856491698686</v>
      </c>
      <c r="AF224" s="5" cm="1">
        <f t="array" ref="AF224">IF(AF$218=-1,AH224,IF(AF$218=99,AD224,IF(AF$218=0,INDEX($E191:$M191,0,AF$216),(INDEX($E191:$M191,0,AF$218+1)-INDEX($E191:$M191,0,AF$218))/(INDEX($E$185:$M$185,0,AF$218+1)-INDEX($E$185:$M$185,0,AF$218))+AD224)))</f>
        <v>0.11020856491698686</v>
      </c>
      <c r="AG224" s="5" cm="1">
        <f t="array" ref="AG224">IF(AG$218=-1,AH224,IF(AG$218=99,AD224,IF(AG$218=0,INDEX($E191:$M191,0,AG$216),(INDEX($E191:$M191,0,AG$218+1)-INDEX($E191:$M191,0,AG$218))/(INDEX($E$185:$M$185,0,AG$218+1)-INDEX($E$185:$M$185,0,AG$218))+AD224)))</f>
        <v>0.11020856491698686</v>
      </c>
      <c r="AH224" s="5" cm="1">
        <f t="array" ref="AH224">IF(AH$218=-1,AI224,IF(AH$218=99,AE224,IF(AH$218=0,INDEX($E191:$M191,0,AH$216),(INDEX($E191:$M191,0,AH$218+1)-INDEX($E191:$M191,0,AH$218))/(INDEX($E$185:$M$185,0,AH$218+1)-INDEX($E$185:$M$185,0,AH$218))+AE224)))</f>
        <v>0.11107047963075242</v>
      </c>
      <c r="AI224" s="5" cm="1">
        <f t="array" ref="AI224">IF(AI$218=-1,AJ224,IF(AI$218=99,AH224,IF(AI$218=0,INDEX($E191:$M191,0,AI$216),(INDEX($E191:$M191,0,AI$218+1)-INDEX($E191:$M191,0,AI$218))/(INDEX($E$185:$M$185,0,AI$218+1)-INDEX($E$185:$M$185,0,AI$218))+AH224)))</f>
        <v>0.11193239434451799</v>
      </c>
      <c r="AJ224" s="5" cm="1">
        <f t="array" ref="AJ224">IF(AJ$218=-1,AK224,IF(AJ$218=99,AI224,IF(AJ$218=0,INDEX($E191:$M191,0,AJ$216),(INDEX($E191:$M191,0,AJ$218+1)-INDEX($E191:$M191,0,AJ$218))/(INDEX($E$185:$M$185,0,AJ$218+1)-INDEX($E$185:$M$185,0,AJ$218))+AI224)))</f>
        <v>0.11279430905828355</v>
      </c>
      <c r="AK224" s="5" cm="1">
        <f t="array" ref="AK224">IF(AK$218=-1,AL224,IF(AK$218=99,AJ224,IF(AK$218=0,INDEX($E191:$M191,0,AK$216),(INDEX($E191:$M191,0,AK$218+1)-INDEX($E191:$M191,0,AK$218))/(INDEX($E$185:$M$185,0,AK$218+1)-INDEX($E$185:$M$185,0,AK$218))+AJ224)))</f>
        <v>0.11365622377204912</v>
      </c>
      <c r="AL224" s="5" cm="1">
        <f t="array" ref="AL224">IF(AL$218=-1,AM224,IF(AL$218=99,AK224,IF(AL$218=0,INDEX($E191:$M191,0,AL$216),(INDEX($E191:$M191,0,AL$218+1)-INDEX($E191:$M191,0,AL$218))/(INDEX($E$185:$M$185,0,AL$218+1)-INDEX($E$185:$M$185,0,AL$218))+AK224)))</f>
        <v>0.11451813848581469</v>
      </c>
      <c r="AM224" s="5" cm="1">
        <f t="array" ref="AM224">IF(AM$218=-1,AO224,IF(AM$218=99,AL224,IF(AM$218=0,INDEX($E191:$M191,0,AM$216),(INDEX($E191:$M191,0,AM$218+1)-INDEX($E191:$M191,0,AM$218))/(INDEX($E$185:$M$185,0,AM$218+1)-INDEX($E$185:$M$185,0,AM$218))+AL224)))</f>
        <v>0.11538005319958025</v>
      </c>
      <c r="AN224" s="5" cm="1">
        <f t="array" ref="AN224">IF(AN$218=-1,AP224,IF(AN$218=99,AL224,IF(AN$218=0,INDEX($E191:$M191,0,AN$216),(INDEX($E191:$M191,0,AN$218+1)-INDEX($E191:$M191,0,AN$218))/(INDEX($E$185:$M$185,0,AN$218+1)-INDEX($E$185:$M$185,0,AN$218))+AL224)))</f>
        <v>0.11538005319958025</v>
      </c>
      <c r="AO224" s="5" cm="1">
        <f t="array" ref="AO224">IF(AO$218=-1,AQ224,IF(AO$218=99,AM224,IF(AO$218=0,INDEX($E191:$M191,0,AO$216),(INDEX($E191:$M191,0,AO$218+1)-INDEX($E191:$M191,0,AO$218))/(INDEX($E$185:$M$185,0,AO$218+1)-INDEX($E$185:$M$185,0,AO$218))+AM224)))</f>
        <v>0.11624196791334582</v>
      </c>
      <c r="AP224" s="5" cm="1">
        <f t="array" ref="AP224">IF(AP$218=-1,AR224,IF(AP$218=99,AO224,IF(AP$218=0,INDEX($E191:$M191,0,AP$216),(INDEX($E191:$M191,0,AP$218+1)-INDEX($E191:$M191,0,AP$218))/(INDEX($E$185:$M$185,0,AP$218+1)-INDEX($E$185:$M$185,0,AP$218))+AO224)))</f>
        <v>0.11710388262711133</v>
      </c>
      <c r="AQ224" s="5" cm="1">
        <f t="array" ref="AQ224">IF(AQ$218=-1,AR224,IF(AQ$218=99,AO224,IF(AQ$218=0,INDEX($E191:$M191,0,AQ$216),(INDEX($E191:$M191,0,AQ$218+1)-INDEX($E191:$M191,0,AQ$218))/(INDEX($E$185:$M$185,0,AQ$218+1)-INDEX($E$185:$M$185,0,AQ$218))+AO224)))</f>
        <v>0.11710388262711133</v>
      </c>
      <c r="AR224" s="237">
        <f t="shared" si="532"/>
        <v>0.12035173605626301</v>
      </c>
      <c r="AS224" s="5" cm="1">
        <f t="array" ref="AS224">IF(AS$218=-1,AT224,IF(AS$218=99,AR224,IF(AS$218=0,INDEX($E191:$M191,0,AS$216),(INDEX($E191:$M191,0,AS$218+1)-INDEX($E191:$M191,0,AS$218))/(INDEX($E$185:$M$185,0,AS$218+1)-INDEX($E$185:$M$185,0,AS$218))+AR224)))</f>
        <v>0.12359958948541468</v>
      </c>
      <c r="AT224" s="5" cm="1">
        <f t="array" ref="AT224">IF(AT$218=-1,AU224,IF(AT$218=99,AS224,IF(AT$218=0,INDEX($E191:$M191,0,AT$216),(INDEX($E191:$M191,0,AT$218+1)-INDEX($E191:$M191,0,AT$218))/(INDEX($E$185:$M$185,0,AT$218+1)-INDEX($E$185:$M$185,0,AT$218))+AS224)))</f>
        <v>0.12724652598918682</v>
      </c>
      <c r="AU224" s="5" cm="1">
        <f t="array" ref="AU224">IF(AU$218=-1,#REF!,IF(AU$218=99,AT224,IF(AU$218=0,INDEX($E191:$M191,0,AU$216),(INDEX($E191:$M191,0,AU$218+1)-INDEX($E191:$M191,0,AU$218))/(INDEX($E$185:$M$185,0,AU$218+1)-INDEX($E$185:$M$185,0,AU$218))+AT224)))</f>
        <v>0.12871195614866676</v>
      </c>
      <c r="AV224" s="5"/>
      <c r="AY224" s="5"/>
      <c r="AZ224" s="5"/>
      <c r="BJ224" s="5"/>
      <c r="BK224" s="46"/>
    </row>
    <row r="225" spans="5:70">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9.1535777190606566</v>
      </c>
      <c r="S225" s="5" cm="1">
        <f t="array" ref="S225">IF(S$218=-1,T225,IF(S$218=99,R225,IF(S$218=0,INDEX($E192:$M192,0,S$216),(INDEX($E192:$M192,0,S$218+1)-INDEX($E192:$M192,0,S$218))/(INDEX($E$185:$M$185,0,S$218+1)-INDEX($E$185:$M$185,0,S$218))+R225)))</f>
        <v>9.5950267537405001</v>
      </c>
      <c r="T225" s="5" cm="1">
        <f t="array" ref="T225">IF(T$218=-1,W225,IF(T$218=99,S225,IF(T$218=0,INDEX($E192:$M192,0,T$216),(INDEX($E192:$M192,0,T$218+1)-INDEX($E192:$M192,0,T$218))/(INDEX($E$185:$M$185,0,T$218+1)-INDEX($E$185:$M$185,0,T$218))+S225)))</f>
        <v>10.036475788420343</v>
      </c>
      <c r="U225" s="5" cm="1">
        <f t="array" ref="U225">IF(U$218=-1,W225,IF(U$218=99,S225,IF(U$218=0,INDEX($E192:$M192,0,U$216),(INDEX($E192:$M192,0,U$218+1)-INDEX($E192:$M192,0,U$218))/(INDEX($E$185:$M$185,0,U$218+1)-INDEX($E$185:$M$185,0,U$218))+S225)))</f>
        <v>10.036475788420343</v>
      </c>
      <c r="V225" s="5" cm="1">
        <f t="array" ref="V225">IF(V$218=-1,W225,IF(V$218=99,S225,IF(V$218=0,INDEX($E192:$M192,0,V$216),(INDEX($E192:$M192,0,V$218+1)-INDEX($E192:$M192,0,V$218))/(INDEX($E$185:$M$185,0,V$218+1)-INDEX($E$185:$M$185,0,V$218))+S225)))</f>
        <v>10.036475788420343</v>
      </c>
      <c r="W225" s="5" cm="1">
        <f t="array" ref="W225">IF(W$218=-1,X225,IF(W$218=99,T225,IF(W$218=0,INDEX($E192:$M192,0,W$216),(INDEX($E192:$M192,0,W$218+1)-INDEX($E192:$M192,0,W$218))/(INDEX($E$185:$M$185,0,W$218+1)-INDEX($E$185:$M$185,0,W$218))+T225)))</f>
        <v>10.477924823100187</v>
      </c>
      <c r="X225" s="5" cm="1">
        <f t="array" ref="X225">IF(X$218=-1,Y225,IF(X$218=99,W225,IF(X$218=0,INDEX($E192:$M192,0,X$216),(INDEX($E192:$M192,0,X$218+1)-INDEX($E192:$M192,0,X$218))/(INDEX($E$185:$M$185,0,X$218+1)-INDEX($E$185:$M$185,0,X$218))+W225)))</f>
        <v>10.91937385778003</v>
      </c>
      <c r="Y225" s="5" cm="1">
        <f t="array" ref="Y225">IF(Y$218=-1,Z225,IF(Y$218=99,X225,IF(Y$218=0,INDEX($E192:$M192,0,Y$216),(INDEX($E192:$M192,0,Y$218+1)-INDEX($E192:$M192,0,Y$218))/(INDEX($E$185:$M$185,0,Y$218+1)-INDEX($E$185:$M$185,0,Y$218))+X225)))</f>
        <v>11.360822892459874</v>
      </c>
      <c r="Z225" s="5" cm="1">
        <f t="array" ref="Z225">IF(Z$218=-1,AA225,IF(Z$218=99,Y225,IF(Z$218=0,INDEX($E192:$M192,0,Z$216),(INDEX($E192:$M192,0,Z$218+1)-INDEX($E192:$M192,0,Z$218))/(INDEX($E$185:$M$185,0,Z$218+1)-INDEX($E$185:$M$185,0,Z$218))+Y225)))</f>
        <v>11.802271927139717</v>
      </c>
      <c r="AA225" s="5" cm="1">
        <f t="array" ref="AA225">IF(AA$218=-1,AB225,IF(AA$218=99,Z225,IF(AA$218=0,INDEX($E192:$M192,0,AA$216),(INDEX($E192:$M192,0,AA$218+1)-INDEX($E192:$M192,0,AA$218))/(INDEX($E$185:$M$185,0,AA$218+1)-INDEX($E$185:$M$185,0,AA$218))+Z225)))</f>
        <v>12.243720961819561</v>
      </c>
      <c r="AB225" s="5" cm="1">
        <f t="array" ref="AB225">IF(AB$218=-1,AC225,IF(AB$218=99,AA225,IF(AB$218=0,INDEX($E192:$M192,0,AB$216),(INDEX($E192:$M192,0,AB$218+1)-INDEX($E192:$M192,0,AB$218))/(INDEX($E$185:$M$185,0,AB$218+1)-INDEX($E$185:$M$185,0,AB$218))+AA225)))</f>
        <v>12.685169996499404</v>
      </c>
      <c r="AC225" s="5" cm="1">
        <f t="array" ref="AC225">IF(AC$218=-1,AD225,IF(AC$218=99,AB225,IF(AC$218=0,INDEX($E192:$M192,0,AC$216),(INDEX($E192:$M192,0,AC$218+1)-INDEX($E192:$M192,0,AC$218))/(INDEX($E$185:$M$185,0,AC$218+1)-INDEX($E$185:$M$185,0,AC$218))+AB225)))</f>
        <v>13.126619031179249</v>
      </c>
      <c r="AD225" s="5" cm="1">
        <f t="array" ref="AD225">IF(AD$218=-1,AE225,IF(AD$218=99,AC225,IF(AD$218=0,INDEX($E192:$M192,0,AD$216),(INDEX($E192:$M192,0,AD$218+1)-INDEX($E192:$M192,0,AD$218))/(INDEX($E$185:$M$185,0,AD$218+1)-INDEX($E$185:$M$185,0,AD$218))+AC225)))</f>
        <v>13.422653425074495</v>
      </c>
      <c r="AE225" s="5" cm="1">
        <f t="array" ref="AE225">IF(AE$218=-1,AH225,IF(AE$218=99,AD225,IF(AE$218=0,INDEX($E192:$M192,0,AE$216),(INDEX($E192:$M192,0,AE$218+1)-INDEX($E192:$M192,0,AE$218))/(INDEX($E$185:$M$185,0,AE$218+1)-INDEX($E$185:$M$185,0,AE$218))+AD225)))</f>
        <v>13.718687818969741</v>
      </c>
      <c r="AF225" s="5" cm="1">
        <f t="array" ref="AF225">IF(AF$218=-1,AH225,IF(AF$218=99,AD225,IF(AF$218=0,INDEX($E192:$M192,0,AF$216),(INDEX($E192:$M192,0,AF$218+1)-INDEX($E192:$M192,0,AF$218))/(INDEX($E$185:$M$185,0,AF$218+1)-INDEX($E$185:$M$185,0,AF$218))+AD225)))</f>
        <v>13.718687818969741</v>
      </c>
      <c r="AG225" s="5" cm="1">
        <f t="array" ref="AG225">IF(AG$218=-1,AH225,IF(AG$218=99,AD225,IF(AG$218=0,INDEX($E192:$M192,0,AG$216),(INDEX($E192:$M192,0,AG$218+1)-INDEX($E192:$M192,0,AG$218))/(INDEX($E$185:$M$185,0,AG$218+1)-INDEX($E$185:$M$185,0,AG$218))+AD225)))</f>
        <v>13.718687818969741</v>
      </c>
      <c r="AH225" s="5" cm="1">
        <f t="array" ref="AH225">IF(AH$218=-1,AI225,IF(AH$218=99,AE225,IF(AH$218=0,INDEX($E192:$M192,0,AH$216),(INDEX($E192:$M192,0,AH$218+1)-INDEX($E192:$M192,0,AH$218))/(INDEX($E$185:$M$185,0,AH$218+1)-INDEX($E$185:$M$185,0,AH$218))+AE225)))</f>
        <v>14.014722212864987</v>
      </c>
      <c r="AI225" s="5" cm="1">
        <f t="array" ref="AI225">IF(AI$218=-1,AJ225,IF(AI$218=99,AH225,IF(AI$218=0,INDEX($E192:$M192,0,AI$216),(INDEX($E192:$M192,0,AI$218+1)-INDEX($E192:$M192,0,AI$218))/(INDEX($E$185:$M$185,0,AI$218+1)-INDEX($E$185:$M$185,0,AI$218))+AH225)))</f>
        <v>14.310756606760233</v>
      </c>
      <c r="AJ225" s="5" cm="1">
        <f t="array" ref="AJ225">IF(AJ$218=-1,AK225,IF(AJ$218=99,AI225,IF(AJ$218=0,INDEX($E192:$M192,0,AJ$216),(INDEX($E192:$M192,0,AJ$218+1)-INDEX($E192:$M192,0,AJ$218))/(INDEX($E$185:$M$185,0,AJ$218+1)-INDEX($E$185:$M$185,0,AJ$218))+AI225)))</f>
        <v>14.606791000655479</v>
      </c>
      <c r="AK225" s="5" cm="1">
        <f t="array" ref="AK225">IF(AK$218=-1,AL225,IF(AK$218=99,AJ225,IF(AK$218=0,INDEX($E192:$M192,0,AK$216),(INDEX($E192:$M192,0,AK$218+1)-INDEX($E192:$M192,0,AK$218))/(INDEX($E$185:$M$185,0,AK$218+1)-INDEX($E$185:$M$185,0,AK$218))+AJ225)))</f>
        <v>14.902825394550725</v>
      </c>
      <c r="AL225" s="5" cm="1">
        <f t="array" ref="AL225">IF(AL$218=-1,AM225,IF(AL$218=99,AK225,IF(AL$218=0,INDEX($E192:$M192,0,AL$216),(INDEX($E192:$M192,0,AL$218+1)-INDEX($E192:$M192,0,AL$218))/(INDEX($E$185:$M$185,0,AL$218+1)-INDEX($E$185:$M$185,0,AL$218))+AK225)))</f>
        <v>15.19885978844597</v>
      </c>
      <c r="AM225" s="5" cm="1">
        <f t="array" ref="AM225">IF(AM$218=-1,AO225,IF(AM$218=99,AL225,IF(AM$218=0,INDEX($E192:$M192,0,AM$216),(INDEX($E192:$M192,0,AM$218+1)-INDEX($E192:$M192,0,AM$218))/(INDEX($E$185:$M$185,0,AM$218+1)-INDEX($E$185:$M$185,0,AM$218))+AL225)))</f>
        <v>15.494894182341216</v>
      </c>
      <c r="AN225" s="5" cm="1">
        <f t="array" ref="AN225">IF(AN$218=-1,AP225,IF(AN$218=99,AL225,IF(AN$218=0,INDEX($E192:$M192,0,AN$216),(INDEX($E192:$M192,0,AN$218+1)-INDEX($E192:$M192,0,AN$218))/(INDEX($E$185:$M$185,0,AN$218+1)-INDEX($E$185:$M$185,0,AN$218))+AL225)))</f>
        <v>15.494894182341216</v>
      </c>
      <c r="AO225" s="5" cm="1">
        <f t="array" ref="AO225">IF(AO$218=-1,AQ225,IF(AO$218=99,AM225,IF(AO$218=0,INDEX($E192:$M192,0,AO$216),(INDEX($E192:$M192,0,AO$218+1)-INDEX($E192:$M192,0,AO$218))/(INDEX($E$185:$M$185,0,AO$218+1)-INDEX($E$185:$M$185,0,AO$218))+AM225)))</f>
        <v>15.790928576236462</v>
      </c>
      <c r="AP225" s="5" cm="1">
        <f t="array" ref="AP225">IF(AP$218=-1,AR225,IF(AP$218=99,AO225,IF(AP$218=0,INDEX($E192:$M192,0,AP$216),(INDEX($E192:$M192,0,AP$218+1)-INDEX($E192:$M192,0,AP$218))/(INDEX($E$185:$M$185,0,AP$218+1)-INDEX($E$185:$M$185,0,AP$218))+AO225)))</f>
        <v>16.086962970131705</v>
      </c>
      <c r="AQ225" s="5" cm="1">
        <f t="array" ref="AQ225">IF(AQ$218=-1,AR225,IF(AQ$218=99,AO225,IF(AQ$218=0,INDEX($E192:$M192,0,AQ$216),(INDEX($E192:$M192,0,AQ$218+1)-INDEX($E192:$M192,0,AQ$218))/(INDEX($E$185:$M$185,0,AQ$218+1)-INDEX($E$185:$M$185,0,AQ$218))+AO225)))</f>
        <v>16.086962970131705</v>
      </c>
      <c r="AR225" s="237">
        <f t="shared" si="532"/>
        <v>15.557383947039204</v>
      </c>
      <c r="AS225" s="5" cm="1">
        <f t="array" ref="AS225">IF(AS$218=-1,AT225,IF(AS$218=99,AR225,IF(AS$218=0,INDEX($E192:$M192,0,AS$216),(INDEX($E192:$M192,0,AS$218+1)-INDEX($E192:$M192,0,AS$218))/(INDEX($E$185:$M$185,0,AS$218+1)-INDEX($E$185:$M$185,0,AS$218))+AR225)))</f>
        <v>15.027804923946704</v>
      </c>
      <c r="AT225" s="5" cm="1">
        <f t="array" ref="AT225">IF(AT$218=-1,AU225,IF(AT$218=99,AS225,IF(AT$218=0,INDEX($E192:$M192,0,AT$216),(INDEX($E192:$M192,0,AT$218+1)-INDEX($E192:$M192,0,AT$218))/(INDEX($E$185:$M$185,0,AT$218+1)-INDEX($E$185:$M$185,0,AT$218))+AS225)))</f>
        <v>14.882053770747001</v>
      </c>
      <c r="AU225" s="5" cm="1">
        <f t="array" ref="AU225">IF(AU$218=-1,#REF!,IF(AU$218=99,AT225,IF(AU$218=0,INDEX($E192:$M192,0,AU$216),(INDEX($E192:$M192,0,AU$218+1)-INDEX($E192:$M192,0,AU$218))/(INDEX($E$185:$M$185,0,AU$218+1)-INDEX($E$185:$M$185,0,AU$218))+AT225)))</f>
        <v>15.646749431047624</v>
      </c>
      <c r="AV225" s="5"/>
      <c r="AY225" s="5"/>
      <c r="AZ225" s="5"/>
      <c r="BJ225" s="5"/>
      <c r="BK225" s="46"/>
    </row>
    <row r="226" spans="5:70">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0.6528281316673451</v>
      </c>
      <c r="S226" s="5" cm="1">
        <f t="array" ref="S226">IF(S$218=-1,T226,IF(S$218=99,R226,IF(S$218=0,INDEX($E193:$M193,0,S$216),(INDEX($E193:$M193,0,S$218+1)-INDEX($E193:$M193,0,S$218))/(INDEX($E$185:$M$185,0,S$218+1)-INDEX($E$185:$M$185,0,S$218))+R226)))</f>
        <v>0.75920400441386882</v>
      </c>
      <c r="T226" s="5" cm="1">
        <f t="array" ref="T226">IF(T$218=-1,W226,IF(T$218=99,S226,IF(T$218=0,INDEX($E193:$M193,0,T$216),(INDEX($E193:$M193,0,T$218+1)-INDEX($E193:$M193,0,T$218))/(INDEX($E$185:$M$185,0,T$218+1)-INDEX($E$185:$M$185,0,T$218))+S226)))</f>
        <v>0.86557987716039264</v>
      </c>
      <c r="U226" s="5" cm="1">
        <f t="array" ref="U226">IF(U$218=-1,W226,IF(U$218=99,S226,IF(U$218=0,INDEX($E193:$M193,0,U$216),(INDEX($E193:$M193,0,U$218+1)-INDEX($E193:$M193,0,U$218))/(INDEX($E$185:$M$185,0,U$218+1)-INDEX($E$185:$M$185,0,U$218))+S226)))</f>
        <v>0.86557987716039264</v>
      </c>
      <c r="V226" s="5" cm="1">
        <f t="array" ref="V226">IF(V$218=-1,W226,IF(V$218=99,S226,IF(V$218=0,INDEX($E193:$M193,0,V$216),(INDEX($E193:$M193,0,V$218+1)-INDEX($E193:$M193,0,V$218))/(INDEX($E$185:$M$185,0,V$218+1)-INDEX($E$185:$M$185,0,V$218))+S226)))</f>
        <v>0.86557987716039264</v>
      </c>
      <c r="W226" s="5" cm="1">
        <f t="array" ref="W226">IF(W$218=-1,X226,IF(W$218=99,T226,IF(W$218=0,INDEX($E193:$M193,0,W$216),(INDEX($E193:$M193,0,W$218+1)-INDEX($E193:$M193,0,W$218))/(INDEX($E$185:$M$185,0,W$218+1)-INDEX($E$185:$M$185,0,W$218))+T226)))</f>
        <v>0.97195574990691647</v>
      </c>
      <c r="X226" s="5" cm="1">
        <f t="array" ref="X226">IF(X$218=-1,Y226,IF(X$218=99,W226,IF(X$218=0,INDEX($E193:$M193,0,X$216),(INDEX($E193:$M193,0,X$218+1)-INDEX($E193:$M193,0,X$218))/(INDEX($E$185:$M$185,0,X$218+1)-INDEX($E$185:$M$185,0,X$218))+W226)))</f>
        <v>1.0783316226534403</v>
      </c>
      <c r="Y226" s="5" cm="1">
        <f t="array" ref="Y226">IF(Y$218=-1,Z226,IF(Y$218=99,X226,IF(Y$218=0,INDEX($E193:$M193,0,Y$216),(INDEX($E193:$M193,0,Y$218+1)-INDEX($E193:$M193,0,Y$218))/(INDEX($E$185:$M$185,0,Y$218+1)-INDEX($E$185:$M$185,0,Y$218))+X226)))</f>
        <v>1.1847074953999641</v>
      </c>
      <c r="Z226" s="5" cm="1">
        <f t="array" ref="Z226">IF(Z$218=-1,AA226,IF(Z$218=99,Y226,IF(Z$218=0,INDEX($E193:$M193,0,Z$216),(INDEX($E193:$M193,0,Z$218+1)-INDEX($E193:$M193,0,Z$218))/(INDEX($E$185:$M$185,0,Z$218+1)-INDEX($E$185:$M$185,0,Z$218))+Y226)))</f>
        <v>1.2910833681464879</v>
      </c>
      <c r="AA226" s="5" cm="1">
        <f t="array" ref="AA226">IF(AA$218=-1,AB226,IF(AA$218=99,Z226,IF(AA$218=0,INDEX($E193:$M193,0,AA$216),(INDEX($E193:$M193,0,AA$218+1)-INDEX($E193:$M193,0,AA$218))/(INDEX($E$185:$M$185,0,AA$218+1)-INDEX($E$185:$M$185,0,AA$218))+Z226)))</f>
        <v>1.3974592408930118</v>
      </c>
      <c r="AB226" s="5" cm="1">
        <f t="array" ref="AB226">IF(AB$218=-1,AC226,IF(AB$218=99,AA226,IF(AB$218=0,INDEX($E193:$M193,0,AB$216),(INDEX($E193:$M193,0,AB$218+1)-INDEX($E193:$M193,0,AB$218))/(INDEX($E$185:$M$185,0,AB$218+1)-INDEX($E$185:$M$185,0,AB$218))+AA226)))</f>
        <v>1.5038351136395356</v>
      </c>
      <c r="AC226" s="5" cm="1">
        <f t="array" ref="AC226">IF(AC$218=-1,AD226,IF(AC$218=99,AB226,IF(AC$218=0,INDEX($E193:$M193,0,AC$216),(INDEX($E193:$M193,0,AC$218+1)-INDEX($E193:$M193,0,AC$218))/(INDEX($E$185:$M$185,0,AC$218+1)-INDEX($E$185:$M$185,0,AC$218))+AB226)))</f>
        <v>1.610210986386059</v>
      </c>
      <c r="AD226" s="5" cm="1">
        <f t="array" ref="AD226">IF(AD$218=-1,AE226,IF(AD$218=99,AC226,IF(AD$218=0,INDEX($E193:$M193,0,AD$216),(INDEX($E193:$M193,0,AD$218+1)-INDEX($E193:$M193,0,AD$218))/(INDEX($E$185:$M$185,0,AD$218+1)-INDEX($E$185:$M$185,0,AD$218))+AC226)))</f>
        <v>1.7300890942780629</v>
      </c>
      <c r="AE226" s="5" cm="1">
        <f t="array" ref="AE226">IF(AE$218=-1,AH226,IF(AE$218=99,AD226,IF(AE$218=0,INDEX($E193:$M193,0,AE$216),(INDEX($E193:$M193,0,AE$218+1)-INDEX($E193:$M193,0,AE$218))/(INDEX($E$185:$M$185,0,AE$218+1)-INDEX($E$185:$M$185,0,AE$218))+AD226)))</f>
        <v>1.8499672021700668</v>
      </c>
      <c r="AF226" s="5" cm="1">
        <f t="array" ref="AF226">IF(AF$218=-1,AH226,IF(AF$218=99,AD226,IF(AF$218=0,INDEX($E193:$M193,0,AF$216),(INDEX($E193:$M193,0,AF$218+1)-INDEX($E193:$M193,0,AF$218))/(INDEX($E$185:$M$185,0,AF$218+1)-INDEX($E$185:$M$185,0,AF$218))+AD226)))</f>
        <v>1.8499672021700668</v>
      </c>
      <c r="AG226" s="5" cm="1">
        <f t="array" ref="AG226">IF(AG$218=-1,AH226,IF(AG$218=99,AD226,IF(AG$218=0,INDEX($E193:$M193,0,AG$216),(INDEX($E193:$M193,0,AG$218+1)-INDEX($E193:$M193,0,AG$218))/(INDEX($E$185:$M$185,0,AG$218+1)-INDEX($E$185:$M$185,0,AG$218))+AD226)))</f>
        <v>1.8499672021700668</v>
      </c>
      <c r="AH226" s="5" cm="1">
        <f t="array" ref="AH226">IF(AH$218=-1,AI226,IF(AH$218=99,AE226,IF(AH$218=0,INDEX($E193:$M193,0,AH$216),(INDEX($E193:$M193,0,AH$218+1)-INDEX($E193:$M193,0,AH$218))/(INDEX($E$185:$M$185,0,AH$218+1)-INDEX($E$185:$M$185,0,AH$218))+AE226)))</f>
        <v>1.9698453100620708</v>
      </c>
      <c r="AI226" s="5" cm="1">
        <f t="array" ref="AI226">IF(AI$218=-1,AJ226,IF(AI$218=99,AH226,IF(AI$218=0,INDEX($E193:$M193,0,AI$216),(INDEX($E193:$M193,0,AI$218+1)-INDEX($E193:$M193,0,AI$218))/(INDEX($E$185:$M$185,0,AI$218+1)-INDEX($E$185:$M$185,0,AI$218))+AH226)))</f>
        <v>2.0897234179540747</v>
      </c>
      <c r="AJ226" s="5" cm="1">
        <f t="array" ref="AJ226">IF(AJ$218=-1,AK226,IF(AJ$218=99,AI226,IF(AJ$218=0,INDEX($E193:$M193,0,AJ$216),(INDEX($E193:$M193,0,AJ$218+1)-INDEX($E193:$M193,0,AJ$218))/(INDEX($E$185:$M$185,0,AJ$218+1)-INDEX($E$185:$M$185,0,AJ$218))+AI226)))</f>
        <v>2.2096015258460784</v>
      </c>
      <c r="AK226" s="5" cm="1">
        <f t="array" ref="AK226">IF(AK$218=-1,AL226,IF(AK$218=99,AJ226,IF(AK$218=0,INDEX($E193:$M193,0,AK$216),(INDEX($E193:$M193,0,AK$218+1)-INDEX($E193:$M193,0,AK$218))/(INDEX($E$185:$M$185,0,AK$218+1)-INDEX($E$185:$M$185,0,AK$218))+AJ226)))</f>
        <v>2.3294796337380821</v>
      </c>
      <c r="AL226" s="5" cm="1">
        <f t="array" ref="AL226">IF(AL$218=-1,AM226,IF(AL$218=99,AK226,IF(AL$218=0,INDEX($E193:$M193,0,AL$216),(INDEX($E193:$M193,0,AL$218+1)-INDEX($E193:$M193,0,AL$218))/(INDEX($E$185:$M$185,0,AL$218+1)-INDEX($E$185:$M$185,0,AL$218))+AK226)))</f>
        <v>2.4493577416300858</v>
      </c>
      <c r="AM226" s="5" cm="1">
        <f t="array" ref="AM226">IF(AM$218=-1,AO226,IF(AM$218=99,AL226,IF(AM$218=0,INDEX($E193:$M193,0,AM$216),(INDEX($E193:$M193,0,AM$218+1)-INDEX($E193:$M193,0,AM$218))/(INDEX($E$185:$M$185,0,AM$218+1)-INDEX($E$185:$M$185,0,AM$218))+AL226)))</f>
        <v>2.5692358495220895</v>
      </c>
      <c r="AN226" s="5" cm="1">
        <f t="array" ref="AN226">IF(AN$218=-1,AP226,IF(AN$218=99,AL226,IF(AN$218=0,INDEX($E193:$M193,0,AN$216),(INDEX($E193:$M193,0,AN$218+1)-INDEX($E193:$M193,0,AN$218))/(INDEX($E$185:$M$185,0,AN$218+1)-INDEX($E$185:$M$185,0,AN$218))+AL226)))</f>
        <v>2.5692358495220895</v>
      </c>
      <c r="AO226" s="5" cm="1">
        <f t="array" ref="AO226">IF(AO$218=-1,AQ226,IF(AO$218=99,AM226,IF(AO$218=0,INDEX($E193:$M193,0,AO$216),(INDEX($E193:$M193,0,AO$218+1)-INDEX($E193:$M193,0,AO$218))/(INDEX($E$185:$M$185,0,AO$218+1)-INDEX($E$185:$M$185,0,AO$218))+AM226)))</f>
        <v>2.6891139574140932</v>
      </c>
      <c r="AP226" s="5" cm="1">
        <f t="array" ref="AP226">IF(AP$218=-1,AR226,IF(AP$218=99,AO226,IF(AP$218=0,INDEX($E193:$M193,0,AP$216),(INDEX($E193:$M193,0,AP$218+1)-INDEX($E193:$M193,0,AP$218))/(INDEX($E$185:$M$185,0,AP$218+1)-INDEX($E$185:$M$185,0,AP$218))+AO226)))</f>
        <v>2.8089920653060978</v>
      </c>
      <c r="AQ226" s="5" cm="1">
        <f t="array" ref="AQ226">IF(AQ$218=-1,AR226,IF(AQ$218=99,AO226,IF(AQ$218=0,INDEX($E193:$M193,0,AQ$216),(INDEX($E193:$M193,0,AQ$218+1)-INDEX($E193:$M193,0,AQ$218))/(INDEX($E$185:$M$185,0,AQ$218+1)-INDEX($E$185:$M$185,0,AQ$218))+AO226)))</f>
        <v>2.8089920653060978</v>
      </c>
      <c r="AR226" s="237">
        <f t="shared" si="532"/>
        <v>3.7690936687048566</v>
      </c>
      <c r="AS226" s="5" cm="1">
        <f t="array" ref="AS226">IF(AS$218=-1,AT226,IF(AS$218=99,AR226,IF(AS$218=0,INDEX($E193:$M193,0,AS$216),(INDEX($E193:$M193,0,AS$218+1)-INDEX($E193:$M193,0,AS$218))/(INDEX($E$185:$M$185,0,AS$218+1)-INDEX($E$185:$M$185,0,AS$218))+AR226)))</f>
        <v>4.729195272103615</v>
      </c>
      <c r="AT226" s="5" cm="1">
        <f t="array" ref="AT226">IF(AT$218=-1,AU226,IF(AT$218=99,AS226,IF(AT$218=0,INDEX($E193:$M193,0,AT$216),(INDEX($E193:$M193,0,AT$218+1)-INDEX($E193:$M193,0,AT$218))/(INDEX($E$185:$M$185,0,AT$218+1)-INDEX($E$185:$M$185,0,AT$218))+AS226)))</f>
        <v>6.0843487560592608</v>
      </c>
      <c r="AU226" s="5" cm="1">
        <f t="array" ref="AU226">IF(AU$218=-1,#REF!,IF(AU$218=99,AT226,IF(AU$218=0,INDEX($E193:$M193,0,AU$216),(INDEX($E193:$M193,0,AU$218+1)-INDEX($E193:$M193,0,AU$218))/(INDEX($E$185:$M$185,0,AU$218+1)-INDEX($E$185:$M$185,0,AU$218))+AT226)))</f>
        <v>6.9301888327392636</v>
      </c>
      <c r="AV226" s="5"/>
      <c r="AY226" s="5"/>
      <c r="AZ226" s="5"/>
      <c r="BJ226" s="5"/>
      <c r="BK226" s="46"/>
    </row>
    <row r="227" spans="5:70">
      <c r="E227" t="s">
        <v>16</v>
      </c>
      <c r="J227"/>
      <c r="U227" s="32"/>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2"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7"/>
      <c r="P231" s="67"/>
      <c r="Q231" s="67"/>
      <c r="R231" s="67"/>
      <c r="S231" s="67"/>
      <c r="T231" s="67"/>
      <c r="U231" s="67">
        <f t="shared" ref="U231:BK231" si="536">IF(ISNA(U228),-1,IF(ISNA(U230),99,IF(ISNA(U229),U228,0)))</f>
        <v>-1</v>
      </c>
      <c r="V231" s="67">
        <f t="shared" si="536"/>
        <v>0</v>
      </c>
      <c r="W231" s="67">
        <f t="shared" si="536"/>
        <v>3</v>
      </c>
      <c r="X231" s="67">
        <f t="shared" si="536"/>
        <v>3</v>
      </c>
      <c r="Y231" s="67">
        <f t="shared" si="536"/>
        <v>0</v>
      </c>
      <c r="Z231" s="67">
        <f t="shared" si="536"/>
        <v>4</v>
      </c>
      <c r="AA231" s="67">
        <f t="shared" si="536"/>
        <v>4</v>
      </c>
      <c r="AB231" s="67">
        <f t="shared" ref="AB231:AC231" si="537">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ref="AM231:AN231" si="538">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ref="AU231" si="539">IF(ISNA(AU228),-1,IF(ISNA(AU230),99,IF(ISNA(AU229),AU228,0)))</f>
        <v>99</v>
      </c>
      <c r="AV231" s="67">
        <f t="shared" si="536"/>
        <v>99</v>
      </c>
      <c r="AW231" s="67">
        <f t="shared" ref="AW231" si="540">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70">
      <c r="E232" t="s">
        <v>16</v>
      </c>
      <c r="G232" s="12"/>
      <c r="H232" s="12"/>
      <c r="I232" s="12"/>
      <c r="J232" s="12"/>
      <c r="K232" s="12"/>
      <c r="L232" s="12" t="s">
        <v>418</v>
      </c>
      <c r="M232" s="12"/>
      <c r="N232" s="14"/>
      <c r="O232" s="14"/>
      <c r="P232" s="14"/>
      <c r="Q232" s="14"/>
      <c r="R232" s="14"/>
      <c r="S232" s="14"/>
      <c r="T232" s="14"/>
      <c r="U232" s="14">
        <v>2017</v>
      </c>
      <c r="V232" s="14">
        <f t="shared" ref="V232:BH232" si="541">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70">
      <c r="E233" t="s">
        <v>16</v>
      </c>
      <c r="F233" s="16" t="str">
        <f t="shared" ref="F233:F238" si="542">IF(E233="*","","COM_PROJ")</f>
        <v/>
      </c>
      <c r="G233" s="17" t="str">
        <f t="shared" ref="G233:G238" si="543">IF($E233="*","","-")</f>
        <v/>
      </c>
      <c r="I233" s="17" t="str">
        <f t="shared" ref="I233:L238" si="544">IF($E233="*","","-")</f>
        <v/>
      </c>
      <c r="J233" s="17"/>
      <c r="K233" s="17" t="str">
        <f t="shared" si="544"/>
        <v/>
      </c>
      <c r="L233" s="17" t="str">
        <f t="shared" si="544"/>
        <v/>
      </c>
      <c r="M233" s="44" t="str">
        <f t="shared" ref="M233:M240" si="545">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114.7559537292338</v>
      </c>
      <c r="W233" s="5" cm="1">
        <f t="array" ref="W233">IF(X$231=-1,X233,IF(X$231=99,V233,IF(X$231=0,INDEX($E161:$M161,0,X$229),(INDEX($E161:$M161,0,X$231+1)-INDEX($E161:$M161,0,X$231))/(INDEX($E$160:$M$160,0,X$231+1)-INDEX($E$160:$M$160,0,X$231))+V233)))</f>
        <v>119.88021814730449</v>
      </c>
      <c r="X233" s="5" cm="1">
        <f t="array" ref="X233">IF(Y$231=-1,Y233,IF(Y$231=99,W233,IF(Y$231=0,INDEX($E161:$M161,0,Y$229),(INDEX($E161:$M161,0,Y$231+1)-INDEX($E161:$M161,0,Y$231))/(INDEX($E$160:$M$160,0,Y$231+1)-INDEX($E$160:$M$160,0,Y$231))+W233)))</f>
        <v>114.7559537292338</v>
      </c>
      <c r="Y233" s="5" cm="1">
        <f t="array" ref="Y233">IF(Z$231=-1,Z233,IF(Z$231=99,X233,IF(Z$231=0,INDEX($E161:$M161,0,Z$229),(INDEX($E161:$M161,0,Z$231+1)-INDEX($E161:$M161,0,Z$231))/(INDEX($E$160:$M$160,0,Z$231+1)-INDEX($E$160:$M$160,0,Z$231))+X233)))</f>
        <v>117.72310007373461</v>
      </c>
      <c r="Z233" s="5" cm="1">
        <f t="array" ref="Z233">IF(AA$231=-1,AA233,IF(AA$231=99,Y233,IF(AA$231=0,INDEX($E161:$M161,0,AA$229),(INDEX($E161:$M161,0,AA$231+1)-INDEX($E161:$M161,0,AA$231))/(INDEX($E$160:$M$160,0,AA$231+1)-INDEX($E$160:$M$160,0,AA$231))+Y233)))</f>
        <v>120.69024641823543</v>
      </c>
      <c r="AA233" s="5" cm="1">
        <f t="array" ref="AA233">IF(AD$231=-1,AD233,IF(AD$231=99,Z233,IF(AD$231=0,INDEX($E161:$M161,0,AD$229),(INDEX($E161:$M161,0,AD$231+1)-INDEX($E161:$M161,0,AD$231))/(INDEX($E$160:$M$160,0,AD$231+1)-INDEX($E$160:$M$160,0,AD$231))+Z233)))</f>
        <v>123.65739276273625</v>
      </c>
      <c r="AB233" s="5" cm="1">
        <f t="array" ref="AB233">IF(AD$231=-1,AD233,IF(AD$231=99,Z233,IF(AD$231=0,INDEX($E161:$M161,0,AD$229),(INDEX($E161:$M161,0,AD$231+1)-INDEX($E161:$M161,0,AD$231))/(INDEX($E$160:$M$160,0,AD$231+1)-INDEX($E$160:$M$160,0,AD$231))+Z233)))</f>
        <v>123.65739276273625</v>
      </c>
      <c r="AC233" s="5" cm="1">
        <f t="array" ref="AC233">IF(AD$231=-1,AD233,IF(AD$231=99,Z233,IF(AD$231=0,INDEX($E161:$M161,0,AD$229),(INDEX($E161:$M161,0,AD$231+1)-INDEX($E161:$M161,0,AD$231))/(INDEX($E$160:$M$160,0,AD$231+1)-INDEX($E$160:$M$160,0,AD$231))+Z233)))</f>
        <v>123.65739276273625</v>
      </c>
      <c r="AD233" s="5" cm="1">
        <f t="array" ref="AD233">IF(AE$231=-1,AE233,IF(AE$231=99,AA233,IF(AE$231=0,INDEX($E161:$M161,0,AE$229),(INDEX($E161:$M161,0,AE$231+1)-INDEX($E161:$M161,0,AE$231))/(INDEX($E$160:$M$160,0,AE$231+1)-INDEX($E$160:$M$160,0,AE$231))+AA233)))</f>
        <v>126.62453910723707</v>
      </c>
      <c r="AE233" s="5" cm="1">
        <f t="array" ref="AE233">IF(AF$231=-1,AF233,IF(AF$231=99,AD233,IF(AF$231=0,INDEX($E161:$M161,0,AF$229),(INDEX($E161:$M161,0,AF$231+1)-INDEX($E161:$M161,0,AF$231))/(INDEX($E$160:$M$160,0,AF$231+1)-INDEX($E$160:$M$160,0,AF$231))+AD233)))</f>
        <v>129.59168545173787</v>
      </c>
      <c r="AF233" s="5" cm="1">
        <f t="array" ref="AF233">IF(AG$231=-1,AG233,IF(AG$231=99,AE233,IF(AG$231=0,INDEX($E161:$M161,0,AG$229),(INDEX($E161:$M161,0,AG$231+1)-INDEX($E161:$M161,0,AG$231))/(INDEX($E$160:$M$160,0,AG$231+1)-INDEX($E$160:$M$160,0,AG$231))+AE233)))</f>
        <v>132.55883179623868</v>
      </c>
      <c r="AG233" s="5" cm="1">
        <f t="array" ref="AG233">IF(AH$231=-1,AH233,IF(AH$231=99,AF233,IF(AH$231=0,INDEX($E161:$M161,0,AH$229),(INDEX($E161:$M161,0,AH$231+1)-INDEX($E161:$M161,0,AH$231))/(INDEX($E$160:$M$160,0,AH$231+1)-INDEX($E$160:$M$160,0,AH$231))+AF233)))</f>
        <v>135.52597814073948</v>
      </c>
      <c r="AH233" s="5" cm="1">
        <f t="array" ref="AH233">IF(AI$231=-1,AI233,IF(AI$231=99,AG233,IF(AI$231=0,INDEX($E161:$M161,0,AI$229),(INDEX($E161:$M161,0,AI$231+1)-INDEX($E161:$M161,0,AI$231))/(INDEX($E$160:$M$160,0,AI$231+1)-INDEX($E$160:$M$160,0,AI$231))+AG233)))</f>
        <v>138.49312448524029</v>
      </c>
      <c r="AI233" s="5" cm="1">
        <f t="array" ref="AI233">IF(AJ$231=-1,AJ233,IF(AJ$231=99,AH233,IF(AJ$231=0,INDEX($E161:$M161,0,AJ$229),(INDEX($E161:$M161,0,AJ$231+1)-INDEX($E161:$M161,0,AJ$231))/(INDEX($E$160:$M$160,0,AJ$231+1)-INDEX($E$160:$M$160,0,AJ$231))+AH233)))</f>
        <v>141.46027082974109</v>
      </c>
      <c r="AJ233" s="5" cm="1">
        <f t="array" ref="AJ233">IF(AK$231=-1,AK233,IF(AK$231=99,AI233,IF(AK$231=0,INDEX($E161:$M161,0,AK$229),(INDEX($E161:$M161,0,AK$231+1)-INDEX($E161:$M161,0,AK$231))/(INDEX($E$160:$M$160,0,AK$231+1)-INDEX($E$160:$M$160,0,AK$231))+AI233)))</f>
        <v>141.46027082974115</v>
      </c>
      <c r="AK233" s="5" cm="1">
        <f t="array" ref="AK233">IF(AL$231=-1,AL233,IF(AL$231=99,AJ233,IF(AL$231=0,INDEX($E161:$M161,0,AL$229),(INDEX($E161:$M161,0,AL$231+1)-INDEX($E161:$M161,0,AL$231))/(INDEX($E$160:$M$160,0,AL$231+1)-INDEX($E$160:$M$160,0,AL$231))+AJ233)))</f>
        <v>141.46027082974115</v>
      </c>
      <c r="AL233" s="5" cm="1">
        <f t="array" ref="AL233">IF(AO$231=-1,AO233,IF(AO$231=99,AK233,IF(AO$231=0,INDEX($E161:$M161,0,AO$229),(INDEX($E161:$M161,0,AO$231+1)-INDEX($E161:$M161,0,AO$231))/(INDEX($E$160:$M$160,0,AO$231+1)-INDEX($E$160:$M$160,0,AO$231))+AK233)))</f>
        <v>141.46027082974115</v>
      </c>
      <c r="AM233" s="5" cm="1">
        <f t="array" ref="AM233">IF(AO$231=-1,AO233,IF(AO$231=99,AK233,IF(AO$231=0,INDEX($E161:$M161,0,AO$229),(INDEX($E161:$M161,0,AO$231+1)-INDEX($E161:$M161,0,AO$231))/(INDEX($E$160:$M$160,0,AO$231+1)-INDEX($E$160:$M$160,0,AO$231))+AK233)))</f>
        <v>141.46027082974115</v>
      </c>
      <c r="AN233" s="5" cm="1">
        <f t="array" ref="AN233">IF(AO$231=-1,AO233,IF(AO$231=99,AK233,IF(AO$231=0,INDEX($E161:$M161,0,AO$229),(INDEX($E161:$M161,0,AO$231+1)-INDEX($E161:$M161,0,AO$231))/(INDEX($E$160:$M$160,0,AO$231+1)-INDEX($E$160:$M$160,0,AO$231))+AK233)))</f>
        <v>141.46027082974115</v>
      </c>
      <c r="AO233" s="5" cm="1">
        <f t="array" ref="AO233">IF(AP$231=-1,AP233,IF(AP$231=99,AL233,IF(AP$231=0,INDEX($E161:$M161,0,AP$229),(INDEX($E161:$M161,0,AP$231+1)-INDEX($E161:$M161,0,AP$231))/(INDEX($E$160:$M$160,0,AP$231+1)-INDEX($E$160:$M$160,0,AP$231))+AL233)))</f>
        <v>141.46027082974115</v>
      </c>
      <c r="AP233" s="5" cm="1">
        <f t="array" ref="AP233">IF(AQ$231=-1,AQ233,IF(AQ$231=99,AO233,IF(AQ$231=0,INDEX($E161:$M161,0,AQ$229),(INDEX($E161:$M161,0,AQ$231+1)-INDEX($E161:$M161,0,AQ$231))/(INDEX($E$160:$M$160,0,AQ$231+1)-INDEX($E$160:$M$160,0,AQ$231))+AO233)))</f>
        <v>141.46027082974115</v>
      </c>
      <c r="AQ233" s="5" cm="1">
        <f t="array" ref="AQ233">IF(AR$231=-1,AR233,IF(AR$231=99,AP233,IF(AR$231=0,INDEX($E161:$M161,0,AR$229),(INDEX($E161:$M161,0,AR$231+1)-INDEX($E161:$M161,0,AR$231))/(INDEX($E$160:$M$160,0,AR$231+1)-INDEX($E$160:$M$160,0,AR$231))+AP233)))</f>
        <v>141.46027082974115</v>
      </c>
      <c r="AR233" s="5" cm="1">
        <f t="array" ref="AR233">IF(AS$231=-1,AS233,IF(AS$231=99,AQ233,IF(AS$231=0,INDEX($E161:$M161,0,AS$229),(INDEX($E161:$M161,0,AS$231+1)-INDEX($E161:$M161,0,AS$231))/(INDEX($E$160:$M$160,0,AS$231+1)-INDEX($E$160:$M$160,0,AS$231))+AQ233)))</f>
        <v>141.46027082974115</v>
      </c>
      <c r="AS233" s="5" cm="1">
        <f t="array" ref="AS233">IF(AT$231=-1,AT233,IF(AT$231=99,AR233,IF(AT$231=0,INDEX($E161:$M161,0,AT$229),(INDEX($E161:$M161,0,AT$231+1)-INDEX($E161:$M161,0,AT$231))/(INDEX($E$160:$M$160,0,AT$231+1)-INDEX($E$160:$M$160,0,AT$231))+AR233)))</f>
        <v>141.46027082974115</v>
      </c>
      <c r="AT233" s="5" cm="1">
        <f t="array" ref="AT233">IF(AV$231=-1,AV233,IF(AV$231=99,AS233,IF(AV$231=0,INDEX($E161:$M161,0,AV$229),(INDEX($E161:$M161,0,AV$231+1)-INDEX($E161:$M161,0,AV$231))/(INDEX($E$160:$M$160,0,AV$231+1)-INDEX($E$160:$M$160,0,AV$231))+AS233)))</f>
        <v>141.46027082974115</v>
      </c>
      <c r="AU233" s="5" cm="1">
        <f t="array" ref="AU233">IF(AW$231=-1,AW233,IF(AW$231=99,AS233,IF(AW$231=0,INDEX($E161:$M161,0,AW$229),(INDEX($E161:$M161,0,AW$231+1)-INDEX($E161:$M161,0,AW$231))/(INDEX($E$160:$M$160,0,AW$231+1)-INDEX($E$160:$M$160,0,AW$231))+AS233)))</f>
        <v>141.46027082974115</v>
      </c>
      <c r="AV233" s="5" cm="1">
        <f t="array" ref="AV233">IF(AX$231=-1,AX233,IF(AX$231=99,AT233,IF(AX$231=0,INDEX($E161:$M161,0,AX$229),(INDEX($E161:$M161,0,AX$231+1)-INDEX($E161:$M161,0,AX$231))/(INDEX($E$160:$M$160,0,AX$231+1)-INDEX($E$160:$M$160,0,AX$231))+AT233)))</f>
        <v>141.46027082974115</v>
      </c>
      <c r="AW233" s="5" cm="1">
        <f t="array" ref="AW233">IF(AY$231=-1,AY233,IF(AY$231=99,AV233,IF(AY$231=0,INDEX($E161:$M161,0,AY$229),(INDEX($E161:$M161,0,AY$231+1)-INDEX($E161:$M161,0,AY$231))/(INDEX($E$160:$M$160,0,AY$231+1)-INDEX($E$160:$M$160,0,AY$231))+AV233)))</f>
        <v>141.46027082974115</v>
      </c>
      <c r="AX233" s="5" cm="1">
        <f t="array" ref="AX233">IF(AY$231=-1,AY233,IF(AY$231=99,AV233,IF(AY$231=0,INDEX($E161:$M161,0,AY$229),(INDEX($E161:$M161,0,AY$231+1)-INDEX($E161:$M161,0,AY$231))/(INDEX($E$160:$M$160,0,AY$231+1)-INDEX($E$160:$M$160,0,AY$231))+AV233)))</f>
        <v>141.46027082974115</v>
      </c>
      <c r="AY233" s="5" cm="1">
        <f t="array" ref="AY233">IF(AZ$231=-1,AZ233,IF(AZ$231=99,AX233,IF(AZ$231=0,INDEX($E161:$M161,0,AZ$229),(INDEX($E161:$M161,0,AZ$231+1)-INDEX($E161:$M161,0,AZ$231))/(INDEX($E$160:$M$160,0,AZ$231+1)-INDEX($E$160:$M$160,0,AZ$231))+AX233)))</f>
        <v>141.46027082974115</v>
      </c>
      <c r="AZ233" s="5" cm="1">
        <f t="array" ref="AZ233">IF(BA$231=-1,BA233,IF(BA$231=99,AY233,IF(BA$231=0,INDEX($E161:$M161,0,BA$229),(INDEX($E161:$M161,0,BA$231+1)-INDEX($E161:$M161,0,BA$231))/(INDEX($E$160:$M$160,0,BA$231+1)-INDEX($E$160:$M$160,0,BA$231))+AY233)))</f>
        <v>141.46027082974115</v>
      </c>
      <c r="BA233" s="5" cm="1">
        <f t="array" ref="BA233">IF(BB$231=-1,BB233,IF(BB$231=99,AZ233,IF(BB$231=0,INDEX($E161:$M161,0,BB$229),(INDEX($E161:$M161,0,BB$231+1)-INDEX($E161:$M161,0,BB$231))/(INDEX($E$160:$M$160,0,BB$231+1)-INDEX($E$160:$M$160,0,BB$231))+AZ233)))</f>
        <v>141.46027082974115</v>
      </c>
      <c r="BB233" s="5" cm="1">
        <f t="array" ref="BB233">IF(BC$231=-1,BC233,IF(BC$231=99,BA233,IF(BC$231=0,INDEX($E161:$M161,0,BC$229),(INDEX($E161:$M161,0,BC$231+1)-INDEX($E161:$M161,0,BC$231))/(INDEX($E$160:$M$160,0,BC$231+1)-INDEX($E$160:$M$160,0,BC$231))+BA233)))</f>
        <v>141.46027082974115</v>
      </c>
      <c r="BC233" s="5" cm="1">
        <f t="array" ref="BC233">IF(BD$231=-1,BD233,IF(BD$231=99,BB233,IF(BD$231=0,INDEX($E161:$M161,0,BD$229),(INDEX($E161:$M161,0,BD$231+1)-INDEX($E161:$M161,0,BD$231))/(INDEX($E$160:$M$160,0,BD$231+1)-INDEX($E$160:$M$160,0,BD$231))+BB233)))</f>
        <v>141.46027082974115</v>
      </c>
      <c r="BD233" s="5" cm="1">
        <f t="array" ref="BD233">IF(BE$231=-1,BE233,IF(BE$231=99,BC233,IF(BE$231=0,INDEX($E161:$M161,0,BE$229),(INDEX($E161:$M161,0,BE$231+1)-INDEX($E161:$M161,0,BE$231))/(INDEX($E$160:$M$160,0,BE$231+1)-INDEX($E$160:$M$160,0,BE$231))+BC233)))</f>
        <v>141.46027082974115</v>
      </c>
      <c r="BE233" s="5" cm="1">
        <f t="array" ref="BE233">IF(BF$231=-1,BF233,IF(BF$231=99,BD233,IF(BF$231=0,INDEX($E161:$M161,0,BF$229),(INDEX($E161:$M161,0,BF$231+1)-INDEX($E161:$M161,0,BF$231))/(INDEX($E$160:$M$160,0,BF$231+1)-INDEX($E$160:$M$160,0,BF$231))+BD233)))</f>
        <v>141.46027082974115</v>
      </c>
      <c r="BF233" s="5" cm="1">
        <f t="array" ref="BF233">IF(BG$231=-1,BG233,IF(BG$231=99,BE233,IF(BG$231=0,INDEX($E161:$M161,0,BG$229),(INDEX($E161:$M161,0,BG$231+1)-INDEX($E161:$M161,0,BG$231))/(INDEX($E$160:$M$160,0,BG$231+1)-INDEX($E$160:$M$160,0,BG$231))+BE233)))</f>
        <v>141.46027082974115</v>
      </c>
      <c r="BG233" s="5" cm="1">
        <f t="array" ref="BG233">IF(BH$231=-1,BH233,IF(BH$231=99,BF233,IF(BH$231=0,INDEX($E161:$M161,0,BH$229),(INDEX($E161:$M161,0,BH$231+1)-INDEX($E161:$M161,0,BH$231))/(INDEX($E$160:$M$160,0,BH$231+1)-INDEX($E$160:$M$160,0,BH$231))+BF233)))</f>
        <v>141.46027082974115</v>
      </c>
      <c r="BH233" s="5" cm="1">
        <f t="array" ref="BH233">IF(BI$231=-1,BI233,IF(BI$231=99,BG233,IF(BI$231=0,INDEX($E161:$M161,0,BI$229),(INDEX($E161:$M161,0,BI$231+1)-INDEX($E161:$M161,0,BI$231))/(INDEX($E$160:$M$160,0,BI$231+1)-INDEX($E$160:$M$160,0,BI$231))+BG233)))</f>
        <v>141.46027082974115</v>
      </c>
      <c r="BI233" s="5" cm="1">
        <f t="array" ref="BI233">IF(BJ$231=-1,BJ233,IF(BJ$231=99,BH233,IF(BJ$231=0,INDEX($E161:$M161,0,BJ$229),(INDEX($E161:$M161,0,BJ$231+1)-INDEX($E161:$M161,0,BJ$231))/(INDEX($E$160:$M$160,0,BJ$231+1)-INDEX($E$160:$M$160,0,BJ$231))+BH233)))</f>
        <v>141.46027082974115</v>
      </c>
      <c r="BJ233" s="5" cm="1">
        <f t="array" ref="BJ233">IF(BK$231=-1,BL233,IF(BK$231=99,BI233,IF(BK$231=0,INDEX($E161:$M161,0,BK$229),(INDEX($E161:$M161,0,BK$231+1)-INDEX($E161:$M161,0,BK$231))/(INDEX($E$160:$M$160,0,BK$231+1)-INDEX($E$160:$M$160,0,BK$231))+BI233)))</f>
        <v>141.46027082974115</v>
      </c>
      <c r="BL233" s="5"/>
      <c r="BM233" s="5"/>
      <c r="BN233" s="5"/>
      <c r="BO233" s="5"/>
      <c r="BP233" s="5"/>
      <c r="BQ233" s="5"/>
    </row>
    <row r="234" spans="5:70">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24.385640167462185</v>
      </c>
      <c r="W234" s="5" cm="1">
        <f t="array" ref="W234">IF(X$231=-1,X234,IF(X$231=99,V234,IF(X$231=0,INDEX($E162:$M162,0,X$229),(INDEX($E162:$M162,0,X$231+1)-INDEX($E162:$M162,0,X$231))/(INDEX($E$160:$M$160,0,X$231+1)-INDEX($E$160:$M$160,0,X$231))+V234)))</f>
        <v>25.474546356302209</v>
      </c>
      <c r="X234" s="5" cm="1">
        <f t="array" ref="X234">IF(Y$231=-1,Y234,IF(Y$231=99,W234,IF(Y$231=0,INDEX($E162:$M162,0,Y$229),(INDEX($E162:$M162,0,Y$231+1)-INDEX($E162:$M162,0,Y$231))/(INDEX($E$160:$M$160,0,Y$231+1)-INDEX($E$160:$M$160,0,Y$231))+W234)))</f>
        <v>24.385640167462185</v>
      </c>
      <c r="Y234" s="5" cm="1">
        <f t="array" ref="Y234">IF(Z$231=-1,Z234,IF(Z$231=99,X234,IF(Z$231=0,INDEX($E162:$M162,0,Z$229),(INDEX($E162:$M162,0,Z$231+1)-INDEX($E162:$M162,0,Z$231))/(INDEX($E$160:$M$160,0,Z$231+1)-INDEX($E$160:$M$160,0,Z$231))+X234)))</f>
        <v>25.01615876566861</v>
      </c>
      <c r="Z234" s="5" cm="1">
        <f t="array" ref="Z234">IF(AA$231=-1,AA234,IF(AA$231=99,Y234,IF(AA$231=0,INDEX($E162:$M162,0,AA$229),(INDEX($E162:$M162,0,AA$231+1)-INDEX($E162:$M162,0,AA$231))/(INDEX($E$160:$M$160,0,AA$231+1)-INDEX($E$160:$M$160,0,AA$231))+Y234)))</f>
        <v>25.646677363875035</v>
      </c>
      <c r="AA234" s="5" cm="1">
        <f t="array" ref="AA234">IF(AD$231=-1,AD234,IF(AD$231=99,Z234,IF(AD$231=0,INDEX($E162:$M162,0,AD$229),(INDEX($E162:$M162,0,AD$231+1)-INDEX($E162:$M162,0,AD$231))/(INDEX($E$160:$M$160,0,AD$231+1)-INDEX($E$160:$M$160,0,AD$231))+Z234)))</f>
        <v>26.277195962081461</v>
      </c>
      <c r="AB234" s="5" cm="1">
        <f t="array" ref="AB234">IF(AD$231=-1,AD234,IF(AD$231=99,Z234,IF(AD$231=0,INDEX($E162:$M162,0,AD$229),(INDEX($E162:$M162,0,AD$231+1)-INDEX($E162:$M162,0,AD$231))/(INDEX($E$160:$M$160,0,AD$231+1)-INDEX($E$160:$M$160,0,AD$231))+Z234)))</f>
        <v>26.277195962081461</v>
      </c>
      <c r="AC234" s="5" cm="1">
        <f t="array" ref="AC234">IF(AD$231=-1,AD234,IF(AD$231=99,Z234,IF(AD$231=0,INDEX($E162:$M162,0,AD$229),(INDEX($E162:$M162,0,AD$231+1)-INDEX($E162:$M162,0,AD$231))/(INDEX($E$160:$M$160,0,AD$231+1)-INDEX($E$160:$M$160,0,AD$231))+Z234)))</f>
        <v>26.277195962081461</v>
      </c>
      <c r="AD234" s="5" cm="1">
        <f t="array" ref="AD234">IF(AE$231=-1,AE234,IF(AE$231=99,AA234,IF(AE$231=0,INDEX($E162:$M162,0,AE$229),(INDEX($E162:$M162,0,AE$231+1)-INDEX($E162:$M162,0,AE$231))/(INDEX($E$160:$M$160,0,AE$231+1)-INDEX($E$160:$M$160,0,AE$231))+AA234)))</f>
        <v>26.907714560287886</v>
      </c>
      <c r="AE234" s="5" cm="1">
        <f t="array" ref="AE234">IF(AF$231=-1,AF234,IF(AF$231=99,AD234,IF(AF$231=0,INDEX($E162:$M162,0,AF$229),(INDEX($E162:$M162,0,AF$231+1)-INDEX($E162:$M162,0,AF$231))/(INDEX($E$160:$M$160,0,AF$231+1)-INDEX($E$160:$M$160,0,AF$231))+AD234)))</f>
        <v>27.538233158494311</v>
      </c>
      <c r="AF234" s="5" cm="1">
        <f t="array" ref="AF234">IF(AG$231=-1,AG234,IF(AG$231=99,AE234,IF(AG$231=0,INDEX($E162:$M162,0,AG$229),(INDEX($E162:$M162,0,AG$231+1)-INDEX($E162:$M162,0,AG$231))/(INDEX($E$160:$M$160,0,AG$231+1)-INDEX($E$160:$M$160,0,AG$231))+AE234)))</f>
        <v>28.168751756700736</v>
      </c>
      <c r="AG234" s="5" cm="1">
        <f t="array" ref="AG234">IF(AH$231=-1,AH234,IF(AH$231=99,AF234,IF(AH$231=0,INDEX($E162:$M162,0,AH$229),(INDEX($E162:$M162,0,AH$231+1)-INDEX($E162:$M162,0,AH$231))/(INDEX($E$160:$M$160,0,AH$231+1)-INDEX($E$160:$M$160,0,AH$231))+AF234)))</f>
        <v>28.799270354907161</v>
      </c>
      <c r="AH234" s="5" cm="1">
        <f t="array" ref="AH234">IF(AI$231=-1,AI234,IF(AI$231=99,AG234,IF(AI$231=0,INDEX($E162:$M162,0,AI$229),(INDEX($E162:$M162,0,AI$231+1)-INDEX($E162:$M162,0,AI$231))/(INDEX($E$160:$M$160,0,AI$231+1)-INDEX($E$160:$M$160,0,AI$231))+AG234)))</f>
        <v>29.429788953113587</v>
      </c>
      <c r="AI234" s="5" cm="1">
        <f t="array" ref="AI234">IF(AJ$231=-1,AJ234,IF(AJ$231=99,AH234,IF(AJ$231=0,INDEX($E162:$M162,0,AJ$229),(INDEX($E162:$M162,0,AJ$231+1)-INDEX($E162:$M162,0,AJ$231))/(INDEX($E$160:$M$160,0,AJ$231+1)-INDEX($E$160:$M$160,0,AJ$231))+AH234)))</f>
        <v>30.060307551320012</v>
      </c>
      <c r="AJ234" s="5" cm="1">
        <f t="array" ref="AJ234">IF(AK$231=-1,AK234,IF(AK$231=99,AI234,IF(AK$231=0,INDEX($E162:$M162,0,AK$229),(INDEX($E162:$M162,0,AK$231+1)-INDEX($E162:$M162,0,AK$231))/(INDEX($E$160:$M$160,0,AK$231+1)-INDEX($E$160:$M$160,0,AK$231))+AI234)))</f>
        <v>30.060307551320001</v>
      </c>
      <c r="AK234" s="5" cm="1">
        <f t="array" ref="AK234">IF(AL$231=-1,AL234,IF(AL$231=99,AJ234,IF(AL$231=0,INDEX($E162:$M162,0,AL$229),(INDEX($E162:$M162,0,AL$231+1)-INDEX($E162:$M162,0,AL$231))/(INDEX($E$160:$M$160,0,AL$231+1)-INDEX($E$160:$M$160,0,AL$231))+AJ234)))</f>
        <v>30.060307551320001</v>
      </c>
      <c r="AL234" s="5" cm="1">
        <f t="array" ref="AL234">IF(AO$231=-1,AO234,IF(AO$231=99,AK234,IF(AO$231=0,INDEX($E162:$M162,0,AO$229),(INDEX($E162:$M162,0,AO$231+1)-INDEX($E162:$M162,0,AO$231))/(INDEX($E$160:$M$160,0,AO$231+1)-INDEX($E$160:$M$160,0,AO$231))+AK234)))</f>
        <v>30.060307551320001</v>
      </c>
      <c r="AM234" s="5" cm="1">
        <f t="array" ref="AM234">IF(AO$231=-1,AO234,IF(AO$231=99,AK234,IF(AO$231=0,INDEX($E162:$M162,0,AO$229),(INDEX($E162:$M162,0,AO$231+1)-INDEX($E162:$M162,0,AO$231))/(INDEX($E$160:$M$160,0,AO$231+1)-INDEX($E$160:$M$160,0,AO$231))+AK234)))</f>
        <v>30.060307551320001</v>
      </c>
      <c r="AN234" s="5" cm="1">
        <f t="array" ref="AN234">IF(AO$231=-1,AO234,IF(AO$231=99,AK234,IF(AO$231=0,INDEX($E162:$M162,0,AO$229),(INDEX($E162:$M162,0,AO$231+1)-INDEX($E162:$M162,0,AO$231))/(INDEX($E$160:$M$160,0,AO$231+1)-INDEX($E$160:$M$160,0,AO$231))+AK234)))</f>
        <v>30.060307551320001</v>
      </c>
      <c r="AO234" s="5" cm="1">
        <f t="array" ref="AO234">IF(AP$231=-1,AP234,IF(AP$231=99,AL234,IF(AP$231=0,INDEX($E162:$M162,0,AP$229),(INDEX($E162:$M162,0,AP$231+1)-INDEX($E162:$M162,0,AP$231))/(INDEX($E$160:$M$160,0,AP$231+1)-INDEX($E$160:$M$160,0,AP$231))+AL234)))</f>
        <v>30.060307551320001</v>
      </c>
      <c r="AP234" s="5" cm="1">
        <f t="array" ref="AP234">IF(AQ$231=-1,AQ234,IF(AQ$231=99,AO234,IF(AQ$231=0,INDEX($E162:$M162,0,AQ$229),(INDEX($E162:$M162,0,AQ$231+1)-INDEX($E162:$M162,0,AQ$231))/(INDEX($E$160:$M$160,0,AQ$231+1)-INDEX($E$160:$M$160,0,AQ$231))+AO234)))</f>
        <v>30.060307551320001</v>
      </c>
      <c r="AQ234" s="5" cm="1">
        <f t="array" ref="AQ234">IF(AR$231=-1,AR234,IF(AR$231=99,AP234,IF(AR$231=0,INDEX($E162:$M162,0,AR$229),(INDEX($E162:$M162,0,AR$231+1)-INDEX($E162:$M162,0,AR$231))/(INDEX($E$160:$M$160,0,AR$231+1)-INDEX($E$160:$M$160,0,AR$231))+AP234)))</f>
        <v>30.060307551320001</v>
      </c>
      <c r="AR234" s="5" cm="1">
        <f t="array" ref="AR234">IF(AS$231=-1,AS234,IF(AS$231=99,AQ234,IF(AS$231=0,INDEX($E162:$M162,0,AS$229),(INDEX($E162:$M162,0,AS$231+1)-INDEX($E162:$M162,0,AS$231))/(INDEX($E$160:$M$160,0,AS$231+1)-INDEX($E$160:$M$160,0,AS$231))+AQ234)))</f>
        <v>30.060307551320001</v>
      </c>
      <c r="AS234" s="5" cm="1">
        <f t="array" ref="AS234">IF(AT$231=-1,AT234,IF(AT$231=99,AR234,IF(AT$231=0,INDEX($E162:$M162,0,AT$229),(INDEX($E162:$M162,0,AT$231+1)-INDEX($E162:$M162,0,AT$231))/(INDEX($E$160:$M$160,0,AT$231+1)-INDEX($E$160:$M$160,0,AT$231))+AR234)))</f>
        <v>30.060307551320001</v>
      </c>
      <c r="AT234" s="5" cm="1">
        <f t="array" ref="AT234">IF(AV$231=-1,AV234,IF(AV$231=99,AS234,IF(AV$231=0,INDEX($E162:$M162,0,AV$229),(INDEX($E162:$M162,0,AV$231+1)-INDEX($E162:$M162,0,AV$231))/(INDEX($E$160:$M$160,0,AV$231+1)-INDEX($E$160:$M$160,0,AV$231))+AS234)))</f>
        <v>30.060307551320001</v>
      </c>
      <c r="AU234" s="5" cm="1">
        <f t="array" ref="AU234">IF(AW$231=-1,AW234,IF(AW$231=99,AS234,IF(AW$231=0,INDEX($E162:$M162,0,AW$229),(INDEX($E162:$M162,0,AW$231+1)-INDEX($E162:$M162,0,AW$231))/(INDEX($E$160:$M$160,0,AW$231+1)-INDEX($E$160:$M$160,0,AW$231))+AS234)))</f>
        <v>30.060307551320001</v>
      </c>
      <c r="AV234" s="5" cm="1">
        <f t="array" ref="AV234">IF(AX$231=-1,AX234,IF(AX$231=99,AT234,IF(AX$231=0,INDEX($E162:$M162,0,AX$229),(INDEX($E162:$M162,0,AX$231+1)-INDEX($E162:$M162,0,AX$231))/(INDEX($E$160:$M$160,0,AX$231+1)-INDEX($E$160:$M$160,0,AX$231))+AT234)))</f>
        <v>30.060307551320001</v>
      </c>
      <c r="AW234" s="5" cm="1">
        <f t="array" ref="AW234">IF(AY$231=-1,AY234,IF(AY$231=99,AV234,IF(AY$231=0,INDEX($E162:$M162,0,AY$229),(INDEX($E162:$M162,0,AY$231+1)-INDEX($E162:$M162,0,AY$231))/(INDEX($E$160:$M$160,0,AY$231+1)-INDEX($E$160:$M$160,0,AY$231))+AV234)))</f>
        <v>30.060307551320001</v>
      </c>
      <c r="AX234" s="5" cm="1">
        <f t="array" ref="AX234">IF(AY$231=-1,AY234,IF(AY$231=99,AV234,IF(AY$231=0,INDEX($E162:$M162,0,AY$229),(INDEX($E162:$M162,0,AY$231+1)-INDEX($E162:$M162,0,AY$231))/(INDEX($E$160:$M$160,0,AY$231+1)-INDEX($E$160:$M$160,0,AY$231))+AV234)))</f>
        <v>30.060307551320001</v>
      </c>
      <c r="AY234" s="5" cm="1">
        <f t="array" ref="AY234">IF(AZ$231=-1,AZ234,IF(AZ$231=99,AX234,IF(AZ$231=0,INDEX($E162:$M162,0,AZ$229),(INDEX($E162:$M162,0,AZ$231+1)-INDEX($E162:$M162,0,AZ$231))/(INDEX($E$160:$M$160,0,AZ$231+1)-INDEX($E$160:$M$160,0,AZ$231))+AX234)))</f>
        <v>30.060307551320001</v>
      </c>
      <c r="AZ234" s="5" cm="1">
        <f t="array" ref="AZ234">IF(BA$231=-1,BA234,IF(BA$231=99,AY234,IF(BA$231=0,INDEX($E162:$M162,0,BA$229),(INDEX($E162:$M162,0,BA$231+1)-INDEX($E162:$M162,0,BA$231))/(INDEX($E$160:$M$160,0,BA$231+1)-INDEX($E$160:$M$160,0,BA$231))+AY234)))</f>
        <v>30.060307551320001</v>
      </c>
      <c r="BA234" s="5" cm="1">
        <f t="array" ref="BA234">IF(BB$231=-1,BB234,IF(BB$231=99,AZ234,IF(BB$231=0,INDEX($E162:$M162,0,BB$229),(INDEX($E162:$M162,0,BB$231+1)-INDEX($E162:$M162,0,BB$231))/(INDEX($E$160:$M$160,0,BB$231+1)-INDEX($E$160:$M$160,0,BB$231))+AZ234)))</f>
        <v>30.060307551320001</v>
      </c>
      <c r="BB234" s="5" cm="1">
        <f t="array" ref="BB234">IF(BC$231=-1,BC234,IF(BC$231=99,BA234,IF(BC$231=0,INDEX($E162:$M162,0,BC$229),(INDEX($E162:$M162,0,BC$231+1)-INDEX($E162:$M162,0,BC$231))/(INDEX($E$160:$M$160,0,BC$231+1)-INDEX($E$160:$M$160,0,BC$231))+BA234)))</f>
        <v>30.060307551320001</v>
      </c>
      <c r="BC234" s="5" cm="1">
        <f t="array" ref="BC234">IF(BD$231=-1,BD234,IF(BD$231=99,BB234,IF(BD$231=0,INDEX($E162:$M162,0,BD$229),(INDEX($E162:$M162,0,BD$231+1)-INDEX($E162:$M162,0,BD$231))/(INDEX($E$160:$M$160,0,BD$231+1)-INDEX($E$160:$M$160,0,BD$231))+BB234)))</f>
        <v>30.060307551320001</v>
      </c>
      <c r="BD234" s="5" cm="1">
        <f t="array" ref="BD234">IF(BE$231=-1,BE234,IF(BE$231=99,BC234,IF(BE$231=0,INDEX($E162:$M162,0,BE$229),(INDEX($E162:$M162,0,BE$231+1)-INDEX($E162:$M162,0,BE$231))/(INDEX($E$160:$M$160,0,BE$231+1)-INDEX($E$160:$M$160,0,BE$231))+BC234)))</f>
        <v>30.060307551320001</v>
      </c>
      <c r="BE234" s="5" cm="1">
        <f t="array" ref="BE234">IF(BF$231=-1,BF234,IF(BF$231=99,BD234,IF(BF$231=0,INDEX($E162:$M162,0,BF$229),(INDEX($E162:$M162,0,BF$231+1)-INDEX($E162:$M162,0,BF$231))/(INDEX($E$160:$M$160,0,BF$231+1)-INDEX($E$160:$M$160,0,BF$231))+BD234)))</f>
        <v>30.060307551320001</v>
      </c>
      <c r="BF234" s="5" cm="1">
        <f t="array" ref="BF234">IF(BG$231=-1,BG234,IF(BG$231=99,BE234,IF(BG$231=0,INDEX($E162:$M162,0,BG$229),(INDEX($E162:$M162,0,BG$231+1)-INDEX($E162:$M162,0,BG$231))/(INDEX($E$160:$M$160,0,BG$231+1)-INDEX($E$160:$M$160,0,BG$231))+BE234)))</f>
        <v>30.060307551320001</v>
      </c>
      <c r="BG234" s="5" cm="1">
        <f t="array" ref="BG234">IF(BH$231=-1,BH234,IF(BH$231=99,BF234,IF(BH$231=0,INDEX($E162:$M162,0,BH$229),(INDEX($E162:$M162,0,BH$231+1)-INDEX($E162:$M162,0,BH$231))/(INDEX($E$160:$M$160,0,BH$231+1)-INDEX($E$160:$M$160,0,BH$231))+BF234)))</f>
        <v>30.060307551320001</v>
      </c>
      <c r="BH234" s="5" cm="1">
        <f t="array" ref="BH234">IF(BI$231=-1,BI234,IF(BI$231=99,BG234,IF(BI$231=0,INDEX($E162:$M162,0,BI$229),(INDEX($E162:$M162,0,BI$231+1)-INDEX($E162:$M162,0,BI$231))/(INDEX($E$160:$M$160,0,BI$231+1)-INDEX($E$160:$M$160,0,BI$231))+BG234)))</f>
        <v>30.060307551320001</v>
      </c>
      <c r="BI234" s="5" cm="1">
        <f t="array" ref="BI234">IF(BJ$231=-1,BJ234,IF(BJ$231=99,BH234,IF(BJ$231=0,INDEX($E162:$M162,0,BJ$229),(INDEX($E162:$M162,0,BJ$231+1)-INDEX($E162:$M162,0,BJ$231))/(INDEX($E$160:$M$160,0,BJ$231+1)-INDEX($E$160:$M$160,0,BJ$231))+BH234)))</f>
        <v>30.060307551320001</v>
      </c>
      <c r="BJ234" s="5" cm="1">
        <f t="array" ref="BJ234">IF(BK$231=-1,BL234,IF(BK$231=99,BI234,IF(BK$231=0,INDEX($E162:$M162,0,BK$229),(INDEX($E162:$M162,0,BK$231+1)-INDEX($E162:$M162,0,BK$231))/(INDEX($E$160:$M$160,0,BK$231+1)-INDEX($E$160:$M$160,0,BK$231))+BI234)))</f>
        <v>30.060307551320001</v>
      </c>
      <c r="BL234" s="5"/>
      <c r="BM234" s="5"/>
      <c r="BN234" s="5"/>
      <c r="BO234" s="5"/>
      <c r="BP234" s="5"/>
      <c r="BQ234" s="5"/>
    </row>
    <row r="235" spans="5:70">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4.3033482648462673</v>
      </c>
      <c r="W235" s="5" cm="1">
        <f t="array" ref="W235">IF(X$231=-1,X235,IF(X$231=99,V235,IF(X$231=0,INDEX($E163:$M163,0,X$229),(INDEX($E163:$M163,0,X$231+1)-INDEX($E163:$M163,0,X$231))/(INDEX($E$160:$M$160,0,X$231+1)-INDEX($E$160:$M$160,0,X$231))+V235)))</f>
        <v>4.4955081805239185</v>
      </c>
      <c r="X235" s="5" cm="1">
        <f t="array" ref="X235">IF(Y$231=-1,Y235,IF(Y$231=99,W235,IF(Y$231=0,INDEX($E163:$M163,0,Y$229),(INDEX($E163:$M163,0,Y$231+1)-INDEX($E163:$M163,0,Y$231))/(INDEX($E$160:$M$160,0,Y$231+1)-INDEX($E$160:$M$160,0,Y$231))+W235)))</f>
        <v>4.3033482648462673</v>
      </c>
      <c r="Y235" s="5" cm="1">
        <f t="array" ref="Y235">IF(Z$231=-1,Z235,IF(Z$231=99,X235,IF(Z$231=0,INDEX($E163:$M163,0,Z$229),(INDEX($E163:$M163,0,Z$231+1)-INDEX($E163:$M163,0,Z$231))/(INDEX($E$160:$M$160,0,Z$231+1)-INDEX($E$160:$M$160,0,Z$231))+X235)))</f>
        <v>4.4146162527650477</v>
      </c>
      <c r="Z235" s="5" cm="1">
        <f t="array" ref="Z235">IF(AA$231=-1,AA235,IF(AA$231=99,Y235,IF(AA$231=0,INDEX($E163:$M163,0,AA$229),(INDEX($E163:$M163,0,AA$231+1)-INDEX($E163:$M163,0,AA$231))/(INDEX($E$160:$M$160,0,AA$231+1)-INDEX($E$160:$M$160,0,AA$231))+Y235)))</f>
        <v>4.525884240683828</v>
      </c>
      <c r="AA235" s="5" cm="1">
        <f t="array" ref="AA235">IF(AD$231=-1,AD235,IF(AD$231=99,Z235,IF(AD$231=0,INDEX($E163:$M163,0,AD$229),(INDEX($E163:$M163,0,AD$231+1)-INDEX($E163:$M163,0,AD$231))/(INDEX($E$160:$M$160,0,AD$231+1)-INDEX($E$160:$M$160,0,AD$231))+Z235)))</f>
        <v>4.6371522286026083</v>
      </c>
      <c r="AB235" s="5" cm="1">
        <f t="array" ref="AB235">IF(AD$231=-1,AD235,IF(AD$231=99,Z235,IF(AD$231=0,INDEX($E163:$M163,0,AD$229),(INDEX($E163:$M163,0,AD$231+1)-INDEX($E163:$M163,0,AD$231))/(INDEX($E$160:$M$160,0,AD$231+1)-INDEX($E$160:$M$160,0,AD$231))+Z235)))</f>
        <v>4.6371522286026083</v>
      </c>
      <c r="AC235" s="5" cm="1">
        <f t="array" ref="AC235">IF(AD$231=-1,AD235,IF(AD$231=99,Z235,IF(AD$231=0,INDEX($E163:$M163,0,AD$229),(INDEX($E163:$M163,0,AD$231+1)-INDEX($E163:$M163,0,AD$231))/(INDEX($E$160:$M$160,0,AD$231+1)-INDEX($E$160:$M$160,0,AD$231))+Z235)))</f>
        <v>4.6371522286026083</v>
      </c>
      <c r="AD235" s="5" cm="1">
        <f t="array" ref="AD235">IF(AE$231=-1,AE235,IF(AE$231=99,AA235,IF(AE$231=0,INDEX($E163:$M163,0,AE$229),(INDEX($E163:$M163,0,AE$231+1)-INDEX($E163:$M163,0,AE$231))/(INDEX($E$160:$M$160,0,AE$231+1)-INDEX($E$160:$M$160,0,AE$231))+AA235)))</f>
        <v>4.7484202165213887</v>
      </c>
      <c r="AE235" s="5" cm="1">
        <f t="array" ref="AE235">IF(AF$231=-1,AF235,IF(AF$231=99,AD235,IF(AF$231=0,INDEX($E163:$M163,0,AF$229),(INDEX($E163:$M163,0,AF$231+1)-INDEX($E163:$M163,0,AF$231))/(INDEX($E$160:$M$160,0,AF$231+1)-INDEX($E$160:$M$160,0,AF$231))+AD235)))</f>
        <v>4.859688204440169</v>
      </c>
      <c r="AF235" s="5" cm="1">
        <f t="array" ref="AF235">IF(AG$231=-1,AG235,IF(AG$231=99,AE235,IF(AG$231=0,INDEX($E163:$M163,0,AG$229),(INDEX($E163:$M163,0,AG$231+1)-INDEX($E163:$M163,0,AG$231))/(INDEX($E$160:$M$160,0,AG$231+1)-INDEX($E$160:$M$160,0,AG$231))+AE235)))</f>
        <v>4.9709561923589494</v>
      </c>
      <c r="AG235" s="5" cm="1">
        <f t="array" ref="AG235">IF(AH$231=-1,AH235,IF(AH$231=99,AF235,IF(AH$231=0,INDEX($E163:$M163,0,AH$229),(INDEX($E163:$M163,0,AH$231+1)-INDEX($E163:$M163,0,AH$231))/(INDEX($E$160:$M$160,0,AH$231+1)-INDEX($E$160:$M$160,0,AH$231))+AF235)))</f>
        <v>5.0822241802777297</v>
      </c>
      <c r="AH235" s="5" cm="1">
        <f t="array" ref="AH235">IF(AI$231=-1,AI235,IF(AI$231=99,AG235,IF(AI$231=0,INDEX($E163:$M163,0,AI$229),(INDEX($E163:$M163,0,AI$231+1)-INDEX($E163:$M163,0,AI$231))/(INDEX($E$160:$M$160,0,AI$231+1)-INDEX($E$160:$M$160,0,AI$231))+AG235)))</f>
        <v>5.1934921681965101</v>
      </c>
      <c r="AI235" s="5" cm="1">
        <f t="array" ref="AI235">IF(AJ$231=-1,AJ235,IF(AJ$231=99,AH235,IF(AJ$231=0,INDEX($E163:$M163,0,AJ$229),(INDEX($E163:$M163,0,AJ$231+1)-INDEX($E163:$M163,0,AJ$231))/(INDEX($E$160:$M$160,0,AJ$231+1)-INDEX($E$160:$M$160,0,AJ$231))+AH235)))</f>
        <v>5.3047601561152904</v>
      </c>
      <c r="AJ235" s="5" cm="1">
        <f t="array" ref="AJ235">IF(AK$231=-1,AK235,IF(AK$231=99,AI235,IF(AK$231=0,INDEX($E163:$M163,0,AK$229),(INDEX($E163:$M163,0,AK$231+1)-INDEX($E163:$M163,0,AK$231))/(INDEX($E$160:$M$160,0,AK$231+1)-INDEX($E$160:$M$160,0,AK$231))+AI235)))</f>
        <v>5.3047601561152939</v>
      </c>
      <c r="AK235" s="5" cm="1">
        <f t="array" ref="AK235">IF(AL$231=-1,AL235,IF(AL$231=99,AJ235,IF(AL$231=0,INDEX($E163:$M163,0,AL$229),(INDEX($E163:$M163,0,AL$231+1)-INDEX($E163:$M163,0,AL$231))/(INDEX($E$160:$M$160,0,AL$231+1)-INDEX($E$160:$M$160,0,AL$231))+AJ235)))</f>
        <v>5.3047601561152939</v>
      </c>
      <c r="AL235" s="5" cm="1">
        <f t="array" ref="AL235">IF(AO$231=-1,AO235,IF(AO$231=99,AK235,IF(AO$231=0,INDEX($E163:$M163,0,AO$229),(INDEX($E163:$M163,0,AO$231+1)-INDEX($E163:$M163,0,AO$231))/(INDEX($E$160:$M$160,0,AO$231+1)-INDEX($E$160:$M$160,0,AO$231))+AK235)))</f>
        <v>5.3047601561152939</v>
      </c>
      <c r="AM235" s="5" cm="1">
        <f t="array" ref="AM235">IF(AO$231=-1,AO235,IF(AO$231=99,AK235,IF(AO$231=0,INDEX($E163:$M163,0,AO$229),(INDEX($E163:$M163,0,AO$231+1)-INDEX($E163:$M163,0,AO$231))/(INDEX($E$160:$M$160,0,AO$231+1)-INDEX($E$160:$M$160,0,AO$231))+AK235)))</f>
        <v>5.3047601561152939</v>
      </c>
      <c r="AN235" s="5" cm="1">
        <f t="array" ref="AN235">IF(AO$231=-1,AO235,IF(AO$231=99,AK235,IF(AO$231=0,INDEX($E163:$M163,0,AO$229),(INDEX($E163:$M163,0,AO$231+1)-INDEX($E163:$M163,0,AO$231))/(INDEX($E$160:$M$160,0,AO$231+1)-INDEX($E$160:$M$160,0,AO$231))+AK235)))</f>
        <v>5.3047601561152939</v>
      </c>
      <c r="AO235" s="5" cm="1">
        <f t="array" ref="AO235">IF(AP$231=-1,AP235,IF(AP$231=99,AL235,IF(AP$231=0,INDEX($E163:$M163,0,AP$229),(INDEX($E163:$M163,0,AP$231+1)-INDEX($E163:$M163,0,AP$231))/(INDEX($E$160:$M$160,0,AP$231+1)-INDEX($E$160:$M$160,0,AP$231))+AL235)))</f>
        <v>5.3047601561152939</v>
      </c>
      <c r="AP235" s="5" cm="1">
        <f t="array" ref="AP235">IF(AQ$231=-1,AQ235,IF(AQ$231=99,AO235,IF(AQ$231=0,INDEX($E163:$M163,0,AQ$229),(INDEX($E163:$M163,0,AQ$231+1)-INDEX($E163:$M163,0,AQ$231))/(INDEX($E$160:$M$160,0,AQ$231+1)-INDEX($E$160:$M$160,0,AQ$231))+AO235)))</f>
        <v>5.3047601561152939</v>
      </c>
      <c r="AQ235" s="5" cm="1">
        <f t="array" ref="AQ235">IF(AR$231=-1,AR235,IF(AR$231=99,AP235,IF(AR$231=0,INDEX($E163:$M163,0,AR$229),(INDEX($E163:$M163,0,AR$231+1)-INDEX($E163:$M163,0,AR$231))/(INDEX($E$160:$M$160,0,AR$231+1)-INDEX($E$160:$M$160,0,AR$231))+AP235)))</f>
        <v>5.3047601561152939</v>
      </c>
      <c r="AR235" s="5" cm="1">
        <f t="array" ref="AR235">IF(AS$231=-1,AS235,IF(AS$231=99,AQ235,IF(AS$231=0,INDEX($E163:$M163,0,AS$229),(INDEX($E163:$M163,0,AS$231+1)-INDEX($E163:$M163,0,AS$231))/(INDEX($E$160:$M$160,0,AS$231+1)-INDEX($E$160:$M$160,0,AS$231))+AQ235)))</f>
        <v>5.3047601561152939</v>
      </c>
      <c r="AS235" s="5" cm="1">
        <f t="array" ref="AS235">IF(AT$231=-1,AT235,IF(AT$231=99,AR235,IF(AT$231=0,INDEX($E163:$M163,0,AT$229),(INDEX($E163:$M163,0,AT$231+1)-INDEX($E163:$M163,0,AT$231))/(INDEX($E$160:$M$160,0,AT$231+1)-INDEX($E$160:$M$160,0,AT$231))+AR235)))</f>
        <v>5.3047601561152939</v>
      </c>
      <c r="AT235" s="5" cm="1">
        <f t="array" ref="AT235">IF(AV$231=-1,AV235,IF(AV$231=99,AS235,IF(AV$231=0,INDEX($E163:$M163,0,AV$229),(INDEX($E163:$M163,0,AV$231+1)-INDEX($E163:$M163,0,AV$231))/(INDEX($E$160:$M$160,0,AV$231+1)-INDEX($E$160:$M$160,0,AV$231))+AS235)))</f>
        <v>5.3047601561152939</v>
      </c>
      <c r="AU235" s="5" cm="1">
        <f t="array" ref="AU235">IF(AW$231=-1,AW235,IF(AW$231=99,AS235,IF(AW$231=0,INDEX($E163:$M163,0,AW$229),(INDEX($E163:$M163,0,AW$231+1)-INDEX($E163:$M163,0,AW$231))/(INDEX($E$160:$M$160,0,AW$231+1)-INDEX($E$160:$M$160,0,AW$231))+AS235)))</f>
        <v>5.3047601561152939</v>
      </c>
      <c r="AV235" s="5" cm="1">
        <f t="array" ref="AV235">IF(AX$231=-1,AX235,IF(AX$231=99,AT235,IF(AX$231=0,INDEX($E163:$M163,0,AX$229),(INDEX($E163:$M163,0,AX$231+1)-INDEX($E163:$M163,0,AX$231))/(INDEX($E$160:$M$160,0,AX$231+1)-INDEX($E$160:$M$160,0,AX$231))+AT235)))</f>
        <v>5.3047601561152939</v>
      </c>
      <c r="AW235" s="5" cm="1">
        <f t="array" ref="AW235">IF(AY$231=-1,AY235,IF(AY$231=99,AV235,IF(AY$231=0,INDEX($E163:$M163,0,AY$229),(INDEX($E163:$M163,0,AY$231+1)-INDEX($E163:$M163,0,AY$231))/(INDEX($E$160:$M$160,0,AY$231+1)-INDEX($E$160:$M$160,0,AY$231))+AV235)))</f>
        <v>5.3047601561152939</v>
      </c>
      <c r="AX235" s="5" cm="1">
        <f t="array" ref="AX235">IF(AY$231=-1,AY235,IF(AY$231=99,AV235,IF(AY$231=0,INDEX($E163:$M163,0,AY$229),(INDEX($E163:$M163,0,AY$231+1)-INDEX($E163:$M163,0,AY$231))/(INDEX($E$160:$M$160,0,AY$231+1)-INDEX($E$160:$M$160,0,AY$231))+AV235)))</f>
        <v>5.3047601561152939</v>
      </c>
      <c r="AY235" s="5" cm="1">
        <f t="array" ref="AY235">IF(AZ$231=-1,AZ235,IF(AZ$231=99,AX235,IF(AZ$231=0,INDEX($E163:$M163,0,AZ$229),(INDEX($E163:$M163,0,AZ$231+1)-INDEX($E163:$M163,0,AZ$231))/(INDEX($E$160:$M$160,0,AZ$231+1)-INDEX($E$160:$M$160,0,AZ$231))+AX235)))</f>
        <v>5.3047601561152939</v>
      </c>
      <c r="AZ235" s="5" cm="1">
        <f t="array" ref="AZ235">IF(BA$231=-1,BA235,IF(BA$231=99,AY235,IF(BA$231=0,INDEX($E163:$M163,0,BA$229),(INDEX($E163:$M163,0,BA$231+1)-INDEX($E163:$M163,0,BA$231))/(INDEX($E$160:$M$160,0,BA$231+1)-INDEX($E$160:$M$160,0,BA$231))+AY235)))</f>
        <v>5.3047601561152939</v>
      </c>
      <c r="BA235" s="5" cm="1">
        <f t="array" ref="BA235">IF(BB$231=-1,BB235,IF(BB$231=99,AZ235,IF(BB$231=0,INDEX($E163:$M163,0,BB$229),(INDEX($E163:$M163,0,BB$231+1)-INDEX($E163:$M163,0,BB$231))/(INDEX($E$160:$M$160,0,BB$231+1)-INDEX($E$160:$M$160,0,BB$231))+AZ235)))</f>
        <v>5.3047601561152939</v>
      </c>
      <c r="BB235" s="5" cm="1">
        <f t="array" ref="BB235">IF(BC$231=-1,BC235,IF(BC$231=99,BA235,IF(BC$231=0,INDEX($E163:$M163,0,BC$229),(INDEX($E163:$M163,0,BC$231+1)-INDEX($E163:$M163,0,BC$231))/(INDEX($E$160:$M$160,0,BC$231+1)-INDEX($E$160:$M$160,0,BC$231))+BA235)))</f>
        <v>5.3047601561152939</v>
      </c>
      <c r="BC235" s="5" cm="1">
        <f t="array" ref="BC235">IF(BD$231=-1,BD235,IF(BD$231=99,BB235,IF(BD$231=0,INDEX($E163:$M163,0,BD$229),(INDEX($E163:$M163,0,BD$231+1)-INDEX($E163:$M163,0,BD$231))/(INDEX($E$160:$M$160,0,BD$231+1)-INDEX($E$160:$M$160,0,BD$231))+BB235)))</f>
        <v>5.3047601561152939</v>
      </c>
      <c r="BD235" s="5" cm="1">
        <f t="array" ref="BD235">IF(BE$231=-1,BE235,IF(BE$231=99,BC235,IF(BE$231=0,INDEX($E163:$M163,0,BE$229),(INDEX($E163:$M163,0,BE$231+1)-INDEX($E163:$M163,0,BE$231))/(INDEX($E$160:$M$160,0,BE$231+1)-INDEX($E$160:$M$160,0,BE$231))+BC235)))</f>
        <v>5.3047601561152939</v>
      </c>
      <c r="BE235" s="5" cm="1">
        <f t="array" ref="BE235">IF(BF$231=-1,BF235,IF(BF$231=99,BD235,IF(BF$231=0,INDEX($E163:$M163,0,BF$229),(INDEX($E163:$M163,0,BF$231+1)-INDEX($E163:$M163,0,BF$231))/(INDEX($E$160:$M$160,0,BF$231+1)-INDEX($E$160:$M$160,0,BF$231))+BD235)))</f>
        <v>5.3047601561152939</v>
      </c>
      <c r="BF235" s="5" cm="1">
        <f t="array" ref="BF235">IF(BG$231=-1,BG235,IF(BG$231=99,BE235,IF(BG$231=0,INDEX($E163:$M163,0,BG$229),(INDEX($E163:$M163,0,BG$231+1)-INDEX($E163:$M163,0,BG$231))/(INDEX($E$160:$M$160,0,BG$231+1)-INDEX($E$160:$M$160,0,BG$231))+BE235)))</f>
        <v>5.3047601561152939</v>
      </c>
      <c r="BG235" s="5" cm="1">
        <f t="array" ref="BG235">IF(BH$231=-1,BH235,IF(BH$231=99,BF235,IF(BH$231=0,INDEX($E163:$M163,0,BH$229),(INDEX($E163:$M163,0,BH$231+1)-INDEX($E163:$M163,0,BH$231))/(INDEX($E$160:$M$160,0,BH$231+1)-INDEX($E$160:$M$160,0,BH$231))+BF235)))</f>
        <v>5.3047601561152939</v>
      </c>
      <c r="BH235" s="5" cm="1">
        <f t="array" ref="BH235">IF(BI$231=-1,BI235,IF(BI$231=99,BG235,IF(BI$231=0,INDEX($E163:$M163,0,BI$229),(INDEX($E163:$M163,0,BI$231+1)-INDEX($E163:$M163,0,BI$231))/(INDEX($E$160:$M$160,0,BI$231+1)-INDEX($E$160:$M$160,0,BI$231))+BG235)))</f>
        <v>5.3047601561152939</v>
      </c>
      <c r="BI235" s="5" cm="1">
        <f t="array" ref="BI235">IF(BJ$231=-1,BJ235,IF(BJ$231=99,BH235,IF(BJ$231=0,INDEX($E163:$M163,0,BJ$229),(INDEX($E163:$M163,0,BJ$231+1)-INDEX($E163:$M163,0,BJ$231))/(INDEX($E$160:$M$160,0,BJ$231+1)-INDEX($E$160:$M$160,0,BJ$231))+BH235)))</f>
        <v>5.3047601561152939</v>
      </c>
      <c r="BJ235" s="5" cm="1">
        <f t="array" ref="BJ235">IF(BK$231=-1,BL235,IF(BK$231=99,BI235,IF(BK$231=0,INDEX($E163:$M163,0,BK$229),(INDEX($E163:$M163,0,BK$231+1)-INDEX($E163:$M163,0,BK$231))/(INDEX($E$160:$M$160,0,BK$231+1)-INDEX($E$160:$M$160,0,BK$231))+BI235)))</f>
        <v>5.3047601561152939</v>
      </c>
      <c r="BL235" s="5"/>
      <c r="BM235" s="5"/>
      <c r="BN235" s="5"/>
      <c r="BO235" s="5"/>
      <c r="BP235" s="5"/>
      <c r="BQ235" s="5"/>
    </row>
    <row r="236" spans="5:70">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16.905017810635162</v>
      </c>
      <c r="W236" s="5" cm="1">
        <f t="array" ref="W236">IF(X$231=-1,X236,IF(X$231=99,V236,IF(X$231=0,INDEX($E164:$M164,0,X$229),(INDEX($E164:$M164,0,X$231+1)-INDEX($E164:$M164,0,X$231))/(INDEX($E$160:$M$160,0,X$231+1)-INDEX($E$160:$M$160,0,X$231))+V236)))</f>
        <v>17.144371593731382</v>
      </c>
      <c r="X236" s="5" cm="1">
        <f t="array" ref="X236">IF(Y$231=-1,Y236,IF(Y$231=99,W236,IF(Y$231=0,INDEX($E164:$M164,0,Y$229),(INDEX($E164:$M164,0,Y$231+1)-INDEX($E164:$M164,0,Y$231))/(INDEX($E$160:$M$160,0,Y$231+1)-INDEX($E$160:$M$160,0,Y$231))+W236)))</f>
        <v>16.905017810635162</v>
      </c>
      <c r="Y236" s="5" cm="1">
        <f t="array" ref="Y236">IF(Z$231=-1,Z236,IF(Z$231=99,X236,IF(Z$231=0,INDEX($E164:$M164,0,Z$229),(INDEX($E164:$M164,0,Z$231+1)-INDEX($E164:$M164,0,Z$231))/(INDEX($E$160:$M$160,0,Z$231+1)-INDEX($E$160:$M$160,0,Z$231))+X236)))</f>
        <v>16.988766606160738</v>
      </c>
      <c r="Z236" s="5" cm="1">
        <f t="array" ref="Z236">IF(AA$231=-1,AA236,IF(AA$231=99,Y236,IF(AA$231=0,INDEX($E164:$M164,0,AA$229),(INDEX($E164:$M164,0,AA$231+1)-INDEX($E164:$M164,0,AA$231))/(INDEX($E$160:$M$160,0,AA$231+1)-INDEX($E$160:$M$160,0,AA$231))+Y236)))</f>
        <v>17.072515401686314</v>
      </c>
      <c r="AA236" s="5" cm="1">
        <f t="array" ref="AA236">IF(AD$231=-1,AD236,IF(AD$231=99,Z236,IF(AD$231=0,INDEX($E164:$M164,0,AD$229),(INDEX($E164:$M164,0,AD$231+1)-INDEX($E164:$M164,0,AD$231))/(INDEX($E$160:$M$160,0,AD$231+1)-INDEX($E$160:$M$160,0,AD$231))+Z236)))</f>
        <v>17.15626419721189</v>
      </c>
      <c r="AB236" s="5" cm="1">
        <f t="array" ref="AB236">IF(AD$231=-1,AD236,IF(AD$231=99,Z236,IF(AD$231=0,INDEX($E164:$M164,0,AD$229),(INDEX($E164:$M164,0,AD$231+1)-INDEX($E164:$M164,0,AD$231))/(INDEX($E$160:$M$160,0,AD$231+1)-INDEX($E$160:$M$160,0,AD$231))+Z236)))</f>
        <v>17.15626419721189</v>
      </c>
      <c r="AC236" s="5" cm="1">
        <f t="array" ref="AC236">IF(AD$231=-1,AD236,IF(AD$231=99,Z236,IF(AD$231=0,INDEX($E164:$M164,0,AD$229),(INDEX($E164:$M164,0,AD$231+1)-INDEX($E164:$M164,0,AD$231))/(INDEX($E$160:$M$160,0,AD$231+1)-INDEX($E$160:$M$160,0,AD$231))+Z236)))</f>
        <v>17.15626419721189</v>
      </c>
      <c r="AD236" s="5" cm="1">
        <f t="array" ref="AD236">IF(AE$231=-1,AE236,IF(AE$231=99,AA236,IF(AE$231=0,INDEX($E164:$M164,0,AE$229),(INDEX($E164:$M164,0,AE$231+1)-INDEX($E164:$M164,0,AE$231))/(INDEX($E$160:$M$160,0,AE$231+1)-INDEX($E$160:$M$160,0,AE$231))+AA236)))</f>
        <v>17.240012992737466</v>
      </c>
      <c r="AE236" s="5" cm="1">
        <f t="array" ref="AE236">IF(AF$231=-1,AF236,IF(AF$231=99,AD236,IF(AF$231=0,INDEX($E164:$M164,0,AF$229),(INDEX($E164:$M164,0,AF$231+1)-INDEX($E164:$M164,0,AF$231))/(INDEX($E$160:$M$160,0,AF$231+1)-INDEX($E$160:$M$160,0,AF$231))+AD236)))</f>
        <v>17.323761788263042</v>
      </c>
      <c r="AF236" s="5" cm="1">
        <f t="array" ref="AF236">IF(AG$231=-1,AG236,IF(AG$231=99,AE236,IF(AG$231=0,INDEX($E164:$M164,0,AG$229),(INDEX($E164:$M164,0,AG$231+1)-INDEX($E164:$M164,0,AG$231))/(INDEX($E$160:$M$160,0,AG$231+1)-INDEX($E$160:$M$160,0,AG$231))+AE236)))</f>
        <v>17.407510583788618</v>
      </c>
      <c r="AG236" s="5" cm="1">
        <f t="array" ref="AG236">IF(AH$231=-1,AH236,IF(AH$231=99,AF236,IF(AH$231=0,INDEX($E164:$M164,0,AH$229),(INDEX($E164:$M164,0,AH$231+1)-INDEX($E164:$M164,0,AH$231))/(INDEX($E$160:$M$160,0,AH$231+1)-INDEX($E$160:$M$160,0,AH$231))+AF236)))</f>
        <v>17.491259379314194</v>
      </c>
      <c r="AH236" s="5" cm="1">
        <f t="array" ref="AH236">IF(AI$231=-1,AI236,IF(AI$231=99,AG236,IF(AI$231=0,INDEX($E164:$M164,0,AI$229),(INDEX($E164:$M164,0,AI$231+1)-INDEX($E164:$M164,0,AI$231))/(INDEX($E$160:$M$160,0,AI$231+1)-INDEX($E$160:$M$160,0,AI$231))+AG236)))</f>
        <v>17.57500817483977</v>
      </c>
      <c r="AI236" s="5" cm="1">
        <f t="array" ref="AI236">IF(AJ$231=-1,AJ236,IF(AJ$231=99,AH236,IF(AJ$231=0,INDEX($E164:$M164,0,AJ$229),(INDEX($E164:$M164,0,AJ$231+1)-INDEX($E164:$M164,0,AJ$231))/(INDEX($E$160:$M$160,0,AJ$231+1)-INDEX($E$160:$M$160,0,AJ$231))+AH236)))</f>
        <v>17.658756970365346</v>
      </c>
      <c r="AJ236" s="5" cm="1">
        <f t="array" ref="AJ236">IF(AK$231=-1,AK236,IF(AK$231=99,AI236,IF(AK$231=0,INDEX($E164:$M164,0,AK$229),(INDEX($E164:$M164,0,AK$231+1)-INDEX($E164:$M164,0,AK$231))/(INDEX($E$160:$M$160,0,AK$231+1)-INDEX($E$160:$M$160,0,AK$231))+AI236)))</f>
        <v>17.658756970365346</v>
      </c>
      <c r="AK236" s="5" cm="1">
        <f t="array" ref="AK236">IF(AL$231=-1,AL236,IF(AL$231=99,AJ236,IF(AL$231=0,INDEX($E164:$M164,0,AL$229),(INDEX($E164:$M164,0,AL$231+1)-INDEX($E164:$M164,0,AL$231))/(INDEX($E$160:$M$160,0,AL$231+1)-INDEX($E$160:$M$160,0,AL$231))+AJ236)))</f>
        <v>17.658756970365346</v>
      </c>
      <c r="AL236" s="5" cm="1">
        <f t="array" ref="AL236">IF(AO$231=-1,AO236,IF(AO$231=99,AK236,IF(AO$231=0,INDEX($E164:$M164,0,AO$229),(INDEX($E164:$M164,0,AO$231+1)-INDEX($E164:$M164,0,AO$231))/(INDEX($E$160:$M$160,0,AO$231+1)-INDEX($E$160:$M$160,0,AO$231))+AK236)))</f>
        <v>17.658756970365346</v>
      </c>
      <c r="AM236" s="5" cm="1">
        <f t="array" ref="AM236">IF(AO$231=-1,AO236,IF(AO$231=99,AK236,IF(AO$231=0,INDEX($E164:$M164,0,AO$229),(INDEX($E164:$M164,0,AO$231+1)-INDEX($E164:$M164,0,AO$231))/(INDEX($E$160:$M$160,0,AO$231+1)-INDEX($E$160:$M$160,0,AO$231))+AK236)))</f>
        <v>17.658756970365346</v>
      </c>
      <c r="AN236" s="5" cm="1">
        <f t="array" ref="AN236">IF(AO$231=-1,AO236,IF(AO$231=99,AK236,IF(AO$231=0,INDEX($E164:$M164,0,AO$229),(INDEX($E164:$M164,0,AO$231+1)-INDEX($E164:$M164,0,AO$231))/(INDEX($E$160:$M$160,0,AO$231+1)-INDEX($E$160:$M$160,0,AO$231))+AK236)))</f>
        <v>17.658756970365346</v>
      </c>
      <c r="AO236" s="5" cm="1">
        <f t="array" ref="AO236">IF(AP$231=-1,AP236,IF(AP$231=99,AL236,IF(AP$231=0,INDEX($E164:$M164,0,AP$229),(INDEX($E164:$M164,0,AP$231+1)-INDEX($E164:$M164,0,AP$231))/(INDEX($E$160:$M$160,0,AP$231+1)-INDEX($E$160:$M$160,0,AP$231))+AL236)))</f>
        <v>17.658756970365346</v>
      </c>
      <c r="AP236" s="5" cm="1">
        <f t="array" ref="AP236">IF(AQ$231=-1,AQ236,IF(AQ$231=99,AO236,IF(AQ$231=0,INDEX($E164:$M164,0,AQ$229),(INDEX($E164:$M164,0,AQ$231+1)-INDEX($E164:$M164,0,AQ$231))/(INDEX($E$160:$M$160,0,AQ$231+1)-INDEX($E$160:$M$160,0,AQ$231))+AO236)))</f>
        <v>17.658756970365346</v>
      </c>
      <c r="AQ236" s="5" cm="1">
        <f t="array" ref="AQ236">IF(AR$231=-1,AR236,IF(AR$231=99,AP236,IF(AR$231=0,INDEX($E164:$M164,0,AR$229),(INDEX($E164:$M164,0,AR$231+1)-INDEX($E164:$M164,0,AR$231))/(INDEX($E$160:$M$160,0,AR$231+1)-INDEX($E$160:$M$160,0,AR$231))+AP236)))</f>
        <v>17.658756970365346</v>
      </c>
      <c r="AR236" s="5" cm="1">
        <f t="array" ref="AR236">IF(AS$231=-1,AS236,IF(AS$231=99,AQ236,IF(AS$231=0,INDEX($E164:$M164,0,AS$229),(INDEX($E164:$M164,0,AS$231+1)-INDEX($E164:$M164,0,AS$231))/(INDEX($E$160:$M$160,0,AS$231+1)-INDEX($E$160:$M$160,0,AS$231))+AQ236)))</f>
        <v>17.658756970365346</v>
      </c>
      <c r="AS236" s="5" cm="1">
        <f t="array" ref="AS236">IF(AT$231=-1,AT236,IF(AT$231=99,AR236,IF(AT$231=0,INDEX($E164:$M164,0,AT$229),(INDEX($E164:$M164,0,AT$231+1)-INDEX($E164:$M164,0,AT$231))/(INDEX($E$160:$M$160,0,AT$231+1)-INDEX($E$160:$M$160,0,AT$231))+AR236)))</f>
        <v>17.658756970365346</v>
      </c>
      <c r="AT236" s="5" cm="1">
        <f t="array" ref="AT236">IF(AV$231=-1,AV236,IF(AV$231=99,AS236,IF(AV$231=0,INDEX($E164:$M164,0,AV$229),(INDEX($E164:$M164,0,AV$231+1)-INDEX($E164:$M164,0,AV$231))/(INDEX($E$160:$M$160,0,AV$231+1)-INDEX($E$160:$M$160,0,AV$231))+AS236)))</f>
        <v>17.658756970365346</v>
      </c>
      <c r="AU236" s="5" cm="1">
        <f t="array" ref="AU236">IF(AW$231=-1,AW236,IF(AW$231=99,AS236,IF(AW$231=0,INDEX($E164:$M164,0,AW$229),(INDEX($E164:$M164,0,AW$231+1)-INDEX($E164:$M164,0,AW$231))/(INDEX($E$160:$M$160,0,AW$231+1)-INDEX($E$160:$M$160,0,AW$231))+AS236)))</f>
        <v>17.658756970365346</v>
      </c>
      <c r="AV236" s="5" cm="1">
        <f t="array" ref="AV236">IF(AX$231=-1,AX236,IF(AX$231=99,AT236,IF(AX$231=0,INDEX($E164:$M164,0,AX$229),(INDEX($E164:$M164,0,AX$231+1)-INDEX($E164:$M164,0,AX$231))/(INDEX($E$160:$M$160,0,AX$231+1)-INDEX($E$160:$M$160,0,AX$231))+AT236)))</f>
        <v>17.658756970365346</v>
      </c>
      <c r="AW236" s="5" cm="1">
        <f t="array" ref="AW236">IF(AY$231=-1,AY236,IF(AY$231=99,AV236,IF(AY$231=0,INDEX($E164:$M164,0,AY$229),(INDEX($E164:$M164,0,AY$231+1)-INDEX($E164:$M164,0,AY$231))/(INDEX($E$160:$M$160,0,AY$231+1)-INDEX($E$160:$M$160,0,AY$231))+AV236)))</f>
        <v>17.658756970365346</v>
      </c>
      <c r="AX236" s="5" cm="1">
        <f t="array" ref="AX236">IF(AY$231=-1,AY236,IF(AY$231=99,AV236,IF(AY$231=0,INDEX($E164:$M164,0,AY$229),(INDEX($E164:$M164,0,AY$231+1)-INDEX($E164:$M164,0,AY$231))/(INDEX($E$160:$M$160,0,AY$231+1)-INDEX($E$160:$M$160,0,AY$231))+AV236)))</f>
        <v>17.658756970365346</v>
      </c>
      <c r="AY236" s="5" cm="1">
        <f t="array" ref="AY236">IF(AZ$231=-1,AZ236,IF(AZ$231=99,AX236,IF(AZ$231=0,INDEX($E164:$M164,0,AZ$229),(INDEX($E164:$M164,0,AZ$231+1)-INDEX($E164:$M164,0,AZ$231))/(INDEX($E$160:$M$160,0,AZ$231+1)-INDEX($E$160:$M$160,0,AZ$231))+AX236)))</f>
        <v>17.658756970365346</v>
      </c>
      <c r="AZ236" s="5" cm="1">
        <f t="array" ref="AZ236">IF(BA$231=-1,BA236,IF(BA$231=99,AY236,IF(BA$231=0,INDEX($E164:$M164,0,BA$229),(INDEX($E164:$M164,0,BA$231+1)-INDEX($E164:$M164,0,BA$231))/(INDEX($E$160:$M$160,0,BA$231+1)-INDEX($E$160:$M$160,0,BA$231))+AY236)))</f>
        <v>17.658756970365346</v>
      </c>
      <c r="BA236" s="5" cm="1">
        <f t="array" ref="BA236">IF(BB$231=-1,BB236,IF(BB$231=99,AZ236,IF(BB$231=0,INDEX($E164:$M164,0,BB$229),(INDEX($E164:$M164,0,BB$231+1)-INDEX($E164:$M164,0,BB$231))/(INDEX($E$160:$M$160,0,BB$231+1)-INDEX($E$160:$M$160,0,BB$231))+AZ236)))</f>
        <v>17.658756970365346</v>
      </c>
      <c r="BB236" s="5" cm="1">
        <f t="array" ref="BB236">IF(BC$231=-1,BC236,IF(BC$231=99,BA236,IF(BC$231=0,INDEX($E164:$M164,0,BC$229),(INDEX($E164:$M164,0,BC$231+1)-INDEX($E164:$M164,0,BC$231))/(INDEX($E$160:$M$160,0,BC$231+1)-INDEX($E$160:$M$160,0,BC$231))+BA236)))</f>
        <v>17.658756970365346</v>
      </c>
      <c r="BC236" s="5" cm="1">
        <f t="array" ref="BC236">IF(BD$231=-1,BD236,IF(BD$231=99,BB236,IF(BD$231=0,INDEX($E164:$M164,0,BD$229),(INDEX($E164:$M164,0,BD$231+1)-INDEX($E164:$M164,0,BD$231))/(INDEX($E$160:$M$160,0,BD$231+1)-INDEX($E$160:$M$160,0,BD$231))+BB236)))</f>
        <v>17.658756970365346</v>
      </c>
      <c r="BD236" s="5" cm="1">
        <f t="array" ref="BD236">IF(BE$231=-1,BE236,IF(BE$231=99,BC236,IF(BE$231=0,INDEX($E164:$M164,0,BE$229),(INDEX($E164:$M164,0,BE$231+1)-INDEX($E164:$M164,0,BE$231))/(INDEX($E$160:$M$160,0,BE$231+1)-INDEX($E$160:$M$160,0,BE$231))+BC236)))</f>
        <v>17.658756970365346</v>
      </c>
      <c r="BE236" s="5" cm="1">
        <f t="array" ref="BE236">IF(BF$231=-1,BF236,IF(BF$231=99,BD236,IF(BF$231=0,INDEX($E164:$M164,0,BF$229),(INDEX($E164:$M164,0,BF$231+1)-INDEX($E164:$M164,0,BF$231))/(INDEX($E$160:$M$160,0,BF$231+1)-INDEX($E$160:$M$160,0,BF$231))+BD236)))</f>
        <v>17.658756970365346</v>
      </c>
      <c r="BF236" s="5" cm="1">
        <f t="array" ref="BF236">IF(BG$231=-1,BG236,IF(BG$231=99,BE236,IF(BG$231=0,INDEX($E164:$M164,0,BG$229),(INDEX($E164:$M164,0,BG$231+1)-INDEX($E164:$M164,0,BG$231))/(INDEX($E$160:$M$160,0,BG$231+1)-INDEX($E$160:$M$160,0,BG$231))+BE236)))</f>
        <v>17.658756970365346</v>
      </c>
      <c r="BG236" s="5" cm="1">
        <f t="array" ref="BG236">IF(BH$231=-1,BH236,IF(BH$231=99,BF236,IF(BH$231=0,INDEX($E164:$M164,0,BH$229),(INDEX($E164:$M164,0,BH$231+1)-INDEX($E164:$M164,0,BH$231))/(INDEX($E$160:$M$160,0,BH$231+1)-INDEX($E$160:$M$160,0,BH$231))+BF236)))</f>
        <v>17.658756970365346</v>
      </c>
      <c r="BH236" s="5" cm="1">
        <f t="array" ref="BH236">IF(BI$231=-1,BI236,IF(BI$231=99,BG236,IF(BI$231=0,INDEX($E164:$M164,0,BI$229),(INDEX($E164:$M164,0,BI$231+1)-INDEX($E164:$M164,0,BI$231))/(INDEX($E$160:$M$160,0,BI$231+1)-INDEX($E$160:$M$160,0,BI$231))+BG236)))</f>
        <v>17.658756970365346</v>
      </c>
      <c r="BI236" s="5" cm="1">
        <f t="array" ref="BI236">IF(BJ$231=-1,BJ236,IF(BJ$231=99,BH236,IF(BJ$231=0,INDEX($E164:$M164,0,BJ$229),(INDEX($E164:$M164,0,BJ$231+1)-INDEX($E164:$M164,0,BJ$231))/(INDEX($E$160:$M$160,0,BJ$231+1)-INDEX($E$160:$M$160,0,BJ$231))+BH236)))</f>
        <v>17.658756970365346</v>
      </c>
      <c r="BJ236" s="5" cm="1">
        <f t="array" ref="BJ236">IF(BK$231=-1,BL236,IF(BK$231=99,BI236,IF(BK$231=0,INDEX($E164:$M164,0,BK$229),(INDEX($E164:$M164,0,BK$231+1)-INDEX($E164:$M164,0,BK$231))/(INDEX($E$160:$M$160,0,BK$231+1)-INDEX($E$160:$M$160,0,BK$231))+BI236)))</f>
        <v>17.658756970365346</v>
      </c>
      <c r="BL236" s="5"/>
      <c r="BM236" s="5"/>
      <c r="BN236" s="5"/>
      <c r="BO236" s="5"/>
      <c r="BP236" s="5"/>
      <c r="BQ236" s="5"/>
    </row>
    <row r="237" spans="5:70">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106.21853913881091</v>
      </c>
      <c r="W237" s="5" cm="1">
        <f t="array" ref="W237">IF(X$231=-1,X237,IF(X$231=99,V237,IF(X$231=0,INDEX($E165:$M165,0,X$229),(INDEX($E165:$M165,0,X$231+1)-INDEX($E165:$M165,0,X$231))/(INDEX($E$160:$M$160,0,X$231+1)-INDEX($E$160:$M$160,0,X$231))+V237)))</f>
        <v>107.72246001382079</v>
      </c>
      <c r="X237" s="5" cm="1">
        <f t="array" ref="X237">IF(Y$231=-1,Y237,IF(Y$231=99,W237,IF(Y$231=0,INDEX($E165:$M165,0,Y$229),(INDEX($E165:$M165,0,Y$231+1)-INDEX($E165:$M165,0,Y$231))/(INDEX($E$160:$M$160,0,Y$231+1)-INDEX($E$160:$M$160,0,Y$231))+W237)))</f>
        <v>106.21853913881091</v>
      </c>
      <c r="Y237" s="5" cm="1">
        <f t="array" ref="Y237">IF(Z$231=-1,Z237,IF(Z$231=99,X237,IF(Z$231=0,INDEX($E165:$M165,0,Z$229),(INDEX($E165:$M165,0,Z$231+1)-INDEX($E165:$M165,0,Z$231))/(INDEX($E$160:$M$160,0,Z$231+1)-INDEX($E$160:$M$160,0,Z$231))+X237)))</f>
        <v>106.3486526976945</v>
      </c>
      <c r="Z237" s="5" cm="1">
        <f t="array" ref="Z237">IF(AA$231=-1,AA237,IF(AA$231=99,Y237,IF(AA$231=0,INDEX($E165:$M165,0,AA$229),(INDEX($E165:$M165,0,AA$231+1)-INDEX($E165:$M165,0,AA$231))/(INDEX($E$160:$M$160,0,AA$231+1)-INDEX($E$160:$M$160,0,AA$231))+Y237)))</f>
        <v>106.4787662565781</v>
      </c>
      <c r="AA237" s="5" cm="1">
        <f t="array" ref="AA237">IF(AD$231=-1,AD237,IF(AD$231=99,Z237,IF(AD$231=0,INDEX($E165:$M165,0,AD$229),(INDEX($E165:$M165,0,AD$231+1)-INDEX($E165:$M165,0,AD$231))/(INDEX($E$160:$M$160,0,AD$231+1)-INDEX($E$160:$M$160,0,AD$231))+Z237)))</f>
        <v>106.60887981546169</v>
      </c>
      <c r="AB237" s="5" cm="1">
        <f t="array" ref="AB237">IF(AD$231=-1,AD237,IF(AD$231=99,Z237,IF(AD$231=0,INDEX($E165:$M165,0,AD$229),(INDEX($E165:$M165,0,AD$231+1)-INDEX($E165:$M165,0,AD$231))/(INDEX($E$160:$M$160,0,AD$231+1)-INDEX($E$160:$M$160,0,AD$231))+Z237)))</f>
        <v>106.60887981546169</v>
      </c>
      <c r="AC237" s="5" cm="1">
        <f t="array" ref="AC237">IF(AD$231=-1,AD237,IF(AD$231=99,Z237,IF(AD$231=0,INDEX($E165:$M165,0,AD$229),(INDEX($E165:$M165,0,AD$231+1)-INDEX($E165:$M165,0,AD$231))/(INDEX($E$160:$M$160,0,AD$231+1)-INDEX($E$160:$M$160,0,AD$231))+Z237)))</f>
        <v>106.60887981546169</v>
      </c>
      <c r="AD237" s="5" cm="1">
        <f t="array" ref="AD237">IF(AE$231=-1,AE237,IF(AE$231=99,AA237,IF(AE$231=0,INDEX($E165:$M165,0,AE$229),(INDEX($E165:$M165,0,AE$231+1)-INDEX($E165:$M165,0,AE$231))/(INDEX($E$160:$M$160,0,AE$231+1)-INDEX($E$160:$M$160,0,AE$231))+AA237)))</f>
        <v>106.73899337434528</v>
      </c>
      <c r="AE237" s="5" cm="1">
        <f t="array" ref="AE237">IF(AF$231=-1,AF237,IF(AF$231=99,AD237,IF(AF$231=0,INDEX($E165:$M165,0,AF$229),(INDEX($E165:$M165,0,AF$231+1)-INDEX($E165:$M165,0,AF$231))/(INDEX($E$160:$M$160,0,AF$231+1)-INDEX($E$160:$M$160,0,AF$231))+AD237)))</f>
        <v>106.86910693322888</v>
      </c>
      <c r="AF237" s="5" cm="1">
        <f t="array" ref="AF237">IF(AG$231=-1,AG237,IF(AG$231=99,AE237,IF(AG$231=0,INDEX($E165:$M165,0,AG$229),(INDEX($E165:$M165,0,AG$231+1)-INDEX($E165:$M165,0,AG$231))/(INDEX($E$160:$M$160,0,AG$231+1)-INDEX($E$160:$M$160,0,AG$231))+AE237)))</f>
        <v>106.99922049211247</v>
      </c>
      <c r="AG237" s="5" cm="1">
        <f t="array" ref="AG237">IF(AH$231=-1,AH237,IF(AH$231=99,AF237,IF(AH$231=0,INDEX($E165:$M165,0,AH$229),(INDEX($E165:$M165,0,AH$231+1)-INDEX($E165:$M165,0,AH$231))/(INDEX($E$160:$M$160,0,AH$231+1)-INDEX($E$160:$M$160,0,AH$231))+AF237)))</f>
        <v>107.12933405099606</v>
      </c>
      <c r="AH237" s="5" cm="1">
        <f t="array" ref="AH237">IF(AI$231=-1,AI237,IF(AI$231=99,AG237,IF(AI$231=0,INDEX($E165:$M165,0,AI$229),(INDEX($E165:$M165,0,AI$231+1)-INDEX($E165:$M165,0,AI$231))/(INDEX($E$160:$M$160,0,AI$231+1)-INDEX($E$160:$M$160,0,AI$231))+AG237)))</f>
        <v>107.25944760987966</v>
      </c>
      <c r="AI237" s="5" cm="1">
        <f t="array" ref="AI237">IF(AJ$231=-1,AJ237,IF(AJ$231=99,AH237,IF(AJ$231=0,INDEX($E165:$M165,0,AJ$229),(INDEX($E165:$M165,0,AJ$231+1)-INDEX($E165:$M165,0,AJ$231))/(INDEX($E$160:$M$160,0,AJ$231+1)-INDEX($E$160:$M$160,0,AJ$231))+AH237)))</f>
        <v>107.38956116876325</v>
      </c>
      <c r="AJ237" s="5" cm="1">
        <f t="array" ref="AJ237">IF(AK$231=-1,AK237,IF(AK$231=99,AI237,IF(AK$231=0,INDEX($E165:$M165,0,AK$229),(INDEX($E165:$M165,0,AK$231+1)-INDEX($E165:$M165,0,AK$231))/(INDEX($E$160:$M$160,0,AK$231+1)-INDEX($E$160:$M$160,0,AK$231))+AI237)))</f>
        <v>107.38956116876329</v>
      </c>
      <c r="AK237" s="5" cm="1">
        <f t="array" ref="AK237">IF(AL$231=-1,AL237,IF(AL$231=99,AJ237,IF(AL$231=0,INDEX($E165:$M165,0,AL$229),(INDEX($E165:$M165,0,AL$231+1)-INDEX($E165:$M165,0,AL$231))/(INDEX($E$160:$M$160,0,AL$231+1)-INDEX($E$160:$M$160,0,AL$231))+AJ237)))</f>
        <v>107.38956116876329</v>
      </c>
      <c r="AL237" s="5" cm="1">
        <f t="array" ref="AL237">IF(AO$231=-1,AO237,IF(AO$231=99,AK237,IF(AO$231=0,INDEX($E165:$M165,0,AO$229),(INDEX($E165:$M165,0,AO$231+1)-INDEX($E165:$M165,0,AO$231))/(INDEX($E$160:$M$160,0,AO$231+1)-INDEX($E$160:$M$160,0,AO$231))+AK237)))</f>
        <v>107.38956116876329</v>
      </c>
      <c r="AM237" s="5" cm="1">
        <f t="array" ref="AM237">IF(AO$231=-1,AO237,IF(AO$231=99,AK237,IF(AO$231=0,INDEX($E165:$M165,0,AO$229),(INDEX($E165:$M165,0,AO$231+1)-INDEX($E165:$M165,0,AO$231))/(INDEX($E$160:$M$160,0,AO$231+1)-INDEX($E$160:$M$160,0,AO$231))+AK237)))</f>
        <v>107.38956116876329</v>
      </c>
      <c r="AN237" s="5" cm="1">
        <f t="array" ref="AN237">IF(AO$231=-1,AO237,IF(AO$231=99,AK237,IF(AO$231=0,INDEX($E165:$M165,0,AO$229),(INDEX($E165:$M165,0,AO$231+1)-INDEX($E165:$M165,0,AO$231))/(INDEX($E$160:$M$160,0,AO$231+1)-INDEX($E$160:$M$160,0,AO$231))+AK237)))</f>
        <v>107.38956116876329</v>
      </c>
      <c r="AO237" s="5" cm="1">
        <f t="array" ref="AO237">IF(AP$231=-1,AP237,IF(AP$231=99,AL237,IF(AP$231=0,INDEX($E165:$M165,0,AP$229),(INDEX($E165:$M165,0,AP$231+1)-INDEX($E165:$M165,0,AP$231))/(INDEX($E$160:$M$160,0,AP$231+1)-INDEX($E$160:$M$160,0,AP$231))+AL237)))</f>
        <v>107.38956116876329</v>
      </c>
      <c r="AP237" s="5" cm="1">
        <f t="array" ref="AP237">IF(AQ$231=-1,AQ237,IF(AQ$231=99,AO237,IF(AQ$231=0,INDEX($E165:$M165,0,AQ$229),(INDEX($E165:$M165,0,AQ$231+1)-INDEX($E165:$M165,0,AQ$231))/(INDEX($E$160:$M$160,0,AQ$231+1)-INDEX($E$160:$M$160,0,AQ$231))+AO237)))</f>
        <v>107.38956116876329</v>
      </c>
      <c r="AQ237" s="5" cm="1">
        <f t="array" ref="AQ237">IF(AR$231=-1,AR237,IF(AR$231=99,AP237,IF(AR$231=0,INDEX($E165:$M165,0,AR$229),(INDEX($E165:$M165,0,AR$231+1)-INDEX($E165:$M165,0,AR$231))/(INDEX($E$160:$M$160,0,AR$231+1)-INDEX($E$160:$M$160,0,AR$231))+AP237)))</f>
        <v>107.38956116876329</v>
      </c>
      <c r="AR237" s="5" cm="1">
        <f t="array" ref="AR237">IF(AS$231=-1,AS237,IF(AS$231=99,AQ237,IF(AS$231=0,INDEX($E165:$M165,0,AS$229),(INDEX($E165:$M165,0,AS$231+1)-INDEX($E165:$M165,0,AS$231))/(INDEX($E$160:$M$160,0,AS$231+1)-INDEX($E$160:$M$160,0,AS$231))+AQ237)))</f>
        <v>107.38956116876329</v>
      </c>
      <c r="AS237" s="5" cm="1">
        <f t="array" ref="AS237">IF(AT$231=-1,AT237,IF(AT$231=99,AR237,IF(AT$231=0,INDEX($E165:$M165,0,AT$229),(INDEX($E165:$M165,0,AT$231+1)-INDEX($E165:$M165,0,AT$231))/(INDEX($E$160:$M$160,0,AT$231+1)-INDEX($E$160:$M$160,0,AT$231))+AR237)))</f>
        <v>107.38956116876329</v>
      </c>
      <c r="AT237" s="5" cm="1">
        <f t="array" ref="AT237">IF(AV$231=-1,AV237,IF(AV$231=99,AS237,IF(AV$231=0,INDEX($E165:$M165,0,AV$229),(INDEX($E165:$M165,0,AV$231+1)-INDEX($E165:$M165,0,AV$231))/(INDEX($E$160:$M$160,0,AV$231+1)-INDEX($E$160:$M$160,0,AV$231))+AS237)))</f>
        <v>107.38956116876329</v>
      </c>
      <c r="AU237" s="5" cm="1">
        <f t="array" ref="AU237">IF(AW$231=-1,AW237,IF(AW$231=99,AS237,IF(AW$231=0,INDEX($E165:$M165,0,AW$229),(INDEX($E165:$M165,0,AW$231+1)-INDEX($E165:$M165,0,AW$231))/(INDEX($E$160:$M$160,0,AW$231+1)-INDEX($E$160:$M$160,0,AW$231))+AS237)))</f>
        <v>107.38956116876329</v>
      </c>
      <c r="AV237" s="5" cm="1">
        <f t="array" ref="AV237">IF(AX$231=-1,AX237,IF(AX$231=99,AT237,IF(AX$231=0,INDEX($E165:$M165,0,AX$229),(INDEX($E165:$M165,0,AX$231+1)-INDEX($E165:$M165,0,AX$231))/(INDEX($E$160:$M$160,0,AX$231+1)-INDEX($E$160:$M$160,0,AX$231))+AT237)))</f>
        <v>107.38956116876329</v>
      </c>
      <c r="AW237" s="5" cm="1">
        <f t="array" ref="AW237">IF(AY$231=-1,AY237,IF(AY$231=99,AV237,IF(AY$231=0,INDEX($E165:$M165,0,AY$229),(INDEX($E165:$M165,0,AY$231+1)-INDEX($E165:$M165,0,AY$231))/(INDEX($E$160:$M$160,0,AY$231+1)-INDEX($E$160:$M$160,0,AY$231))+AV237)))</f>
        <v>107.38956116876329</v>
      </c>
      <c r="AX237" s="5" cm="1">
        <f t="array" ref="AX237">IF(AY$231=-1,AY237,IF(AY$231=99,AV237,IF(AY$231=0,INDEX($E165:$M165,0,AY$229),(INDEX($E165:$M165,0,AY$231+1)-INDEX($E165:$M165,0,AY$231))/(INDEX($E$160:$M$160,0,AY$231+1)-INDEX($E$160:$M$160,0,AY$231))+AV237)))</f>
        <v>107.38956116876329</v>
      </c>
      <c r="AY237" s="5" cm="1">
        <f t="array" ref="AY237">IF(AZ$231=-1,AZ237,IF(AZ$231=99,AX237,IF(AZ$231=0,INDEX($E165:$M165,0,AZ$229),(INDEX($E165:$M165,0,AZ$231+1)-INDEX($E165:$M165,0,AZ$231))/(INDEX($E$160:$M$160,0,AZ$231+1)-INDEX($E$160:$M$160,0,AZ$231))+AX237)))</f>
        <v>107.38956116876329</v>
      </c>
      <c r="AZ237" s="5" cm="1">
        <f t="array" ref="AZ237">IF(BA$231=-1,BA237,IF(BA$231=99,AY237,IF(BA$231=0,INDEX($E165:$M165,0,BA$229),(INDEX($E165:$M165,0,BA$231+1)-INDEX($E165:$M165,0,BA$231))/(INDEX($E$160:$M$160,0,BA$231+1)-INDEX($E$160:$M$160,0,BA$231))+AY237)))</f>
        <v>107.38956116876329</v>
      </c>
      <c r="BA237" s="5" cm="1">
        <f t="array" ref="BA237">IF(BB$231=-1,BB237,IF(BB$231=99,AZ237,IF(BB$231=0,INDEX($E165:$M165,0,BB$229),(INDEX($E165:$M165,0,BB$231+1)-INDEX($E165:$M165,0,BB$231))/(INDEX($E$160:$M$160,0,BB$231+1)-INDEX($E$160:$M$160,0,BB$231))+AZ237)))</f>
        <v>107.38956116876329</v>
      </c>
      <c r="BB237" s="5" cm="1">
        <f t="array" ref="BB237">IF(BC$231=-1,BC237,IF(BC$231=99,BA237,IF(BC$231=0,INDEX($E165:$M165,0,BC$229),(INDEX($E165:$M165,0,BC$231+1)-INDEX($E165:$M165,0,BC$231))/(INDEX($E$160:$M$160,0,BC$231+1)-INDEX($E$160:$M$160,0,BC$231))+BA237)))</f>
        <v>107.38956116876329</v>
      </c>
      <c r="BC237" s="5" cm="1">
        <f t="array" ref="BC237">IF(BD$231=-1,BD237,IF(BD$231=99,BB237,IF(BD$231=0,INDEX($E165:$M165,0,BD$229),(INDEX($E165:$M165,0,BD$231+1)-INDEX($E165:$M165,0,BD$231))/(INDEX($E$160:$M$160,0,BD$231+1)-INDEX($E$160:$M$160,0,BD$231))+BB237)))</f>
        <v>107.38956116876329</v>
      </c>
      <c r="BD237" s="5" cm="1">
        <f t="array" ref="BD237">IF(BE$231=-1,BE237,IF(BE$231=99,BC237,IF(BE$231=0,INDEX($E165:$M165,0,BE$229),(INDEX($E165:$M165,0,BE$231+1)-INDEX($E165:$M165,0,BE$231))/(INDEX($E$160:$M$160,0,BE$231+1)-INDEX($E$160:$M$160,0,BE$231))+BC237)))</f>
        <v>107.38956116876329</v>
      </c>
      <c r="BE237" s="5" cm="1">
        <f t="array" ref="BE237">IF(BF$231=-1,BF237,IF(BF$231=99,BD237,IF(BF$231=0,INDEX($E165:$M165,0,BF$229),(INDEX($E165:$M165,0,BF$231+1)-INDEX($E165:$M165,0,BF$231))/(INDEX($E$160:$M$160,0,BF$231+1)-INDEX($E$160:$M$160,0,BF$231))+BD237)))</f>
        <v>107.38956116876329</v>
      </c>
      <c r="BF237" s="5" cm="1">
        <f t="array" ref="BF237">IF(BG$231=-1,BG237,IF(BG$231=99,BE237,IF(BG$231=0,INDEX($E165:$M165,0,BG$229),(INDEX($E165:$M165,0,BG$231+1)-INDEX($E165:$M165,0,BG$231))/(INDEX($E$160:$M$160,0,BG$231+1)-INDEX($E$160:$M$160,0,BG$231))+BE237)))</f>
        <v>107.38956116876329</v>
      </c>
      <c r="BG237" s="5" cm="1">
        <f t="array" ref="BG237">IF(BH$231=-1,BH237,IF(BH$231=99,BF237,IF(BH$231=0,INDEX($E165:$M165,0,BH$229),(INDEX($E165:$M165,0,BH$231+1)-INDEX($E165:$M165,0,BH$231))/(INDEX($E$160:$M$160,0,BH$231+1)-INDEX($E$160:$M$160,0,BH$231))+BF237)))</f>
        <v>107.38956116876329</v>
      </c>
      <c r="BH237" s="5" cm="1">
        <f t="array" ref="BH237">IF(BI$231=-1,BI237,IF(BI$231=99,BG237,IF(BI$231=0,INDEX($E165:$M165,0,BI$229),(INDEX($E165:$M165,0,BI$231+1)-INDEX($E165:$M165,0,BI$231))/(INDEX($E$160:$M$160,0,BI$231+1)-INDEX($E$160:$M$160,0,BI$231))+BG237)))</f>
        <v>107.38956116876329</v>
      </c>
      <c r="BI237" s="5" cm="1">
        <f t="array" ref="BI237">IF(BJ$231=-1,BJ237,IF(BJ$231=99,BH237,IF(BJ$231=0,INDEX($E165:$M165,0,BJ$229),(INDEX($E165:$M165,0,BJ$231+1)-INDEX($E165:$M165,0,BJ$231))/(INDEX($E$160:$M$160,0,BJ$231+1)-INDEX($E$160:$M$160,0,BJ$231))+BH237)))</f>
        <v>107.38956116876329</v>
      </c>
      <c r="BJ237" s="5" cm="1">
        <f t="array" ref="BJ237">IF(BK$231=-1,BL237,IF(BK$231=99,BI237,IF(BK$231=0,INDEX($E165:$M165,0,BK$229),(INDEX($E165:$M165,0,BK$231+1)-INDEX($E165:$M165,0,BK$231))/(INDEX($E$160:$M$160,0,BK$231+1)-INDEX($E$160:$M$160,0,BK$231))+BI237)))</f>
        <v>107.38956116876329</v>
      </c>
      <c r="BL237" s="5"/>
      <c r="BM237" s="5"/>
      <c r="BN237" s="5"/>
      <c r="BO237" s="5"/>
      <c r="BP237" s="5"/>
      <c r="BQ237" s="5"/>
    </row>
    <row r="238" spans="5:70">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2.8304469375370944</v>
      </c>
      <c r="W238" s="5" cm="1">
        <f t="array" ref="W238">IF(X$231=-1,X238,IF(X$231=99,V238,IF(X$231=0,INDEX($E166:$M166,0,X$229),(INDEX($E166:$M166,0,X$231+1)-INDEX($E166:$M166,0,X$231))/(INDEX($E$160:$M$160,0,X$231+1)-INDEX($E$160:$M$160,0,X$231))+V238)))</f>
        <v>2.8880746001334416</v>
      </c>
      <c r="X238" s="5" cm="1">
        <f t="array" ref="X238">IF(Y$231=-1,Y238,IF(Y$231=99,W238,IF(Y$231=0,INDEX($E166:$M166,0,Y$229),(INDEX($E166:$M166,0,Y$231+1)-INDEX($E166:$M166,0,Y$231))/(INDEX($E$160:$M$160,0,Y$231+1)-INDEX($E$160:$M$160,0,Y$231))+W238)))</f>
        <v>2.8304469375370944</v>
      </c>
      <c r="Y238" s="5" cm="1">
        <f t="array" ref="Y238">IF(Z$231=-1,Z238,IF(Z$231=99,X238,IF(Z$231=0,INDEX($E166:$M166,0,Z$229),(INDEX($E166:$M166,0,Z$231+1)-INDEX($E166:$M166,0,Z$231))/(INDEX($E$160:$M$160,0,Z$231+1)-INDEX($E$160:$M$160,0,Z$231))+X238)))</f>
        <v>2.8172993208370167</v>
      </c>
      <c r="Z238" s="5" cm="1">
        <f t="array" ref="Z238">IF(AA$231=-1,AA238,IF(AA$231=99,Y238,IF(AA$231=0,INDEX($E166:$M166,0,AA$229),(INDEX($E166:$M166,0,AA$231+1)-INDEX($E166:$M166,0,AA$231))/(INDEX($E$160:$M$160,0,AA$231+1)-INDEX($E$160:$M$160,0,AA$231))+Y238)))</f>
        <v>2.804151704136939</v>
      </c>
      <c r="AA238" s="5" cm="1">
        <f t="array" ref="AA238">IF(AD$231=-1,AD238,IF(AD$231=99,Z238,IF(AD$231=0,INDEX($E166:$M166,0,AD$229),(INDEX($E166:$M166,0,AD$231+1)-INDEX($E166:$M166,0,AD$231))/(INDEX($E$160:$M$160,0,AD$231+1)-INDEX($E$160:$M$160,0,AD$231))+Z238)))</f>
        <v>2.7910040874368613</v>
      </c>
      <c r="AB238" s="5" cm="1">
        <f t="array" ref="AB238">IF(AD$231=-1,AD238,IF(AD$231=99,Z238,IF(AD$231=0,INDEX($E166:$M166,0,AD$229),(INDEX($E166:$M166,0,AD$231+1)-INDEX($E166:$M166,0,AD$231))/(INDEX($E$160:$M$160,0,AD$231+1)-INDEX($E$160:$M$160,0,AD$231))+Z238)))</f>
        <v>2.7910040874368613</v>
      </c>
      <c r="AC238" s="5" cm="1">
        <f t="array" ref="AC238">IF(AD$231=-1,AD238,IF(AD$231=99,Z238,IF(AD$231=0,INDEX($E166:$M166,0,AD$229),(INDEX($E166:$M166,0,AD$231+1)-INDEX($E166:$M166,0,AD$231))/(INDEX($E$160:$M$160,0,AD$231+1)-INDEX($E$160:$M$160,0,AD$231))+Z238)))</f>
        <v>2.7910040874368613</v>
      </c>
      <c r="AD238" s="5" cm="1">
        <f t="array" ref="AD238">IF(AE$231=-1,AE238,IF(AE$231=99,AA238,IF(AE$231=0,INDEX($E166:$M166,0,AE$229),(INDEX($E166:$M166,0,AE$231+1)-INDEX($E166:$M166,0,AE$231))/(INDEX($E$160:$M$160,0,AE$231+1)-INDEX($E$160:$M$160,0,AE$231))+AA238)))</f>
        <v>2.7778564707367837</v>
      </c>
      <c r="AE238" s="5" cm="1">
        <f t="array" ref="AE238">IF(AF$231=-1,AF238,IF(AF$231=99,AD238,IF(AF$231=0,INDEX($E166:$M166,0,AF$229),(INDEX($E166:$M166,0,AF$231+1)-INDEX($E166:$M166,0,AF$231))/(INDEX($E$160:$M$160,0,AF$231+1)-INDEX($E$160:$M$160,0,AF$231))+AD238)))</f>
        <v>2.764708854036706</v>
      </c>
      <c r="AF238" s="5" cm="1">
        <f t="array" ref="AF238">IF(AG$231=-1,AG238,IF(AG$231=99,AE238,IF(AG$231=0,INDEX($E166:$M166,0,AG$229),(INDEX($E166:$M166,0,AG$231+1)-INDEX($E166:$M166,0,AG$231))/(INDEX($E$160:$M$160,0,AG$231+1)-INDEX($E$160:$M$160,0,AG$231))+AE238)))</f>
        <v>2.7515612373366283</v>
      </c>
      <c r="AG238" s="5" cm="1">
        <f t="array" ref="AG238">IF(AH$231=-1,AH238,IF(AH$231=99,AF238,IF(AH$231=0,INDEX($E166:$M166,0,AH$229),(INDEX($E166:$M166,0,AH$231+1)-INDEX($E166:$M166,0,AH$231))/(INDEX($E$160:$M$160,0,AH$231+1)-INDEX($E$160:$M$160,0,AH$231))+AF238)))</f>
        <v>2.7384136206365506</v>
      </c>
      <c r="AH238" s="5" cm="1">
        <f t="array" ref="AH238">IF(AI$231=-1,AI238,IF(AI$231=99,AG238,IF(AI$231=0,INDEX($E166:$M166,0,AI$229),(INDEX($E166:$M166,0,AI$231+1)-INDEX($E166:$M166,0,AI$231))/(INDEX($E$160:$M$160,0,AI$231+1)-INDEX($E$160:$M$160,0,AI$231))+AG238)))</f>
        <v>2.7252660039364729</v>
      </c>
      <c r="AI238" s="5" cm="1">
        <f t="array" ref="AI238">IF(AJ$231=-1,AJ238,IF(AJ$231=99,AH238,IF(AJ$231=0,INDEX($E166:$M166,0,AJ$229),(INDEX($E166:$M166,0,AJ$231+1)-INDEX($E166:$M166,0,AJ$231))/(INDEX($E$160:$M$160,0,AJ$231+1)-INDEX($E$160:$M$160,0,AJ$231))+AH238)))</f>
        <v>2.7121183872363952</v>
      </c>
      <c r="AJ238" s="5" cm="1">
        <f t="array" ref="AJ238">IF(AK$231=-1,AK238,IF(AK$231=99,AI238,IF(AK$231=0,INDEX($E166:$M166,0,AK$229),(INDEX($E166:$M166,0,AK$231+1)-INDEX($E166:$M166,0,AK$231))/(INDEX($E$160:$M$160,0,AK$231+1)-INDEX($E$160:$M$160,0,AK$231))+AI238)))</f>
        <v>2.7121183872363934</v>
      </c>
      <c r="AK238" s="5" cm="1">
        <f t="array" ref="AK238">IF(AL$231=-1,AL238,IF(AL$231=99,AJ238,IF(AL$231=0,INDEX($E166:$M166,0,AL$229),(INDEX($E166:$M166,0,AL$231+1)-INDEX($E166:$M166,0,AL$231))/(INDEX($E$160:$M$160,0,AL$231+1)-INDEX($E$160:$M$160,0,AL$231))+AJ238)))</f>
        <v>2.7121183872363934</v>
      </c>
      <c r="AL238" s="5" cm="1">
        <f t="array" ref="AL238">IF(AO$231=-1,AO238,IF(AO$231=99,AK238,IF(AO$231=0,INDEX($E166:$M166,0,AO$229),(INDEX($E166:$M166,0,AO$231+1)-INDEX($E166:$M166,0,AO$231))/(INDEX($E$160:$M$160,0,AO$231+1)-INDEX($E$160:$M$160,0,AO$231))+AK238)))</f>
        <v>2.7121183872363934</v>
      </c>
      <c r="AM238" s="5" cm="1">
        <f t="array" ref="AM238">IF(AO$231=-1,AO238,IF(AO$231=99,AK238,IF(AO$231=0,INDEX($E166:$M166,0,AO$229),(INDEX($E166:$M166,0,AO$231+1)-INDEX($E166:$M166,0,AO$231))/(INDEX($E$160:$M$160,0,AO$231+1)-INDEX($E$160:$M$160,0,AO$231))+AK238)))</f>
        <v>2.7121183872363934</v>
      </c>
      <c r="AN238" s="5" cm="1">
        <f t="array" ref="AN238">IF(AO$231=-1,AO238,IF(AO$231=99,AK238,IF(AO$231=0,INDEX($E166:$M166,0,AO$229),(INDEX($E166:$M166,0,AO$231+1)-INDEX($E166:$M166,0,AO$231))/(INDEX($E$160:$M$160,0,AO$231+1)-INDEX($E$160:$M$160,0,AO$231))+AK238)))</f>
        <v>2.7121183872363934</v>
      </c>
      <c r="AO238" s="5" cm="1">
        <f t="array" ref="AO238">IF(AP$231=-1,AP238,IF(AP$231=99,AL238,IF(AP$231=0,INDEX($E166:$M166,0,AP$229),(INDEX($E166:$M166,0,AP$231+1)-INDEX($E166:$M166,0,AP$231))/(INDEX($E$160:$M$160,0,AP$231+1)-INDEX($E$160:$M$160,0,AP$231))+AL238)))</f>
        <v>2.7121183872363934</v>
      </c>
      <c r="AP238" s="5" cm="1">
        <f t="array" ref="AP238">IF(AQ$231=-1,AQ238,IF(AQ$231=99,AO238,IF(AQ$231=0,INDEX($E166:$M166,0,AQ$229),(INDEX($E166:$M166,0,AQ$231+1)-INDEX($E166:$M166,0,AQ$231))/(INDEX($E$160:$M$160,0,AQ$231+1)-INDEX($E$160:$M$160,0,AQ$231))+AO238)))</f>
        <v>2.7121183872363934</v>
      </c>
      <c r="AQ238" s="5" cm="1">
        <f t="array" ref="AQ238">IF(AR$231=-1,AR238,IF(AR$231=99,AP238,IF(AR$231=0,INDEX($E166:$M166,0,AR$229),(INDEX($E166:$M166,0,AR$231+1)-INDEX($E166:$M166,0,AR$231))/(INDEX($E$160:$M$160,0,AR$231+1)-INDEX($E$160:$M$160,0,AR$231))+AP238)))</f>
        <v>2.7121183872363934</v>
      </c>
      <c r="AR238" s="5" cm="1">
        <f t="array" ref="AR238">IF(AS$231=-1,AS238,IF(AS$231=99,AQ238,IF(AS$231=0,INDEX($E166:$M166,0,AS$229),(INDEX($E166:$M166,0,AS$231+1)-INDEX($E166:$M166,0,AS$231))/(INDEX($E$160:$M$160,0,AS$231+1)-INDEX($E$160:$M$160,0,AS$231))+AQ238)))</f>
        <v>2.7121183872363934</v>
      </c>
      <c r="AS238" s="5" cm="1">
        <f t="array" ref="AS238">IF(AT$231=-1,AT238,IF(AT$231=99,AR238,IF(AT$231=0,INDEX($E166:$M166,0,AT$229),(INDEX($E166:$M166,0,AT$231+1)-INDEX($E166:$M166,0,AT$231))/(INDEX($E$160:$M$160,0,AT$231+1)-INDEX($E$160:$M$160,0,AT$231))+AR238)))</f>
        <v>2.7121183872363934</v>
      </c>
      <c r="AT238" s="5" cm="1">
        <f t="array" ref="AT238">IF(AV$231=-1,AV238,IF(AV$231=99,AS238,IF(AV$231=0,INDEX($E166:$M166,0,AV$229),(INDEX($E166:$M166,0,AV$231+1)-INDEX($E166:$M166,0,AV$231))/(INDEX($E$160:$M$160,0,AV$231+1)-INDEX($E$160:$M$160,0,AV$231))+AS238)))</f>
        <v>2.7121183872363934</v>
      </c>
      <c r="AU238" s="5" cm="1">
        <f t="array" ref="AU238">IF(AW$231=-1,AW238,IF(AW$231=99,AS238,IF(AW$231=0,INDEX($E166:$M166,0,AW$229),(INDEX($E166:$M166,0,AW$231+1)-INDEX($E166:$M166,0,AW$231))/(INDEX($E$160:$M$160,0,AW$231+1)-INDEX($E$160:$M$160,0,AW$231))+AS238)))</f>
        <v>2.7121183872363934</v>
      </c>
      <c r="AV238" s="5" cm="1">
        <f t="array" ref="AV238">IF(AX$231=-1,AX238,IF(AX$231=99,AT238,IF(AX$231=0,INDEX($E166:$M166,0,AX$229),(INDEX($E166:$M166,0,AX$231+1)-INDEX($E166:$M166,0,AX$231))/(INDEX($E$160:$M$160,0,AX$231+1)-INDEX($E$160:$M$160,0,AX$231))+AT238)))</f>
        <v>2.7121183872363934</v>
      </c>
      <c r="AW238" s="5" cm="1">
        <f t="array" ref="AW238">IF(AY$231=-1,AY238,IF(AY$231=99,AV238,IF(AY$231=0,INDEX($E166:$M166,0,AY$229),(INDEX($E166:$M166,0,AY$231+1)-INDEX($E166:$M166,0,AY$231))/(INDEX($E$160:$M$160,0,AY$231+1)-INDEX($E$160:$M$160,0,AY$231))+AV238)))</f>
        <v>2.7121183872363934</v>
      </c>
      <c r="AX238" s="5" cm="1">
        <f t="array" ref="AX238">IF(AY$231=-1,AY238,IF(AY$231=99,AV238,IF(AY$231=0,INDEX($E166:$M166,0,AY$229),(INDEX($E166:$M166,0,AY$231+1)-INDEX($E166:$M166,0,AY$231))/(INDEX($E$160:$M$160,0,AY$231+1)-INDEX($E$160:$M$160,0,AY$231))+AV238)))</f>
        <v>2.7121183872363934</v>
      </c>
      <c r="AY238" s="5" cm="1">
        <f t="array" ref="AY238">IF(AZ$231=-1,AZ238,IF(AZ$231=99,AX238,IF(AZ$231=0,INDEX($E166:$M166,0,AZ$229),(INDEX($E166:$M166,0,AZ$231+1)-INDEX($E166:$M166,0,AZ$231))/(INDEX($E$160:$M$160,0,AZ$231+1)-INDEX($E$160:$M$160,0,AZ$231))+AX238)))</f>
        <v>2.7121183872363934</v>
      </c>
      <c r="AZ238" s="5" cm="1">
        <f t="array" ref="AZ238">IF(BA$231=-1,BA238,IF(BA$231=99,AY238,IF(BA$231=0,INDEX($E166:$M166,0,BA$229),(INDEX($E166:$M166,0,BA$231+1)-INDEX($E166:$M166,0,BA$231))/(INDEX($E$160:$M$160,0,BA$231+1)-INDEX($E$160:$M$160,0,BA$231))+AY238)))</f>
        <v>2.7121183872363934</v>
      </c>
      <c r="BA238" s="5" cm="1">
        <f t="array" ref="BA238">IF(BB$231=-1,BB238,IF(BB$231=99,AZ238,IF(BB$231=0,INDEX($E166:$M166,0,BB$229),(INDEX($E166:$M166,0,BB$231+1)-INDEX($E166:$M166,0,BB$231))/(INDEX($E$160:$M$160,0,BB$231+1)-INDEX($E$160:$M$160,0,BB$231))+AZ238)))</f>
        <v>2.7121183872363934</v>
      </c>
      <c r="BB238" s="5" cm="1">
        <f t="array" ref="BB238">IF(BC$231=-1,BC238,IF(BC$231=99,BA238,IF(BC$231=0,INDEX($E166:$M166,0,BC$229),(INDEX($E166:$M166,0,BC$231+1)-INDEX($E166:$M166,0,BC$231))/(INDEX($E$160:$M$160,0,BC$231+1)-INDEX($E$160:$M$160,0,BC$231))+BA238)))</f>
        <v>2.7121183872363934</v>
      </c>
      <c r="BC238" s="5" cm="1">
        <f t="array" ref="BC238">IF(BD$231=-1,BD238,IF(BD$231=99,BB238,IF(BD$231=0,INDEX($E166:$M166,0,BD$229),(INDEX($E166:$M166,0,BD$231+1)-INDEX($E166:$M166,0,BD$231))/(INDEX($E$160:$M$160,0,BD$231+1)-INDEX($E$160:$M$160,0,BD$231))+BB238)))</f>
        <v>2.7121183872363934</v>
      </c>
      <c r="BD238" s="5" cm="1">
        <f t="array" ref="BD238">IF(BE$231=-1,BE238,IF(BE$231=99,BC238,IF(BE$231=0,INDEX($E166:$M166,0,BE$229),(INDEX($E166:$M166,0,BE$231+1)-INDEX($E166:$M166,0,BE$231))/(INDEX($E$160:$M$160,0,BE$231+1)-INDEX($E$160:$M$160,0,BE$231))+BC238)))</f>
        <v>2.7121183872363934</v>
      </c>
      <c r="BE238" s="5" cm="1">
        <f t="array" ref="BE238">IF(BF$231=-1,BF238,IF(BF$231=99,BD238,IF(BF$231=0,INDEX($E166:$M166,0,BF$229),(INDEX($E166:$M166,0,BF$231+1)-INDEX($E166:$M166,0,BF$231))/(INDEX($E$160:$M$160,0,BF$231+1)-INDEX($E$160:$M$160,0,BF$231))+BD238)))</f>
        <v>2.7121183872363934</v>
      </c>
      <c r="BF238" s="5" cm="1">
        <f t="array" ref="BF238">IF(BG$231=-1,BG238,IF(BG$231=99,BE238,IF(BG$231=0,INDEX($E166:$M166,0,BG$229),(INDEX($E166:$M166,0,BG$231+1)-INDEX($E166:$M166,0,BG$231))/(INDEX($E$160:$M$160,0,BG$231+1)-INDEX($E$160:$M$160,0,BG$231))+BE238)))</f>
        <v>2.7121183872363934</v>
      </c>
      <c r="BG238" s="5" cm="1">
        <f t="array" ref="BG238">IF(BH$231=-1,BH238,IF(BH$231=99,BF238,IF(BH$231=0,INDEX($E166:$M166,0,BH$229),(INDEX($E166:$M166,0,BH$231+1)-INDEX($E166:$M166,0,BH$231))/(INDEX($E$160:$M$160,0,BH$231+1)-INDEX($E$160:$M$160,0,BH$231))+BF238)))</f>
        <v>2.7121183872363934</v>
      </c>
      <c r="BH238" s="5" cm="1">
        <f t="array" ref="BH238">IF(BI$231=-1,BI238,IF(BI$231=99,BG238,IF(BI$231=0,INDEX($E166:$M166,0,BI$229),(INDEX($E166:$M166,0,BI$231+1)-INDEX($E166:$M166,0,BI$231))/(INDEX($E$160:$M$160,0,BI$231+1)-INDEX($E$160:$M$160,0,BI$231))+BG238)))</f>
        <v>2.7121183872363934</v>
      </c>
      <c r="BI238" s="5" cm="1">
        <f t="array" ref="BI238">IF(BJ$231=-1,BJ238,IF(BJ$231=99,BH238,IF(BJ$231=0,INDEX($E166:$M166,0,BJ$229),(INDEX($E166:$M166,0,BJ$231+1)-INDEX($E166:$M166,0,BJ$231))/(INDEX($E$160:$M$160,0,BJ$231+1)-INDEX($E$160:$M$160,0,BJ$231))+BH238)))</f>
        <v>2.7121183872363934</v>
      </c>
      <c r="BJ238" s="5" cm="1">
        <f t="array" ref="BJ238">IF(BK$231=-1,BL238,IF(BK$231=99,BI238,IF(BK$231=0,INDEX($E166:$M166,0,BK$229),(INDEX($E166:$M166,0,BK$231+1)-INDEX($E166:$M166,0,BK$231))/(INDEX($E$160:$M$160,0,BK$231+1)-INDEX($E$160:$M$160,0,BK$231))+BI238)))</f>
        <v>2.7121183872363934</v>
      </c>
      <c r="BL238" s="5"/>
      <c r="BM238" s="5"/>
      <c r="BN238" s="5"/>
      <c r="BO238" s="5"/>
      <c r="BP238" s="5"/>
      <c r="BQ238" s="5"/>
    </row>
    <row r="239" spans="5:70">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9.1535777190606566</v>
      </c>
      <c r="W239" s="5" cm="1">
        <f t="array" ref="W239">IF(X$231=-1,X239,IF(X$231=99,V239,IF(X$231=0,INDEX($E167:$M167,0,X$229),(INDEX($E167:$M167,0,X$231+1)-INDEX($E167:$M167,0,X$231))/(INDEX($E$160:$M$160,0,X$231+1)-INDEX($E$160:$M$160,0,X$231))+V239)))</f>
        <v>9.2831808629593908</v>
      </c>
      <c r="X239" s="5" cm="1">
        <f t="array" ref="X239">IF(Y$231=-1,Y239,IF(Y$231=99,W239,IF(Y$231=0,INDEX($E167:$M167,0,Y$229),(INDEX($E167:$M167,0,Y$231+1)-INDEX($E167:$M167,0,Y$231))/(INDEX($E$160:$M$160,0,Y$231+1)-INDEX($E$160:$M$160,0,Y$231))+W239)))</f>
        <v>9.1535777190606566</v>
      </c>
      <c r="Y239" s="5" cm="1">
        <f t="array" ref="Y239">IF(Z$231=-1,Z239,IF(Z$231=99,X239,IF(Z$231=0,INDEX($E167:$M167,0,Z$229),(INDEX($E167:$M167,0,Z$231+1)-INDEX($E167:$M167,0,Z$231))/(INDEX($E$160:$M$160,0,Z$231+1)-INDEX($E$160:$M$160,0,Z$231))+X239)))</f>
        <v>9.5950267537405001</v>
      </c>
      <c r="Z239" s="5" cm="1">
        <f t="array" ref="Z239">IF(AA$231=-1,AA239,IF(AA$231=99,Y239,IF(AA$231=0,INDEX($E167:$M167,0,AA$229),(INDEX($E167:$M167,0,AA$231+1)-INDEX($E167:$M167,0,AA$231))/(INDEX($E$160:$M$160,0,AA$231+1)-INDEX($E$160:$M$160,0,AA$231))+Y239)))</f>
        <v>10.036475788420343</v>
      </c>
      <c r="AA239" s="5" cm="1">
        <f t="array" ref="AA239">IF(AD$231=-1,AD239,IF(AD$231=99,Z239,IF(AD$231=0,INDEX($E167:$M167,0,AD$229),(INDEX($E167:$M167,0,AD$231+1)-INDEX($E167:$M167,0,AD$231))/(INDEX($E$160:$M$160,0,AD$231+1)-INDEX($E$160:$M$160,0,AD$231))+Z239)))</f>
        <v>10.477924823100187</v>
      </c>
      <c r="AB239" s="5" cm="1">
        <f t="array" ref="AB239">IF(AD$231=-1,AD239,IF(AD$231=99,Z239,IF(AD$231=0,INDEX($E167:$M167,0,AD$229),(INDEX($E167:$M167,0,AD$231+1)-INDEX($E167:$M167,0,AD$231))/(INDEX($E$160:$M$160,0,AD$231+1)-INDEX($E$160:$M$160,0,AD$231))+Z239)))</f>
        <v>10.477924823100187</v>
      </c>
      <c r="AC239" s="5" cm="1">
        <f t="array" ref="AC239">IF(AD$231=-1,AD239,IF(AD$231=99,Z239,IF(AD$231=0,INDEX($E167:$M167,0,AD$229),(INDEX($E167:$M167,0,AD$231+1)-INDEX($E167:$M167,0,AD$231))/(INDEX($E$160:$M$160,0,AD$231+1)-INDEX($E$160:$M$160,0,AD$231))+Z239)))</f>
        <v>10.477924823100187</v>
      </c>
      <c r="AD239" s="5" cm="1">
        <f t="array" ref="AD239">IF(AE$231=-1,AE239,IF(AE$231=99,AA239,IF(AE$231=0,INDEX($E167:$M167,0,AE$229),(INDEX($E167:$M167,0,AE$231+1)-INDEX($E167:$M167,0,AE$231))/(INDEX($E$160:$M$160,0,AE$231+1)-INDEX($E$160:$M$160,0,AE$231))+AA239)))</f>
        <v>10.91937385778003</v>
      </c>
      <c r="AE239" s="5" cm="1">
        <f t="array" ref="AE239">IF(AF$231=-1,AF239,IF(AF$231=99,AD239,IF(AF$231=0,INDEX($E167:$M167,0,AF$229),(INDEX($E167:$M167,0,AF$231+1)-INDEX($E167:$M167,0,AF$231))/(INDEX($E$160:$M$160,0,AF$231+1)-INDEX($E$160:$M$160,0,AF$231))+AD239)))</f>
        <v>11.360822892459874</v>
      </c>
      <c r="AF239" s="5" cm="1">
        <f t="array" ref="AF239">IF(AG$231=-1,AG239,IF(AG$231=99,AE239,IF(AG$231=0,INDEX($E167:$M167,0,AG$229),(INDEX($E167:$M167,0,AG$231+1)-INDEX($E167:$M167,0,AG$231))/(INDEX($E$160:$M$160,0,AG$231+1)-INDEX($E$160:$M$160,0,AG$231))+AE239)))</f>
        <v>11.802271927139717</v>
      </c>
      <c r="AG239" s="5" cm="1">
        <f t="array" ref="AG239">IF(AH$231=-1,AH239,IF(AH$231=99,AF239,IF(AH$231=0,INDEX($E167:$M167,0,AH$229),(INDEX($E167:$M167,0,AH$231+1)-INDEX($E167:$M167,0,AH$231))/(INDEX($E$160:$M$160,0,AH$231+1)-INDEX($E$160:$M$160,0,AH$231))+AF239)))</f>
        <v>12.243720961819561</v>
      </c>
      <c r="AH239" s="5" cm="1">
        <f t="array" ref="AH239">IF(AI$231=-1,AI239,IF(AI$231=99,AG239,IF(AI$231=0,INDEX($E167:$M167,0,AI$229),(INDEX($E167:$M167,0,AI$231+1)-INDEX($E167:$M167,0,AI$231))/(INDEX($E$160:$M$160,0,AI$231+1)-INDEX($E$160:$M$160,0,AI$231))+AG239)))</f>
        <v>12.685169996499404</v>
      </c>
      <c r="AI239" s="5" cm="1">
        <f t="array" ref="AI239">IF(AJ$231=-1,AJ239,IF(AJ$231=99,AH239,IF(AJ$231=0,INDEX($E167:$M167,0,AJ$229),(INDEX($E167:$M167,0,AJ$231+1)-INDEX($E167:$M167,0,AJ$231))/(INDEX($E$160:$M$160,0,AJ$231+1)-INDEX($E$160:$M$160,0,AJ$231))+AH239)))</f>
        <v>13.126619031179247</v>
      </c>
      <c r="AJ239" s="5" cm="1">
        <f t="array" ref="AJ239">IF(AK$231=-1,AK239,IF(AK$231=99,AI239,IF(AK$231=0,INDEX($E167:$M167,0,AK$229),(INDEX($E167:$M167,0,AK$231+1)-INDEX($E167:$M167,0,AK$231))/(INDEX($E$160:$M$160,0,AK$231+1)-INDEX($E$160:$M$160,0,AK$231))+AI239)))</f>
        <v>13.126619031179249</v>
      </c>
      <c r="AK239" s="5" cm="1">
        <f t="array" ref="AK239">IF(AL$231=-1,AL239,IF(AL$231=99,AJ239,IF(AL$231=0,INDEX($E167:$M167,0,AL$229),(INDEX($E167:$M167,0,AL$231+1)-INDEX($E167:$M167,0,AL$231))/(INDEX($E$160:$M$160,0,AL$231+1)-INDEX($E$160:$M$160,0,AL$231))+AJ239)))</f>
        <v>13.126619031179249</v>
      </c>
      <c r="AL239" s="5" cm="1">
        <f t="array" ref="AL239">IF(AO$231=-1,AO239,IF(AO$231=99,AK239,IF(AO$231=0,INDEX($E167:$M167,0,AO$229),(INDEX($E167:$M167,0,AO$231+1)-INDEX($E167:$M167,0,AO$231))/(INDEX($E$160:$M$160,0,AO$231+1)-INDEX($E$160:$M$160,0,AO$231))+AK239)))</f>
        <v>13.126619031179249</v>
      </c>
      <c r="AM239" s="5" cm="1">
        <f t="array" ref="AM239">IF(AO$231=-1,AO239,IF(AO$231=99,AK239,IF(AO$231=0,INDEX($E167:$M167,0,AO$229),(INDEX($E167:$M167,0,AO$231+1)-INDEX($E167:$M167,0,AO$231))/(INDEX($E$160:$M$160,0,AO$231+1)-INDEX($E$160:$M$160,0,AO$231))+AK239)))</f>
        <v>13.126619031179249</v>
      </c>
      <c r="AN239" s="5" cm="1">
        <f t="array" ref="AN239">IF(AO$231=-1,AO239,IF(AO$231=99,AK239,IF(AO$231=0,INDEX($E167:$M167,0,AO$229),(INDEX($E167:$M167,0,AO$231+1)-INDEX($E167:$M167,0,AO$231))/(INDEX($E$160:$M$160,0,AO$231+1)-INDEX($E$160:$M$160,0,AO$231))+AK239)))</f>
        <v>13.126619031179249</v>
      </c>
      <c r="AO239" s="5" cm="1">
        <f t="array" ref="AO239">IF(AP$231=-1,AP239,IF(AP$231=99,AL239,IF(AP$231=0,INDEX($E167:$M167,0,AP$229),(INDEX($E167:$M167,0,AP$231+1)-INDEX($E167:$M167,0,AP$231))/(INDEX($E$160:$M$160,0,AP$231+1)-INDEX($E$160:$M$160,0,AP$231))+AL239)))</f>
        <v>13.126619031179249</v>
      </c>
      <c r="AP239" s="5" cm="1">
        <f t="array" ref="AP239">IF(AQ$231=-1,AQ239,IF(AQ$231=99,AO239,IF(AQ$231=0,INDEX($E167:$M167,0,AQ$229),(INDEX($E167:$M167,0,AQ$231+1)-INDEX($E167:$M167,0,AQ$231))/(INDEX($E$160:$M$160,0,AQ$231+1)-INDEX($E$160:$M$160,0,AQ$231))+AO239)))</f>
        <v>13.126619031179249</v>
      </c>
      <c r="AQ239" s="5" cm="1">
        <f t="array" ref="AQ239">IF(AR$231=-1,AR239,IF(AR$231=99,AP239,IF(AR$231=0,INDEX($E167:$M167,0,AR$229),(INDEX($E167:$M167,0,AR$231+1)-INDEX($E167:$M167,0,AR$231))/(INDEX($E$160:$M$160,0,AR$231+1)-INDEX($E$160:$M$160,0,AR$231))+AP239)))</f>
        <v>13.126619031179249</v>
      </c>
      <c r="AR239" s="5" cm="1">
        <f t="array" ref="AR239">IF(AS$231=-1,AS239,IF(AS$231=99,AQ239,IF(AS$231=0,INDEX($E167:$M167,0,AS$229),(INDEX($E167:$M167,0,AS$231+1)-INDEX($E167:$M167,0,AS$231))/(INDEX($E$160:$M$160,0,AS$231+1)-INDEX($E$160:$M$160,0,AS$231))+AQ239)))</f>
        <v>13.126619031179249</v>
      </c>
      <c r="AS239" s="5" cm="1">
        <f t="array" ref="AS239">IF(AT$231=-1,AT239,IF(AT$231=99,AR239,IF(AT$231=0,INDEX($E167:$M167,0,AT$229),(INDEX($E167:$M167,0,AT$231+1)-INDEX($E167:$M167,0,AT$231))/(INDEX($E$160:$M$160,0,AT$231+1)-INDEX($E$160:$M$160,0,AT$231))+AR239)))</f>
        <v>13.126619031179249</v>
      </c>
      <c r="AT239" s="5" cm="1">
        <f t="array" ref="AT239">IF(AV$231=-1,AV239,IF(AV$231=99,AS239,IF(AV$231=0,INDEX($E167:$M167,0,AV$229),(INDEX($E167:$M167,0,AV$231+1)-INDEX($E167:$M167,0,AV$231))/(INDEX($E$160:$M$160,0,AV$231+1)-INDEX($E$160:$M$160,0,AV$231))+AS239)))</f>
        <v>13.126619031179249</v>
      </c>
      <c r="AU239" s="5" cm="1">
        <f t="array" ref="AU239">IF(AW$231=-1,AW239,IF(AW$231=99,AS239,IF(AW$231=0,INDEX($E167:$M167,0,AW$229),(INDEX($E167:$M167,0,AW$231+1)-INDEX($E167:$M167,0,AW$231))/(INDEX($E$160:$M$160,0,AW$231+1)-INDEX($E$160:$M$160,0,AW$231))+AS239)))</f>
        <v>13.126619031179249</v>
      </c>
      <c r="AV239" s="5" cm="1">
        <f t="array" ref="AV239">IF(AX$231=-1,AX239,IF(AX$231=99,AT239,IF(AX$231=0,INDEX($E167:$M167,0,AX$229),(INDEX($E167:$M167,0,AX$231+1)-INDEX($E167:$M167,0,AX$231))/(INDEX($E$160:$M$160,0,AX$231+1)-INDEX($E$160:$M$160,0,AX$231))+AT239)))</f>
        <v>13.126619031179249</v>
      </c>
      <c r="AW239" s="5" cm="1">
        <f t="array" ref="AW239">IF(AY$231=-1,AY239,IF(AY$231=99,AV239,IF(AY$231=0,INDEX($E167:$M167,0,AY$229),(INDEX($E167:$M167,0,AY$231+1)-INDEX($E167:$M167,0,AY$231))/(INDEX($E$160:$M$160,0,AY$231+1)-INDEX($E$160:$M$160,0,AY$231))+AV239)))</f>
        <v>13.126619031179249</v>
      </c>
      <c r="AX239" s="5" cm="1">
        <f t="array" ref="AX239">IF(AY$231=-1,AY239,IF(AY$231=99,AV239,IF(AY$231=0,INDEX($E167:$M167,0,AY$229),(INDEX($E167:$M167,0,AY$231+1)-INDEX($E167:$M167,0,AY$231))/(INDEX($E$160:$M$160,0,AY$231+1)-INDEX($E$160:$M$160,0,AY$231))+AV239)))</f>
        <v>13.126619031179249</v>
      </c>
      <c r="AY239" s="5" cm="1">
        <f t="array" ref="AY239">IF(AZ$231=-1,AZ239,IF(AZ$231=99,AX239,IF(AZ$231=0,INDEX($E167:$M167,0,AZ$229),(INDEX($E167:$M167,0,AZ$231+1)-INDEX($E167:$M167,0,AZ$231))/(INDEX($E$160:$M$160,0,AZ$231+1)-INDEX($E$160:$M$160,0,AZ$231))+AX239)))</f>
        <v>13.126619031179249</v>
      </c>
      <c r="AZ239" s="5" cm="1">
        <f t="array" ref="AZ239">IF(BA$231=-1,BA239,IF(BA$231=99,AY239,IF(BA$231=0,INDEX($E167:$M167,0,BA$229),(INDEX($E167:$M167,0,BA$231+1)-INDEX($E167:$M167,0,BA$231))/(INDEX($E$160:$M$160,0,BA$231+1)-INDEX($E$160:$M$160,0,BA$231))+AY239)))</f>
        <v>13.126619031179249</v>
      </c>
      <c r="BA239" s="5" cm="1">
        <f t="array" ref="BA239">IF(BB$231=-1,BB239,IF(BB$231=99,AZ239,IF(BB$231=0,INDEX($E167:$M167,0,BB$229),(INDEX($E167:$M167,0,BB$231+1)-INDEX($E167:$M167,0,BB$231))/(INDEX($E$160:$M$160,0,BB$231+1)-INDEX($E$160:$M$160,0,BB$231))+AZ239)))</f>
        <v>13.126619031179249</v>
      </c>
      <c r="BB239" s="5" cm="1">
        <f t="array" ref="BB239">IF(BC$231=-1,BC239,IF(BC$231=99,BA239,IF(BC$231=0,INDEX($E167:$M167,0,BC$229),(INDEX($E167:$M167,0,BC$231+1)-INDEX($E167:$M167,0,BC$231))/(INDEX($E$160:$M$160,0,BC$231+1)-INDEX($E$160:$M$160,0,BC$231))+BA239)))</f>
        <v>13.126619031179249</v>
      </c>
      <c r="BC239" s="5" cm="1">
        <f t="array" ref="BC239">IF(BD$231=-1,BD239,IF(BD$231=99,BB239,IF(BD$231=0,INDEX($E167:$M167,0,BD$229),(INDEX($E167:$M167,0,BD$231+1)-INDEX($E167:$M167,0,BD$231))/(INDEX($E$160:$M$160,0,BD$231+1)-INDEX($E$160:$M$160,0,BD$231))+BB239)))</f>
        <v>13.126619031179249</v>
      </c>
      <c r="BD239" s="5" cm="1">
        <f t="array" ref="BD239">IF(BE$231=-1,BE239,IF(BE$231=99,BC239,IF(BE$231=0,INDEX($E167:$M167,0,BE$229),(INDEX($E167:$M167,0,BE$231+1)-INDEX($E167:$M167,0,BE$231))/(INDEX($E$160:$M$160,0,BE$231+1)-INDEX($E$160:$M$160,0,BE$231))+BC239)))</f>
        <v>13.126619031179249</v>
      </c>
      <c r="BE239" s="5" cm="1">
        <f t="array" ref="BE239">IF(BF$231=-1,BF239,IF(BF$231=99,BD239,IF(BF$231=0,INDEX($E167:$M167,0,BF$229),(INDEX($E167:$M167,0,BF$231+1)-INDEX($E167:$M167,0,BF$231))/(INDEX($E$160:$M$160,0,BF$231+1)-INDEX($E$160:$M$160,0,BF$231))+BD239)))</f>
        <v>13.126619031179249</v>
      </c>
      <c r="BF239" s="5" cm="1">
        <f t="array" ref="BF239">IF(BG$231=-1,BG239,IF(BG$231=99,BE239,IF(BG$231=0,INDEX($E167:$M167,0,BG$229),(INDEX($E167:$M167,0,BG$231+1)-INDEX($E167:$M167,0,BG$231))/(INDEX($E$160:$M$160,0,BG$231+1)-INDEX($E$160:$M$160,0,BG$231))+BE239)))</f>
        <v>13.126619031179249</v>
      </c>
      <c r="BG239" s="5" cm="1">
        <f t="array" ref="BG239">IF(BH$231=-1,BH239,IF(BH$231=99,BF239,IF(BH$231=0,INDEX($E167:$M167,0,BH$229),(INDEX($E167:$M167,0,BH$231+1)-INDEX($E167:$M167,0,BH$231))/(INDEX($E$160:$M$160,0,BH$231+1)-INDEX($E$160:$M$160,0,BH$231))+BF239)))</f>
        <v>13.126619031179249</v>
      </c>
      <c r="BH239" s="5" cm="1">
        <f t="array" ref="BH239">IF(BI$231=-1,BI239,IF(BI$231=99,BG239,IF(BI$231=0,INDEX($E167:$M167,0,BI$229),(INDEX($E167:$M167,0,BI$231+1)-INDEX($E167:$M167,0,BI$231))/(INDEX($E$160:$M$160,0,BI$231+1)-INDEX($E$160:$M$160,0,BI$231))+BG239)))</f>
        <v>13.126619031179249</v>
      </c>
      <c r="BI239" s="5" cm="1">
        <f t="array" ref="BI239">IF(BJ$231=-1,BJ239,IF(BJ$231=99,BH239,IF(BJ$231=0,INDEX($E167:$M167,0,BJ$229),(INDEX($E167:$M167,0,BJ$231+1)-INDEX($E167:$M167,0,BJ$231))/(INDEX($E$160:$M$160,0,BJ$231+1)-INDEX($E$160:$M$160,0,BJ$231))+BH239)))</f>
        <v>13.126619031179249</v>
      </c>
      <c r="BJ239" s="5" cm="1">
        <f t="array" ref="BJ239">IF(BK$231=-1,BL239,IF(BK$231=99,BI239,IF(BK$231=0,INDEX($E167:$M167,0,BK$229),(INDEX($E167:$M167,0,BK$231+1)-INDEX($E167:$M167,0,BK$231))/(INDEX($E$160:$M$160,0,BK$231+1)-INDEX($E$160:$M$160,0,BK$231))+BI239)))</f>
        <v>13.126619031179249</v>
      </c>
      <c r="BL239" s="5"/>
      <c r="BM239" s="5"/>
      <c r="BN239" s="5"/>
      <c r="BO239" s="5"/>
      <c r="BP239" s="5"/>
      <c r="BQ239" s="5"/>
    </row>
    <row r="240" spans="5:70">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0.6528281316673451</v>
      </c>
      <c r="W240" s="5" cm="1">
        <f t="array" ref="W240">IF(X$231=-1,X240,IF(X$231=99,V240,IF(X$231=0,INDEX($E168:$M168,0,X$229),(INDEX($E168:$M168,0,X$231+1)-INDEX($E168:$M168,0,X$231))/(INDEX($E$160:$M$160,0,X$231+1)-INDEX($E$160:$M$160,0,X$231))+V240)))</f>
        <v>0.66317373356339693</v>
      </c>
      <c r="X240" s="5" cm="1">
        <f t="array" ref="X240">IF(Y$231=-1,Y240,IF(Y$231=99,W240,IF(Y$231=0,INDEX($E168:$M168,0,Y$229),(INDEX($E168:$M168,0,Y$231+1)-INDEX($E168:$M168,0,Y$231))/(INDEX($E$160:$M$160,0,Y$231+1)-INDEX($E$160:$M$160,0,Y$231))+W240)))</f>
        <v>0.6528281316673451</v>
      </c>
      <c r="Y240" s="5" cm="1">
        <f t="array" ref="Y240">IF(Z$231=-1,Z240,IF(Z$231=99,X240,IF(Z$231=0,INDEX($E168:$M168,0,Z$229),(INDEX($E168:$M168,0,Z$231+1)-INDEX($E168:$M168,0,Z$231))/(INDEX($E$160:$M$160,0,Z$231+1)-INDEX($E$160:$M$160,0,Z$231))+X240)))</f>
        <v>0.75920400441386882</v>
      </c>
      <c r="Z240" s="5" cm="1">
        <f t="array" ref="Z240">IF(AA$231=-1,AA240,IF(AA$231=99,Y240,IF(AA$231=0,INDEX($E168:$M168,0,AA$229),(INDEX($E168:$M168,0,AA$231+1)-INDEX($E168:$M168,0,AA$231))/(INDEX($E$160:$M$160,0,AA$231+1)-INDEX($E$160:$M$160,0,AA$231))+Y240)))</f>
        <v>0.86557987716039264</v>
      </c>
      <c r="AA240" s="5" cm="1">
        <f t="array" ref="AA240">IF(AD$231=-1,AD240,IF(AD$231=99,Z240,IF(AD$231=0,INDEX($E168:$M168,0,AD$229),(INDEX($E168:$M168,0,AD$231+1)-INDEX($E168:$M168,0,AD$231))/(INDEX($E$160:$M$160,0,AD$231+1)-INDEX($E$160:$M$160,0,AD$231))+Z240)))</f>
        <v>0.97195574990691647</v>
      </c>
      <c r="AB240" s="5" cm="1">
        <f t="array" ref="AB240">IF(AD$231=-1,AD240,IF(AD$231=99,Z240,IF(AD$231=0,INDEX($E168:$M168,0,AD$229),(INDEX($E168:$M168,0,AD$231+1)-INDEX($E168:$M168,0,AD$231))/(INDEX($E$160:$M$160,0,AD$231+1)-INDEX($E$160:$M$160,0,AD$231))+Z240)))</f>
        <v>0.97195574990691647</v>
      </c>
      <c r="AC240" s="5" cm="1">
        <f t="array" ref="AC240">IF(AD$231=-1,AD240,IF(AD$231=99,Z240,IF(AD$231=0,INDEX($E168:$M168,0,AD$229),(INDEX($E168:$M168,0,AD$231+1)-INDEX($E168:$M168,0,AD$231))/(INDEX($E$160:$M$160,0,AD$231+1)-INDEX($E$160:$M$160,0,AD$231))+Z240)))</f>
        <v>0.97195574990691647</v>
      </c>
      <c r="AD240" s="5" cm="1">
        <f t="array" ref="AD240">IF(AE$231=-1,AE240,IF(AE$231=99,AA240,IF(AE$231=0,INDEX($E168:$M168,0,AE$229),(INDEX($E168:$M168,0,AE$231+1)-INDEX($E168:$M168,0,AE$231))/(INDEX($E$160:$M$160,0,AE$231+1)-INDEX($E$160:$M$160,0,AE$231))+AA240)))</f>
        <v>1.0783316226534403</v>
      </c>
      <c r="AE240" s="5" cm="1">
        <f t="array" ref="AE240">IF(AF$231=-1,AF240,IF(AF$231=99,AD240,IF(AF$231=0,INDEX($E168:$M168,0,AF$229),(INDEX($E168:$M168,0,AF$231+1)-INDEX($E168:$M168,0,AF$231))/(INDEX($E$160:$M$160,0,AF$231+1)-INDEX($E$160:$M$160,0,AF$231))+AD240)))</f>
        <v>1.1847074953999641</v>
      </c>
      <c r="AF240" s="5" cm="1">
        <f t="array" ref="AF240">IF(AG$231=-1,AG240,IF(AG$231=99,AE240,IF(AG$231=0,INDEX($E168:$M168,0,AG$229),(INDEX($E168:$M168,0,AG$231+1)-INDEX($E168:$M168,0,AG$231))/(INDEX($E$160:$M$160,0,AG$231+1)-INDEX($E$160:$M$160,0,AG$231))+AE240)))</f>
        <v>1.2910833681464879</v>
      </c>
      <c r="AG240" s="5" cm="1">
        <f t="array" ref="AG240">IF(AH$231=-1,AH240,IF(AH$231=99,AF240,IF(AH$231=0,INDEX($E168:$M168,0,AH$229),(INDEX($E168:$M168,0,AH$231+1)-INDEX($E168:$M168,0,AH$231))/(INDEX($E$160:$M$160,0,AH$231+1)-INDEX($E$160:$M$160,0,AH$231))+AF240)))</f>
        <v>1.3974592408930118</v>
      </c>
      <c r="AH240" s="5" cm="1">
        <f t="array" ref="AH240">IF(AI$231=-1,AI240,IF(AI$231=99,AG240,IF(AI$231=0,INDEX($E168:$M168,0,AI$229),(INDEX($E168:$M168,0,AI$231+1)-INDEX($E168:$M168,0,AI$231))/(INDEX($E$160:$M$160,0,AI$231+1)-INDEX($E$160:$M$160,0,AI$231))+AG240)))</f>
        <v>1.5038351136395356</v>
      </c>
      <c r="AI240" s="5" cm="1">
        <f t="array" ref="AI240">IF(AJ$231=-1,AJ240,IF(AJ$231=99,AH240,IF(AJ$231=0,INDEX($E168:$M168,0,AJ$229),(INDEX($E168:$M168,0,AJ$231+1)-INDEX($E168:$M168,0,AJ$231))/(INDEX($E$160:$M$160,0,AJ$231+1)-INDEX($E$160:$M$160,0,AJ$231))+AH240)))</f>
        <v>1.6102109863860594</v>
      </c>
      <c r="AJ240" s="5" cm="1">
        <f t="array" ref="AJ240">IF(AK$231=-1,AK240,IF(AK$231=99,AI240,IF(AK$231=0,INDEX($E168:$M168,0,AK$229),(INDEX($E168:$M168,0,AK$231+1)-INDEX($E168:$M168,0,AK$231))/(INDEX($E$160:$M$160,0,AK$231+1)-INDEX($E$160:$M$160,0,AK$231))+AI240)))</f>
        <v>1.610210986386059</v>
      </c>
      <c r="AK240" s="5" cm="1">
        <f t="array" ref="AK240">IF(AL$231=-1,AL240,IF(AL$231=99,AJ240,IF(AL$231=0,INDEX($E168:$M168,0,AL$229),(INDEX($E168:$M168,0,AL$231+1)-INDEX($E168:$M168,0,AL$231))/(INDEX($E$160:$M$160,0,AL$231+1)-INDEX($E$160:$M$160,0,AL$231))+AJ240)))</f>
        <v>1.610210986386059</v>
      </c>
      <c r="AL240" s="5" cm="1">
        <f t="array" ref="AL240">IF(AO$231=-1,AO240,IF(AO$231=99,AK240,IF(AO$231=0,INDEX($E168:$M168,0,AO$229),(INDEX($E168:$M168,0,AO$231+1)-INDEX($E168:$M168,0,AO$231))/(INDEX($E$160:$M$160,0,AO$231+1)-INDEX($E$160:$M$160,0,AO$231))+AK240)))</f>
        <v>1.610210986386059</v>
      </c>
      <c r="AM240" s="5" cm="1">
        <f t="array" ref="AM240">IF(AO$231=-1,AO240,IF(AO$231=99,AK240,IF(AO$231=0,INDEX($E168:$M168,0,AO$229),(INDEX($E168:$M168,0,AO$231+1)-INDEX($E168:$M168,0,AO$231))/(INDEX($E$160:$M$160,0,AO$231+1)-INDEX($E$160:$M$160,0,AO$231))+AK240)))</f>
        <v>1.610210986386059</v>
      </c>
      <c r="AN240" s="5" cm="1">
        <f t="array" ref="AN240">IF(AO$231=-1,AO240,IF(AO$231=99,AK240,IF(AO$231=0,INDEX($E168:$M168,0,AO$229),(INDEX($E168:$M168,0,AO$231+1)-INDEX($E168:$M168,0,AO$231))/(INDEX($E$160:$M$160,0,AO$231+1)-INDEX($E$160:$M$160,0,AO$231))+AK240)))</f>
        <v>1.610210986386059</v>
      </c>
      <c r="AO240" s="5" cm="1">
        <f t="array" ref="AO240">IF(AP$231=-1,AP240,IF(AP$231=99,AL240,IF(AP$231=0,INDEX($E168:$M168,0,AP$229),(INDEX($E168:$M168,0,AP$231+1)-INDEX($E168:$M168,0,AP$231))/(INDEX($E$160:$M$160,0,AP$231+1)-INDEX($E$160:$M$160,0,AP$231))+AL240)))</f>
        <v>1.610210986386059</v>
      </c>
      <c r="AP240" s="5" cm="1">
        <f t="array" ref="AP240">IF(AQ$231=-1,AQ240,IF(AQ$231=99,AO240,IF(AQ$231=0,INDEX($E168:$M168,0,AQ$229),(INDEX($E168:$M168,0,AQ$231+1)-INDEX($E168:$M168,0,AQ$231))/(INDEX($E$160:$M$160,0,AQ$231+1)-INDEX($E$160:$M$160,0,AQ$231))+AO240)))</f>
        <v>1.610210986386059</v>
      </c>
      <c r="AQ240" s="5" cm="1">
        <f t="array" ref="AQ240">IF(AR$231=-1,AR240,IF(AR$231=99,AP240,IF(AR$231=0,INDEX($E168:$M168,0,AR$229),(INDEX($E168:$M168,0,AR$231+1)-INDEX($E168:$M168,0,AR$231))/(INDEX($E$160:$M$160,0,AR$231+1)-INDEX($E$160:$M$160,0,AR$231))+AP240)))</f>
        <v>1.610210986386059</v>
      </c>
      <c r="AR240" s="5" cm="1">
        <f t="array" ref="AR240">IF(AS$231=-1,AS240,IF(AS$231=99,AQ240,IF(AS$231=0,INDEX($E168:$M168,0,AS$229),(INDEX($E168:$M168,0,AS$231+1)-INDEX($E168:$M168,0,AS$231))/(INDEX($E$160:$M$160,0,AS$231+1)-INDEX($E$160:$M$160,0,AS$231))+AQ240)))</f>
        <v>1.610210986386059</v>
      </c>
      <c r="AS240" s="5" cm="1">
        <f t="array" ref="AS240">IF(AT$231=-1,AT240,IF(AT$231=99,AR240,IF(AT$231=0,INDEX($E168:$M168,0,AT$229),(INDEX($E168:$M168,0,AT$231+1)-INDEX($E168:$M168,0,AT$231))/(INDEX($E$160:$M$160,0,AT$231+1)-INDEX($E$160:$M$160,0,AT$231))+AR240)))</f>
        <v>1.610210986386059</v>
      </c>
      <c r="AT240" s="5" cm="1">
        <f t="array" ref="AT240">IF(AV$231=-1,AV240,IF(AV$231=99,AS240,IF(AV$231=0,INDEX($E168:$M168,0,AV$229),(INDEX($E168:$M168,0,AV$231+1)-INDEX($E168:$M168,0,AV$231))/(INDEX($E$160:$M$160,0,AV$231+1)-INDEX($E$160:$M$160,0,AV$231))+AS240)))</f>
        <v>1.610210986386059</v>
      </c>
      <c r="AU240" s="5" cm="1">
        <f t="array" ref="AU240">IF(AW$231=-1,AW240,IF(AW$231=99,AS240,IF(AW$231=0,INDEX($E168:$M168,0,AW$229),(INDEX($E168:$M168,0,AW$231+1)-INDEX($E168:$M168,0,AW$231))/(INDEX($E$160:$M$160,0,AW$231+1)-INDEX($E$160:$M$160,0,AW$231))+AS240)))</f>
        <v>1.610210986386059</v>
      </c>
      <c r="AV240" s="5" cm="1">
        <f t="array" ref="AV240">IF(AX$231=-1,AX240,IF(AX$231=99,AT240,IF(AX$231=0,INDEX($E168:$M168,0,AX$229),(INDEX($E168:$M168,0,AX$231+1)-INDEX($E168:$M168,0,AX$231))/(INDEX($E$160:$M$160,0,AX$231+1)-INDEX($E$160:$M$160,0,AX$231))+AT240)))</f>
        <v>1.610210986386059</v>
      </c>
      <c r="AW240" s="5" cm="1">
        <f t="array" ref="AW240">IF(AY$231=-1,AY240,IF(AY$231=99,AV240,IF(AY$231=0,INDEX($E168:$M168,0,AY$229),(INDEX($E168:$M168,0,AY$231+1)-INDEX($E168:$M168,0,AY$231))/(INDEX($E$160:$M$160,0,AY$231+1)-INDEX($E$160:$M$160,0,AY$231))+AV240)))</f>
        <v>1.610210986386059</v>
      </c>
      <c r="AX240" s="5" cm="1">
        <f t="array" ref="AX240">IF(AY$231=-1,AY240,IF(AY$231=99,AV240,IF(AY$231=0,INDEX($E168:$M168,0,AY$229),(INDEX($E168:$M168,0,AY$231+1)-INDEX($E168:$M168,0,AY$231))/(INDEX($E$160:$M$160,0,AY$231+1)-INDEX($E$160:$M$160,0,AY$231))+AV240)))</f>
        <v>1.610210986386059</v>
      </c>
      <c r="AY240" s="5" cm="1">
        <f t="array" ref="AY240">IF(AZ$231=-1,AZ240,IF(AZ$231=99,AX240,IF(AZ$231=0,INDEX($E168:$M168,0,AZ$229),(INDEX($E168:$M168,0,AZ$231+1)-INDEX($E168:$M168,0,AZ$231))/(INDEX($E$160:$M$160,0,AZ$231+1)-INDEX($E$160:$M$160,0,AZ$231))+AX240)))</f>
        <v>1.610210986386059</v>
      </c>
      <c r="AZ240" s="5" cm="1">
        <f t="array" ref="AZ240">IF(BA$231=-1,BA240,IF(BA$231=99,AY240,IF(BA$231=0,INDEX($E168:$M168,0,BA$229),(INDEX($E168:$M168,0,BA$231+1)-INDEX($E168:$M168,0,BA$231))/(INDEX($E$160:$M$160,0,BA$231+1)-INDEX($E$160:$M$160,0,BA$231))+AY240)))</f>
        <v>1.610210986386059</v>
      </c>
      <c r="BA240" s="5" cm="1">
        <f t="array" ref="BA240">IF(BB$231=-1,BB240,IF(BB$231=99,AZ240,IF(BB$231=0,INDEX($E168:$M168,0,BB$229),(INDEX($E168:$M168,0,BB$231+1)-INDEX($E168:$M168,0,BB$231))/(INDEX($E$160:$M$160,0,BB$231+1)-INDEX($E$160:$M$160,0,BB$231))+AZ240)))</f>
        <v>1.610210986386059</v>
      </c>
      <c r="BB240" s="5" cm="1">
        <f t="array" ref="BB240">IF(BC$231=-1,BC240,IF(BC$231=99,BA240,IF(BC$231=0,INDEX($E168:$M168,0,BC$229),(INDEX($E168:$M168,0,BC$231+1)-INDEX($E168:$M168,0,BC$231))/(INDEX($E$160:$M$160,0,BC$231+1)-INDEX($E$160:$M$160,0,BC$231))+BA240)))</f>
        <v>1.610210986386059</v>
      </c>
      <c r="BC240" s="5" cm="1">
        <f t="array" ref="BC240">IF(BD$231=-1,BD240,IF(BD$231=99,BB240,IF(BD$231=0,INDEX($E168:$M168,0,BD$229),(INDEX($E168:$M168,0,BD$231+1)-INDEX($E168:$M168,0,BD$231))/(INDEX($E$160:$M$160,0,BD$231+1)-INDEX($E$160:$M$160,0,BD$231))+BB240)))</f>
        <v>1.610210986386059</v>
      </c>
      <c r="BD240" s="5" cm="1">
        <f t="array" ref="BD240">IF(BE$231=-1,BE240,IF(BE$231=99,BC240,IF(BE$231=0,INDEX($E168:$M168,0,BE$229),(INDEX($E168:$M168,0,BE$231+1)-INDEX($E168:$M168,0,BE$231))/(INDEX($E$160:$M$160,0,BE$231+1)-INDEX($E$160:$M$160,0,BE$231))+BC240)))</f>
        <v>1.610210986386059</v>
      </c>
      <c r="BE240" s="5" cm="1">
        <f t="array" ref="BE240">IF(BF$231=-1,BF240,IF(BF$231=99,BD240,IF(BF$231=0,INDEX($E168:$M168,0,BF$229),(INDEX($E168:$M168,0,BF$231+1)-INDEX($E168:$M168,0,BF$231))/(INDEX($E$160:$M$160,0,BF$231+1)-INDEX($E$160:$M$160,0,BF$231))+BD240)))</f>
        <v>1.610210986386059</v>
      </c>
      <c r="BF240" s="5" cm="1">
        <f t="array" ref="BF240">IF(BG$231=-1,BG240,IF(BG$231=99,BE240,IF(BG$231=0,INDEX($E168:$M168,0,BG$229),(INDEX($E168:$M168,0,BG$231+1)-INDEX($E168:$M168,0,BG$231))/(INDEX($E$160:$M$160,0,BG$231+1)-INDEX($E$160:$M$160,0,BG$231))+BE240)))</f>
        <v>1.610210986386059</v>
      </c>
      <c r="BG240" s="5" cm="1">
        <f t="array" ref="BG240">IF(BH$231=-1,BH240,IF(BH$231=99,BF240,IF(BH$231=0,INDEX($E168:$M168,0,BH$229),(INDEX($E168:$M168,0,BH$231+1)-INDEX($E168:$M168,0,BH$231))/(INDEX($E$160:$M$160,0,BH$231+1)-INDEX($E$160:$M$160,0,BH$231))+BF240)))</f>
        <v>1.610210986386059</v>
      </c>
      <c r="BH240" s="5" cm="1">
        <f t="array" ref="BH240">IF(BI$231=-1,BI240,IF(BI$231=99,BG240,IF(BI$231=0,INDEX($E168:$M168,0,BI$229),(INDEX($E168:$M168,0,BI$231+1)-INDEX($E168:$M168,0,BI$231))/(INDEX($E$160:$M$160,0,BI$231+1)-INDEX($E$160:$M$160,0,BI$231))+BG240)))</f>
        <v>1.610210986386059</v>
      </c>
      <c r="BI240" s="5" cm="1">
        <f t="array" ref="BI240">IF(BJ$231=-1,BJ240,IF(BJ$231=99,BH240,IF(BJ$231=0,INDEX($E168:$M168,0,BJ$229),(INDEX($E168:$M168,0,BJ$231+1)-INDEX($E168:$M168,0,BJ$231))/(INDEX($E$160:$M$160,0,BJ$231+1)-INDEX($E$160:$M$160,0,BJ$231))+BH240)))</f>
        <v>1.610210986386059</v>
      </c>
      <c r="BJ240" s="5" cm="1">
        <f t="array" ref="BJ240">IF(BK$231=-1,BL240,IF(BK$231=99,BI240,IF(BK$231=0,INDEX($E168:$M168,0,BK$229),(INDEX($E168:$M168,0,BK$231+1)-INDEX($E168:$M168,0,BK$231))/(INDEX($E$160:$M$160,0,BK$231+1)-INDEX($E$160:$M$160,0,BK$231))+BI240)))</f>
        <v>1.610210986386059</v>
      </c>
      <c r="BL240" s="5"/>
      <c r="BM240" s="5"/>
      <c r="BN240" s="5"/>
      <c r="BO240" s="5"/>
      <c r="BP240" s="5"/>
      <c r="BQ240" s="5"/>
    </row>
    <row r="241" spans="5:70">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5:70">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5:70">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5:70">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5:70">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5:70">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5:70">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70">
      <c r="E248" t="s">
        <v>16</v>
      </c>
      <c r="J248"/>
      <c r="Q248" s="32"/>
      <c r="R248" s="32"/>
      <c r="S248" s="32"/>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ref="T252:BR252" si="559">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ref="AB252:AC252" si="560">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ref="AM252:AN252" si="561">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ref="AU252" si="562">IF(ISNA(AU249),-1,IF(ISNA(AU251),99,IF(ISNA(AU250),AU249,0)))</f>
        <v>99</v>
      </c>
      <c r="AV252" s="67">
        <f t="shared" si="559"/>
        <v>99</v>
      </c>
      <c r="AW252" s="67">
        <f t="shared" ref="AW252" si="563">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70">
      <c r="E253" t="s">
        <v>16</v>
      </c>
      <c r="F253" t="s">
        <v>259</v>
      </c>
      <c r="G253" s="5" t="s">
        <v>424</v>
      </c>
      <c r="H253" s="46" t="e">
        <f>#REF!/#REF!</f>
        <v>#REF!</v>
      </c>
      <c r="I253" s="46" t="e">
        <f>#REF!/#REF!</f>
        <v>#REF!</v>
      </c>
      <c r="J253" s="46"/>
      <c r="K253" s="46">
        <f>G107/G$111</f>
        <v>1.0184768607920332E-2</v>
      </c>
      <c r="L253" s="46">
        <f t="shared" ref="L253:M255" si="564">I107/I$111</f>
        <v>6.2805535070309202E-3</v>
      </c>
      <c r="M253" s="46">
        <f t="shared" si="564"/>
        <v>3.4370261106763185E-3</v>
      </c>
      <c r="N253" s="46">
        <f>M107/M$111</f>
        <v>8.5874242013464508E-4</v>
      </c>
      <c r="O253" s="46">
        <f>M107/M$111</f>
        <v>8.5874242013464508E-4</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70">
      <c r="E254" t="s">
        <v>16</v>
      </c>
      <c r="F254" t="s">
        <v>260</v>
      </c>
      <c r="G254" s="5" t="s">
        <v>424</v>
      </c>
      <c r="H254" s="46" t="e">
        <f>#REF!/#REF!</f>
        <v>#REF!</v>
      </c>
      <c r="I254" s="46" t="e">
        <f>#REF!/#REF!</f>
        <v>#REF!</v>
      </c>
      <c r="J254" s="46"/>
      <c r="K254" s="46">
        <f>G108/G$111</f>
        <v>0.38722878293536411</v>
      </c>
      <c r="L254" s="46">
        <f t="shared" si="564"/>
        <v>0.2844371121159015</v>
      </c>
      <c r="M254" s="46">
        <f t="shared" si="564"/>
        <v>0.23506149625295775</v>
      </c>
      <c r="N254" s="46">
        <f>M108/M$111</f>
        <v>0.20195045418677168</v>
      </c>
      <c r="O254" s="46">
        <f>M108/M$111</f>
        <v>0.20195045418677168</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70">
      <c r="E255" t="s">
        <v>16</v>
      </c>
      <c r="F255" t="s">
        <v>261</v>
      </c>
      <c r="G255" s="5" t="s">
        <v>424</v>
      </c>
      <c r="H255" s="46" t="e">
        <f>#REF!/#REF!</f>
        <v>#REF!</v>
      </c>
      <c r="I255" s="46" t="e">
        <f>#REF!/#REF!</f>
        <v>#REF!</v>
      </c>
      <c r="J255" s="46"/>
      <c r="K255" s="46">
        <f>G109/G$111</f>
        <v>0.49205730389406133</v>
      </c>
      <c r="L255" s="46">
        <f t="shared" si="564"/>
        <v>0.61562126858626331</v>
      </c>
      <c r="M255" s="46">
        <f t="shared" si="564"/>
        <v>0.67955129246887824</v>
      </c>
      <c r="N255" s="46">
        <f>M109/M$111</f>
        <v>0.73372011315963981</v>
      </c>
      <c r="O255" s="46">
        <f>M109/M$111</f>
        <v>0.73372011315963981</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70">
      <c r="E256" t="s">
        <v>16</v>
      </c>
      <c r="F256" t="str">
        <f>F253</f>
        <v>hhd-le</v>
      </c>
      <c r="G256" s="5" t="s">
        <v>423</v>
      </c>
      <c r="H256" s="46" t="e">
        <f>SUM(#REF!)/SUM(#REF!)</f>
        <v>#REF!</v>
      </c>
      <c r="I256" s="46" t="e">
        <f>SUM(#REF!)/SUM(#REF!)</f>
        <v>#REF!</v>
      </c>
      <c r="J256" s="46"/>
      <c r="K256" s="46">
        <f>SUM(G115:G117)/SUM(G$127:G$129)</f>
        <v>0.56762913717895114</v>
      </c>
      <c r="L256" s="46">
        <f>SUM(I115:I117)/SUM(I$127:I$129)</f>
        <v>0.46917220285480377</v>
      </c>
      <c r="M256" s="46">
        <f>SUM(J115:J117)/SUM(J$127:J$129)</f>
        <v>0.33644633857061113</v>
      </c>
      <c r="N256" s="46">
        <f>SUM(M115:M117)/SUM(M$127:M$129)</f>
        <v>0.13346936072025442</v>
      </c>
      <c r="O256" s="46">
        <f>SUM(M115:M117)/SUM(M$127:M$129)</f>
        <v>0.13346936072025442</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8">
      <c r="E257" t="s">
        <v>16</v>
      </c>
      <c r="F257" t="str">
        <f>F254</f>
        <v>hhd-me</v>
      </c>
      <c r="G257" s="5" t="s">
        <v>423</v>
      </c>
      <c r="H257" s="46" t="e">
        <f>SUM(#REF!)/SUM(#REF!)</f>
        <v>#REF!</v>
      </c>
      <c r="I257" s="46" t="e">
        <f>SUM(#REF!)/SUM(#REF!)</f>
        <v>#REF!</v>
      </c>
      <c r="J257" s="46"/>
      <c r="K257" s="46">
        <f>SUM(G119:G121)/SUM(G$127:G$129)</f>
        <v>0.30824092366572375</v>
      </c>
      <c r="L257" s="46">
        <f>SUM(I119:I121)/SUM(I$127:I$129)</f>
        <v>0.33550093518703117</v>
      </c>
      <c r="M257" s="46">
        <f>SUM(J119:J121)/SUM(J$127:J$129)</f>
        <v>0.39476277730476628</v>
      </c>
      <c r="N257" s="46">
        <f>SUM(M119:M121)/SUM(M$127:M$129)</f>
        <v>0.5278593904059552</v>
      </c>
      <c r="O257" s="46">
        <f>SUM(M119:M121)/SUM(M$127:M$129)</f>
        <v>0.5278593904059552</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8">
      <c r="E258" t="s">
        <v>16</v>
      </c>
      <c r="F258" t="str">
        <f>F255</f>
        <v>hhd-he</v>
      </c>
      <c r="G258" s="5" t="s">
        <v>423</v>
      </c>
      <c r="H258" s="46" t="e">
        <f>SUM(#REF!)/SUM(#REF!)</f>
        <v>#REF!</v>
      </c>
      <c r="I258" s="46" t="e">
        <f>SUM(#REF!)/SUM(#REF!)</f>
        <v>#REF!</v>
      </c>
      <c r="J258" s="46"/>
      <c r="K258" s="46">
        <f>SUM(G123:G125)/SUM(G$127:G$129)</f>
        <v>0.12412993915532514</v>
      </c>
      <c r="L258" s="46">
        <f>SUM(I123:I125)/SUM(I$127:I$129)</f>
        <v>0.19532686195816523</v>
      </c>
      <c r="M258" s="46">
        <f>SUM(J123:J125)/SUM(J$127:J$129)</f>
        <v>0.26879088412462265</v>
      </c>
      <c r="N258" s="46">
        <f>SUM(M123:M125)/SUM(M$127:M$129)</f>
        <v>0.33867124887379041</v>
      </c>
      <c r="O258" s="46">
        <f>SUM(M123:M125)/SUM(M$127:M$129)</f>
        <v>0.33867124887379041</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c r="E259" t="s">
        <v>16</v>
      </c>
      <c r="J259"/>
      <c r="K259" s="4"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5" t="s">
        <v>424</v>
      </c>
      <c r="M260" t="s">
        <v>259</v>
      </c>
      <c r="N260" s="5" t="e">
        <f t="shared" ref="N260:N265" si="572">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3.3949228693067775E-3</v>
      </c>
      <c r="W260" s="5" cm="1">
        <f t="array" ref="W260">IF(Y$252=-1,X260,IF(Y$252=99,V260,IF(Y$252=0,INDEX($H253:$O253,0,Y$250),(INDEX($H253:$O253,0,Y$252+1)-INDEX($H253:$O253,0,Y$252))/(INDEX($H$249:$O$249,0,Y$252+1)-INDEX($H$249:$O$249,0,Y$252))+V260)))</f>
        <v>6.7898457386135549E-3</v>
      </c>
      <c r="X260" s="5" cm="1">
        <f t="array" ref="X260">IF(Z$252=-1,Y260,IF(Z$252=99,W260,IF(Z$252=0,INDEX($H253:$O253,0,Z$250),(INDEX($H253:$O253,0,Z$252+1)-INDEX($H253:$O253,0,Z$252))/(INDEX($H$249:$O$249,0,Z$252+1)-INDEX($H$249:$O$249,0,Z$252))+W260)))</f>
        <v>1.0184768607920332E-2</v>
      </c>
      <c r="Y260" s="5" cm="1">
        <f t="array" ref="Y260">IF(AA$252=-1,Z260,IF(AA$252=99,X260,IF(AA$252=0,INDEX($H253:$O253,0,AA$250),(INDEX($H253:$O253,0,AA$252+1)-INDEX($H253:$O253,0,AA$252))/(INDEX($H$249:$O$249,0,AA$252+1)-INDEX($H$249:$O$249,0,AA$252))+X260)))</f>
        <v>9.7943470978313907E-3</v>
      </c>
      <c r="Z260" s="5" cm="1">
        <f t="array" ref="Z260">IF(AD$252=-1,AA260,IF(AD$252=99,Y260,IF(AD$252=0,INDEX($H253:$O253,0,AD$250),(INDEX($H253:$O253,0,AD$252+1)-INDEX($H253:$O253,0,AD$252))/(INDEX($H$249:$O$249,0,AD$252+1)-INDEX($H$249:$O$249,0,AD$252))+Y260)))</f>
        <v>9.4039255877424489E-3</v>
      </c>
      <c r="AA260" s="5" cm="1">
        <f t="array" ref="AA260">IF(AE$252=-1,AD260,IF(AE$252=99,Z260,IF(AE$252=0,INDEX($H253:$O253,0,AE$250),(INDEX($H253:$O253,0,AE$252+1)-INDEX($H253:$O253,0,AE$252))/(INDEX($H$249:$O$249,0,AE$252+1)-INDEX($H$249:$O$249,0,AE$252))+Z260)))</f>
        <v>9.0135040776535072E-3</v>
      </c>
      <c r="AB260" s="5" cm="1">
        <f t="array" ref="AB260">IF(AE$252=-1,AD260,IF(AE$252=99,Z260,IF(AE$252=0,INDEX($H253:$O253,0,AE$250),(INDEX($H253:$O253,0,AE$252+1)-INDEX($H253:$O253,0,AE$252))/(INDEX($H$249:$O$249,0,AE$252+1)-INDEX($H$249:$O$249,0,AE$252))+Z260)))</f>
        <v>9.0135040776535072E-3</v>
      </c>
      <c r="AC260" s="5" cm="1">
        <f t="array" ref="AC260">IF(AE$252=-1,AD260,IF(AE$252=99,Z260,IF(AE$252=0,INDEX($H253:$O253,0,AE$250),(INDEX($H253:$O253,0,AE$252+1)-INDEX($H253:$O253,0,AE$252))/(INDEX($H$249:$O$249,0,AE$252+1)-INDEX($H$249:$O$249,0,AE$252))+Z260)))</f>
        <v>9.0135040776535072E-3</v>
      </c>
      <c r="AD260" s="5" cm="1">
        <f t="array" ref="AD260">IF(AF$252=-1,AE260,IF(AF$252=99,AA260,IF(AF$252=0,INDEX($H253:$O253,0,AF$250),(INDEX($H253:$O253,0,AF$252+1)-INDEX($H253:$O253,0,AF$252))/(INDEX($H$249:$O$249,0,AF$252+1)-INDEX($H$249:$O$249,0,AF$252))+AA260)))</f>
        <v>8.6230825675645655E-3</v>
      </c>
      <c r="AE260" s="5" cm="1">
        <f t="array" ref="AE260">IF(AG$252=-1,AF260,IF(AG$252=99,AD260,IF(AG$252=0,INDEX($H253:$O253,0,AG$250),(INDEX($H253:$O253,0,AG$252+1)-INDEX($H253:$O253,0,AG$252))/(INDEX($H$249:$O$249,0,AG$252+1)-INDEX($H$249:$O$249,0,AG$252))+AD260)))</f>
        <v>8.2326610574756237E-3</v>
      </c>
      <c r="AF260" s="5" cm="1">
        <f t="array" ref="AF260">IF(AH$252=-1,AG260,IF(AH$252=99,AE260,IF(AH$252=0,INDEX($H253:$O253,0,AH$250),(INDEX($H253:$O253,0,AH$252+1)-INDEX($H253:$O253,0,AH$252))/(INDEX($H$249:$O$249,0,AH$252+1)-INDEX($H$249:$O$249,0,AH$252))+AE260)))</f>
        <v>7.842239547386682E-3</v>
      </c>
      <c r="AG260" s="5" cm="1">
        <f t="array" ref="AG260">IF(AI$252=-1,AH260,IF(AI$252=99,AF260,IF(AI$252=0,INDEX($H253:$O253,0,AI$250),(INDEX($H253:$O253,0,AI$252+1)-INDEX($H253:$O253,0,AI$252))/(INDEX($H$249:$O$249,0,AI$252+1)-INDEX($H$249:$O$249,0,AI$252))+AF260)))</f>
        <v>7.4518180372977411E-3</v>
      </c>
      <c r="AH260" s="5" cm="1">
        <f t="array" ref="AH260">IF(AJ$252=-1,AI260,IF(AJ$252=99,AG260,IF(AJ$252=0,INDEX($H253:$O253,0,AJ$250),(INDEX($H253:$O253,0,AJ$252+1)-INDEX($H253:$O253,0,AJ$252))/(INDEX($H$249:$O$249,0,AJ$252+1)-INDEX($H$249:$O$249,0,AJ$252))+AG260)))</f>
        <v>7.0613965272088002E-3</v>
      </c>
      <c r="AI260" s="5" cm="1">
        <f t="array" ref="AI260">IF(AK$252=-1,AJ260,IF(AK$252=99,AH260,IF(AK$252=0,INDEX($H253:$O253,0,AK$250),(INDEX($H253:$O253,0,AK$252+1)-INDEX($H253:$O253,0,AK$252))/(INDEX($H$249:$O$249,0,AK$252+1)-INDEX($H$249:$O$249,0,AK$252))+AH260)))</f>
        <v>6.6709750171198593E-3</v>
      </c>
      <c r="AJ260" s="5" cm="1">
        <f t="array" ref="AJ260">IF(AL$252=-1,AK260,IF(AL$252=99,AI260,IF(AL$252=0,INDEX($H253:$O253,0,AL$250),(INDEX($H253:$O253,0,AL$252+1)-INDEX($H253:$O253,0,AL$252))/(INDEX($H$249:$O$249,0,AL$252+1)-INDEX($H$249:$O$249,0,AL$252))+AI260)))</f>
        <v>6.2805535070309202E-3</v>
      </c>
      <c r="AK260" s="5" cm="1">
        <f t="array" ref="AK260">IF(AO$252=-1,AL260,IF(AO$252=99,AJ260,IF(AO$252=0,INDEX($H253:$O253,0,AO$250),(INDEX($H253:$O253,0,AO$252+1)-INDEX($H253:$O253,0,AO$252))/(INDEX($H$249:$O$249,0,AO$252+1)-INDEX($H$249:$O$249,0,AO$252))+AJ260)))</f>
        <v>6.2805535070309202E-3</v>
      </c>
      <c r="AL260" s="5" cm="1">
        <f t="array" ref="AL260">IF(AP$252=-1,AO260,IF(AP$252=99,AK260,IF(AP$252=0,INDEX($H253:$O253,0,AP$250),(INDEX($H253:$O253,0,AP$252+1)-INDEX($H253:$O253,0,AP$252))/(INDEX($H$249:$O$249,0,AP$252+1)-INDEX($H$249:$O$249,0,AP$252))+AK260)))</f>
        <v>6.2805535070309202E-3</v>
      </c>
      <c r="AM260" s="5" cm="1">
        <f t="array" ref="AM260">IF(AP$252=-1,AO260,IF(AP$252=99,AK260,IF(AP$252=0,INDEX($H253:$O253,0,AP$250),(INDEX($H253:$O253,0,AP$252+1)-INDEX($H253:$O253,0,AP$252))/(INDEX($H$249:$O$249,0,AP$252+1)-INDEX($H$249:$O$249,0,AP$252))+AK260)))</f>
        <v>6.2805535070309202E-3</v>
      </c>
      <c r="AN260" s="5" cm="1">
        <f t="array" ref="AN260">IF(AP$252=-1,AO260,IF(AP$252=99,AK260,IF(AP$252=0,INDEX($H253:$O253,0,AP$250),(INDEX($H253:$O253,0,AP$252+1)-INDEX($H253:$O253,0,AP$252))/(INDEX($H$249:$O$249,0,AP$252+1)-INDEX($H$249:$O$249,0,AP$252))+AK260)))</f>
        <v>6.2805535070309202E-3</v>
      </c>
      <c r="AO260" s="5" cm="1">
        <f t="array" ref="AO260">IF(AQ$252=-1,AP260,IF(AQ$252=99,AL260,IF(AQ$252=0,INDEX($H253:$O253,0,AQ$250),(INDEX($H253:$O253,0,AQ$252+1)-INDEX($H253:$O253,0,AQ$252))/(INDEX($H$249:$O$249,0,AQ$252+1)-INDEX($H$249:$O$249,0,AQ$252))+AL260)))</f>
        <v>6.2805535070309202E-3</v>
      </c>
      <c r="AP260" s="5" cm="1">
        <f t="array" ref="AP260">IF(AR$252=-1,AQ260,IF(AR$252=99,AO260,IF(AR$252=0,INDEX($H253:$O253,0,AR$250),(INDEX($H253:$O253,0,AR$252+1)-INDEX($H253:$O253,0,AR$252))/(INDEX($H$249:$O$249,0,AR$252+1)-INDEX($H$249:$O$249,0,AR$252))+AO260)))</f>
        <v>6.2805535070309202E-3</v>
      </c>
      <c r="AQ260" s="5" cm="1">
        <f t="array" ref="AQ260">IF(AS$252=-1,AR260,IF(AS$252=99,AP260,IF(AS$252=0,INDEX($H253:$O253,0,AS$250),(INDEX($H253:$O253,0,AS$252+1)-INDEX($H253:$O253,0,AS$252))/(INDEX($H$249:$O$249,0,AS$252+1)-INDEX($H$249:$O$249,0,AS$252))+AP260)))</f>
        <v>6.2805535070309202E-3</v>
      </c>
      <c r="AR260" s="5" cm="1">
        <f t="array" ref="AR260">IF(AT$252=-1,AS260,IF(AT$252=99,AQ260,IF(AT$252=0,INDEX($H253:$O253,0,AT$250),(INDEX($H253:$O253,0,AT$252+1)-INDEX($H253:$O253,0,AT$252))/(INDEX($H$249:$O$249,0,AT$252+1)-INDEX($H$249:$O$249,0,AT$252))+AQ260)))</f>
        <v>6.2805535070309202E-3</v>
      </c>
      <c r="AS260" s="5" cm="1">
        <f t="array" ref="AS260">IF(AV$252=-1,AT260,IF(AV$252=99,AR260,IF(AV$252=0,INDEX($H253:$O253,0,AV$250),(INDEX($H253:$O253,0,AV$252+1)-INDEX($H253:$O253,0,AV$252))/(INDEX($H$249:$O$249,0,AV$252+1)-INDEX($H$249:$O$249,0,AV$252))+AR260)))</f>
        <v>6.2805535070309202E-3</v>
      </c>
      <c r="AT260" s="5" cm="1">
        <f t="array" ref="AT260">IF(AX$252=-1,AV260,IF(AX$252=99,AS260,IF(AX$252=0,INDEX($H253:$O253,0,AX$250),(INDEX($H253:$O253,0,AX$252+1)-INDEX($H253:$O253,0,AX$252))/(INDEX($H$249:$O$249,0,AX$252+1)-INDEX($H$249:$O$249,0,AX$252))+AS260)))</f>
        <v>6.2805535070309202E-3</v>
      </c>
      <c r="AU260" s="5" cm="1">
        <f t="array" ref="AU260">IF(AX$252=-1,AW260,IF(AX$252=99,AS260,IF(AX$252=0,INDEX($H253:$O253,0,AX$250),(INDEX($H253:$O253,0,AX$252+1)-INDEX($H253:$O253,0,AX$252))/(INDEX($H$249:$O$249,0,AX$252+1)-INDEX($H$249:$O$249,0,AX$252))+AS260)))</f>
        <v>6.2805535070309202E-3</v>
      </c>
      <c r="AV260" s="5" cm="1">
        <f t="array" ref="AV260">IF(AY$252=-1,AX260,IF(AY$252=99,AT260,IF(AY$252=0,INDEX($H253:$O253,0,AY$250),(INDEX($H253:$O253,0,AY$252+1)-INDEX($H253:$O253,0,AY$252))/(INDEX($H$249:$O$249,0,AY$252+1)-INDEX($H$249:$O$249,0,AY$252))+AT260)))</f>
        <v>6.2805535070309202E-3</v>
      </c>
      <c r="AW260" s="5" cm="1">
        <f t="array" ref="AW260">IF(AZ$252=-1,AY260,IF(AZ$252=99,AV260,IF(AZ$252=0,INDEX($H253:$O253,0,AZ$250),(INDEX($H253:$O253,0,AZ$252+1)-INDEX($H253:$O253,0,AZ$252))/(INDEX($H$249:$O$249,0,AZ$252+1)-INDEX($H$249:$O$249,0,AZ$252))+AV260)))</f>
        <v>6.2805535070309202E-3</v>
      </c>
      <c r="AX260" s="5" cm="1">
        <f t="array" ref="AX260">IF(AZ$252=-1,AY260,IF(AZ$252=99,AV260,IF(AZ$252=0,INDEX($H253:$O253,0,AZ$250),(INDEX($H253:$O253,0,AZ$252+1)-INDEX($H253:$O253,0,AZ$252))/(INDEX($H$249:$O$249,0,AZ$252+1)-INDEX($H$249:$O$249,0,AZ$252))+AV260)))</f>
        <v>6.2805535070309202E-3</v>
      </c>
      <c r="AY260" s="5" cm="1">
        <f t="array" ref="AY260">IF(BA$252=-1,AZ260,IF(BA$252=99,AX260,IF(BA$252=0,INDEX($H253:$O253,0,BA$250),(INDEX($H253:$O253,0,BA$252+1)-INDEX($H253:$O253,0,BA$252))/(INDEX($H$249:$O$249,0,BA$252+1)-INDEX($H$249:$O$249,0,BA$252))+AX260)))</f>
        <v>6.2805535070309202E-3</v>
      </c>
      <c r="AZ260" s="5" cm="1">
        <f t="array" ref="AZ260">IF(BB$252=-1,BA260,IF(BB$252=99,AY260,IF(BB$252=0,INDEX($H253:$O253,0,BB$250),(INDEX($H253:$O253,0,BB$252+1)-INDEX($H253:$O253,0,BB$252))/(INDEX($H$249:$O$249,0,BB$252+1)-INDEX($H$249:$O$249,0,BB$252))+AY260)))</f>
        <v>6.2805535070309202E-3</v>
      </c>
      <c r="BA260" s="5" cm="1">
        <f t="array" ref="BA260">IF(BC$252=-1,BB260,IF(BC$252=99,AZ260,IF(BC$252=0,INDEX($H253:$O253,0,BC$250),(INDEX($H253:$O253,0,BC$252+1)-INDEX($H253:$O253,0,BC$252))/(INDEX($H$249:$O$249,0,BC$252+1)-INDEX($H$249:$O$249,0,BC$252))+AZ260)))</f>
        <v>6.2805535070309202E-3</v>
      </c>
      <c r="BB260" s="5" cm="1">
        <f t="array" ref="BB260">IF(BD$252=-1,BC260,IF(BD$252=99,BA260,IF(BD$252=0,INDEX($H253:$O253,0,BD$250),(INDEX($H253:$O253,0,BD$252+1)-INDEX($H253:$O253,0,BD$252))/(INDEX($H$249:$O$249,0,BD$252+1)-INDEX($H$249:$O$249,0,BD$252))+BA260)))</f>
        <v>6.2805535070309202E-3</v>
      </c>
      <c r="BC260" s="5" cm="1">
        <f t="array" ref="BC260">IF(BE$252=-1,BD260,IF(BE$252=99,BB260,IF(BE$252=0,INDEX($H253:$O253,0,BE$250),(INDEX($H253:$O253,0,BE$252+1)-INDEX($H253:$O253,0,BE$252))/(INDEX($H$249:$O$249,0,BE$252+1)-INDEX($H$249:$O$249,0,BE$252))+BB260)))</f>
        <v>6.2805535070309202E-3</v>
      </c>
      <c r="BD260" s="5" cm="1">
        <f t="array" ref="BD260">IF(BF$252=-1,BI260,IF(BF$252=99,BC260,IF(BF$252=0,INDEX($H253:$O253,0,BF$250),(INDEX($H253:$O253,0,BF$252+1)-INDEX($H253:$O253,0,BF$252))/(INDEX($H$249:$O$249,0,BF$252+1)-INDEX($H$249:$O$249,0,BF$252))+BC260)))</f>
        <v>6.2805535070309202E-3</v>
      </c>
      <c r="BE260" s="5" cm="1">
        <f t="array" ref="BE260">IF(BG$252=-1,BJ260,IF(BG$252=99,BD260,IF(BG$252=0,INDEX($H253:$O253,0,BG$250),(INDEX($H253:$O253,0,BG$252+1)-INDEX($H253:$O253,0,BG$252))/(INDEX($H$249:$O$249,0,BG$252+1)-INDEX($H$249:$O$249,0,BG$252))+BD260)))</f>
        <v>6.2805535070309202E-3</v>
      </c>
      <c r="BF260" s="5" cm="1">
        <f t="array" ref="BF260">IF(BH$252=-1,BK260,IF(BH$252=99,BE260,IF(BH$252=0,INDEX($H253:$O253,0,BH$250),(INDEX($H253:$O253,0,BH$252+1)-INDEX($H253:$O253,0,BH$252))/(INDEX($H$249:$O$249,0,BH$252+1)-INDEX($H$249:$O$249,0,BH$252))+BE260)))</f>
        <v>6.2805535070309202E-3</v>
      </c>
      <c r="BG260" s="5" cm="1">
        <f t="array" ref="BG260">IF(BI$252=-1,BL260,IF(BI$252=99,BF260,IF(BI$252=0,INDEX($H253:$O253,0,BI$250),(INDEX($H253:$O253,0,BI$252+1)-INDEX($H253:$O253,0,BI$252))/(INDEX($H$249:$O$249,0,BI$252+1)-INDEX($H$249:$O$249,0,BI$252))+BF260)))</f>
        <v>6.2805535070309202E-3</v>
      </c>
      <c r="BH260" s="5" cm="1">
        <f t="array" ref="BH260">IF(BJ$252=-1,BM260,IF(BJ$252=99,BG260,IF(BJ$252=0,INDEX($H253:$O253,0,BJ$250),(INDEX($H253:$O253,0,BJ$252+1)-INDEX($H253:$O253,0,BJ$252))/(INDEX($H$249:$O$249,0,BJ$252+1)-INDEX($H$249:$O$249,0,BJ$252))+BG260)))</f>
        <v>6.2805535070309202E-3</v>
      </c>
      <c r="BI260" s="5" cm="1">
        <f t="array" ref="BI260">IF(BK$252=-1,BN260,IF(BK$252=99,BH260,IF(BK$252=0,INDEX($H253:$O253,0,BK$250),(INDEX($H253:$O253,0,BK$252+1)-INDEX($H253:$O253,0,BK$252))/(INDEX($H$249:$O$249,0,BK$252+1)-INDEX($H$249:$O$249,0,BK$252))+BH260)))</f>
        <v>6.2805535070309202E-3</v>
      </c>
      <c r="BJ260" s="5" cm="1">
        <f t="array" ref="BJ260">IF(BH$252=-1,BL260,IF(BH$252=99,BI260,IF(BH$252=0,INDEX($H253:$O253,0,BH$250),(INDEX($H253:$O253,0,BH$252+1)-INDEX($H253:$O253,0,BH$252))/(INDEX($H$249:$O$249,0,BH$252+1)-INDEX($H$249:$O$249,0,BH$252))+BI260)))</f>
        <v>6.2805535070309202E-3</v>
      </c>
      <c r="BK260" s="5" cm="1">
        <f t="array" ref="BK260">IF(BI$252=-1,BM260,IF(BI$252=99,BJ260,IF(BI$252=0,INDEX($H253:$O253,0,BI$250),(INDEX($H253:$O253,0,BI$252+1)-INDEX($H253:$O253,0,BI$252))/(INDEX($H$249:$O$249,0,BI$252+1)-INDEX($H$249:$O$249,0,BI$252))+BJ260)))</f>
        <v>6.2805535070309202E-3</v>
      </c>
      <c r="BL260" s="5" cm="1">
        <f t="array" ref="BL260">IF(BJ$252=-1,BN260,IF(BJ$252=99,BK260,IF(BJ$252=0,INDEX($H253:$O253,0,BJ$250),(INDEX($H253:$O253,0,BJ$252+1)-INDEX($H253:$O253,0,BJ$252))/(INDEX($H$249:$O$249,0,BJ$252+1)-INDEX($H$249:$O$249,0,BJ$252))+BK260)))</f>
        <v>6.2805535070309202E-3</v>
      </c>
      <c r="BM260" s="5" cm="1">
        <f t="array" ref="BM260">IF(BK$252=-1,BO260,IF(BK$252=99,BL260,IF(BK$252=0,INDEX($H253:$O253,0,BK$250),(INDEX($H253:$O253,0,BK$252+1)-INDEX($H253:$O253,0,BK$252))/(INDEX($H$249:$O$249,0,BK$252+1)-INDEX($H$249:$O$249,0,BK$252))+BL260)))</f>
        <v>6.2805535070309202E-3</v>
      </c>
      <c r="BN260" s="5" cm="1">
        <f t="array" ref="BN260">IF(BL$252=-1,BP260,IF(BL$252=99,BM260,IF(BL$252=0,INDEX($H253:$O253,0,BL$250),(INDEX($H253:$O253,0,BL$252+1)-INDEX($H253:$O253,0,BL$252))/(INDEX($H$249:$O$249,0,BL$252+1)-INDEX($H$249:$O$249,0,BL$252))+BM260)))</f>
        <v>6.2805535070309202E-3</v>
      </c>
      <c r="BO260" s="5" cm="1">
        <f t="array" ref="BO260">IF(BM$252=-1,BQ260,IF(BM$252=99,BN260,IF(BM$252=0,INDEX($H253:$O253,0,BM$250),(INDEX($H253:$O253,0,BM$252+1)-INDEX($H253:$O253,0,BM$252))/(INDEX($H$249:$O$249,0,BM$252+1)-INDEX($H$249:$O$249,0,BM$252))+BN260)))</f>
        <v>6.2805535070309202E-3</v>
      </c>
      <c r="BP260" s="5" cm="1">
        <f t="array" ref="BP260">IF(BN$252=-1,BR260,IF(BN$252=99,BO260,IF(BN$252=0,INDEX($H253:$O253,0,BN$250),(INDEX($H253:$O253,0,BN$252+1)-INDEX($H253:$O253,0,BN$252))/(INDEX($H$249:$O$249,0,BN$252+1)-INDEX($H$249:$O$249,0,BN$252))+BO260)))</f>
        <v>6.2805535070309202E-3</v>
      </c>
    </row>
    <row r="261" spans="5:68">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0.37694961585341785</v>
      </c>
      <c r="Z261" s="5" cm="1">
        <f t="array" ref="Z261">IF(AD$252=-1,AA261,IF(AD$252=99,Y261,IF(AD$252=0,INDEX($H254:$O254,0,AD$250),(INDEX($H254:$O254,0,AD$252+1)-INDEX($H254:$O254,0,AD$252))/(INDEX($H$249:$O$249,0,AD$252+1)-INDEX($H$249:$O$249,0,AD$252))+Y261)))</f>
        <v>0.36667044877147159</v>
      </c>
      <c r="AA261" s="5" cm="1">
        <f t="array" ref="AA261">IF(AE$252=-1,AD261,IF(AE$252=99,Z261,IF(AE$252=0,INDEX($H254:$O254,0,AE$250),(INDEX($H254:$O254,0,AE$252+1)-INDEX($H254:$O254,0,AE$252))/(INDEX($H$249:$O$249,0,AE$252+1)-INDEX($H$249:$O$249,0,AE$252))+Z261)))</f>
        <v>0.35639128168952533</v>
      </c>
      <c r="AB261" s="5" cm="1">
        <f t="array" ref="AB261">IF(AE$252=-1,AD261,IF(AE$252=99,Z261,IF(AE$252=0,INDEX($H254:$O254,0,AE$250),(INDEX($H254:$O254,0,AE$252+1)-INDEX($H254:$O254,0,AE$252))/(INDEX($H$249:$O$249,0,AE$252+1)-INDEX($H$249:$O$249,0,AE$252))+Z261)))</f>
        <v>0.35639128168952533</v>
      </c>
      <c r="AC261" s="5" cm="1">
        <f t="array" ref="AC261">IF(AE$252=-1,AD261,IF(AE$252=99,Z261,IF(AE$252=0,INDEX($H254:$O254,0,AE$250),(INDEX($H254:$O254,0,AE$252+1)-INDEX($H254:$O254,0,AE$252))/(INDEX($H$249:$O$249,0,AE$252+1)-INDEX($H$249:$O$249,0,AE$252))+Z261)))</f>
        <v>0.35639128168952533</v>
      </c>
      <c r="AD261" s="5" cm="1">
        <f t="array" ref="AD261">IF(AF$252=-1,AE261,IF(AF$252=99,AA261,IF(AF$252=0,INDEX($H254:$O254,0,AF$250),(INDEX($H254:$O254,0,AF$252+1)-INDEX($H254:$O254,0,AF$252))/(INDEX($H$249:$O$249,0,AF$252+1)-INDEX($H$249:$O$249,0,AF$252))+AA261)))</f>
        <v>0.34611211460757907</v>
      </c>
      <c r="AE261" s="5" cm="1">
        <f t="array" ref="AE261">IF(AG$252=-1,AF261,IF(AG$252=99,AD261,IF(AG$252=0,INDEX($H254:$O254,0,AG$250),(INDEX($H254:$O254,0,AG$252+1)-INDEX($H254:$O254,0,AG$252))/(INDEX($H$249:$O$249,0,AG$252+1)-INDEX($H$249:$O$249,0,AG$252))+AD261)))</f>
        <v>0.33583294752563281</v>
      </c>
      <c r="AF261" s="5" cm="1">
        <f t="array" ref="AF261">IF(AH$252=-1,AG261,IF(AH$252=99,AE261,IF(AH$252=0,INDEX($H254:$O254,0,AH$250),(INDEX($H254:$O254,0,AH$252+1)-INDEX($H254:$O254,0,AH$252))/(INDEX($H$249:$O$249,0,AH$252+1)-INDEX($H$249:$O$249,0,AH$252))+AE261)))</f>
        <v>0.32555378044368655</v>
      </c>
      <c r="AG261" s="5" cm="1">
        <f t="array" ref="AG261">IF(AI$252=-1,AH261,IF(AI$252=99,AF261,IF(AI$252=0,INDEX($H254:$O254,0,AI$250),(INDEX($H254:$O254,0,AI$252+1)-INDEX($H254:$O254,0,AI$252))/(INDEX($H$249:$O$249,0,AI$252+1)-INDEX($H$249:$O$249,0,AI$252))+AF261)))</f>
        <v>0.31527461336174029</v>
      </c>
      <c r="AH261" s="5" cm="1">
        <f t="array" ref="AH261">IF(AJ$252=-1,AI261,IF(AJ$252=99,AG261,IF(AJ$252=0,INDEX($H254:$O254,0,AJ$250),(INDEX($H254:$O254,0,AJ$252+1)-INDEX($H254:$O254,0,AJ$252))/(INDEX($H$249:$O$249,0,AJ$252+1)-INDEX($H$249:$O$249,0,AJ$252))+AG261)))</f>
        <v>0.30499544627979402</v>
      </c>
      <c r="AI261" s="5" cm="1">
        <f t="array" ref="AI261">IF(AK$252=-1,AJ261,IF(AK$252=99,AH261,IF(AK$252=0,INDEX($H254:$O254,0,AK$250),(INDEX($H254:$O254,0,AK$252+1)-INDEX($H254:$O254,0,AK$252))/(INDEX($H$249:$O$249,0,AK$252+1)-INDEX($H$249:$O$249,0,AK$252))+AH261)))</f>
        <v>0.29471627919784776</v>
      </c>
      <c r="AJ261" s="5" cm="1">
        <f t="array" ref="AJ261">IF(AL$252=-1,AK261,IF(AL$252=99,AI261,IF(AL$252=0,INDEX($H254:$O254,0,AL$250),(INDEX($H254:$O254,0,AL$252+1)-INDEX($H254:$O254,0,AL$252))/(INDEX($H$249:$O$249,0,AL$252+1)-INDEX($H$249:$O$249,0,AL$252))+AI261)))</f>
        <v>0.2844371121159015</v>
      </c>
      <c r="AK261" s="5" cm="1">
        <f t="array" ref="AK261">IF(AO$252=-1,AL261,IF(AO$252=99,AJ261,IF(AO$252=0,INDEX($H254:$O254,0,AO$250),(INDEX($H254:$O254,0,AO$252+1)-INDEX($H254:$O254,0,AO$252))/(INDEX($H$249:$O$249,0,AO$252+1)-INDEX($H$249:$O$249,0,AO$252))+AJ261)))</f>
        <v>0.2844371121159015</v>
      </c>
      <c r="AL261" s="5" cm="1">
        <f t="array" ref="AL261">IF(AP$252=-1,AO261,IF(AP$252=99,AK261,IF(AP$252=0,INDEX($H254:$O254,0,AP$250),(INDEX($H254:$O254,0,AP$252+1)-INDEX($H254:$O254,0,AP$252))/(INDEX($H$249:$O$249,0,AP$252+1)-INDEX($H$249:$O$249,0,AP$252))+AK261)))</f>
        <v>0.2844371121159015</v>
      </c>
      <c r="AM261" s="5" cm="1">
        <f t="array" ref="AM261">IF(AP$252=-1,AO261,IF(AP$252=99,AK261,IF(AP$252=0,INDEX($H254:$O254,0,AP$250),(INDEX($H254:$O254,0,AP$252+1)-INDEX($H254:$O254,0,AP$252))/(INDEX($H$249:$O$249,0,AP$252+1)-INDEX($H$249:$O$249,0,AP$252))+AK261)))</f>
        <v>0.2844371121159015</v>
      </c>
      <c r="AN261" s="5" cm="1">
        <f t="array" ref="AN261">IF(AP$252=-1,AO261,IF(AP$252=99,AK261,IF(AP$252=0,INDEX($H254:$O254,0,AP$250),(INDEX($H254:$O254,0,AP$252+1)-INDEX($H254:$O254,0,AP$252))/(INDEX($H$249:$O$249,0,AP$252+1)-INDEX($H$249:$O$249,0,AP$252))+AK261)))</f>
        <v>0.2844371121159015</v>
      </c>
      <c r="AO261" s="5" cm="1">
        <f t="array" ref="AO261">IF(AQ$252=-1,AP261,IF(AQ$252=99,AL261,IF(AQ$252=0,INDEX($H254:$O254,0,AQ$250),(INDEX($H254:$O254,0,AQ$252+1)-INDEX($H254:$O254,0,AQ$252))/(INDEX($H$249:$O$249,0,AQ$252+1)-INDEX($H$249:$O$249,0,AQ$252))+AL261)))</f>
        <v>0.2844371121159015</v>
      </c>
      <c r="AP261" s="5" cm="1">
        <f t="array" ref="AP261">IF(AR$252=-1,AQ261,IF(AR$252=99,AO261,IF(AR$252=0,INDEX($H254:$O254,0,AR$250),(INDEX($H254:$O254,0,AR$252+1)-INDEX($H254:$O254,0,AR$252))/(INDEX($H$249:$O$249,0,AR$252+1)-INDEX($H$249:$O$249,0,AR$252))+AO261)))</f>
        <v>0.2844371121159015</v>
      </c>
      <c r="AQ261" s="5" cm="1">
        <f t="array" ref="AQ261">IF(AS$252=-1,AR261,IF(AS$252=99,AP261,IF(AS$252=0,INDEX($H254:$O254,0,AS$250),(INDEX($H254:$O254,0,AS$252+1)-INDEX($H254:$O254,0,AS$252))/(INDEX($H$249:$O$249,0,AS$252+1)-INDEX($H$249:$O$249,0,AS$252))+AP261)))</f>
        <v>0.2844371121159015</v>
      </c>
      <c r="AR261" s="5" cm="1">
        <f t="array" ref="AR261">IF(AT$252=-1,AS261,IF(AT$252=99,AQ261,IF(AT$252=0,INDEX($H254:$O254,0,AT$250),(INDEX($H254:$O254,0,AT$252+1)-INDEX($H254:$O254,0,AT$252))/(INDEX($H$249:$O$249,0,AT$252+1)-INDEX($H$249:$O$249,0,AT$252))+AQ261)))</f>
        <v>0.2844371121159015</v>
      </c>
      <c r="AS261" s="5" cm="1">
        <f t="array" ref="AS261">IF(AV$252=-1,AT261,IF(AV$252=99,AR261,IF(AV$252=0,INDEX($H254:$O254,0,AV$250),(INDEX($H254:$O254,0,AV$252+1)-INDEX($H254:$O254,0,AV$252))/(INDEX($H$249:$O$249,0,AV$252+1)-INDEX($H$249:$O$249,0,AV$252))+AR261)))</f>
        <v>0.2844371121159015</v>
      </c>
      <c r="AT261" s="5" cm="1">
        <f t="array" ref="AT261">IF(AX$252=-1,AV261,IF(AX$252=99,AS261,IF(AX$252=0,INDEX($H254:$O254,0,AX$250),(INDEX($H254:$O254,0,AX$252+1)-INDEX($H254:$O254,0,AX$252))/(INDEX($H$249:$O$249,0,AX$252+1)-INDEX($H$249:$O$249,0,AX$252))+AS261)))</f>
        <v>0.2844371121159015</v>
      </c>
      <c r="AU261" s="5" cm="1">
        <f t="array" ref="AU261">IF(AX$252=-1,AW261,IF(AX$252=99,AS261,IF(AX$252=0,INDEX($H254:$O254,0,AX$250),(INDEX($H254:$O254,0,AX$252+1)-INDEX($H254:$O254,0,AX$252))/(INDEX($H$249:$O$249,0,AX$252+1)-INDEX($H$249:$O$249,0,AX$252))+AS261)))</f>
        <v>0.2844371121159015</v>
      </c>
      <c r="AV261" s="5" cm="1">
        <f t="array" ref="AV261">IF(AY$252=-1,AX261,IF(AY$252=99,AT261,IF(AY$252=0,INDEX($H254:$O254,0,AY$250),(INDEX($H254:$O254,0,AY$252+1)-INDEX($H254:$O254,0,AY$252))/(INDEX($H$249:$O$249,0,AY$252+1)-INDEX($H$249:$O$249,0,AY$252))+AT261)))</f>
        <v>0.2844371121159015</v>
      </c>
      <c r="AW261" s="5" cm="1">
        <f t="array" ref="AW261">IF(AZ$252=-1,AY261,IF(AZ$252=99,AV261,IF(AZ$252=0,INDEX($H254:$O254,0,AZ$250),(INDEX($H254:$O254,0,AZ$252+1)-INDEX($H254:$O254,0,AZ$252))/(INDEX($H$249:$O$249,0,AZ$252+1)-INDEX($H$249:$O$249,0,AZ$252))+AV261)))</f>
        <v>0.2844371121159015</v>
      </c>
      <c r="AX261" s="5" cm="1">
        <f t="array" ref="AX261">IF(AZ$252=-1,AY261,IF(AZ$252=99,AV261,IF(AZ$252=0,INDEX($H254:$O254,0,AZ$250),(INDEX($H254:$O254,0,AZ$252+1)-INDEX($H254:$O254,0,AZ$252))/(INDEX($H$249:$O$249,0,AZ$252+1)-INDEX($H$249:$O$249,0,AZ$252))+AV261)))</f>
        <v>0.2844371121159015</v>
      </c>
      <c r="AY261" s="5" cm="1">
        <f t="array" ref="AY261">IF(BA$252=-1,AZ261,IF(BA$252=99,AX261,IF(BA$252=0,INDEX($H254:$O254,0,BA$250),(INDEX($H254:$O254,0,BA$252+1)-INDEX($H254:$O254,0,BA$252))/(INDEX($H$249:$O$249,0,BA$252+1)-INDEX($H$249:$O$249,0,BA$252))+AX261)))</f>
        <v>0.2844371121159015</v>
      </c>
      <c r="AZ261" s="5" cm="1">
        <f t="array" ref="AZ261">IF(BB$252=-1,BA261,IF(BB$252=99,AY261,IF(BB$252=0,INDEX($H254:$O254,0,BB$250),(INDEX($H254:$O254,0,BB$252+1)-INDEX($H254:$O254,0,BB$252))/(INDEX($H$249:$O$249,0,BB$252+1)-INDEX($H$249:$O$249,0,BB$252))+AY261)))</f>
        <v>0.2844371121159015</v>
      </c>
      <c r="BA261" s="5" cm="1">
        <f t="array" ref="BA261">IF(BC$252=-1,BB261,IF(BC$252=99,AZ261,IF(BC$252=0,INDEX($H254:$O254,0,BC$250),(INDEX($H254:$O254,0,BC$252+1)-INDEX($H254:$O254,0,BC$252))/(INDEX($H$249:$O$249,0,BC$252+1)-INDEX($H$249:$O$249,0,BC$252))+AZ261)))</f>
        <v>0.2844371121159015</v>
      </c>
      <c r="BB261" s="5" cm="1">
        <f t="array" ref="BB261">IF(BD$252=-1,BC261,IF(BD$252=99,BA261,IF(BD$252=0,INDEX($H254:$O254,0,BD$250),(INDEX($H254:$O254,0,BD$252+1)-INDEX($H254:$O254,0,BD$252))/(INDEX($H$249:$O$249,0,BD$252+1)-INDEX($H$249:$O$249,0,BD$252))+BA261)))</f>
        <v>0.2844371121159015</v>
      </c>
      <c r="BC261" s="5" cm="1">
        <f t="array" ref="BC261">IF(BE$252=-1,BD261,IF(BE$252=99,BB261,IF(BE$252=0,INDEX($H254:$O254,0,BE$250),(INDEX($H254:$O254,0,BE$252+1)-INDEX($H254:$O254,0,BE$252))/(INDEX($H$249:$O$249,0,BE$252+1)-INDEX($H$249:$O$249,0,BE$252))+BB261)))</f>
        <v>0.2844371121159015</v>
      </c>
      <c r="BD261" s="5" cm="1">
        <f t="array" ref="BD261">IF(BF$252=-1,BI261,IF(BF$252=99,BC261,IF(BF$252=0,INDEX($H254:$O254,0,BF$250),(INDEX($H254:$O254,0,BF$252+1)-INDEX($H254:$O254,0,BF$252))/(INDEX($H$249:$O$249,0,BF$252+1)-INDEX($H$249:$O$249,0,BF$252))+BC261)))</f>
        <v>0.2844371121159015</v>
      </c>
      <c r="BE261" s="5" cm="1">
        <f t="array" ref="BE261">IF(BG$252=-1,BJ261,IF(BG$252=99,BD261,IF(BG$252=0,INDEX($H254:$O254,0,BG$250),(INDEX($H254:$O254,0,BG$252+1)-INDEX($H254:$O254,0,BG$252))/(INDEX($H$249:$O$249,0,BG$252+1)-INDEX($H$249:$O$249,0,BG$252))+BD261)))</f>
        <v>0.2844371121159015</v>
      </c>
      <c r="BF261" s="5" cm="1">
        <f t="array" ref="BF261">IF(BH$252=-1,BK261,IF(BH$252=99,BE261,IF(BH$252=0,INDEX($H254:$O254,0,BH$250),(INDEX($H254:$O254,0,BH$252+1)-INDEX($H254:$O254,0,BH$252))/(INDEX($H$249:$O$249,0,BH$252+1)-INDEX($H$249:$O$249,0,BH$252))+BE261)))</f>
        <v>0.2844371121159015</v>
      </c>
      <c r="BG261" s="5" cm="1">
        <f t="array" ref="BG261">IF(BI$252=-1,BL261,IF(BI$252=99,BF261,IF(BI$252=0,INDEX($H254:$O254,0,BI$250),(INDEX($H254:$O254,0,BI$252+1)-INDEX($H254:$O254,0,BI$252))/(INDEX($H$249:$O$249,0,BI$252+1)-INDEX($H$249:$O$249,0,BI$252))+BF261)))</f>
        <v>0.2844371121159015</v>
      </c>
      <c r="BH261" s="5" cm="1">
        <f t="array" ref="BH261">IF(BJ$252=-1,BM261,IF(BJ$252=99,BG261,IF(BJ$252=0,INDEX($H254:$O254,0,BJ$250),(INDEX($H254:$O254,0,BJ$252+1)-INDEX($H254:$O254,0,BJ$252))/(INDEX($H$249:$O$249,0,BJ$252+1)-INDEX($H$249:$O$249,0,BJ$252))+BG261)))</f>
        <v>0.2844371121159015</v>
      </c>
      <c r="BI261" s="5" cm="1">
        <f t="array" ref="BI261">IF(BK$252=-1,BN261,IF(BK$252=99,BH261,IF(BK$252=0,INDEX($H254:$O254,0,BK$250),(INDEX($H254:$O254,0,BK$252+1)-INDEX($H254:$O254,0,BK$252))/(INDEX($H$249:$O$249,0,BK$252+1)-INDEX($H$249:$O$249,0,BK$252))+BH261)))</f>
        <v>0.2844371121159015</v>
      </c>
      <c r="BJ261" s="5" cm="1">
        <f t="array" ref="BJ261">IF(BH$252=-1,BL261,IF(BH$252=99,BI261,IF(BH$252=0,INDEX($H254:$O254,0,BH$250),(INDEX($H254:$O254,0,BH$252+1)-INDEX($H254:$O254,0,BH$252))/(INDEX($H$249:$O$249,0,BH$252+1)-INDEX($H$249:$O$249,0,BH$252))+BI261)))</f>
        <v>0.2844371121159015</v>
      </c>
      <c r="BK261" s="5" cm="1">
        <f t="array" ref="BK261">IF(BI$252=-1,BM261,IF(BI$252=99,BJ261,IF(BI$252=0,INDEX($H254:$O254,0,BI$250),(INDEX($H254:$O254,0,BI$252+1)-INDEX($H254:$O254,0,BI$252))/(INDEX($H$249:$O$249,0,BI$252+1)-INDEX($H$249:$O$249,0,BI$252))+BJ261)))</f>
        <v>0.2844371121159015</v>
      </c>
      <c r="BL261" s="5" cm="1">
        <f t="array" ref="BL261">IF(BJ$252=-1,BN261,IF(BJ$252=99,BK261,IF(BJ$252=0,INDEX($H254:$O254,0,BJ$250),(INDEX($H254:$O254,0,BJ$252+1)-INDEX($H254:$O254,0,BJ$252))/(INDEX($H$249:$O$249,0,BJ$252+1)-INDEX($H$249:$O$249,0,BJ$252))+BK261)))</f>
        <v>0.2844371121159015</v>
      </c>
      <c r="BM261" s="5" cm="1">
        <f t="array" ref="BM261">IF(BK$252=-1,BO261,IF(BK$252=99,BL261,IF(BK$252=0,INDEX($H254:$O254,0,BK$250),(INDEX($H254:$O254,0,BK$252+1)-INDEX($H254:$O254,0,BK$252))/(INDEX($H$249:$O$249,0,BK$252+1)-INDEX($H$249:$O$249,0,BK$252))+BL261)))</f>
        <v>0.2844371121159015</v>
      </c>
      <c r="BN261" s="5" cm="1">
        <f t="array" ref="BN261">IF(BL$252=-1,BP261,IF(BL$252=99,BM261,IF(BL$252=0,INDEX($H254:$O254,0,BL$250),(INDEX($H254:$O254,0,BL$252+1)-INDEX($H254:$O254,0,BL$252))/(INDEX($H$249:$O$249,0,BL$252+1)-INDEX($H$249:$O$249,0,BL$252))+BM261)))</f>
        <v>0.2844371121159015</v>
      </c>
      <c r="BO261" s="5" cm="1">
        <f t="array" ref="BO261">IF(BM$252=-1,BQ261,IF(BM$252=99,BN261,IF(BM$252=0,INDEX($H254:$O254,0,BM$250),(INDEX($H254:$O254,0,BM$252+1)-INDEX($H254:$O254,0,BM$252))/(INDEX($H$249:$O$249,0,BM$252+1)-INDEX($H$249:$O$249,0,BM$252))+BN261)))</f>
        <v>0.2844371121159015</v>
      </c>
      <c r="BP261" s="5" cm="1">
        <f t="array" ref="BP261">IF(BN$252=-1,BR261,IF(BN$252=99,BO261,IF(BN$252=0,INDEX($H254:$O254,0,BN$250),(INDEX($H254:$O254,0,BN$252+1)-INDEX($H254:$O254,0,BN$252))/(INDEX($H$249:$O$249,0,BN$252+1)-INDEX($H$249:$O$249,0,BN$252))+BO261)))</f>
        <v>0.2844371121159015</v>
      </c>
    </row>
    <row r="262" spans="5:68">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0.50441370036328148</v>
      </c>
      <c r="Z262" s="5" cm="1">
        <f t="array" ref="Z262">IF(AD$252=-1,AA262,IF(AD$252=99,Y262,IF(AD$252=0,INDEX($H255:$O255,0,AD$250),(INDEX($H255:$O255,0,AD$252+1)-INDEX($H255:$O255,0,AD$252))/(INDEX($H$249:$O$249,0,AD$252+1)-INDEX($H$249:$O$249,0,AD$252))+Y262)))</f>
        <v>0.51677009683250164</v>
      </c>
      <c r="AA262" s="5" cm="1">
        <f t="array" ref="AA262">IF(AE$252=-1,AD262,IF(AE$252=99,Z262,IF(AE$252=0,INDEX($H255:$O255,0,AE$250),(INDEX($H255:$O255,0,AE$252+1)-INDEX($H255:$O255,0,AE$252))/(INDEX($H$249:$O$249,0,AE$252+1)-INDEX($H$249:$O$249,0,AE$252))+Z262)))</f>
        <v>0.52912649330172179</v>
      </c>
      <c r="AB262" s="5" cm="1">
        <f t="array" ref="AB262">IF(AE$252=-1,AD262,IF(AE$252=99,Z262,IF(AE$252=0,INDEX($H255:$O255,0,AE$250),(INDEX($H255:$O255,0,AE$252+1)-INDEX($H255:$O255,0,AE$252))/(INDEX($H$249:$O$249,0,AE$252+1)-INDEX($H$249:$O$249,0,AE$252))+Z262)))</f>
        <v>0.52912649330172179</v>
      </c>
      <c r="AC262" s="5" cm="1">
        <f t="array" ref="AC262">IF(AE$252=-1,AD262,IF(AE$252=99,Z262,IF(AE$252=0,INDEX($H255:$O255,0,AE$250),(INDEX($H255:$O255,0,AE$252+1)-INDEX($H255:$O255,0,AE$252))/(INDEX($H$249:$O$249,0,AE$252+1)-INDEX($H$249:$O$249,0,AE$252))+Z262)))</f>
        <v>0.52912649330172179</v>
      </c>
      <c r="AD262" s="5" cm="1">
        <f t="array" ref="AD262">IF(AF$252=-1,AE262,IF(AF$252=99,AA262,IF(AF$252=0,INDEX($H255:$O255,0,AF$250),(INDEX($H255:$O255,0,AF$252+1)-INDEX($H255:$O255,0,AF$252))/(INDEX($H$249:$O$249,0,AF$252+1)-INDEX($H$249:$O$249,0,AF$252))+AA262)))</f>
        <v>0.54148288977094194</v>
      </c>
      <c r="AE262" s="5" cm="1">
        <f t="array" ref="AE262">IF(AG$252=-1,AF262,IF(AG$252=99,AD262,IF(AG$252=0,INDEX($H255:$O255,0,AG$250),(INDEX($H255:$O255,0,AG$252+1)-INDEX($H255:$O255,0,AG$252))/(INDEX($H$249:$O$249,0,AG$252+1)-INDEX($H$249:$O$249,0,AG$252))+AD262)))</f>
        <v>0.5538392862401621</v>
      </c>
      <c r="AF262" s="5" cm="1">
        <f t="array" ref="AF262">IF(AH$252=-1,AG262,IF(AH$252=99,AE262,IF(AH$252=0,INDEX($H255:$O255,0,AH$250),(INDEX($H255:$O255,0,AH$252+1)-INDEX($H255:$O255,0,AH$252))/(INDEX($H$249:$O$249,0,AH$252+1)-INDEX($H$249:$O$249,0,AH$252))+AE262)))</f>
        <v>0.56619568270938225</v>
      </c>
      <c r="AG262" s="5" cm="1">
        <f t="array" ref="AG262">IF(AI$252=-1,AH262,IF(AI$252=99,AF262,IF(AI$252=0,INDEX($H255:$O255,0,AI$250),(INDEX($H255:$O255,0,AI$252+1)-INDEX($H255:$O255,0,AI$252))/(INDEX($H$249:$O$249,0,AI$252+1)-INDEX($H$249:$O$249,0,AI$252))+AF262)))</f>
        <v>0.57855207917860241</v>
      </c>
      <c r="AH262" s="5" cm="1">
        <f t="array" ref="AH262">IF(AJ$252=-1,AI262,IF(AJ$252=99,AG262,IF(AJ$252=0,INDEX($H255:$O255,0,AJ$250),(INDEX($H255:$O255,0,AJ$252+1)-INDEX($H255:$O255,0,AJ$252))/(INDEX($H$249:$O$249,0,AJ$252+1)-INDEX($H$249:$O$249,0,AJ$252))+AG262)))</f>
        <v>0.59090847564782256</v>
      </c>
      <c r="AI262" s="5" cm="1">
        <f t="array" ref="AI262">IF(AK$252=-1,AJ262,IF(AK$252=99,AH262,IF(AK$252=0,INDEX($H255:$O255,0,AK$250),(INDEX($H255:$O255,0,AK$252+1)-INDEX($H255:$O255,0,AK$252))/(INDEX($H$249:$O$249,0,AK$252+1)-INDEX($H$249:$O$249,0,AK$252))+AH262)))</f>
        <v>0.60326487211704272</v>
      </c>
      <c r="AJ262" s="5" cm="1">
        <f t="array" ref="AJ262">IF(AL$252=-1,AK262,IF(AL$252=99,AI262,IF(AL$252=0,INDEX($H255:$O255,0,AL$250),(INDEX($H255:$O255,0,AL$252+1)-INDEX($H255:$O255,0,AL$252))/(INDEX($H$249:$O$249,0,AL$252+1)-INDEX($H$249:$O$249,0,AL$252))+AI262)))</f>
        <v>0.61562126858626331</v>
      </c>
      <c r="AK262" s="5" cm="1">
        <f t="array" ref="AK262">IF(AO$252=-1,AL262,IF(AO$252=99,AJ262,IF(AO$252=0,INDEX($H255:$O255,0,AO$250),(INDEX($H255:$O255,0,AO$252+1)-INDEX($H255:$O255,0,AO$252))/(INDEX($H$249:$O$249,0,AO$252+1)-INDEX($H$249:$O$249,0,AO$252))+AJ262)))</f>
        <v>0.61562126858626331</v>
      </c>
      <c r="AL262" s="5" cm="1">
        <f t="array" ref="AL262">IF(AP$252=-1,AO262,IF(AP$252=99,AK262,IF(AP$252=0,INDEX($H255:$O255,0,AP$250),(INDEX($H255:$O255,0,AP$252+1)-INDEX($H255:$O255,0,AP$252))/(INDEX($H$249:$O$249,0,AP$252+1)-INDEX($H$249:$O$249,0,AP$252))+AK262)))</f>
        <v>0.61562126858626331</v>
      </c>
      <c r="AM262" s="5" cm="1">
        <f t="array" ref="AM262">IF(AP$252=-1,AO262,IF(AP$252=99,AK262,IF(AP$252=0,INDEX($H255:$O255,0,AP$250),(INDEX($H255:$O255,0,AP$252+1)-INDEX($H255:$O255,0,AP$252))/(INDEX($H$249:$O$249,0,AP$252+1)-INDEX($H$249:$O$249,0,AP$252))+AK262)))</f>
        <v>0.61562126858626331</v>
      </c>
      <c r="AN262" s="5" cm="1">
        <f t="array" ref="AN262">IF(AP$252=-1,AO262,IF(AP$252=99,AK262,IF(AP$252=0,INDEX($H255:$O255,0,AP$250),(INDEX($H255:$O255,0,AP$252+1)-INDEX($H255:$O255,0,AP$252))/(INDEX($H$249:$O$249,0,AP$252+1)-INDEX($H$249:$O$249,0,AP$252))+AK262)))</f>
        <v>0.61562126858626331</v>
      </c>
      <c r="AO262" s="5" cm="1">
        <f t="array" ref="AO262">IF(AQ$252=-1,AP262,IF(AQ$252=99,AL262,IF(AQ$252=0,INDEX($H255:$O255,0,AQ$250),(INDEX($H255:$O255,0,AQ$252+1)-INDEX($H255:$O255,0,AQ$252))/(INDEX($H$249:$O$249,0,AQ$252+1)-INDEX($H$249:$O$249,0,AQ$252))+AL262)))</f>
        <v>0.61562126858626331</v>
      </c>
      <c r="AP262" s="5" cm="1">
        <f t="array" ref="AP262">IF(AR$252=-1,AQ262,IF(AR$252=99,AO262,IF(AR$252=0,INDEX($H255:$O255,0,AR$250),(INDEX($H255:$O255,0,AR$252+1)-INDEX($H255:$O255,0,AR$252))/(INDEX($H$249:$O$249,0,AR$252+1)-INDEX($H$249:$O$249,0,AR$252))+AO262)))</f>
        <v>0.61562126858626331</v>
      </c>
      <c r="AQ262" s="5" cm="1">
        <f t="array" ref="AQ262">IF(AS$252=-1,AR262,IF(AS$252=99,AP262,IF(AS$252=0,INDEX($H255:$O255,0,AS$250),(INDEX($H255:$O255,0,AS$252+1)-INDEX($H255:$O255,0,AS$252))/(INDEX($H$249:$O$249,0,AS$252+1)-INDEX($H$249:$O$249,0,AS$252))+AP262)))</f>
        <v>0.61562126858626331</v>
      </c>
      <c r="AR262" s="5" cm="1">
        <f t="array" ref="AR262">IF(AT$252=-1,AS262,IF(AT$252=99,AQ262,IF(AT$252=0,INDEX($H255:$O255,0,AT$250),(INDEX($H255:$O255,0,AT$252+1)-INDEX($H255:$O255,0,AT$252))/(INDEX($H$249:$O$249,0,AT$252+1)-INDEX($H$249:$O$249,0,AT$252))+AQ262)))</f>
        <v>0.61562126858626331</v>
      </c>
      <c r="AS262" s="5" cm="1">
        <f t="array" ref="AS262">IF(AV$252=-1,AT262,IF(AV$252=99,AR262,IF(AV$252=0,INDEX($H255:$O255,0,AV$250),(INDEX($H255:$O255,0,AV$252+1)-INDEX($H255:$O255,0,AV$252))/(INDEX($H$249:$O$249,0,AV$252+1)-INDEX($H$249:$O$249,0,AV$252))+AR262)))</f>
        <v>0.61562126858626331</v>
      </c>
      <c r="AT262" s="5" cm="1">
        <f t="array" ref="AT262">IF(AX$252=-1,AV262,IF(AX$252=99,AS262,IF(AX$252=0,INDEX($H255:$O255,0,AX$250),(INDEX($H255:$O255,0,AX$252+1)-INDEX($H255:$O255,0,AX$252))/(INDEX($H$249:$O$249,0,AX$252+1)-INDEX($H$249:$O$249,0,AX$252))+AS262)))</f>
        <v>0.61562126858626331</v>
      </c>
      <c r="AU262" s="5" cm="1">
        <f t="array" ref="AU262">IF(AX$252=-1,AW262,IF(AX$252=99,AS262,IF(AX$252=0,INDEX($H255:$O255,0,AX$250),(INDEX($H255:$O255,0,AX$252+1)-INDEX($H255:$O255,0,AX$252))/(INDEX($H$249:$O$249,0,AX$252+1)-INDEX($H$249:$O$249,0,AX$252))+AS262)))</f>
        <v>0.61562126858626331</v>
      </c>
      <c r="AV262" s="5" cm="1">
        <f t="array" ref="AV262">IF(AY$252=-1,AX262,IF(AY$252=99,AT262,IF(AY$252=0,INDEX($H255:$O255,0,AY$250),(INDEX($H255:$O255,0,AY$252+1)-INDEX($H255:$O255,0,AY$252))/(INDEX($H$249:$O$249,0,AY$252+1)-INDEX($H$249:$O$249,0,AY$252))+AT262)))</f>
        <v>0.61562126858626331</v>
      </c>
      <c r="AW262" s="5" cm="1">
        <f t="array" ref="AW262">IF(AZ$252=-1,AY262,IF(AZ$252=99,AV262,IF(AZ$252=0,INDEX($H255:$O255,0,AZ$250),(INDEX($H255:$O255,0,AZ$252+1)-INDEX($H255:$O255,0,AZ$252))/(INDEX($H$249:$O$249,0,AZ$252+1)-INDEX($H$249:$O$249,0,AZ$252))+AV262)))</f>
        <v>0.61562126858626331</v>
      </c>
      <c r="AX262" s="5" cm="1">
        <f t="array" ref="AX262">IF(AZ$252=-1,AY262,IF(AZ$252=99,AV262,IF(AZ$252=0,INDEX($H255:$O255,0,AZ$250),(INDEX($H255:$O255,0,AZ$252+1)-INDEX($H255:$O255,0,AZ$252))/(INDEX($H$249:$O$249,0,AZ$252+1)-INDEX($H$249:$O$249,0,AZ$252))+AV262)))</f>
        <v>0.61562126858626331</v>
      </c>
      <c r="AY262" s="5" cm="1">
        <f t="array" ref="AY262">IF(BA$252=-1,AZ262,IF(BA$252=99,AX262,IF(BA$252=0,INDEX($H255:$O255,0,BA$250),(INDEX($H255:$O255,0,BA$252+1)-INDEX($H255:$O255,0,BA$252))/(INDEX($H$249:$O$249,0,BA$252+1)-INDEX($H$249:$O$249,0,BA$252))+AX262)))</f>
        <v>0.61562126858626331</v>
      </c>
      <c r="AZ262" s="5" cm="1">
        <f t="array" ref="AZ262">IF(BB$252=-1,BA262,IF(BB$252=99,AY262,IF(BB$252=0,INDEX($H255:$O255,0,BB$250),(INDEX($H255:$O255,0,BB$252+1)-INDEX($H255:$O255,0,BB$252))/(INDEX($H$249:$O$249,0,BB$252+1)-INDEX($H$249:$O$249,0,BB$252))+AY262)))</f>
        <v>0.61562126858626331</v>
      </c>
      <c r="BA262" s="5" cm="1">
        <f t="array" ref="BA262">IF(BC$252=-1,BB262,IF(BC$252=99,AZ262,IF(BC$252=0,INDEX($H255:$O255,0,BC$250),(INDEX($H255:$O255,0,BC$252+1)-INDEX($H255:$O255,0,BC$252))/(INDEX($H$249:$O$249,0,BC$252+1)-INDEX($H$249:$O$249,0,BC$252))+AZ262)))</f>
        <v>0.61562126858626331</v>
      </c>
      <c r="BB262" s="5" cm="1">
        <f t="array" ref="BB262">IF(BD$252=-1,BC262,IF(BD$252=99,BA262,IF(BD$252=0,INDEX($H255:$O255,0,BD$250),(INDEX($H255:$O255,0,BD$252+1)-INDEX($H255:$O255,0,BD$252))/(INDEX($H$249:$O$249,0,BD$252+1)-INDEX($H$249:$O$249,0,BD$252))+BA262)))</f>
        <v>0.61562126858626331</v>
      </c>
      <c r="BC262" s="5" cm="1">
        <f t="array" ref="BC262">IF(BE$252=-1,BD262,IF(BE$252=99,BB262,IF(BE$252=0,INDEX($H255:$O255,0,BE$250),(INDEX($H255:$O255,0,BE$252+1)-INDEX($H255:$O255,0,BE$252))/(INDEX($H$249:$O$249,0,BE$252+1)-INDEX($H$249:$O$249,0,BE$252))+BB262)))</f>
        <v>0.61562126858626331</v>
      </c>
      <c r="BD262" s="5" cm="1">
        <f t="array" ref="BD262">IF(BF$252=-1,BI262,IF(BF$252=99,BC262,IF(BF$252=0,INDEX($H255:$O255,0,BF$250),(INDEX($H255:$O255,0,BF$252+1)-INDEX($H255:$O255,0,BF$252))/(INDEX($H$249:$O$249,0,BF$252+1)-INDEX($H$249:$O$249,0,BF$252))+BC262)))</f>
        <v>0.61562126858626331</v>
      </c>
      <c r="BE262" s="5" cm="1">
        <f t="array" ref="BE262">IF(BG$252=-1,BJ262,IF(BG$252=99,BD262,IF(BG$252=0,INDEX($H255:$O255,0,BG$250),(INDEX($H255:$O255,0,BG$252+1)-INDEX($H255:$O255,0,BG$252))/(INDEX($H$249:$O$249,0,BG$252+1)-INDEX($H$249:$O$249,0,BG$252))+BD262)))</f>
        <v>0.61562126858626331</v>
      </c>
      <c r="BF262" s="5" cm="1">
        <f t="array" ref="BF262">IF(BH$252=-1,BK262,IF(BH$252=99,BE262,IF(BH$252=0,INDEX($H255:$O255,0,BH$250),(INDEX($H255:$O255,0,BH$252+1)-INDEX($H255:$O255,0,BH$252))/(INDEX($H$249:$O$249,0,BH$252+1)-INDEX($H$249:$O$249,0,BH$252))+BE262)))</f>
        <v>0.61562126858626331</v>
      </c>
      <c r="BG262" s="5" cm="1">
        <f t="array" ref="BG262">IF(BI$252=-1,BL262,IF(BI$252=99,BF262,IF(BI$252=0,INDEX($H255:$O255,0,BI$250),(INDEX($H255:$O255,0,BI$252+1)-INDEX($H255:$O255,0,BI$252))/(INDEX($H$249:$O$249,0,BI$252+1)-INDEX($H$249:$O$249,0,BI$252))+BF262)))</f>
        <v>0.61562126858626331</v>
      </c>
      <c r="BH262" s="5" cm="1">
        <f t="array" ref="BH262">IF(BJ$252=-1,BM262,IF(BJ$252=99,BG262,IF(BJ$252=0,INDEX($H255:$O255,0,BJ$250),(INDEX($H255:$O255,0,BJ$252+1)-INDEX($H255:$O255,0,BJ$252))/(INDEX($H$249:$O$249,0,BJ$252+1)-INDEX($H$249:$O$249,0,BJ$252))+BG262)))</f>
        <v>0.61562126858626331</v>
      </c>
      <c r="BI262" s="5" cm="1">
        <f t="array" ref="BI262">IF(BK$252=-1,BN262,IF(BK$252=99,BH262,IF(BK$252=0,INDEX($H255:$O255,0,BK$250),(INDEX($H255:$O255,0,BK$252+1)-INDEX($H255:$O255,0,BK$252))/(INDEX($H$249:$O$249,0,BK$252+1)-INDEX($H$249:$O$249,0,BK$252))+BH262)))</f>
        <v>0.61562126858626331</v>
      </c>
      <c r="BJ262" s="5" cm="1">
        <f t="array" ref="BJ262">IF(BH$252=-1,BL262,IF(BH$252=99,BI262,IF(BH$252=0,INDEX($H255:$O255,0,BH$250),(INDEX($H255:$O255,0,BH$252+1)-INDEX($H255:$O255,0,BH$252))/(INDEX($H$249:$O$249,0,BH$252+1)-INDEX($H$249:$O$249,0,BH$252))+BI262)))</f>
        <v>0.61562126858626331</v>
      </c>
      <c r="BK262" s="5" cm="1">
        <f t="array" ref="BK262">IF(BI$252=-1,BM262,IF(BI$252=99,BJ262,IF(BI$252=0,INDEX($H255:$O255,0,BI$250),(INDEX($H255:$O255,0,BI$252+1)-INDEX($H255:$O255,0,BI$252))/(INDEX($H$249:$O$249,0,BI$252+1)-INDEX($H$249:$O$249,0,BI$252))+BJ262)))</f>
        <v>0.61562126858626331</v>
      </c>
      <c r="BL262" s="5" cm="1">
        <f t="array" ref="BL262">IF(BJ$252=-1,BN262,IF(BJ$252=99,BK262,IF(BJ$252=0,INDEX($H255:$O255,0,BJ$250),(INDEX($H255:$O255,0,BJ$252+1)-INDEX($H255:$O255,0,BJ$252))/(INDEX($H$249:$O$249,0,BJ$252+1)-INDEX($H$249:$O$249,0,BJ$252))+BK262)))</f>
        <v>0.61562126858626331</v>
      </c>
      <c r="BM262" s="5" cm="1">
        <f t="array" ref="BM262">IF(BK$252=-1,BO262,IF(BK$252=99,BL262,IF(BK$252=0,INDEX($H255:$O255,0,BK$250),(INDEX($H255:$O255,0,BK$252+1)-INDEX($H255:$O255,0,BK$252))/(INDEX($H$249:$O$249,0,BK$252+1)-INDEX($H$249:$O$249,0,BK$252))+BL262)))</f>
        <v>0.61562126858626331</v>
      </c>
      <c r="BN262" s="5" cm="1">
        <f t="array" ref="BN262">IF(BL$252=-1,BP262,IF(BL$252=99,BM262,IF(BL$252=0,INDEX($H255:$O255,0,BL$250),(INDEX($H255:$O255,0,BL$252+1)-INDEX($H255:$O255,0,BL$252))/(INDEX($H$249:$O$249,0,BL$252+1)-INDEX($H$249:$O$249,0,BL$252))+BM262)))</f>
        <v>0.61562126858626331</v>
      </c>
      <c r="BO262" s="5" cm="1">
        <f t="array" ref="BO262">IF(BM$252=-1,BQ262,IF(BM$252=99,BN262,IF(BM$252=0,INDEX($H255:$O255,0,BM$250),(INDEX($H255:$O255,0,BM$252+1)-INDEX($H255:$O255,0,BM$252))/(INDEX($H$249:$O$249,0,BM$252+1)-INDEX($H$249:$O$249,0,BM$252))+BN262)))</f>
        <v>0.61562126858626331</v>
      </c>
      <c r="BP262" s="5" cm="1">
        <f t="array" ref="BP262">IF(BN$252=-1,BR262,IF(BN$252=99,BO262,IF(BN$252=0,INDEX($H255:$O255,0,BN$250),(INDEX($H255:$O255,0,BN$252+1)-INDEX($H255:$O255,0,BN$252))/(INDEX($H$249:$O$249,0,BN$252+1)-INDEX($H$249:$O$249,0,BN$252))+BO262)))</f>
        <v>0.61562126858626331</v>
      </c>
    </row>
    <row r="263" spans="5:68">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0.55778344374653643</v>
      </c>
      <c r="Z263" s="5" cm="1">
        <f t="array" ref="Z263">IF(AD$252=-1,AA263,IF(AD$252=99,Y263,IF(AD$252=0,INDEX($H256:$O256,0,AD$250),(INDEX($H256:$O256,0,AD$252+1)-INDEX($H256:$O256,0,AD$252))/(INDEX($H$249:$O$249,0,AD$252+1)-INDEX($H$249:$O$249,0,AD$252))+Y263)))</f>
        <v>0.54793775031412173</v>
      </c>
      <c r="AA263" s="5" cm="1">
        <f t="array" ref="AA263">IF(AE$252=-1,AD263,IF(AE$252=99,Z263,IF(AE$252=0,INDEX($H256:$O256,0,AE$250),(INDEX($H256:$O256,0,AE$252+1)-INDEX($H256:$O256,0,AE$252))/(INDEX($H$249:$O$249,0,AE$252+1)-INDEX($H$249:$O$249,0,AE$252))+Z263)))</f>
        <v>0.53809205688170703</v>
      </c>
      <c r="AB263" s="5" cm="1">
        <f t="array" ref="AB263">IF(AE$252=-1,AD263,IF(AE$252=99,Z263,IF(AE$252=0,INDEX($H256:$O256,0,AE$250),(INDEX($H256:$O256,0,AE$252+1)-INDEX($H256:$O256,0,AE$252))/(INDEX($H$249:$O$249,0,AE$252+1)-INDEX($H$249:$O$249,0,AE$252))+Z263)))</f>
        <v>0.53809205688170703</v>
      </c>
      <c r="AC263" s="5" cm="1">
        <f t="array" ref="AC263">IF(AE$252=-1,AD263,IF(AE$252=99,Z263,IF(AE$252=0,INDEX($H256:$O256,0,AE$250),(INDEX($H256:$O256,0,AE$252+1)-INDEX($H256:$O256,0,AE$252))/(INDEX($H$249:$O$249,0,AE$252+1)-INDEX($H$249:$O$249,0,AE$252))+Z263)))</f>
        <v>0.53809205688170703</v>
      </c>
      <c r="AD263" s="5" cm="1">
        <f t="array" ref="AD263">IF(AF$252=-1,AE263,IF(AF$252=99,AA263,IF(AF$252=0,INDEX($H256:$O256,0,AF$250),(INDEX($H256:$O256,0,AF$252+1)-INDEX($H256:$O256,0,AF$252))/(INDEX($H$249:$O$249,0,AF$252+1)-INDEX($H$249:$O$249,0,AF$252))+AA263)))</f>
        <v>0.52824636344929232</v>
      </c>
      <c r="AE263" s="5" cm="1">
        <f t="array" ref="AE263">IF(AG$252=-1,AF263,IF(AG$252=99,AD263,IF(AG$252=0,INDEX($H256:$O256,0,AG$250),(INDEX($H256:$O256,0,AG$252+1)-INDEX($H256:$O256,0,AG$252))/(INDEX($H$249:$O$249,0,AG$252+1)-INDEX($H$249:$O$249,0,AG$252))+AD263)))</f>
        <v>0.51840067001687762</v>
      </c>
      <c r="AF263" s="5" cm="1">
        <f t="array" ref="AF263">IF(AH$252=-1,AG263,IF(AH$252=99,AE263,IF(AH$252=0,INDEX($H256:$O256,0,AH$250),(INDEX($H256:$O256,0,AH$252+1)-INDEX($H256:$O256,0,AH$252))/(INDEX($H$249:$O$249,0,AH$252+1)-INDEX($H$249:$O$249,0,AH$252))+AE263)))</f>
        <v>0.50855497658446291</v>
      </c>
      <c r="AG263" s="5" cm="1">
        <f t="array" ref="AG263">IF(AI$252=-1,AH263,IF(AI$252=99,AF263,IF(AI$252=0,INDEX($H256:$O256,0,AI$250),(INDEX($H256:$O256,0,AI$252+1)-INDEX($H256:$O256,0,AI$252))/(INDEX($H$249:$O$249,0,AI$252+1)-INDEX($H$249:$O$249,0,AI$252))+AF263)))</f>
        <v>0.49870928315204816</v>
      </c>
      <c r="AH263" s="5" cm="1">
        <f t="array" ref="AH263">IF(AJ$252=-1,AI263,IF(AJ$252=99,AG263,IF(AJ$252=0,INDEX($H256:$O256,0,AJ$250),(INDEX($H256:$O256,0,AJ$252+1)-INDEX($H256:$O256,0,AJ$252))/(INDEX($H$249:$O$249,0,AJ$252+1)-INDEX($H$249:$O$249,0,AJ$252))+AG263)))</f>
        <v>0.4888635897196334</v>
      </c>
      <c r="AI263" s="5" cm="1">
        <f t="array" ref="AI263">IF(AK$252=-1,AJ263,IF(AK$252=99,AH263,IF(AK$252=0,INDEX($H256:$O256,0,AK$250),(INDEX($H256:$O256,0,AK$252+1)-INDEX($H256:$O256,0,AK$252))/(INDEX($H$249:$O$249,0,AK$252+1)-INDEX($H$249:$O$249,0,AK$252))+AH263)))</f>
        <v>0.47901789628721864</v>
      </c>
      <c r="AJ263" s="5" cm="1">
        <f t="array" ref="AJ263">IF(AL$252=-1,AK263,IF(AL$252=99,AI263,IF(AL$252=0,INDEX($H256:$O256,0,AL$250),(INDEX($H256:$O256,0,AL$252+1)-INDEX($H256:$O256,0,AL$252))/(INDEX($H$249:$O$249,0,AL$252+1)-INDEX($H$249:$O$249,0,AL$252))+AI263)))</f>
        <v>0.46917220285480377</v>
      </c>
      <c r="AK263" s="5" cm="1">
        <f t="array" ref="AK263">IF(AO$252=-1,AL263,IF(AO$252=99,AJ263,IF(AO$252=0,INDEX($H256:$O256,0,AO$250),(INDEX($H256:$O256,0,AO$252+1)-INDEX($H256:$O256,0,AO$252))/(INDEX($H$249:$O$249,0,AO$252+1)-INDEX($H$249:$O$249,0,AO$252))+AJ263)))</f>
        <v>0.46917220285480377</v>
      </c>
      <c r="AL263" s="5" cm="1">
        <f t="array" ref="AL263">IF(AP$252=-1,AO263,IF(AP$252=99,AK263,IF(AP$252=0,INDEX($H256:$O256,0,AP$250),(INDEX($H256:$O256,0,AP$252+1)-INDEX($H256:$O256,0,AP$252))/(INDEX($H$249:$O$249,0,AP$252+1)-INDEX($H$249:$O$249,0,AP$252))+AK263)))</f>
        <v>0.46917220285480377</v>
      </c>
      <c r="AM263" s="5" cm="1">
        <f t="array" ref="AM263">IF(AP$252=-1,AO263,IF(AP$252=99,AK263,IF(AP$252=0,INDEX($H256:$O256,0,AP$250),(INDEX($H256:$O256,0,AP$252+1)-INDEX($H256:$O256,0,AP$252))/(INDEX($H$249:$O$249,0,AP$252+1)-INDEX($H$249:$O$249,0,AP$252))+AK263)))</f>
        <v>0.46917220285480377</v>
      </c>
      <c r="AN263" s="5" cm="1">
        <f t="array" ref="AN263">IF(AP$252=-1,AO263,IF(AP$252=99,AK263,IF(AP$252=0,INDEX($H256:$O256,0,AP$250),(INDEX($H256:$O256,0,AP$252+1)-INDEX($H256:$O256,0,AP$252))/(INDEX($H$249:$O$249,0,AP$252+1)-INDEX($H$249:$O$249,0,AP$252))+AK263)))</f>
        <v>0.46917220285480377</v>
      </c>
      <c r="AO263" s="5" cm="1">
        <f t="array" ref="AO263">IF(AQ$252=-1,AP263,IF(AQ$252=99,AL263,IF(AQ$252=0,INDEX($H256:$O256,0,AQ$250),(INDEX($H256:$O256,0,AQ$252+1)-INDEX($H256:$O256,0,AQ$252))/(INDEX($H$249:$O$249,0,AQ$252+1)-INDEX($H$249:$O$249,0,AQ$252))+AL263)))</f>
        <v>0.46917220285480377</v>
      </c>
      <c r="AP263" s="5" cm="1">
        <f t="array" ref="AP263">IF(AR$252=-1,AQ263,IF(AR$252=99,AO263,IF(AR$252=0,INDEX($H256:$O256,0,AR$250),(INDEX($H256:$O256,0,AR$252+1)-INDEX($H256:$O256,0,AR$252))/(INDEX($H$249:$O$249,0,AR$252+1)-INDEX($H$249:$O$249,0,AR$252))+AO263)))</f>
        <v>0.46917220285480377</v>
      </c>
      <c r="AQ263" s="5" cm="1">
        <f t="array" ref="AQ263">IF(AS$252=-1,AR263,IF(AS$252=99,AP263,IF(AS$252=0,INDEX($H256:$O256,0,AS$250),(INDEX($H256:$O256,0,AS$252+1)-INDEX($H256:$O256,0,AS$252))/(INDEX($H$249:$O$249,0,AS$252+1)-INDEX($H$249:$O$249,0,AS$252))+AP263)))</f>
        <v>0.46917220285480377</v>
      </c>
      <c r="AR263" s="5" cm="1">
        <f t="array" ref="AR263">IF(AT$252=-1,AS263,IF(AT$252=99,AQ263,IF(AT$252=0,INDEX($H256:$O256,0,AT$250),(INDEX($H256:$O256,0,AT$252+1)-INDEX($H256:$O256,0,AT$252))/(INDEX($H$249:$O$249,0,AT$252+1)-INDEX($H$249:$O$249,0,AT$252))+AQ263)))</f>
        <v>0.46917220285480377</v>
      </c>
      <c r="AS263" s="5" cm="1">
        <f t="array" ref="AS263">IF(AV$252=-1,AT263,IF(AV$252=99,AR263,IF(AV$252=0,INDEX($H256:$O256,0,AV$250),(INDEX($H256:$O256,0,AV$252+1)-INDEX($H256:$O256,0,AV$252))/(INDEX($H$249:$O$249,0,AV$252+1)-INDEX($H$249:$O$249,0,AV$252))+AR263)))</f>
        <v>0.46917220285480377</v>
      </c>
      <c r="AT263" s="5" cm="1">
        <f t="array" ref="AT263">IF(AX$252=-1,AV263,IF(AX$252=99,AS263,IF(AX$252=0,INDEX($H256:$O256,0,AX$250),(INDEX($H256:$O256,0,AX$252+1)-INDEX($H256:$O256,0,AX$252))/(INDEX($H$249:$O$249,0,AX$252+1)-INDEX($H$249:$O$249,0,AX$252))+AS263)))</f>
        <v>0.46917220285480377</v>
      </c>
      <c r="AU263" s="5" cm="1">
        <f t="array" ref="AU263">IF(AX$252=-1,AW263,IF(AX$252=99,AS263,IF(AX$252=0,INDEX($H256:$O256,0,AX$250),(INDEX($H256:$O256,0,AX$252+1)-INDEX($H256:$O256,0,AX$252))/(INDEX($H$249:$O$249,0,AX$252+1)-INDEX($H$249:$O$249,0,AX$252))+AS263)))</f>
        <v>0.46917220285480377</v>
      </c>
      <c r="AV263" s="5" cm="1">
        <f t="array" ref="AV263">IF(AY$252=-1,AX263,IF(AY$252=99,AT263,IF(AY$252=0,INDEX($H256:$O256,0,AY$250),(INDEX($H256:$O256,0,AY$252+1)-INDEX($H256:$O256,0,AY$252))/(INDEX($H$249:$O$249,0,AY$252+1)-INDEX($H$249:$O$249,0,AY$252))+AT263)))</f>
        <v>0.46917220285480377</v>
      </c>
      <c r="AW263" s="5" cm="1">
        <f t="array" ref="AW263">IF(AZ$252=-1,AY263,IF(AZ$252=99,AV263,IF(AZ$252=0,INDEX($H256:$O256,0,AZ$250),(INDEX($H256:$O256,0,AZ$252+1)-INDEX($H256:$O256,0,AZ$252))/(INDEX($H$249:$O$249,0,AZ$252+1)-INDEX($H$249:$O$249,0,AZ$252))+AV263)))</f>
        <v>0.46917220285480377</v>
      </c>
      <c r="AX263" s="5" cm="1">
        <f t="array" ref="AX263">IF(AZ$252=-1,AY263,IF(AZ$252=99,AV263,IF(AZ$252=0,INDEX($H256:$O256,0,AZ$250),(INDEX($H256:$O256,0,AZ$252+1)-INDEX($H256:$O256,0,AZ$252))/(INDEX($H$249:$O$249,0,AZ$252+1)-INDEX($H$249:$O$249,0,AZ$252))+AV263)))</f>
        <v>0.46917220285480377</v>
      </c>
      <c r="AY263" s="5" cm="1">
        <f t="array" ref="AY263">IF(BA$252=-1,AZ263,IF(BA$252=99,AX263,IF(BA$252=0,INDEX($H256:$O256,0,BA$250),(INDEX($H256:$O256,0,BA$252+1)-INDEX($H256:$O256,0,BA$252))/(INDEX($H$249:$O$249,0,BA$252+1)-INDEX($H$249:$O$249,0,BA$252))+AX263)))</f>
        <v>0.46917220285480377</v>
      </c>
      <c r="AZ263" s="5" cm="1">
        <f t="array" ref="AZ263">IF(BB$252=-1,BA263,IF(BB$252=99,AY263,IF(BB$252=0,INDEX($H256:$O256,0,BB$250),(INDEX($H256:$O256,0,BB$252+1)-INDEX($H256:$O256,0,BB$252))/(INDEX($H$249:$O$249,0,BB$252+1)-INDEX($H$249:$O$249,0,BB$252))+AY263)))</f>
        <v>0.46917220285480377</v>
      </c>
      <c r="BA263" s="5" cm="1">
        <f t="array" ref="BA263">IF(BC$252=-1,BB263,IF(BC$252=99,AZ263,IF(BC$252=0,INDEX($H256:$O256,0,BC$250),(INDEX($H256:$O256,0,BC$252+1)-INDEX($H256:$O256,0,BC$252))/(INDEX($H$249:$O$249,0,BC$252+1)-INDEX($H$249:$O$249,0,BC$252))+AZ263)))</f>
        <v>0.46917220285480377</v>
      </c>
      <c r="BB263" s="5" cm="1">
        <f t="array" ref="BB263">IF(BD$252=-1,BC263,IF(BD$252=99,BA263,IF(BD$252=0,INDEX($H256:$O256,0,BD$250),(INDEX($H256:$O256,0,BD$252+1)-INDEX($H256:$O256,0,BD$252))/(INDEX($H$249:$O$249,0,BD$252+1)-INDEX($H$249:$O$249,0,BD$252))+BA263)))</f>
        <v>0.46917220285480377</v>
      </c>
      <c r="BC263" s="5" cm="1">
        <f t="array" ref="BC263">IF(BE$252=-1,BD263,IF(BE$252=99,BB263,IF(BE$252=0,INDEX($H256:$O256,0,BE$250),(INDEX($H256:$O256,0,BE$252+1)-INDEX($H256:$O256,0,BE$252))/(INDEX($H$249:$O$249,0,BE$252+1)-INDEX($H$249:$O$249,0,BE$252))+BB263)))</f>
        <v>0.46917220285480377</v>
      </c>
      <c r="BD263" s="5" cm="1">
        <f t="array" ref="BD263">IF(BF$252=-1,BI263,IF(BF$252=99,BC263,IF(BF$252=0,INDEX($H256:$O256,0,BF$250),(INDEX($H256:$O256,0,BF$252+1)-INDEX($H256:$O256,0,BF$252))/(INDEX($H$249:$O$249,0,BF$252+1)-INDEX($H$249:$O$249,0,BF$252))+BC263)))</f>
        <v>0.46917220285480377</v>
      </c>
      <c r="BE263" s="5" cm="1">
        <f t="array" ref="BE263">IF(BG$252=-1,BJ263,IF(BG$252=99,BD263,IF(BG$252=0,INDEX($H256:$O256,0,BG$250),(INDEX($H256:$O256,0,BG$252+1)-INDEX($H256:$O256,0,BG$252))/(INDEX($H$249:$O$249,0,BG$252+1)-INDEX($H$249:$O$249,0,BG$252))+BD263)))</f>
        <v>0.46917220285480377</v>
      </c>
      <c r="BF263" s="5" cm="1">
        <f t="array" ref="BF263">IF(BH$252=-1,BK263,IF(BH$252=99,BE263,IF(BH$252=0,INDEX($H256:$O256,0,BH$250),(INDEX($H256:$O256,0,BH$252+1)-INDEX($H256:$O256,0,BH$252))/(INDEX($H$249:$O$249,0,BH$252+1)-INDEX($H$249:$O$249,0,BH$252))+BE263)))</f>
        <v>0.46917220285480377</v>
      </c>
      <c r="BG263" s="5" cm="1">
        <f t="array" ref="BG263">IF(BI$252=-1,BL263,IF(BI$252=99,BF263,IF(BI$252=0,INDEX($H256:$O256,0,BI$250),(INDEX($H256:$O256,0,BI$252+1)-INDEX($H256:$O256,0,BI$252))/(INDEX($H$249:$O$249,0,BI$252+1)-INDEX($H$249:$O$249,0,BI$252))+BF263)))</f>
        <v>0.46917220285480377</v>
      </c>
      <c r="BH263" s="5" cm="1">
        <f t="array" ref="BH263">IF(BJ$252=-1,BM263,IF(BJ$252=99,BG263,IF(BJ$252=0,INDEX($H256:$O256,0,BJ$250),(INDEX($H256:$O256,0,BJ$252+1)-INDEX($H256:$O256,0,BJ$252))/(INDEX($H$249:$O$249,0,BJ$252+1)-INDEX($H$249:$O$249,0,BJ$252))+BG263)))</f>
        <v>0.46917220285480377</v>
      </c>
      <c r="BI263" s="5" cm="1">
        <f t="array" ref="BI263">IF(BK$252=-1,BN263,IF(BK$252=99,BH263,IF(BK$252=0,INDEX($H256:$O256,0,BK$250),(INDEX($H256:$O256,0,BK$252+1)-INDEX($H256:$O256,0,BK$252))/(INDEX($H$249:$O$249,0,BK$252+1)-INDEX($H$249:$O$249,0,BK$252))+BH263)))</f>
        <v>0.46917220285480377</v>
      </c>
      <c r="BJ263" s="5" cm="1">
        <f t="array" ref="BJ263">IF(BH$252=-1,BL263,IF(BH$252=99,BI263,IF(BH$252=0,INDEX($H256:$O256,0,BH$250),(INDEX($H256:$O256,0,BH$252+1)-INDEX($H256:$O256,0,BH$252))/(INDEX($H$249:$O$249,0,BH$252+1)-INDEX($H$249:$O$249,0,BH$252))+BI263)))</f>
        <v>0.46917220285480377</v>
      </c>
      <c r="BK263" s="5" cm="1">
        <f t="array" ref="BK263">IF(BI$252=-1,BM263,IF(BI$252=99,BJ263,IF(BI$252=0,INDEX($H256:$O256,0,BI$250),(INDEX($H256:$O256,0,BI$252+1)-INDEX($H256:$O256,0,BI$252))/(INDEX($H$249:$O$249,0,BI$252+1)-INDEX($H$249:$O$249,0,BI$252))+BJ263)))</f>
        <v>0.46917220285480377</v>
      </c>
      <c r="BL263" s="5" cm="1">
        <f t="array" ref="BL263">IF(BJ$252=-1,BN263,IF(BJ$252=99,BK263,IF(BJ$252=0,INDEX($H256:$O256,0,BJ$250),(INDEX($H256:$O256,0,BJ$252+1)-INDEX($H256:$O256,0,BJ$252))/(INDEX($H$249:$O$249,0,BJ$252+1)-INDEX($H$249:$O$249,0,BJ$252))+BK263)))</f>
        <v>0.46917220285480377</v>
      </c>
      <c r="BM263" s="5" cm="1">
        <f t="array" ref="BM263">IF(BK$252=-1,BO263,IF(BK$252=99,BL263,IF(BK$252=0,INDEX($H256:$O256,0,BK$250),(INDEX($H256:$O256,0,BK$252+1)-INDEX($H256:$O256,0,BK$252))/(INDEX($H$249:$O$249,0,BK$252+1)-INDEX($H$249:$O$249,0,BK$252))+BL263)))</f>
        <v>0.46917220285480377</v>
      </c>
      <c r="BN263" s="5" cm="1">
        <f t="array" ref="BN263">IF(BL$252=-1,BP263,IF(BL$252=99,BM263,IF(BL$252=0,INDEX($H256:$O256,0,BL$250),(INDEX($H256:$O256,0,BL$252+1)-INDEX($H256:$O256,0,BL$252))/(INDEX($H$249:$O$249,0,BL$252+1)-INDEX($H$249:$O$249,0,BL$252))+BM263)))</f>
        <v>0.46917220285480377</v>
      </c>
      <c r="BO263" s="5" cm="1">
        <f t="array" ref="BO263">IF(BM$252=-1,BQ263,IF(BM$252=99,BN263,IF(BM$252=0,INDEX($H256:$O256,0,BM$250),(INDEX($H256:$O256,0,BM$252+1)-INDEX($H256:$O256,0,BM$252))/(INDEX($H$249:$O$249,0,BM$252+1)-INDEX($H$249:$O$249,0,BM$252))+BN263)))</f>
        <v>0.46917220285480377</v>
      </c>
      <c r="BP263" s="5" cm="1">
        <f t="array" ref="BP263">IF(BN$252=-1,BR263,IF(BN$252=99,BO263,IF(BN$252=0,INDEX($H256:$O256,0,BN$250),(INDEX($H256:$O256,0,BN$252+1)-INDEX($H256:$O256,0,BN$252))/(INDEX($H$249:$O$249,0,BN$252+1)-INDEX($H$249:$O$249,0,BN$252))+BO263)))</f>
        <v>0.46917220285480377</v>
      </c>
    </row>
    <row r="264" spans="5:68">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0.31096692481785448</v>
      </c>
      <c r="Z264" s="5" cm="1">
        <f t="array" ref="Z264">IF(AD$252=-1,AA264,IF(AD$252=99,Y264,IF(AD$252=0,INDEX($H257:$O257,0,AD$250),(INDEX($H257:$O257,0,AD$252+1)-INDEX($H257:$O257,0,AD$252))/(INDEX($H$249:$O$249,0,AD$252+1)-INDEX($H$249:$O$249,0,AD$252))+Y264)))</f>
        <v>0.31369292596998521</v>
      </c>
      <c r="AA264" s="5" cm="1">
        <f t="array" ref="AA264">IF(AE$252=-1,AD264,IF(AE$252=99,Z264,IF(AE$252=0,INDEX($H257:$O257,0,AE$250),(INDEX($H257:$O257,0,AE$252+1)-INDEX($H257:$O257,0,AE$252))/(INDEX($H$249:$O$249,0,AE$252+1)-INDEX($H$249:$O$249,0,AE$252))+Z264)))</f>
        <v>0.31641892712211594</v>
      </c>
      <c r="AB264" s="5" cm="1">
        <f t="array" ref="AB264">IF(AE$252=-1,AD264,IF(AE$252=99,Z264,IF(AE$252=0,INDEX($H257:$O257,0,AE$250),(INDEX($H257:$O257,0,AE$252+1)-INDEX($H257:$O257,0,AE$252))/(INDEX($H$249:$O$249,0,AE$252+1)-INDEX($H$249:$O$249,0,AE$252))+Z264)))</f>
        <v>0.31641892712211594</v>
      </c>
      <c r="AC264" s="5" cm="1">
        <f t="array" ref="AC264">IF(AE$252=-1,AD264,IF(AE$252=99,Z264,IF(AE$252=0,INDEX($H257:$O257,0,AE$250),(INDEX($H257:$O257,0,AE$252+1)-INDEX($H257:$O257,0,AE$252))/(INDEX($H$249:$O$249,0,AE$252+1)-INDEX($H$249:$O$249,0,AE$252))+Z264)))</f>
        <v>0.31641892712211594</v>
      </c>
      <c r="AD264" s="5" cm="1">
        <f t="array" ref="AD264">IF(AF$252=-1,AE264,IF(AF$252=99,AA264,IF(AF$252=0,INDEX($H257:$O257,0,AF$250),(INDEX($H257:$O257,0,AF$252+1)-INDEX($H257:$O257,0,AF$252))/(INDEX($H$249:$O$249,0,AF$252+1)-INDEX($H$249:$O$249,0,AF$252))+AA264)))</f>
        <v>0.31914492827424668</v>
      </c>
      <c r="AE264" s="5" cm="1">
        <f t="array" ref="AE264">IF(AG$252=-1,AF264,IF(AG$252=99,AD264,IF(AG$252=0,INDEX($H257:$O257,0,AG$250),(INDEX($H257:$O257,0,AG$252+1)-INDEX($H257:$O257,0,AG$252))/(INDEX($H$249:$O$249,0,AG$252+1)-INDEX($H$249:$O$249,0,AG$252))+AD264)))</f>
        <v>0.32187092942637741</v>
      </c>
      <c r="AF264" s="5" cm="1">
        <f t="array" ref="AF264">IF(AH$252=-1,AG264,IF(AH$252=99,AE264,IF(AH$252=0,INDEX($H257:$O257,0,AH$250),(INDEX($H257:$O257,0,AH$252+1)-INDEX($H257:$O257,0,AH$252))/(INDEX($H$249:$O$249,0,AH$252+1)-INDEX($H$249:$O$249,0,AH$252))+AE264)))</f>
        <v>0.32459693057850814</v>
      </c>
      <c r="AG264" s="5" cm="1">
        <f t="array" ref="AG264">IF(AI$252=-1,AH264,IF(AI$252=99,AF264,IF(AI$252=0,INDEX($H257:$O257,0,AI$250),(INDEX($H257:$O257,0,AI$252+1)-INDEX($H257:$O257,0,AI$252))/(INDEX($H$249:$O$249,0,AI$252+1)-INDEX($H$249:$O$249,0,AI$252))+AF264)))</f>
        <v>0.32732293173063887</v>
      </c>
      <c r="AH264" s="5" cm="1">
        <f t="array" ref="AH264">IF(AJ$252=-1,AI264,IF(AJ$252=99,AG264,IF(AJ$252=0,INDEX($H257:$O257,0,AJ$250),(INDEX($H257:$O257,0,AJ$252+1)-INDEX($H257:$O257,0,AJ$252))/(INDEX($H$249:$O$249,0,AJ$252+1)-INDEX($H$249:$O$249,0,AJ$252))+AG264)))</f>
        <v>0.3300489328827696</v>
      </c>
      <c r="AI264" s="5" cm="1">
        <f t="array" ref="AI264">IF(AK$252=-1,AJ264,IF(AK$252=99,AH264,IF(AK$252=0,INDEX($H257:$O257,0,AK$250),(INDEX($H257:$O257,0,AK$252+1)-INDEX($H257:$O257,0,AK$252))/(INDEX($H$249:$O$249,0,AK$252+1)-INDEX($H$249:$O$249,0,AK$252))+AH264)))</f>
        <v>0.33277493403490033</v>
      </c>
      <c r="AJ264" s="5" cm="1">
        <f t="array" ref="AJ264">IF(AL$252=-1,AK264,IF(AL$252=99,AI264,IF(AL$252=0,INDEX($H257:$O257,0,AL$250),(INDEX($H257:$O257,0,AL$252+1)-INDEX($H257:$O257,0,AL$252))/(INDEX($H$249:$O$249,0,AL$252+1)-INDEX($H$249:$O$249,0,AL$252))+AI264)))</f>
        <v>0.33550093518703117</v>
      </c>
      <c r="AK264" s="5" cm="1">
        <f t="array" ref="AK264">IF(AO$252=-1,AL264,IF(AO$252=99,AJ264,IF(AO$252=0,INDEX($H257:$O257,0,AO$250),(INDEX($H257:$O257,0,AO$252+1)-INDEX($H257:$O257,0,AO$252))/(INDEX($H$249:$O$249,0,AO$252+1)-INDEX($H$249:$O$249,0,AO$252))+AJ264)))</f>
        <v>0.33550093518703117</v>
      </c>
      <c r="AL264" s="5" cm="1">
        <f t="array" ref="AL264">IF(AP$252=-1,AO264,IF(AP$252=99,AK264,IF(AP$252=0,INDEX($H257:$O257,0,AP$250),(INDEX($H257:$O257,0,AP$252+1)-INDEX($H257:$O257,0,AP$252))/(INDEX($H$249:$O$249,0,AP$252+1)-INDEX($H$249:$O$249,0,AP$252))+AK264)))</f>
        <v>0.33550093518703117</v>
      </c>
      <c r="AM264" s="5" cm="1">
        <f t="array" ref="AM264">IF(AP$252=-1,AO264,IF(AP$252=99,AK264,IF(AP$252=0,INDEX($H257:$O257,0,AP$250),(INDEX($H257:$O257,0,AP$252+1)-INDEX($H257:$O257,0,AP$252))/(INDEX($H$249:$O$249,0,AP$252+1)-INDEX($H$249:$O$249,0,AP$252))+AK264)))</f>
        <v>0.33550093518703117</v>
      </c>
      <c r="AN264" s="5" cm="1">
        <f t="array" ref="AN264">IF(AP$252=-1,AO264,IF(AP$252=99,AK264,IF(AP$252=0,INDEX($H257:$O257,0,AP$250),(INDEX($H257:$O257,0,AP$252+1)-INDEX($H257:$O257,0,AP$252))/(INDEX($H$249:$O$249,0,AP$252+1)-INDEX($H$249:$O$249,0,AP$252))+AK264)))</f>
        <v>0.33550093518703117</v>
      </c>
      <c r="AO264" s="5" cm="1">
        <f t="array" ref="AO264">IF(AQ$252=-1,AP264,IF(AQ$252=99,AL264,IF(AQ$252=0,INDEX($H257:$O257,0,AQ$250),(INDEX($H257:$O257,0,AQ$252+1)-INDEX($H257:$O257,0,AQ$252))/(INDEX($H$249:$O$249,0,AQ$252+1)-INDEX($H$249:$O$249,0,AQ$252))+AL264)))</f>
        <v>0.33550093518703117</v>
      </c>
      <c r="AP264" s="5" cm="1">
        <f t="array" ref="AP264">IF(AR$252=-1,AQ264,IF(AR$252=99,AO264,IF(AR$252=0,INDEX($H257:$O257,0,AR$250),(INDEX($H257:$O257,0,AR$252+1)-INDEX($H257:$O257,0,AR$252))/(INDEX($H$249:$O$249,0,AR$252+1)-INDEX($H$249:$O$249,0,AR$252))+AO264)))</f>
        <v>0.33550093518703117</v>
      </c>
      <c r="AQ264" s="5" cm="1">
        <f t="array" ref="AQ264">IF(AS$252=-1,AR264,IF(AS$252=99,AP264,IF(AS$252=0,INDEX($H257:$O257,0,AS$250),(INDEX($H257:$O257,0,AS$252+1)-INDEX($H257:$O257,0,AS$252))/(INDEX($H$249:$O$249,0,AS$252+1)-INDEX($H$249:$O$249,0,AS$252))+AP264)))</f>
        <v>0.33550093518703117</v>
      </c>
      <c r="AR264" s="5" cm="1">
        <f t="array" ref="AR264">IF(AT$252=-1,AS264,IF(AT$252=99,AQ264,IF(AT$252=0,INDEX($H257:$O257,0,AT$250),(INDEX($H257:$O257,0,AT$252+1)-INDEX($H257:$O257,0,AT$252))/(INDEX($H$249:$O$249,0,AT$252+1)-INDEX($H$249:$O$249,0,AT$252))+AQ264)))</f>
        <v>0.33550093518703117</v>
      </c>
      <c r="AS264" s="5" cm="1">
        <f t="array" ref="AS264">IF(AV$252=-1,AT264,IF(AV$252=99,AR264,IF(AV$252=0,INDEX($H257:$O257,0,AV$250),(INDEX($H257:$O257,0,AV$252+1)-INDEX($H257:$O257,0,AV$252))/(INDEX($H$249:$O$249,0,AV$252+1)-INDEX($H$249:$O$249,0,AV$252))+AR264)))</f>
        <v>0.33550093518703117</v>
      </c>
      <c r="AT264" s="5" cm="1">
        <f t="array" ref="AT264">IF(AX$252=-1,AV264,IF(AX$252=99,AS264,IF(AX$252=0,INDEX($H257:$O257,0,AX$250),(INDEX($H257:$O257,0,AX$252+1)-INDEX($H257:$O257,0,AX$252))/(INDEX($H$249:$O$249,0,AX$252+1)-INDEX($H$249:$O$249,0,AX$252))+AS264)))</f>
        <v>0.33550093518703117</v>
      </c>
      <c r="AU264" s="5" cm="1">
        <f t="array" ref="AU264">IF(AX$252=-1,AW264,IF(AX$252=99,AS264,IF(AX$252=0,INDEX($H257:$O257,0,AX$250),(INDEX($H257:$O257,0,AX$252+1)-INDEX($H257:$O257,0,AX$252))/(INDEX($H$249:$O$249,0,AX$252+1)-INDEX($H$249:$O$249,0,AX$252))+AS264)))</f>
        <v>0.33550093518703117</v>
      </c>
      <c r="AV264" s="5" cm="1">
        <f t="array" ref="AV264">IF(AY$252=-1,AX264,IF(AY$252=99,AT264,IF(AY$252=0,INDEX($H257:$O257,0,AY$250),(INDEX($H257:$O257,0,AY$252+1)-INDEX($H257:$O257,0,AY$252))/(INDEX($H$249:$O$249,0,AY$252+1)-INDEX($H$249:$O$249,0,AY$252))+AT264)))</f>
        <v>0.33550093518703117</v>
      </c>
      <c r="AW264" s="5" cm="1">
        <f t="array" ref="AW264">IF(AZ$252=-1,AY264,IF(AZ$252=99,AV264,IF(AZ$252=0,INDEX($H257:$O257,0,AZ$250),(INDEX($H257:$O257,0,AZ$252+1)-INDEX($H257:$O257,0,AZ$252))/(INDEX($H$249:$O$249,0,AZ$252+1)-INDEX($H$249:$O$249,0,AZ$252))+AV264)))</f>
        <v>0.33550093518703117</v>
      </c>
      <c r="AX264" s="5" cm="1">
        <f t="array" ref="AX264">IF(AZ$252=-1,AY264,IF(AZ$252=99,AV264,IF(AZ$252=0,INDEX($H257:$O257,0,AZ$250),(INDEX($H257:$O257,0,AZ$252+1)-INDEX($H257:$O257,0,AZ$252))/(INDEX($H$249:$O$249,0,AZ$252+1)-INDEX($H$249:$O$249,0,AZ$252))+AV264)))</f>
        <v>0.33550093518703117</v>
      </c>
      <c r="AY264" s="5" cm="1">
        <f t="array" ref="AY264">IF(BA$252=-1,AZ264,IF(BA$252=99,AX264,IF(BA$252=0,INDEX($H257:$O257,0,BA$250),(INDEX($H257:$O257,0,BA$252+1)-INDEX($H257:$O257,0,BA$252))/(INDEX($H$249:$O$249,0,BA$252+1)-INDEX($H$249:$O$249,0,BA$252))+AX264)))</f>
        <v>0.33550093518703117</v>
      </c>
      <c r="AZ264" s="5" cm="1">
        <f t="array" ref="AZ264">IF(BB$252=-1,BA264,IF(BB$252=99,AY264,IF(BB$252=0,INDEX($H257:$O257,0,BB$250),(INDEX($H257:$O257,0,BB$252+1)-INDEX($H257:$O257,0,BB$252))/(INDEX($H$249:$O$249,0,BB$252+1)-INDEX($H$249:$O$249,0,BB$252))+AY264)))</f>
        <v>0.33550093518703117</v>
      </c>
      <c r="BA264" s="5" cm="1">
        <f t="array" ref="BA264">IF(BC$252=-1,BB264,IF(BC$252=99,AZ264,IF(BC$252=0,INDEX($H257:$O257,0,BC$250),(INDEX($H257:$O257,0,BC$252+1)-INDEX($H257:$O257,0,BC$252))/(INDEX($H$249:$O$249,0,BC$252+1)-INDEX($H$249:$O$249,0,BC$252))+AZ264)))</f>
        <v>0.33550093518703117</v>
      </c>
      <c r="BB264" s="5" cm="1">
        <f t="array" ref="BB264">IF(BD$252=-1,BC264,IF(BD$252=99,BA264,IF(BD$252=0,INDEX($H257:$O257,0,BD$250),(INDEX($H257:$O257,0,BD$252+1)-INDEX($H257:$O257,0,BD$252))/(INDEX($H$249:$O$249,0,BD$252+1)-INDEX($H$249:$O$249,0,BD$252))+BA264)))</f>
        <v>0.33550093518703117</v>
      </c>
      <c r="BC264" s="5" cm="1">
        <f t="array" ref="BC264">IF(BE$252=-1,BD264,IF(BE$252=99,BB264,IF(BE$252=0,INDEX($H257:$O257,0,BE$250),(INDEX($H257:$O257,0,BE$252+1)-INDEX($H257:$O257,0,BE$252))/(INDEX($H$249:$O$249,0,BE$252+1)-INDEX($H$249:$O$249,0,BE$252))+BB264)))</f>
        <v>0.33550093518703117</v>
      </c>
      <c r="BD264" s="5" cm="1">
        <f t="array" ref="BD264">IF(BF$252=-1,BI264,IF(BF$252=99,BC264,IF(BF$252=0,INDEX($H257:$O257,0,BF$250),(INDEX($H257:$O257,0,BF$252+1)-INDEX($H257:$O257,0,BF$252))/(INDEX($H$249:$O$249,0,BF$252+1)-INDEX($H$249:$O$249,0,BF$252))+BC264)))</f>
        <v>0.33550093518703117</v>
      </c>
      <c r="BE264" s="5" cm="1">
        <f t="array" ref="BE264">IF(BG$252=-1,BJ264,IF(BG$252=99,BD264,IF(BG$252=0,INDEX($H257:$O257,0,BG$250),(INDEX($H257:$O257,0,BG$252+1)-INDEX($H257:$O257,0,BG$252))/(INDEX($H$249:$O$249,0,BG$252+1)-INDEX($H$249:$O$249,0,BG$252))+BD264)))</f>
        <v>0.33550093518703117</v>
      </c>
      <c r="BF264" s="5" cm="1">
        <f t="array" ref="BF264">IF(BH$252=-1,BK264,IF(BH$252=99,BE264,IF(BH$252=0,INDEX($H257:$O257,0,BH$250),(INDEX($H257:$O257,0,BH$252+1)-INDEX($H257:$O257,0,BH$252))/(INDEX($H$249:$O$249,0,BH$252+1)-INDEX($H$249:$O$249,0,BH$252))+BE264)))</f>
        <v>0.33550093518703117</v>
      </c>
      <c r="BG264" s="5" cm="1">
        <f t="array" ref="BG264">IF(BI$252=-1,BL264,IF(BI$252=99,BF264,IF(BI$252=0,INDEX($H257:$O257,0,BI$250),(INDEX($H257:$O257,0,BI$252+1)-INDEX($H257:$O257,0,BI$252))/(INDEX($H$249:$O$249,0,BI$252+1)-INDEX($H$249:$O$249,0,BI$252))+BF264)))</f>
        <v>0.33550093518703117</v>
      </c>
      <c r="BH264" s="5" cm="1">
        <f t="array" ref="BH264">IF(BJ$252=-1,BM264,IF(BJ$252=99,BG264,IF(BJ$252=0,INDEX($H257:$O257,0,BJ$250),(INDEX($H257:$O257,0,BJ$252+1)-INDEX($H257:$O257,0,BJ$252))/(INDEX($H$249:$O$249,0,BJ$252+1)-INDEX($H$249:$O$249,0,BJ$252))+BG264)))</f>
        <v>0.33550093518703117</v>
      </c>
      <c r="BI264" s="5" cm="1">
        <f t="array" ref="BI264">IF(BK$252=-1,BN264,IF(BK$252=99,BH264,IF(BK$252=0,INDEX($H257:$O257,0,BK$250),(INDEX($H257:$O257,0,BK$252+1)-INDEX($H257:$O257,0,BK$252))/(INDEX($H$249:$O$249,0,BK$252+1)-INDEX($H$249:$O$249,0,BK$252))+BH264)))</f>
        <v>0.33550093518703117</v>
      </c>
      <c r="BJ264" s="5" cm="1">
        <f t="array" ref="BJ264">IF(BH$252=-1,BL264,IF(BH$252=99,BI264,IF(BH$252=0,INDEX($H257:$O257,0,BH$250),(INDEX($H257:$O257,0,BH$252+1)-INDEX($H257:$O257,0,BH$252))/(INDEX($H$249:$O$249,0,BH$252+1)-INDEX($H$249:$O$249,0,BH$252))+BI264)))</f>
        <v>0.33550093518703117</v>
      </c>
      <c r="BK264" s="5" cm="1">
        <f t="array" ref="BK264">IF(BI$252=-1,BM264,IF(BI$252=99,BJ264,IF(BI$252=0,INDEX($H257:$O257,0,BI$250),(INDEX($H257:$O257,0,BI$252+1)-INDEX($H257:$O257,0,BI$252))/(INDEX($H$249:$O$249,0,BI$252+1)-INDEX($H$249:$O$249,0,BI$252))+BJ264)))</f>
        <v>0.33550093518703117</v>
      </c>
      <c r="BL264" s="5" cm="1">
        <f t="array" ref="BL264">IF(BJ$252=-1,BN264,IF(BJ$252=99,BK264,IF(BJ$252=0,INDEX($H257:$O257,0,BJ$250),(INDEX($H257:$O257,0,BJ$252+1)-INDEX($H257:$O257,0,BJ$252))/(INDEX($H$249:$O$249,0,BJ$252+1)-INDEX($H$249:$O$249,0,BJ$252))+BK264)))</f>
        <v>0.33550093518703117</v>
      </c>
      <c r="BM264" s="5" cm="1">
        <f t="array" ref="BM264">IF(BK$252=-1,BO264,IF(BK$252=99,BL264,IF(BK$252=0,INDEX($H257:$O257,0,BK$250),(INDEX($H257:$O257,0,BK$252+1)-INDEX($H257:$O257,0,BK$252))/(INDEX($H$249:$O$249,0,BK$252+1)-INDEX($H$249:$O$249,0,BK$252))+BL264)))</f>
        <v>0.33550093518703117</v>
      </c>
      <c r="BN264" s="5" cm="1">
        <f t="array" ref="BN264">IF(BL$252=-1,BP264,IF(BL$252=99,BM264,IF(BL$252=0,INDEX($H257:$O257,0,BL$250),(INDEX($H257:$O257,0,BL$252+1)-INDEX($H257:$O257,0,BL$252))/(INDEX($H$249:$O$249,0,BL$252+1)-INDEX($H$249:$O$249,0,BL$252))+BM264)))</f>
        <v>0.33550093518703117</v>
      </c>
      <c r="BO264" s="5" cm="1">
        <f t="array" ref="BO264">IF(BM$252=-1,BQ264,IF(BM$252=99,BN264,IF(BM$252=0,INDEX($H257:$O257,0,BM$250),(INDEX($H257:$O257,0,BM$252+1)-INDEX($H257:$O257,0,BM$252))/(INDEX($H$249:$O$249,0,BM$252+1)-INDEX($H$249:$O$249,0,BM$252))+BN264)))</f>
        <v>0.33550093518703117</v>
      </c>
      <c r="BP264" s="5" cm="1">
        <f t="array" ref="BP264">IF(BN$252=-1,BR264,IF(BN$252=99,BO264,IF(BN$252=0,INDEX($H257:$O257,0,BN$250),(INDEX($H257:$O257,0,BN$252+1)-INDEX($H257:$O257,0,BN$252))/(INDEX($H$249:$O$249,0,BN$252+1)-INDEX($H$249:$O$249,0,BN$252))+BO264)))</f>
        <v>0.33550093518703117</v>
      </c>
    </row>
    <row r="265" spans="5:68">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4.1376646385108379E-2</v>
      </c>
      <c r="W265" s="5" cm="1">
        <f t="array" ref="W265">IF(Y$252=-1,X265,IF(Y$252=99,V265,IF(Y$252=0,INDEX($H258:$O258,0,Y$250),(INDEX($H258:$O258,0,Y$252+1)-INDEX($H258:$O258,0,Y$252))/(INDEX($H$249:$O$249,0,Y$252+1)-INDEX($H$249:$O$249,0,Y$252))+V265)))</f>
        <v>8.2753292770216758E-2</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0.13124963143560914</v>
      </c>
      <c r="Z265" s="5" cm="1">
        <f t="array" ref="Z265">IF(AD$252=-1,AA265,IF(AD$252=99,Y265,IF(AD$252=0,INDEX($H258:$O258,0,AD$250),(INDEX($H258:$O258,0,AD$252+1)-INDEX($H258:$O258,0,AD$252))/(INDEX($H$249:$O$249,0,AD$252+1)-INDEX($H$249:$O$249,0,AD$252))+Y265)))</f>
        <v>0.13836932371589314</v>
      </c>
      <c r="AA265" s="5" cm="1">
        <f t="array" ref="AA265">IF(AE$252=-1,AD265,IF(AE$252=99,Z265,IF(AE$252=0,INDEX($H258:$O258,0,AE$250),(INDEX($H258:$O258,0,AE$252+1)-INDEX($H258:$O258,0,AE$252))/(INDEX($H$249:$O$249,0,AE$252+1)-INDEX($H$249:$O$249,0,AE$252))+Z265)))</f>
        <v>0.14548901599617714</v>
      </c>
      <c r="AB265" s="5" cm="1">
        <f t="array" ref="AB265">IF(AE$252=-1,AD265,IF(AE$252=99,Z265,IF(AE$252=0,INDEX($H258:$O258,0,AE$250),(INDEX($H258:$O258,0,AE$252+1)-INDEX($H258:$O258,0,AE$252))/(INDEX($H$249:$O$249,0,AE$252+1)-INDEX($H$249:$O$249,0,AE$252))+Z265)))</f>
        <v>0.14548901599617714</v>
      </c>
      <c r="AC265" s="5" cm="1">
        <f t="array" ref="AC265">IF(AE$252=-1,AD265,IF(AE$252=99,Z265,IF(AE$252=0,INDEX($H258:$O258,0,AE$250),(INDEX($H258:$O258,0,AE$252+1)-INDEX($H258:$O258,0,AE$252))/(INDEX($H$249:$O$249,0,AE$252+1)-INDEX($H$249:$O$249,0,AE$252))+Z265)))</f>
        <v>0.14548901599617714</v>
      </c>
      <c r="AD265" s="5" cm="1">
        <f t="array" ref="AD265">IF(AF$252=-1,AE265,IF(AF$252=99,AA265,IF(AF$252=0,INDEX($H258:$O258,0,AF$250),(INDEX($H258:$O258,0,AF$252+1)-INDEX($H258:$O258,0,AF$252))/(INDEX($H$249:$O$249,0,AF$252+1)-INDEX($H$249:$O$249,0,AF$252))+AA265)))</f>
        <v>0.15260870827646114</v>
      </c>
      <c r="AE265" s="5" cm="1">
        <f t="array" ref="AE265">IF(AG$252=-1,AF265,IF(AG$252=99,AD265,IF(AG$252=0,INDEX($H258:$O258,0,AG$250),(INDEX($H258:$O258,0,AG$252+1)-INDEX($H258:$O258,0,AG$252))/(INDEX($H$249:$O$249,0,AG$252+1)-INDEX($H$249:$O$249,0,AG$252))+AD265)))</f>
        <v>0.15972840055674514</v>
      </c>
      <c r="AF265" s="5" cm="1">
        <f t="array" ref="AF265">IF(AH$252=-1,AG265,IF(AH$252=99,AE265,IF(AH$252=0,INDEX($H258:$O258,0,AH$250),(INDEX($H258:$O258,0,AH$252+1)-INDEX($H258:$O258,0,AH$252))/(INDEX($H$249:$O$249,0,AH$252+1)-INDEX($H$249:$O$249,0,AH$252))+AE265)))</f>
        <v>0.16684809283702914</v>
      </c>
      <c r="AG265" s="5" cm="1">
        <f t="array" ref="AG265">IF(AI$252=-1,AH265,IF(AI$252=99,AF265,IF(AI$252=0,INDEX($H258:$O258,0,AI$250),(INDEX($H258:$O258,0,AI$252+1)-INDEX($H258:$O258,0,AI$252))/(INDEX($H$249:$O$249,0,AI$252+1)-INDEX($H$249:$O$249,0,AI$252))+AF265)))</f>
        <v>0.17396778511731315</v>
      </c>
      <c r="AH265" s="5" cm="1">
        <f t="array" ref="AH265">IF(AJ$252=-1,AI265,IF(AJ$252=99,AG265,IF(AJ$252=0,INDEX($H258:$O258,0,AJ$250),(INDEX($H258:$O258,0,AJ$252+1)-INDEX($H258:$O258,0,AJ$252))/(INDEX($H$249:$O$249,0,AJ$252+1)-INDEX($H$249:$O$249,0,AJ$252))+AG265)))</f>
        <v>0.18108747739759715</v>
      </c>
      <c r="AI265" s="5" cm="1">
        <f t="array" ref="AI265">IF(AK$252=-1,AJ265,IF(AK$252=99,AH265,IF(AK$252=0,INDEX($H258:$O258,0,AK$250),(INDEX($H258:$O258,0,AK$252+1)-INDEX($H258:$O258,0,AK$252))/(INDEX($H$249:$O$249,0,AK$252+1)-INDEX($H$249:$O$249,0,AK$252))+AH265)))</f>
        <v>0.18820716967788115</v>
      </c>
      <c r="AJ265" s="5" cm="1">
        <f t="array" ref="AJ265">IF(AL$252=-1,AK265,IF(AL$252=99,AI265,IF(AL$252=0,INDEX($H258:$O258,0,AL$250),(INDEX($H258:$O258,0,AL$252+1)-INDEX($H258:$O258,0,AL$252))/(INDEX($H$249:$O$249,0,AL$252+1)-INDEX($H$249:$O$249,0,AL$252))+AI265)))</f>
        <v>0.19532686195816523</v>
      </c>
      <c r="AK265" s="5" cm="1">
        <f t="array" ref="AK265">IF(AO$252=-1,AL265,IF(AO$252=99,AJ265,IF(AO$252=0,INDEX($H258:$O258,0,AO$250),(INDEX($H258:$O258,0,AO$252+1)-INDEX($H258:$O258,0,AO$252))/(INDEX($H$249:$O$249,0,AO$252+1)-INDEX($H$249:$O$249,0,AO$252))+AJ265)))</f>
        <v>0.19532686195816523</v>
      </c>
      <c r="AL265" s="5" cm="1">
        <f t="array" ref="AL265">IF(AP$252=-1,AO265,IF(AP$252=99,AK265,IF(AP$252=0,INDEX($H258:$O258,0,AP$250),(INDEX($H258:$O258,0,AP$252+1)-INDEX($H258:$O258,0,AP$252))/(INDEX($H$249:$O$249,0,AP$252+1)-INDEX($H$249:$O$249,0,AP$252))+AK265)))</f>
        <v>0.19532686195816523</v>
      </c>
      <c r="AM265" s="5" cm="1">
        <f t="array" ref="AM265">IF(AP$252=-1,AO265,IF(AP$252=99,AK265,IF(AP$252=0,INDEX($H258:$O258,0,AP$250),(INDEX($H258:$O258,0,AP$252+1)-INDEX($H258:$O258,0,AP$252))/(INDEX($H$249:$O$249,0,AP$252+1)-INDEX($H$249:$O$249,0,AP$252))+AK265)))</f>
        <v>0.19532686195816523</v>
      </c>
      <c r="AN265" s="5" cm="1">
        <f t="array" ref="AN265">IF(AP$252=-1,AO265,IF(AP$252=99,AK265,IF(AP$252=0,INDEX($H258:$O258,0,AP$250),(INDEX($H258:$O258,0,AP$252+1)-INDEX($H258:$O258,0,AP$252))/(INDEX($H$249:$O$249,0,AP$252+1)-INDEX($H$249:$O$249,0,AP$252))+AK265)))</f>
        <v>0.19532686195816523</v>
      </c>
      <c r="AO265" s="5" cm="1">
        <f t="array" ref="AO265">IF(AQ$252=-1,AP265,IF(AQ$252=99,AL265,IF(AQ$252=0,INDEX($H258:$O258,0,AQ$250),(INDEX($H258:$O258,0,AQ$252+1)-INDEX($H258:$O258,0,AQ$252))/(INDEX($H$249:$O$249,0,AQ$252+1)-INDEX($H$249:$O$249,0,AQ$252))+AL265)))</f>
        <v>0.19532686195816523</v>
      </c>
      <c r="AP265" s="5" cm="1">
        <f t="array" ref="AP265">IF(AR$252=-1,AQ265,IF(AR$252=99,AO265,IF(AR$252=0,INDEX($H258:$O258,0,AR$250),(INDEX($H258:$O258,0,AR$252+1)-INDEX($H258:$O258,0,AR$252))/(INDEX($H$249:$O$249,0,AR$252+1)-INDEX($H$249:$O$249,0,AR$252))+AO265)))</f>
        <v>0.19532686195816523</v>
      </c>
      <c r="AQ265" s="5" cm="1">
        <f t="array" ref="AQ265">IF(AS$252=-1,AR265,IF(AS$252=99,AP265,IF(AS$252=0,INDEX($H258:$O258,0,AS$250),(INDEX($H258:$O258,0,AS$252+1)-INDEX($H258:$O258,0,AS$252))/(INDEX($H$249:$O$249,0,AS$252+1)-INDEX($H$249:$O$249,0,AS$252))+AP265)))</f>
        <v>0.19532686195816523</v>
      </c>
      <c r="AR265" s="5" cm="1">
        <f t="array" ref="AR265">IF(AT$252=-1,AS265,IF(AT$252=99,AQ265,IF(AT$252=0,INDEX($H258:$O258,0,AT$250),(INDEX($H258:$O258,0,AT$252+1)-INDEX($H258:$O258,0,AT$252))/(INDEX($H$249:$O$249,0,AT$252+1)-INDEX($H$249:$O$249,0,AT$252))+AQ265)))</f>
        <v>0.19532686195816523</v>
      </c>
      <c r="AS265" s="5" cm="1">
        <f t="array" ref="AS265">IF(AV$252=-1,AT265,IF(AV$252=99,AR265,IF(AV$252=0,INDEX($H258:$O258,0,AV$250),(INDEX($H258:$O258,0,AV$252+1)-INDEX($H258:$O258,0,AV$252))/(INDEX($H$249:$O$249,0,AV$252+1)-INDEX($H$249:$O$249,0,AV$252))+AR265)))</f>
        <v>0.19532686195816523</v>
      </c>
      <c r="AT265" s="5" cm="1">
        <f t="array" ref="AT265">IF(AX$252=-1,AV265,IF(AX$252=99,AS265,IF(AX$252=0,INDEX($H258:$O258,0,AX$250),(INDEX($H258:$O258,0,AX$252+1)-INDEX($H258:$O258,0,AX$252))/(INDEX($H$249:$O$249,0,AX$252+1)-INDEX($H$249:$O$249,0,AX$252))+AS265)))</f>
        <v>0.19532686195816523</v>
      </c>
      <c r="AU265" s="5" cm="1">
        <f t="array" ref="AU265">IF(AX$252=-1,AW265,IF(AX$252=99,AS265,IF(AX$252=0,INDEX($H258:$O258,0,AX$250),(INDEX($H258:$O258,0,AX$252+1)-INDEX($H258:$O258,0,AX$252))/(INDEX($H$249:$O$249,0,AX$252+1)-INDEX($H$249:$O$249,0,AX$252))+AS265)))</f>
        <v>0.19532686195816523</v>
      </c>
      <c r="AV265" s="5" cm="1">
        <f t="array" ref="AV265">IF(AY$252=-1,AX265,IF(AY$252=99,AT265,IF(AY$252=0,INDEX($H258:$O258,0,AY$250),(INDEX($H258:$O258,0,AY$252+1)-INDEX($H258:$O258,0,AY$252))/(INDEX($H$249:$O$249,0,AY$252+1)-INDEX($H$249:$O$249,0,AY$252))+AT265)))</f>
        <v>0.19532686195816523</v>
      </c>
      <c r="AW265" s="5" cm="1">
        <f t="array" ref="AW265">IF(AZ$252=-1,AY265,IF(AZ$252=99,AV265,IF(AZ$252=0,INDEX($H258:$O258,0,AZ$250),(INDEX($H258:$O258,0,AZ$252+1)-INDEX($H258:$O258,0,AZ$252))/(INDEX($H$249:$O$249,0,AZ$252+1)-INDEX($H$249:$O$249,0,AZ$252))+AV265)))</f>
        <v>0.19532686195816523</v>
      </c>
      <c r="AX265" s="5" cm="1">
        <f t="array" ref="AX265">IF(AZ$252=-1,AY265,IF(AZ$252=99,AV265,IF(AZ$252=0,INDEX($H258:$O258,0,AZ$250),(INDEX($H258:$O258,0,AZ$252+1)-INDEX($H258:$O258,0,AZ$252))/(INDEX($H$249:$O$249,0,AZ$252+1)-INDEX($H$249:$O$249,0,AZ$252))+AV265)))</f>
        <v>0.19532686195816523</v>
      </c>
      <c r="AY265" s="5" cm="1">
        <f t="array" ref="AY265">IF(BA$252=-1,AZ265,IF(BA$252=99,AX265,IF(BA$252=0,INDEX($H258:$O258,0,BA$250),(INDEX($H258:$O258,0,BA$252+1)-INDEX($H258:$O258,0,BA$252))/(INDEX($H$249:$O$249,0,BA$252+1)-INDEX($H$249:$O$249,0,BA$252))+AX265)))</f>
        <v>0.19532686195816523</v>
      </c>
      <c r="AZ265" s="5" cm="1">
        <f t="array" ref="AZ265">IF(BB$252=-1,BA265,IF(BB$252=99,AY265,IF(BB$252=0,INDEX($H258:$O258,0,BB$250),(INDEX($H258:$O258,0,BB$252+1)-INDEX($H258:$O258,0,BB$252))/(INDEX($H$249:$O$249,0,BB$252+1)-INDEX($H$249:$O$249,0,BB$252))+AY265)))</f>
        <v>0.19532686195816523</v>
      </c>
      <c r="BA265" s="5" cm="1">
        <f t="array" ref="BA265">IF(BC$252=-1,BB265,IF(BC$252=99,AZ265,IF(BC$252=0,INDEX($H258:$O258,0,BC$250),(INDEX($H258:$O258,0,BC$252+1)-INDEX($H258:$O258,0,BC$252))/(INDEX($H$249:$O$249,0,BC$252+1)-INDEX($H$249:$O$249,0,BC$252))+AZ265)))</f>
        <v>0.19532686195816523</v>
      </c>
      <c r="BB265" s="5" cm="1">
        <f t="array" ref="BB265">IF(BD$252=-1,BC265,IF(BD$252=99,BA265,IF(BD$252=0,INDEX($H258:$O258,0,BD$250),(INDEX($H258:$O258,0,BD$252+1)-INDEX($H258:$O258,0,BD$252))/(INDEX($H$249:$O$249,0,BD$252+1)-INDEX($H$249:$O$249,0,BD$252))+BA265)))</f>
        <v>0.19532686195816523</v>
      </c>
      <c r="BC265" s="5" cm="1">
        <f t="array" ref="BC265">IF(BE$252=-1,BD265,IF(BE$252=99,BB265,IF(BE$252=0,INDEX($H258:$O258,0,BE$250),(INDEX($H258:$O258,0,BE$252+1)-INDEX($H258:$O258,0,BE$252))/(INDEX($H$249:$O$249,0,BE$252+1)-INDEX($H$249:$O$249,0,BE$252))+BB265)))</f>
        <v>0.19532686195816523</v>
      </c>
      <c r="BD265" s="5" cm="1">
        <f t="array" ref="BD265">IF(BF$252=-1,BI265,IF(BF$252=99,BC265,IF(BF$252=0,INDEX($H258:$O258,0,BF$250),(INDEX($H258:$O258,0,BF$252+1)-INDEX($H258:$O258,0,BF$252))/(INDEX($H$249:$O$249,0,BF$252+1)-INDEX($H$249:$O$249,0,BF$252))+BC265)))</f>
        <v>0.19532686195816523</v>
      </c>
      <c r="BE265" s="5" cm="1">
        <f t="array" ref="BE265">IF(BG$252=-1,BJ265,IF(BG$252=99,BD265,IF(BG$252=0,INDEX($H258:$O258,0,BG$250),(INDEX($H258:$O258,0,BG$252+1)-INDEX($H258:$O258,0,BG$252))/(INDEX($H$249:$O$249,0,BG$252+1)-INDEX($H$249:$O$249,0,BG$252))+BD265)))</f>
        <v>0.19532686195816523</v>
      </c>
      <c r="BF265" s="5" cm="1">
        <f t="array" ref="BF265">IF(BH$252=-1,BK265,IF(BH$252=99,BE265,IF(BH$252=0,INDEX($H258:$O258,0,BH$250),(INDEX($H258:$O258,0,BH$252+1)-INDEX($H258:$O258,0,BH$252))/(INDEX($H$249:$O$249,0,BH$252+1)-INDEX($H$249:$O$249,0,BH$252))+BE265)))</f>
        <v>0.19532686195816523</v>
      </c>
      <c r="BG265" s="5" cm="1">
        <f t="array" ref="BG265">IF(BI$252=-1,BL265,IF(BI$252=99,BF265,IF(BI$252=0,INDEX($H258:$O258,0,BI$250),(INDEX($H258:$O258,0,BI$252+1)-INDEX($H258:$O258,0,BI$252))/(INDEX($H$249:$O$249,0,BI$252+1)-INDEX($H$249:$O$249,0,BI$252))+BF265)))</f>
        <v>0.19532686195816523</v>
      </c>
      <c r="BH265" s="5" cm="1">
        <f t="array" ref="BH265">IF(BJ$252=-1,BM265,IF(BJ$252=99,BG265,IF(BJ$252=0,INDEX($H258:$O258,0,BJ$250),(INDEX($H258:$O258,0,BJ$252+1)-INDEX($H258:$O258,0,BJ$252))/(INDEX($H$249:$O$249,0,BJ$252+1)-INDEX($H$249:$O$249,0,BJ$252))+BG265)))</f>
        <v>0.19532686195816523</v>
      </c>
      <c r="BI265" s="5" cm="1">
        <f t="array" ref="BI265">IF(BK$252=-1,BN265,IF(BK$252=99,BH265,IF(BK$252=0,INDEX($H258:$O258,0,BK$250),(INDEX($H258:$O258,0,BK$252+1)-INDEX($H258:$O258,0,BK$252))/(INDEX($H$249:$O$249,0,BK$252+1)-INDEX($H$249:$O$249,0,BK$252))+BH265)))</f>
        <v>0.19532686195816523</v>
      </c>
      <c r="BJ265" s="5" cm="1">
        <f t="array" ref="BJ265">IF(BH$252=-1,BL265,IF(BH$252=99,BI265,IF(BH$252=0,INDEX($H258:$O258,0,BH$250),(INDEX($H258:$O258,0,BH$252+1)-INDEX($H258:$O258,0,BH$252))/(INDEX($H$249:$O$249,0,BH$252+1)-INDEX($H$249:$O$249,0,BH$252))+BI265)))</f>
        <v>0.19532686195816523</v>
      </c>
      <c r="BK265" s="5" cm="1">
        <f t="array" ref="BK265">IF(BI$252=-1,BM265,IF(BI$252=99,BJ265,IF(BI$252=0,INDEX($H258:$O258,0,BI$250),(INDEX($H258:$O258,0,BI$252+1)-INDEX($H258:$O258,0,BI$252))/(INDEX($H$249:$O$249,0,BI$252+1)-INDEX($H$249:$O$249,0,BI$252))+BJ265)))</f>
        <v>0.19532686195816523</v>
      </c>
      <c r="BL265" s="5" cm="1">
        <f t="array" ref="BL265">IF(BJ$252=-1,BN265,IF(BJ$252=99,BK265,IF(BJ$252=0,INDEX($H258:$O258,0,BJ$250),(INDEX($H258:$O258,0,BJ$252+1)-INDEX($H258:$O258,0,BJ$252))/(INDEX($H$249:$O$249,0,BJ$252+1)-INDEX($H$249:$O$249,0,BJ$252))+BK265)))</f>
        <v>0.19532686195816523</v>
      </c>
      <c r="BM265" s="5" cm="1">
        <f t="array" ref="BM265">IF(BK$252=-1,BO265,IF(BK$252=99,BL265,IF(BK$252=0,INDEX($H258:$O258,0,BK$250),(INDEX($H258:$O258,0,BK$252+1)-INDEX($H258:$O258,0,BK$252))/(INDEX($H$249:$O$249,0,BK$252+1)-INDEX($H$249:$O$249,0,BK$252))+BL265)))</f>
        <v>0.19532686195816523</v>
      </c>
      <c r="BN265" s="5" cm="1">
        <f t="array" ref="BN265">IF(BL$252=-1,BP265,IF(BL$252=99,BM265,IF(BL$252=0,INDEX($H258:$O258,0,BL$250),(INDEX($H258:$O258,0,BL$252+1)-INDEX($H258:$O258,0,BL$252))/(INDEX($H$249:$O$249,0,BL$252+1)-INDEX($H$249:$O$249,0,BL$252))+BM265)))</f>
        <v>0.19532686195816523</v>
      </c>
      <c r="BO265" s="5" cm="1">
        <f t="array" ref="BO265">IF(BM$252=-1,BQ265,IF(BM$252=99,BN265,IF(BM$252=0,INDEX($H258:$O258,0,BM$250),(INDEX($H258:$O258,0,BM$252+1)-INDEX($H258:$O258,0,BM$252))/(INDEX($H$249:$O$249,0,BM$252+1)-INDEX($H$249:$O$249,0,BM$252))+BN265)))</f>
        <v>0.19532686195816523</v>
      </c>
      <c r="BP265" s="5" cm="1">
        <f t="array" ref="BP265">IF(BN$252=-1,BR265,IF(BN$252=99,BO265,IF(BN$252=0,INDEX($H258:$O258,0,BN$250),(INDEX($H258:$O258,0,BN$252+1)-INDEX($H258:$O258,0,BN$252))/(INDEX($H$249:$O$249,0,BN$252+1)-INDEX($H$249:$O$249,0,BN$252))+BO265)))</f>
        <v>0.19532686195816523</v>
      </c>
    </row>
    <row r="266" spans="5:68">
      <c r="E266" t="s">
        <v>16</v>
      </c>
      <c r="J266"/>
      <c r="P266" s="32"/>
    </row>
    <row r="267" spans="5:68">
      <c r="E267" t="s">
        <v>16</v>
      </c>
      <c r="J267"/>
      <c r="P267" s="32"/>
    </row>
    <row r="268" spans="5:68">
      <c r="E268" t="s">
        <v>16</v>
      </c>
      <c r="J268"/>
      <c r="P268" s="32"/>
    </row>
    <row r="269" spans="5:68">
      <c r="E269" t="s">
        <v>16</v>
      </c>
      <c r="J269"/>
      <c r="P269" s="32"/>
    </row>
    <row r="270" spans="5:68">
      <c r="E270" t="s">
        <v>16</v>
      </c>
      <c r="J270"/>
      <c r="P270" s="32"/>
    </row>
    <row r="271" spans="5:68">
      <c r="E271" t="s">
        <v>16</v>
      </c>
      <c r="J271"/>
      <c r="P271" s="32"/>
    </row>
    <row r="272" spans="5:68">
      <c r="E272" t="s">
        <v>16</v>
      </c>
      <c r="J272"/>
      <c r="P272" s="32"/>
    </row>
    <row r="273" spans="5:16">
      <c r="E273" t="s">
        <v>16</v>
      </c>
      <c r="J273"/>
      <c r="P273" s="32"/>
    </row>
    <row r="274" spans="5:16">
      <c r="E274" t="s">
        <v>16</v>
      </c>
      <c r="J274"/>
      <c r="P274" s="32"/>
    </row>
    <row r="275" spans="5:16">
      <c r="E275" t="s">
        <v>16</v>
      </c>
      <c r="J275"/>
      <c r="P275" s="32"/>
    </row>
    <row r="276" spans="5:16">
      <c r="E276" t="s">
        <v>16</v>
      </c>
      <c r="J276"/>
      <c r="P276" s="32"/>
    </row>
    <row r="277" spans="5:16">
      <c r="E277" t="s">
        <v>16</v>
      </c>
      <c r="J277"/>
      <c r="P277" s="32"/>
    </row>
    <row r="278" spans="5:16">
      <c r="E278" t="s">
        <v>16</v>
      </c>
      <c r="J278"/>
      <c r="P278" s="32"/>
    </row>
    <row r="279" spans="5:16">
      <c r="E279" t="s">
        <v>16</v>
      </c>
      <c r="J279"/>
      <c r="P279" s="32"/>
    </row>
    <row r="280" spans="5:16">
      <c r="E280" t="s">
        <v>16</v>
      </c>
      <c r="J280"/>
      <c r="P280" s="32"/>
    </row>
    <row r="281" spans="5:16">
      <c r="E281" t="s">
        <v>16</v>
      </c>
      <c r="J281"/>
      <c r="P281" s="32"/>
    </row>
    <row r="282" spans="5:16">
      <c r="E282" t="s">
        <v>16</v>
      </c>
      <c r="J282"/>
      <c r="P282" s="32"/>
    </row>
    <row r="283" spans="5:16">
      <c r="J283"/>
      <c r="P283" s="32"/>
    </row>
    <row r="284" spans="5:16">
      <c r="J284"/>
      <c r="P284" s="32"/>
    </row>
    <row r="285" spans="5:16">
      <c r="J285"/>
      <c r="P285" s="32"/>
    </row>
    <row r="286" spans="5:16">
      <c r="J286"/>
      <c r="P286" s="32"/>
    </row>
    <row r="287" spans="5:16">
      <c r="J287"/>
      <c r="P287" s="32"/>
    </row>
    <row r="288" spans="5:16">
      <c r="J288"/>
      <c r="P288" s="32"/>
    </row>
    <row r="289" spans="10:16">
      <c r="J289"/>
      <c r="P289" s="32"/>
    </row>
    <row r="290" spans="10:16">
      <c r="J290"/>
      <c r="P290" s="32"/>
    </row>
    <row r="291" spans="10:16">
      <c r="J291"/>
      <c r="P291" s="32"/>
    </row>
  </sheetData>
  <mergeCells count="2">
    <mergeCell ref="B2:C2"/>
    <mergeCell ref="P1:Z1"/>
  </mergeCells>
  <hyperlinks>
    <hyperlink ref="C71" r:id="rId1" xr:uid="{00000000-0004-0000-0F00-00000000000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73296304208503"/>
  </sheetPr>
  <dimension ref="A1:BY56"/>
  <sheetViews>
    <sheetView workbookViewId="0">
      <selection activeCell="B34" sqref="B34"/>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2"/>
    </row>
    <row r="2" spans="1:43" ht="15.75" thickBot="1">
      <c r="A2" t="s">
        <v>16</v>
      </c>
      <c r="B2" s="362" t="s">
        <v>280</v>
      </c>
      <c r="C2" s="362"/>
      <c r="J2" s="32"/>
    </row>
    <row r="3" spans="1:43">
      <c r="A3" t="s">
        <v>16</v>
      </c>
      <c r="B3" s="215"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43"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75" thickTop="1">
      <c r="A5" t="s">
        <v>16</v>
      </c>
      <c r="B5" s="5" t="s">
        <v>794</v>
      </c>
      <c r="C5" s="5" t="s">
        <v>575</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v>
      </c>
      <c r="O5" s="18" cm="1">
        <f t="array" ref="O5">INDEX(Drivers!$C$7:$AG$27,$D5,O$3)</f>
        <v>7.2854338133880265</v>
      </c>
      <c r="P5" s="18" cm="1">
        <f t="array" ref="P5">INDEX(Drivers!$C$7:$AG$27,$D5,P$3)</f>
        <v>10.457900825135354</v>
      </c>
      <c r="Q5" s="18" cm="1">
        <f t="array" ref="Q5">INDEX(Drivers!$C$7:$AG$27,$D5,Q$3)</f>
        <v>14.318330091318741</v>
      </c>
      <c r="R5" s="18" cm="1">
        <f t="array" ref="R5">INDEX(Drivers!$C$7:$AG$27,$D5,R$3)</f>
        <v>18.015146156533433</v>
      </c>
      <c r="S5" s="18" cm="1">
        <f t="array" ref="S5">INDEX(Drivers!$C$7:$AK$27,$D5,S$3)</f>
        <v>22.358211617280027</v>
      </c>
      <c r="T5" s="18" cm="1">
        <f t="array" ref="T5">INDEX(Drivers!$C$7:$AK$27,$D5,T$3)</f>
        <v>24.450654146682371</v>
      </c>
      <c r="U5" s="5"/>
      <c r="V5" s="5"/>
      <c r="W5" s="5"/>
      <c r="X5" s="5"/>
      <c r="Y5" s="5"/>
      <c r="Z5" s="5"/>
      <c r="AA5" s="5"/>
      <c r="AB5" s="5"/>
      <c r="AC5" s="5"/>
      <c r="AD5" s="5"/>
      <c r="AE5" s="5"/>
      <c r="AF5" s="5"/>
      <c r="AG5" s="5"/>
      <c r="AH5" s="5"/>
      <c r="AI5" s="5"/>
      <c r="AJ5" s="5"/>
      <c r="AK5" s="5"/>
      <c r="AL5" s="5"/>
      <c r="AM5" s="5"/>
      <c r="AN5" s="5"/>
      <c r="AO5" s="5"/>
      <c r="AP5" s="5"/>
      <c r="AQ5" s="5"/>
    </row>
    <row r="6" spans="1:43">
      <c r="A6" t="s">
        <v>16</v>
      </c>
      <c r="K6" s="5"/>
      <c r="L6" s="5"/>
      <c r="N6" s="5"/>
      <c r="P6" s="5"/>
      <c r="Q6" s="5"/>
      <c r="R6" s="5"/>
      <c r="S6" s="5"/>
      <c r="T6" s="5"/>
      <c r="U6" t="s">
        <v>665</v>
      </c>
      <c r="V6" s="5"/>
      <c r="W6" s="5"/>
      <c r="X6" s="5"/>
      <c r="Y6" s="5"/>
      <c r="Z6" s="5"/>
      <c r="AA6" s="5"/>
      <c r="AB6" s="5"/>
      <c r="AC6" s="5"/>
      <c r="AD6" s="5"/>
      <c r="AE6" s="5"/>
      <c r="AF6" s="5"/>
      <c r="AG6" s="5"/>
      <c r="AH6" s="5"/>
      <c r="AI6" s="5"/>
      <c r="AJ6" s="5"/>
      <c r="AK6" s="5"/>
      <c r="AL6" s="5"/>
      <c r="AM6" s="5"/>
      <c r="AN6" s="5"/>
      <c r="AO6" s="5"/>
    </row>
    <row r="7" spans="1:43" ht="15.75" thickBot="1">
      <c r="A7" t="s">
        <v>16</v>
      </c>
      <c r="B7" s="11" t="s">
        <v>93</v>
      </c>
      <c r="C7" s="11"/>
      <c r="D7">
        <f>D32</f>
        <v>0</v>
      </c>
      <c r="E7">
        <f>E32</f>
        <v>2017</v>
      </c>
      <c r="F7">
        <f>F32</f>
        <v>2020</v>
      </c>
      <c r="G7">
        <f>G32</f>
        <v>2030</v>
      </c>
      <c r="H7">
        <f>H32</f>
        <v>2050</v>
      </c>
      <c r="U7" s="274" t="str">
        <f>$C$14</f>
        <v>SDS improvement</v>
      </c>
      <c r="V7" s="274"/>
      <c r="W7" s="274"/>
      <c r="X7" s="274"/>
      <c r="Y7" s="274"/>
      <c r="Z7" s="274"/>
      <c r="AA7" s="100"/>
      <c r="AB7" s="100"/>
      <c r="AC7" s="100"/>
      <c r="AD7" s="100"/>
      <c r="AE7" s="100"/>
      <c r="AF7" s="100"/>
      <c r="AG7" s="100"/>
      <c r="AH7" s="100"/>
      <c r="AI7" s="100"/>
      <c r="AJ7" s="100"/>
      <c r="AK7" s="100"/>
      <c r="AL7" s="100"/>
      <c r="AM7" s="100"/>
      <c r="AN7" s="5"/>
    </row>
    <row r="8" spans="1:43">
      <c r="A8" t="s">
        <v>16</v>
      </c>
      <c r="B8" t="s">
        <v>676</v>
      </c>
      <c r="U8" t="s">
        <v>668</v>
      </c>
      <c r="AB8" s="271">
        <v>2012</v>
      </c>
      <c r="AC8" s="271">
        <v>2013</v>
      </c>
      <c r="AD8" s="271">
        <v>2014</v>
      </c>
      <c r="AE8" s="271">
        <v>2015</v>
      </c>
      <c r="AF8" s="271">
        <v>2016</v>
      </c>
      <c r="AG8" s="271">
        <v>2017</v>
      </c>
      <c r="AH8" s="271">
        <v>2018</v>
      </c>
      <c r="AI8" s="271">
        <v>2019</v>
      </c>
      <c r="AJ8" s="272">
        <v>2020</v>
      </c>
      <c r="AK8" s="272">
        <v>2030</v>
      </c>
      <c r="AL8" s="272">
        <v>2040</v>
      </c>
      <c r="AM8" s="272">
        <v>2050</v>
      </c>
      <c r="AN8" s="272">
        <v>2060</v>
      </c>
      <c r="AO8" s="272">
        <v>2070</v>
      </c>
    </row>
    <row r="9" spans="1:43">
      <c r="A9" t="s">
        <v>16</v>
      </c>
      <c r="U9" t="s">
        <v>669</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5"/>
    </row>
    <row r="11" spans="1:43">
      <c r="A11" t="s">
        <v>16</v>
      </c>
      <c r="U11" t="s">
        <v>666</v>
      </c>
      <c r="Y11" s="275" t="s">
        <v>673</v>
      </c>
      <c r="AI11" s="5">
        <f>AI30</f>
        <v>10.9</v>
      </c>
      <c r="AK11" s="5">
        <f>AJ29+AI$9-AI11</f>
        <v>10.999999999999998</v>
      </c>
      <c r="AM11" s="5">
        <f>AK29+AI9-AI11</f>
        <v>10.1</v>
      </c>
      <c r="AN11" s="5"/>
    </row>
    <row r="12" spans="1:43">
      <c r="A12" t="s">
        <v>16</v>
      </c>
      <c r="U12" t="s">
        <v>667</v>
      </c>
      <c r="Y12" t="s">
        <v>672</v>
      </c>
      <c r="AI12" s="5">
        <f>AI30</f>
        <v>10.9</v>
      </c>
      <c r="AK12" s="5">
        <f>AJ30</f>
        <v>7.2</v>
      </c>
      <c r="AM12" s="5">
        <f>AK30</f>
        <v>6.1</v>
      </c>
      <c r="AN12" s="5"/>
    </row>
    <row r="13" spans="1:43">
      <c r="A13" t="s">
        <v>16</v>
      </c>
      <c r="AN13" s="5"/>
    </row>
    <row r="14" spans="1:43">
      <c r="A14" t="s">
        <v>16</v>
      </c>
      <c r="B14" s="42" t="s">
        <v>82</v>
      </c>
      <c r="C14" s="273" t="str">
        <f>IF(PTRA!D3=-1,U14,IF(PTRA!D3=2,U15,U16))</f>
        <v>SDS improvement</v>
      </c>
      <c r="D14">
        <v>1</v>
      </c>
      <c r="E14">
        <f t="shared" ref="E14:H16" si="0">D14</f>
        <v>1</v>
      </c>
      <c r="F14">
        <f t="shared" si="0"/>
        <v>1</v>
      </c>
      <c r="G14">
        <f t="shared" si="0"/>
        <v>1</v>
      </c>
      <c r="H14">
        <f t="shared" si="0"/>
        <v>1</v>
      </c>
      <c r="J14" s="8">
        <f>D14</f>
        <v>1</v>
      </c>
      <c r="K14" s="8">
        <f>IF(ISBLANK(INDEX(AJ$14:AJ$16,MATCH($U$7,$U$14:$U$16,0))),"",INDEX(AJ$14:AJ$16,MATCH($U$7,$U$14:$U$16,0)))</f>
        <v>1</v>
      </c>
      <c r="L14" s="8">
        <f>K14</f>
        <v>1</v>
      </c>
      <c r="M14" s="8">
        <f t="shared" ref="M14:O14" si="1">L14</f>
        <v>1</v>
      </c>
      <c r="N14" s="8">
        <f t="shared" si="1"/>
        <v>1</v>
      </c>
      <c r="O14" s="8">
        <f t="shared" si="1"/>
        <v>1</v>
      </c>
      <c r="P14" s="5">
        <f>INDEX($AK$9:$AM$9,MATCH(P$4,$AK$8:$AM$8,0))</f>
        <v>0.55384615384615388</v>
      </c>
      <c r="Q14" s="5">
        <f t="shared" ref="Q14:R15" si="2">INDEX($AK$9:$AM$9,MATCH(Q$4,$AK$8:$AM$8,0))</f>
        <v>0.5115384615384615</v>
      </c>
      <c r="R14" s="5">
        <f t="shared" si="2"/>
        <v>0.46923076923076923</v>
      </c>
      <c r="S14" s="5">
        <f>INDEX($AK$9:$AO$9,MATCH(S$4,$AK$8:$AO$8,0))</f>
        <v>1</v>
      </c>
      <c r="T14" s="5">
        <f>INDEX($AK$9:$AO$9,MATCH(T$4,$AK$8:$AO$8,0))</f>
        <v>1</v>
      </c>
      <c r="U14" t="s">
        <v>671</v>
      </c>
      <c r="AG14">
        <v>1</v>
      </c>
      <c r="AJ14">
        <v>1</v>
      </c>
      <c r="AK14">
        <v>1</v>
      </c>
      <c r="AL14">
        <v>1</v>
      </c>
      <c r="AM14">
        <v>1</v>
      </c>
      <c r="AN14" s="5"/>
    </row>
    <row r="15" spans="1:43">
      <c r="A15" t="s">
        <v>16</v>
      </c>
      <c r="B15" s="42" t="s">
        <v>94</v>
      </c>
      <c r="C15" t="str">
        <f>C14</f>
        <v>SDS improvement</v>
      </c>
      <c r="D15">
        <v>1</v>
      </c>
      <c r="E15">
        <f t="shared" ref="E15" si="3">D15</f>
        <v>1</v>
      </c>
      <c r="F15">
        <f t="shared" ref="F15" si="4">E15</f>
        <v>1</v>
      </c>
      <c r="G15">
        <f t="shared" ref="G15" si="5">F15</f>
        <v>1</v>
      </c>
      <c r="H15">
        <f t="shared" ref="H15" si="6">G15</f>
        <v>1</v>
      </c>
      <c r="J15" s="8">
        <f>D15</f>
        <v>1</v>
      </c>
      <c r="K15" s="8">
        <f>IF(ISBLANK(INDEX(AJ$14:AJ$16,MATCH($U$7,$U$14:$U$16,0))),"",INDEX(AJ$14:AJ$16,MATCH($U$7,$U$14:$U$16,0)))</f>
        <v>1</v>
      </c>
      <c r="L15" s="8">
        <f t="shared" ref="L15:O15" si="7">K15</f>
        <v>1</v>
      </c>
      <c r="M15" s="8">
        <f t="shared" si="7"/>
        <v>1</v>
      </c>
      <c r="N15" s="8">
        <f t="shared" si="7"/>
        <v>1</v>
      </c>
      <c r="O15" s="8">
        <f t="shared" si="7"/>
        <v>1</v>
      </c>
      <c r="P15" s="5">
        <f t="shared" ref="P15" si="8">INDEX($AK$9:$AM$9,MATCH(P$4,$AK$8:$AM$8,0))</f>
        <v>0.55384615384615388</v>
      </c>
      <c r="Q15" s="5">
        <f t="shared" si="2"/>
        <v>0.5115384615384615</v>
      </c>
      <c r="R15" s="5">
        <f t="shared" si="2"/>
        <v>0.46923076923076923</v>
      </c>
      <c r="S15" s="5">
        <f>INDEX($AK$9:$AO$9,MATCH(S$4,$AK$8:$AO$8,0))</f>
        <v>1</v>
      </c>
      <c r="T15" s="5">
        <f>INDEX($AK$9:$AO$9,MATCH(T$4,$AK$8:$AO$8,0))</f>
        <v>1</v>
      </c>
      <c r="U15" t="s">
        <v>666</v>
      </c>
      <c r="W15" t="s">
        <v>39</v>
      </c>
      <c r="X15" t="s">
        <v>670</v>
      </c>
      <c r="AG15">
        <f>AG9/AG9</f>
        <v>1</v>
      </c>
      <c r="AJ15">
        <v>1</v>
      </c>
      <c r="AK15">
        <f>AK11/AF9</f>
        <v>0.82706766917293217</v>
      </c>
      <c r="AL15">
        <f>AVERAGE(AK15,AM15)</f>
        <v>0.8019953730480045</v>
      </c>
      <c r="AM15">
        <f>AM11/AG9</f>
        <v>0.77692307692307694</v>
      </c>
      <c r="AN15" s="5"/>
    </row>
    <row r="16" spans="1:43">
      <c r="A16" t="s">
        <v>16</v>
      </c>
      <c r="B16" t="s">
        <v>84</v>
      </c>
      <c r="C16" t="s">
        <v>671</v>
      </c>
      <c r="D16">
        <v>1</v>
      </c>
      <c r="E16">
        <f t="shared" si="0"/>
        <v>1</v>
      </c>
      <c r="F16">
        <f t="shared" si="0"/>
        <v>1</v>
      </c>
      <c r="G16">
        <f t="shared" si="0"/>
        <v>1</v>
      </c>
      <c r="H16">
        <f t="shared" si="0"/>
        <v>1</v>
      </c>
      <c r="J16" s="8">
        <f>D16</f>
        <v>1</v>
      </c>
      <c r="K16" s="8">
        <f t="shared" ref="K16:R16" si="9">E16</f>
        <v>1</v>
      </c>
      <c r="L16" s="8">
        <f t="shared" si="9"/>
        <v>1</v>
      </c>
      <c r="M16" s="8">
        <f t="shared" si="9"/>
        <v>1</v>
      </c>
      <c r="N16" s="8">
        <f t="shared" si="9"/>
        <v>1</v>
      </c>
      <c r="O16" s="8">
        <f t="shared" si="9"/>
        <v>0</v>
      </c>
      <c r="P16" s="8">
        <f t="shared" si="9"/>
        <v>1</v>
      </c>
      <c r="Q16" s="8">
        <f t="shared" si="9"/>
        <v>1</v>
      </c>
      <c r="R16" s="8">
        <f t="shared" si="9"/>
        <v>1</v>
      </c>
      <c r="S16" s="8">
        <f t="shared" ref="S16" si="10">M16</f>
        <v>1</v>
      </c>
      <c r="T16" s="8">
        <f t="shared" ref="T16" si="11">N16</f>
        <v>1</v>
      </c>
      <c r="U16" t="s">
        <v>667</v>
      </c>
      <c r="V16" s="8"/>
      <c r="W16" s="8" t="s">
        <v>39</v>
      </c>
      <c r="X16" t="s">
        <v>670</v>
      </c>
      <c r="Y16" s="8"/>
      <c r="Z16" s="8"/>
      <c r="AA16" s="8"/>
      <c r="AB16" s="8"/>
      <c r="AE16" s="5"/>
      <c r="AG16">
        <f>AG15</f>
        <v>1</v>
      </c>
      <c r="AJ16" s="8">
        <v>1</v>
      </c>
      <c r="AK16">
        <f>AK12/AG9</f>
        <v>0.55384615384615388</v>
      </c>
      <c r="AL16">
        <f>AVERAGE(AK16,AM16)</f>
        <v>0.5115384615384615</v>
      </c>
      <c r="AM16">
        <f>AM12/AG9</f>
        <v>0.46923076923076923</v>
      </c>
      <c r="AN16" s="8"/>
    </row>
    <row r="17" spans="1:43">
      <c r="A17" t="s">
        <v>16</v>
      </c>
    </row>
    <row r="18" spans="1:43">
      <c r="A18" t="s">
        <v>16</v>
      </c>
    </row>
    <row r="19" spans="1:43" ht="15.75" thickBot="1">
      <c r="A19" t="s">
        <v>16</v>
      </c>
      <c r="B19" s="11" t="s">
        <v>91</v>
      </c>
      <c r="C19" s="11"/>
      <c r="D19">
        <f>D7</f>
        <v>0</v>
      </c>
      <c r="E19">
        <f>E7</f>
        <v>2017</v>
      </c>
      <c r="F19">
        <f>F7</f>
        <v>2020</v>
      </c>
      <c r="G19">
        <f>G7</f>
        <v>2030</v>
      </c>
      <c r="H19">
        <f>H7</f>
        <v>2050</v>
      </c>
      <c r="I19" s="41"/>
    </row>
    <row r="20" spans="1:43">
      <c r="A20" t="s">
        <v>16</v>
      </c>
      <c r="B20" t="s">
        <v>81</v>
      </c>
      <c r="E20" s="5"/>
      <c r="F20" s="5"/>
      <c r="G20" s="5"/>
      <c r="H20" s="5"/>
    </row>
    <row r="21" spans="1:43">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78.282634740300381</v>
      </c>
      <c r="P21" s="28">
        <f>N21*(1+$C$21*(P5/N5-1))</f>
        <v>112.37107513624376</v>
      </c>
      <c r="Q21" s="28">
        <f>P21*(1+$C$21*(Q5/P5-1))</f>
        <v>153.85173118586096</v>
      </c>
      <c r="R21" s="28">
        <f>Q21*(1+$C$21*(R5/Q5-1))</f>
        <v>193.57434882922882</v>
      </c>
      <c r="S21" s="28">
        <f t="shared" ref="S21:T21" si="12">R21*(1+$C$21*(S5/R5-1))</f>
        <v>240.24097374483316</v>
      </c>
      <c r="T21" s="28">
        <f t="shared" si="12"/>
        <v>262.72445495404605</v>
      </c>
      <c r="V21" s="28"/>
      <c r="W21" s="28"/>
      <c r="X21" s="28"/>
      <c r="Y21" s="28"/>
      <c r="Z21" s="28"/>
      <c r="AA21" s="28"/>
      <c r="AB21" s="28"/>
      <c r="AC21" s="28"/>
      <c r="AD21" s="28"/>
      <c r="AE21" s="28"/>
      <c r="AF21" s="28"/>
      <c r="AG21" s="28"/>
      <c r="AH21" s="28"/>
      <c r="AI21" s="28"/>
    </row>
    <row r="22" spans="1:43">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23.259159653977758</v>
      </c>
      <c r="P22" s="28">
        <f>N22*(1+$C$22*(P5/N5-1))</f>
        <v>33.387440084940032</v>
      </c>
      <c r="Q22" s="28">
        <f>P22*(1+$C$22*(Q5/P5-1))</f>
        <v>45.712078937611366</v>
      </c>
      <c r="R22" s="28">
        <f>Q22*(1+$C$22*(R5/Q5-1))</f>
        <v>57.514373389069959</v>
      </c>
      <c r="S22" s="28">
        <f t="shared" ref="S22:T22" si="13">R22*(1+$C$22*(S5/R5-1))</f>
        <v>71.379855600101791</v>
      </c>
      <c r="T22" s="28">
        <f t="shared" si="13"/>
        <v>78.060096764149833</v>
      </c>
      <c r="V22" s="28"/>
      <c r="W22" s="28"/>
      <c r="X22" s="28"/>
      <c r="Y22" s="28"/>
      <c r="Z22" s="28"/>
      <c r="AA22" s="28"/>
      <c r="AB22" s="28"/>
      <c r="AC22" s="28"/>
      <c r="AD22" s="28"/>
      <c r="AE22" s="28"/>
      <c r="AF22" s="28"/>
      <c r="AG22" s="28"/>
      <c r="AH22" s="28"/>
      <c r="AI22" s="28"/>
    </row>
    <row r="23" spans="1:43">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0.93340961946832568</v>
      </c>
      <c r="P23" s="28">
        <f>N23*(1+$C$23*(P5/N5-1))</f>
        <v>1.3398660230347461</v>
      </c>
      <c r="Q23" s="28">
        <f>P23*(1+$C$23*(Q5/P5-1))</f>
        <v>1.8344641354643627</v>
      </c>
      <c r="R23" s="28">
        <f>Q23*(1+$C$23*(R5/Q5-1))</f>
        <v>2.3081001281948694</v>
      </c>
      <c r="S23" s="28">
        <f t="shared" ref="S23:T23" si="14">R23*(1+$C$23*(S5/R5-1))</f>
        <v>2.864533579225879</v>
      </c>
      <c r="T23" s="28">
        <f t="shared" si="14"/>
        <v>3.1326172699375663</v>
      </c>
      <c r="U23" s="28"/>
      <c r="V23" s="28"/>
      <c r="W23" s="28"/>
      <c r="X23" s="28"/>
      <c r="Y23" s="28"/>
      <c r="Z23" s="28"/>
      <c r="AA23" s="28"/>
      <c r="AB23" s="28"/>
      <c r="AC23" s="28"/>
      <c r="AD23" s="28"/>
      <c r="AE23" s="28"/>
      <c r="AF23" s="28"/>
      <c r="AG23" s="28"/>
      <c r="AH23" s="28"/>
      <c r="AI23" s="28"/>
    </row>
    <row r="24" spans="1:43">
      <c r="A24" t="s">
        <v>16</v>
      </c>
      <c r="H24" s="8"/>
      <c r="I24" s="8"/>
      <c r="J24" s="8"/>
      <c r="K24" s="9"/>
      <c r="L24" s="9"/>
    </row>
    <row r="25" spans="1:43">
      <c r="A25" t="s">
        <v>16</v>
      </c>
      <c r="H25" s="8"/>
      <c r="I25" s="8"/>
    </row>
    <row r="26" spans="1:43">
      <c r="A26" t="s">
        <v>16</v>
      </c>
      <c r="C26" s="4" t="s">
        <v>86</v>
      </c>
      <c r="E26" t="s">
        <v>15</v>
      </c>
    </row>
    <row r="27" spans="1:43">
      <c r="A27" t="s">
        <v>16</v>
      </c>
      <c r="B27" s="5" t="s">
        <v>583</v>
      </c>
      <c r="C27" s="5" t="s">
        <v>750</v>
      </c>
      <c r="D27" s="20" t="s">
        <v>30</v>
      </c>
      <c r="E27" s="153">
        <f>'BY-DMD'!I84</f>
        <v>68.938999999999993</v>
      </c>
      <c r="F27" s="5"/>
      <c r="J27" s="5">
        <f>E27</f>
        <v>68.938999999999993</v>
      </c>
      <c r="K27" s="5">
        <f>(K21*K14)</f>
        <v>74.41177777773558</v>
      </c>
      <c r="L27" s="225">
        <v>68.939278175231294</v>
      </c>
      <c r="M27" s="5">
        <f t="shared" ref="M27:R27" si="15">(M21*M14)</f>
        <v>78.331698821844057</v>
      </c>
      <c r="N27" s="5">
        <f t="shared" si="15"/>
        <v>74.141114111210427</v>
      </c>
      <c r="O27" s="5">
        <f t="shared" si="15"/>
        <v>78.282634740300381</v>
      </c>
      <c r="P27" s="5">
        <f t="shared" si="15"/>
        <v>62.236287767765781</v>
      </c>
      <c r="Q27" s="5">
        <f t="shared" si="15"/>
        <v>78.701077875844248</v>
      </c>
      <c r="R27" s="5">
        <f t="shared" si="15"/>
        <v>90.831040604484301</v>
      </c>
      <c r="S27" s="5">
        <f t="shared" ref="S27:T27" si="16">(S21*S14)</f>
        <v>240.24097374483316</v>
      </c>
      <c r="T27" s="5">
        <f t="shared" si="16"/>
        <v>262.72445495404605</v>
      </c>
      <c r="U27" s="5" t="s">
        <v>677</v>
      </c>
      <c r="V27" s="5"/>
      <c r="W27" s="5"/>
      <c r="X27" s="5"/>
      <c r="Y27" s="5"/>
      <c r="Z27" s="5"/>
      <c r="AA27" s="5"/>
      <c r="AB27" s="5"/>
      <c r="AC27" s="5"/>
      <c r="AD27" s="5"/>
      <c r="AE27" s="5"/>
      <c r="AF27" s="5"/>
      <c r="AG27" s="5"/>
      <c r="AH27" s="5"/>
      <c r="AI27" s="5"/>
      <c r="AJ27" s="5"/>
      <c r="AK27" s="5"/>
      <c r="AL27" s="5"/>
      <c r="AM27" s="5"/>
      <c r="AN27" s="5"/>
      <c r="AO27" s="5"/>
      <c r="AP27" s="5"/>
      <c r="AQ27" s="5"/>
    </row>
    <row r="28" spans="1:43">
      <c r="A28" t="s">
        <v>16</v>
      </c>
      <c r="B28" s="5" t="s">
        <v>584</v>
      </c>
      <c r="C28" s="5" t="s">
        <v>751</v>
      </c>
      <c r="D28" s="20" t="s">
        <v>30</v>
      </c>
      <c r="E28" s="153">
        <f>'BY-DMD'!I85</f>
        <v>20.483000000000001</v>
      </c>
      <c r="F28" s="5"/>
      <c r="J28" s="5">
        <f>E28</f>
        <v>20.483000000000001</v>
      </c>
      <c r="K28" s="5">
        <f>(K22*K15)</f>
        <v>22.109059374539203</v>
      </c>
      <c r="L28" s="226">
        <v>20.465228059152793</v>
      </c>
      <c r="M28" s="5">
        <f t="shared" ref="M28" si="17">(M22*M15)</f>
        <v>23.273737463088121</v>
      </c>
      <c r="N28" s="5">
        <f t="shared" ref="N28" si="18">(N22*N15)</f>
        <v>22.028640397161595</v>
      </c>
      <c r="O28" s="5">
        <f t="shared" ref="O28" si="19">(O22*O15)</f>
        <v>23.259159653977758</v>
      </c>
      <c r="P28" s="5">
        <f t="shared" ref="P28:R29" si="20">(P22*P15)</f>
        <v>18.491505277812941</v>
      </c>
      <c r="Q28" s="5">
        <f t="shared" si="20"/>
        <v>23.383486533470428</v>
      </c>
      <c r="R28" s="5">
        <f t="shared" si="20"/>
        <v>26.98751366717898</v>
      </c>
      <c r="S28" s="5">
        <f t="shared" ref="S28:T28" si="21">(S22*S15)</f>
        <v>71.379855600101791</v>
      </c>
      <c r="T28" s="5">
        <f t="shared" si="21"/>
        <v>78.060096764149833</v>
      </c>
      <c r="U28" t="s">
        <v>676</v>
      </c>
      <c r="AF28" s="112"/>
      <c r="AG28" s="276">
        <v>2017</v>
      </c>
      <c r="AH28" s="276">
        <v>2018</v>
      </c>
      <c r="AI28" s="276">
        <v>2019</v>
      </c>
      <c r="AJ28" s="276">
        <v>2025</v>
      </c>
      <c r="AK28" s="276">
        <v>2030</v>
      </c>
      <c r="AN28" s="5"/>
      <c r="AO28" s="5"/>
      <c r="AP28" s="5"/>
      <c r="AQ28" s="5"/>
    </row>
    <row r="29" spans="1:43">
      <c r="A29" t="s">
        <v>16</v>
      </c>
      <c r="B29" s="5" t="s">
        <v>365</v>
      </c>
      <c r="C29" s="5" t="s">
        <v>752</v>
      </c>
      <c r="D29" s="20" t="s">
        <v>30</v>
      </c>
      <c r="E29" s="153">
        <f>'BY-DMD'!I86</f>
        <v>0.82199999999999995</v>
      </c>
      <c r="F29" s="5"/>
      <c r="J29" s="5">
        <f t="shared" ref="J29" si="22">E29</f>
        <v>0.82199999999999995</v>
      </c>
      <c r="K29" s="5">
        <f>(K23*K16)</f>
        <v>0.88725512892990399</v>
      </c>
      <c r="L29" s="227">
        <f>(L23*L16)</f>
        <v>0.90926579192061818</v>
      </c>
      <c r="M29" s="5">
        <f>(M23*M16)</f>
        <v>0.9339946391963303</v>
      </c>
      <c r="N29" s="5">
        <f>(N23*N16)</f>
        <v>0.88402784779899579</v>
      </c>
      <c r="O29" s="5">
        <f>(O23*O16)</f>
        <v>0</v>
      </c>
      <c r="P29" s="5">
        <f t="shared" si="20"/>
        <v>1.3398660230347461</v>
      </c>
      <c r="Q29" s="5">
        <f t="shared" si="20"/>
        <v>1.8344641354643627</v>
      </c>
      <c r="R29" s="5">
        <f>(R23*R16)</f>
        <v>2.3081001281948694</v>
      </c>
      <c r="S29" s="5">
        <f t="shared" ref="S29:T29" si="23">(S23*S16)</f>
        <v>2.864533579225879</v>
      </c>
      <c r="T29" s="5">
        <f t="shared" si="23"/>
        <v>3.1326172699375663</v>
      </c>
      <c r="U29" t="s">
        <v>666</v>
      </c>
      <c r="V29" s="22"/>
      <c r="X29" t="s">
        <v>675</v>
      </c>
      <c r="Y29" s="5"/>
      <c r="Z29" s="5"/>
      <c r="AA29" s="5"/>
      <c r="AB29" s="5"/>
      <c r="AC29" s="5"/>
      <c r="AD29" s="5"/>
      <c r="AE29" s="5"/>
      <c r="AF29" s="277" t="s">
        <v>678</v>
      </c>
      <c r="AG29" s="112">
        <v>13</v>
      </c>
      <c r="AH29" s="112">
        <v>12.6</v>
      </c>
      <c r="AI29" s="112">
        <v>12.3</v>
      </c>
      <c r="AJ29" s="277">
        <v>9.6</v>
      </c>
      <c r="AK29" s="277">
        <v>8.6999999999999993</v>
      </c>
      <c r="AL29" s="5"/>
      <c r="AM29" s="5"/>
      <c r="AN29" s="5"/>
      <c r="AO29" s="5"/>
      <c r="AP29" s="5"/>
      <c r="AQ29" s="5"/>
    </row>
    <row r="30" spans="1:43">
      <c r="A30" t="s">
        <v>16</v>
      </c>
      <c r="D30" s="20"/>
      <c r="E30" s="45"/>
      <c r="F30" s="5"/>
      <c r="J30" s="5"/>
      <c r="K30" s="5"/>
      <c r="L30" s="5"/>
      <c r="N30" s="5"/>
      <c r="P30" s="5"/>
      <c r="Q30" s="5"/>
      <c r="R30" s="5"/>
      <c r="S30" s="5"/>
      <c r="T30" s="5"/>
      <c r="U30" t="s">
        <v>667</v>
      </c>
      <c r="V30" s="5"/>
      <c r="W30" s="5"/>
      <c r="X30" t="s">
        <v>672</v>
      </c>
      <c r="Y30" s="5"/>
      <c r="Z30" s="5"/>
      <c r="AA30" s="5"/>
      <c r="AB30" s="5"/>
      <c r="AD30" s="5"/>
      <c r="AE30" s="5"/>
      <c r="AF30" s="277" t="s">
        <v>678</v>
      </c>
      <c r="AG30" s="277">
        <v>11.3</v>
      </c>
      <c r="AH30" s="277">
        <v>11</v>
      </c>
      <c r="AI30" s="277">
        <v>10.9</v>
      </c>
      <c r="AJ30" s="277">
        <v>7.2</v>
      </c>
      <c r="AK30" s="277">
        <v>6.1</v>
      </c>
      <c r="AL30" s="5"/>
      <c r="AM30" s="5"/>
      <c r="AN30" s="5"/>
      <c r="AO30" s="5"/>
      <c r="AP30" s="5"/>
      <c r="AQ30" s="5"/>
    </row>
    <row r="31" spans="1:43" ht="18" thickBot="1">
      <c r="A31" t="s">
        <v>16</v>
      </c>
      <c r="B31" s="50" t="s">
        <v>576</v>
      </c>
      <c r="C31" s="2"/>
      <c r="D31" s="11"/>
      <c r="E31" s="11"/>
      <c r="F31" s="11"/>
      <c r="G31" s="11"/>
      <c r="H31" s="11"/>
      <c r="I31" s="11"/>
    </row>
    <row r="32" spans="1:43" ht="15.75" thickTop="1">
      <c r="A32" t="s">
        <v>16</v>
      </c>
      <c r="E32">
        <v>2017</v>
      </c>
      <c r="F32">
        <v>2020</v>
      </c>
      <c r="G32">
        <v>2030</v>
      </c>
      <c r="H32">
        <v>2050</v>
      </c>
    </row>
    <row r="33" spans="1:77">
      <c r="A33" t="s">
        <v>16</v>
      </c>
      <c r="B33" s="5" t="s">
        <v>794</v>
      </c>
      <c r="C33" s="5" t="s">
        <v>576</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v>
      </c>
      <c r="O33" s="5" cm="1">
        <f t="array" ref="O33">INDEX(Drivers!$C$7:$AG$27,$D33,O$3)</f>
        <v>7.2854338133880265</v>
      </c>
      <c r="P33" s="5" cm="1">
        <f t="array" ref="P33">INDEX(Drivers!$C$7:$AG$27,$D33,P$3)</f>
        <v>10.457900825135354</v>
      </c>
      <c r="Q33" s="5" cm="1">
        <f t="array" ref="Q33">INDEX(Drivers!$C$7:$AG$27,$D33,Q$3)</f>
        <v>14.318330091318741</v>
      </c>
      <c r="R33" s="5" cm="1">
        <f t="array" ref="R33">INDEX(Drivers!$C$7:$AG$27,$D33,R$3)</f>
        <v>18.015146156533433</v>
      </c>
      <c r="S33" s="5" cm="1">
        <f t="array" ref="S33">INDEX(Drivers!$C$7:$AK$27,$D33,S$3)</f>
        <v>22.358211617280027</v>
      </c>
      <c r="T33" s="5" cm="1">
        <f t="array" ref="T33">INDEX(Drivers!$C$7:$AK$27,$D33,T$3)</f>
        <v>24.450654146682371</v>
      </c>
      <c r="U33" s="5"/>
      <c r="V33" s="5"/>
      <c r="W33" s="5"/>
      <c r="X33" s="5"/>
      <c r="Y33" s="5"/>
      <c r="Z33" s="5"/>
      <c r="AA33" s="5"/>
      <c r="AB33" s="5"/>
      <c r="AC33" s="5"/>
      <c r="AD33" s="5"/>
      <c r="AE33" s="5"/>
      <c r="AF33" s="5"/>
      <c r="AG33" s="5"/>
      <c r="AH33" s="5"/>
      <c r="AI33" s="5"/>
      <c r="AJ33" s="5"/>
      <c r="AK33" s="5"/>
      <c r="AL33" s="5"/>
      <c r="AM33" s="5"/>
      <c r="AN33" s="5"/>
      <c r="AO33" s="5"/>
      <c r="AP33" s="5"/>
      <c r="AQ33" s="5"/>
    </row>
    <row r="34" spans="1:77">
      <c r="A34" t="s">
        <v>16</v>
      </c>
    </row>
    <row r="35" spans="1:77">
      <c r="A35" t="s">
        <v>16</v>
      </c>
    </row>
    <row r="36" spans="1:77" ht="15.75" thickBot="1">
      <c r="A36" t="s">
        <v>16</v>
      </c>
      <c r="B36" s="2" t="s">
        <v>143</v>
      </c>
    </row>
    <row r="37" spans="1:77">
      <c r="A37" t="s">
        <v>16</v>
      </c>
      <c r="E37" t="s">
        <v>15</v>
      </c>
    </row>
    <row r="38" spans="1:77">
      <c r="A38" t="s">
        <v>16</v>
      </c>
      <c r="B38" t="s">
        <v>122</v>
      </c>
      <c r="C38" t="s">
        <v>92</v>
      </c>
      <c r="D38" t="s">
        <v>30</v>
      </c>
      <c r="E38" s="45">
        <f>'[2]TS BYDem'!$J$33</f>
        <v>0.820564128</v>
      </c>
      <c r="J38" s="5">
        <f>E38</f>
        <v>0.820564128</v>
      </c>
      <c r="K38" s="5">
        <f>J38</f>
        <v>0.820564128</v>
      </c>
      <c r="L38" s="227">
        <f>K38</f>
        <v>0.820564128</v>
      </c>
      <c r="M38" s="5">
        <f>AVERAGE(L38,J38,K38)</f>
        <v>0.820564128</v>
      </c>
      <c r="N38" s="5">
        <f>M38</f>
        <v>0.820564128</v>
      </c>
      <c r="O38" s="5">
        <f t="shared" ref="O38:T38" si="24">N38</f>
        <v>0.820564128</v>
      </c>
      <c r="P38" s="5">
        <f t="shared" si="24"/>
        <v>0.820564128</v>
      </c>
      <c r="Q38" s="5">
        <f t="shared" si="24"/>
        <v>0.820564128</v>
      </c>
      <c r="R38" s="5">
        <f t="shared" si="24"/>
        <v>0.820564128</v>
      </c>
      <c r="S38" s="5">
        <f t="shared" si="24"/>
        <v>0.820564128</v>
      </c>
      <c r="T38" s="5">
        <f t="shared" si="24"/>
        <v>0.820564128</v>
      </c>
    </row>
    <row r="39" spans="1:77">
      <c r="A39" t="s">
        <v>16</v>
      </c>
    </row>
    <row r="40" spans="1:77" ht="18" thickBot="1">
      <c r="A40" t="s">
        <v>16</v>
      </c>
      <c r="C40" s="50" t="s">
        <v>145</v>
      </c>
    </row>
    <row r="41" spans="1:77" ht="15.75" thickTop="1">
      <c r="A41" t="s">
        <v>16</v>
      </c>
      <c r="B41" t="s">
        <v>146</v>
      </c>
      <c r="C41" t="s">
        <v>147</v>
      </c>
      <c r="D41" s="20" t="s">
        <v>30</v>
      </c>
      <c r="E41" s="45">
        <f>'[2]TS BYDem'!$J$37</f>
        <v>4.5090000000000003</v>
      </c>
      <c r="J41" s="5">
        <f>E41</f>
        <v>4.5090000000000003</v>
      </c>
      <c r="K41" s="5">
        <f>K$33/J$33*J41</f>
        <v>4.8669505794950583</v>
      </c>
      <c r="L41" s="226">
        <f>0.001*(26455.61401-21947)</f>
        <v>4.5086140100000014</v>
      </c>
      <c r="M41" s="5">
        <f>M$33/J$33*J41</f>
        <v>5.123335557343375</v>
      </c>
      <c r="N41" s="5">
        <f>N$33/K$33*K41</f>
        <v>4.849247646868216</v>
      </c>
      <c r="O41" s="5">
        <f>O$33/L$33*L41</f>
        <v>4.6283316988252743</v>
      </c>
      <c r="P41" s="5">
        <f>P$33/N$33*N41</f>
        <v>7.3497030387635922</v>
      </c>
      <c r="Q41" s="5">
        <f>Q$33/P$33*P41</f>
        <v>10.062772246726052</v>
      </c>
      <c r="R41" s="5">
        <f>R$33/Q$33*Q41</f>
        <v>12.660855812689379</v>
      </c>
      <c r="S41" s="5">
        <f t="shared" ref="S41:T41" si="25">S$33/R$33*R41</f>
        <v>15.713116677286488</v>
      </c>
      <c r="T41" s="5">
        <f t="shared" si="25"/>
        <v>17.183663345679431</v>
      </c>
      <c r="U41" s="5"/>
      <c r="V41" s="5"/>
      <c r="W41" s="5"/>
      <c r="X41" s="5"/>
      <c r="Y41" s="5"/>
      <c r="Z41" s="5"/>
      <c r="AA41" s="5"/>
      <c r="AB41" s="5"/>
      <c r="AC41" s="5"/>
      <c r="AD41" s="5"/>
      <c r="AE41" s="5"/>
      <c r="AF41" s="5"/>
      <c r="AG41" s="5"/>
      <c r="AH41" s="5"/>
      <c r="AI41" s="5"/>
      <c r="AJ41" s="5"/>
      <c r="AK41" s="5"/>
      <c r="AL41" s="5"/>
      <c r="AM41" s="5"/>
      <c r="AN41" s="5"/>
      <c r="AO41" s="5"/>
      <c r="AP41" s="5"/>
      <c r="AQ41" s="5"/>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2"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2" t="s">
        <v>16</v>
      </c>
      <c r="B47" s="101" t="s">
        <v>19</v>
      </c>
      <c r="C47" s="101" t="s">
        <v>20</v>
      </c>
      <c r="D47" s="101" t="s">
        <v>21</v>
      </c>
      <c r="E47" s="101" t="s">
        <v>22</v>
      </c>
      <c r="F47" s="101" t="s">
        <v>23</v>
      </c>
      <c r="G47" s="101" t="s">
        <v>24</v>
      </c>
      <c r="H47" s="101" t="s">
        <v>591</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2">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2">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7">
        <f t="shared" ref="J51" si="29">IF(ISNA(J48),-1,IF(ISNA(J50),99,IF(ISNA(J49),J48,0)))</f>
        <v>0</v>
      </c>
      <c r="K51" s="67">
        <f>IF(ISNA(K48),-1,IF(ISNA(K50),99,IF(ISNA(K49),K48,0)))</f>
        <v>1</v>
      </c>
      <c r="L51" s="67">
        <f t="shared" ref="L51:AO51" si="30">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2" t="s">
        <v>113</v>
      </c>
      <c r="B52" s="16" t="str">
        <f t="shared" ref="B52:B56" si="31">IF(A52="*","","COM_PROJ")</f>
        <v>COM_PROJ</v>
      </c>
      <c r="C52" s="17" t="str">
        <f t="shared" ref="C52:C56" si="32">IF($A52="*","","-")</f>
        <v>-</v>
      </c>
      <c r="D52" s="44" t="s">
        <v>122</v>
      </c>
      <c r="E52" s="17" t="str">
        <f t="shared" ref="E52:H56" si="33">IF($A52="*","","-")</f>
        <v>-</v>
      </c>
      <c r="F52" s="17" t="str">
        <f t="shared" si="33"/>
        <v>-</v>
      </c>
      <c r="G52" s="17" t="str">
        <f t="shared" si="33"/>
        <v>-</v>
      </c>
      <c r="H52" s="17" t="str">
        <f t="shared" si="33"/>
        <v>-</v>
      </c>
      <c r="I52" s="106">
        <f t="shared" ref="I52:I56" si="34">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77">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78.282634740300381</v>
      </c>
      <c r="O53" s="5" cm="1">
        <f t="array" ref="O53">IF(O$51=-1,P53,IF(O$51=99,N53,IF(O$51=0,INDEX($L27:$T27,0,O$49),(INDEX($L27:$T27,0,O$51+1)-INDEX($L27:$T27,0,O$51))/(INDEX($L$4:$T$4,0,O$51+1)-INDEX($L$4:$T$4,0,O$51))+N53)))</f>
        <v>76.499707298907651</v>
      </c>
      <c r="P53" s="5" cm="1">
        <f t="array" ref="P53">IF(P$51=-1,Q53,IF(P$51=99,O53,IF(P$51=0,INDEX($L27:$T27,0,P$49),(INDEX($L27:$T27,0,P$51+1)-INDEX($L27:$T27,0,P$51))/(INDEX($L$4:$T$4,0,P$51+1)-INDEX($L$4:$T$4,0,P$51))+O53)))</f>
        <v>74.716779857514922</v>
      </c>
      <c r="Q53" s="5" cm="1">
        <f t="array" ref="Q53">IF(Q$51=-1,R53,IF(Q$51=99,P53,IF(Q$51=0,INDEX($L27:$T27,0,Q$49),(INDEX($L27:$T27,0,Q$51+1)-INDEX($L27:$T27,0,Q$51))/(INDEX($L$4:$T$4,0,Q$51+1)-INDEX($L$4:$T$4,0,Q$51))+P53)))</f>
        <v>72.933852416122193</v>
      </c>
      <c r="R53" s="5" cm="1">
        <f t="array" ref="R53">IF(R$51=-1,S53,IF(R$51=99,Q53,IF(R$51=0,INDEX($L27:$T27,0,R$49),(INDEX($L27:$T27,0,R$51+1)-INDEX($L27:$T27,0,R$51))/(INDEX($L$4:$T$4,0,R$51+1)-INDEX($L$4:$T$4,0,R$51))+Q53)))</f>
        <v>71.150924974729463</v>
      </c>
      <c r="S53" s="5" cm="1">
        <f t="array" ref="S53">IF(S$51=-1,T53,IF(S$51=99,R53,IF(S$51=0,INDEX($L27:$T27,0,S$49),(INDEX($L27:$T27,0,S$51+1)-INDEX($L27:$T27,0,S$51))/(INDEX($L$4:$T$4,0,S$51+1)-INDEX($L$4:$T$4,0,S$51))+R53)))</f>
        <v>69.367997533336734</v>
      </c>
      <c r="T53" s="5" cm="1">
        <f t="array" ref="T53">IF(T$51=-1,U53,IF(T$51=99,S53,IF(T$51=0,INDEX($L27:$T27,0,T$49),(INDEX($L27:$T27,0,T$51+1)-INDEX($L27:$T27,0,T$51))/(INDEX($L$4:$T$4,0,T$51+1)-INDEX($L$4:$T$4,0,T$51))+S53)))</f>
        <v>67.585070091944004</v>
      </c>
      <c r="U53" s="5" cm="1">
        <f t="array" ref="U53">IF(U$51=-1,V53,IF(U$51=99,T53,IF(U$51=0,INDEX($L27:$T27,0,U$49),(INDEX($L27:$T27,0,U$51+1)-INDEX($L27:$T27,0,U$51))/(INDEX($L$4:$T$4,0,U$51+1)-INDEX($L$4:$T$4,0,U$51))+T53)))</f>
        <v>65.802142650551275</v>
      </c>
      <c r="V53" s="5" cm="1">
        <f t="array" ref="V53">IF(V$51=-1,W53,IF(V$51=99,U53,IF(V$51=0,INDEX($L27:$T27,0,V$49),(INDEX($L27:$T27,0,V$51+1)-INDEX($L27:$T27,0,V$51))/(INDEX($L$4:$T$4,0,V$51+1)-INDEX($L$4:$T$4,0,V$51))+U53)))</f>
        <v>64.019215209158546</v>
      </c>
      <c r="W53" s="5" cm="1">
        <f t="array" ref="W53">IF(W$51=-1,X53,IF(W$51=99,V53,IF(W$51=0,INDEX($L27:$T27,0,W$49),(INDEX($L27:$T27,0,W$51+1)-INDEX($L27:$T27,0,W$51))/(INDEX($L$4:$T$4,0,W$51+1)-INDEX($L$4:$T$4,0,W$51))+V53)))</f>
        <v>62.236287767765781</v>
      </c>
      <c r="X53" s="5" cm="1">
        <f t="array" ref="X53">IF(X$51=-1,Y53,IF(X$51=99,W53,IF(X$51=0,INDEX($L27:$T27,0,X$49),(INDEX($L27:$T27,0,X$51+1)-INDEX($L27:$T27,0,X$51))/(INDEX($L$4:$T$4,0,X$51+1)-INDEX($L$4:$T$4,0,X$51))+W53)))</f>
        <v>63.882766778573625</v>
      </c>
      <c r="Y53" s="5" cm="1">
        <f t="array" ref="Y53">IF(Y$51=-1,Z53,IF(Y$51=99,X53,IF(Y$51=0,INDEX($L27:$T27,0,Y$49),(INDEX($L27:$T27,0,Y$51+1)-INDEX($L27:$T27,0,Y$51))/(INDEX($L$4:$T$4,0,Y$51+1)-INDEX($L$4:$T$4,0,Y$51))+X53)))</f>
        <v>65.529245789381477</v>
      </c>
      <c r="Z53" s="5" cm="1">
        <f t="array" ref="Z53">IF(Z$51=-1,AA53,IF(Z$51=99,Y53,IF(Z$51=0,INDEX($L27:$T27,0,Z$49),(INDEX($L27:$T27,0,Z$51+1)-INDEX($L27:$T27,0,Z$51))/(INDEX($L$4:$T$4,0,Z$51+1)-INDEX($L$4:$T$4,0,Z$51))+Y53)))</f>
        <v>67.175724800189329</v>
      </c>
      <c r="AA53" s="5" cm="1">
        <f t="array" ref="AA53">IF(AA$51=-1,AB53,IF(AA$51=99,Z53,IF(AA$51=0,INDEX($L27:$T27,0,AA$49),(INDEX($L27:$T27,0,AA$51+1)-INDEX($L27:$T27,0,AA$51))/(INDEX($L$4:$T$4,0,AA$51+1)-INDEX($L$4:$T$4,0,AA$51))+Z53)))</f>
        <v>68.822203810997181</v>
      </c>
      <c r="AB53" s="5" cm="1">
        <f t="array" ref="AB53">IF(AB$51=-1,AC53,IF(AB$51=99,AA53,IF(AB$51=0,INDEX($L27:$T27,0,AB$49),(INDEX($L27:$T27,0,AB$51+1)-INDEX($L27:$T27,0,AB$51))/(INDEX($L$4:$T$4,0,AB$51+1)-INDEX($L$4:$T$4,0,AB$51))+AA53)))</f>
        <v>70.468682821805032</v>
      </c>
      <c r="AC53" s="5" cm="1">
        <f t="array" ref="AC53">IF(AC$51=-1,AD53,IF(AC$51=99,AB53,IF(AC$51=0,INDEX($L27:$T27,0,AC$49),(INDEX($L27:$T27,0,AC$51+1)-INDEX($L27:$T27,0,AC$51))/(INDEX($L$4:$T$4,0,AC$51+1)-INDEX($L$4:$T$4,0,AC$51))+AB53)))</f>
        <v>72.115161832612884</v>
      </c>
      <c r="AD53" s="5" cm="1">
        <f t="array" ref="AD53">IF(AD$51=-1,AE53,IF(AD$51=99,AC53,IF(AD$51=0,INDEX($L27:$T27,0,AD$49),(INDEX($L27:$T27,0,AD$51+1)-INDEX($L27:$T27,0,AD$51))/(INDEX($L$4:$T$4,0,AD$51+1)-INDEX($L$4:$T$4,0,AD$51))+AC53)))</f>
        <v>73.761640843420736</v>
      </c>
      <c r="AE53" s="5" cm="1">
        <f t="array" ref="AE53">IF(AE$51=-1,AF53,IF(AE$51=99,AD53,IF(AE$51=0,INDEX($L27:$T27,0,AE$49),(INDEX($L27:$T27,0,AE$51+1)-INDEX($L27:$T27,0,AE$51))/(INDEX($L$4:$T$4,0,AE$51+1)-INDEX($L$4:$T$4,0,AE$51))+AD53)))</f>
        <v>75.408119854228588</v>
      </c>
      <c r="AF53" s="5" cm="1">
        <f t="array" ref="AF53">IF(AF$51=-1,AG53,IF(AF$51=99,AE53,IF(AF$51=0,INDEX($L27:$T27,0,AF$49),(INDEX($L27:$T27,0,AF$51+1)-INDEX($L27:$T27,0,AF$51))/(INDEX($L$4:$T$4,0,AF$51+1)-INDEX($L$4:$T$4,0,AF$51))+AE53)))</f>
        <v>77.054598865036439</v>
      </c>
      <c r="AG53" s="5" cm="1">
        <f t="array" ref="AG53">IF(AG$51=-1,AH53,IF(AG$51=99,AF53,IF(AG$51=0,INDEX($L27:$T27,0,AG$49),(INDEX($L27:$T27,0,AG$51+1)-INDEX($L27:$T27,0,AG$51))/(INDEX($L$4:$T$4,0,AG$51+1)-INDEX($L$4:$T$4,0,AG$51))+AF53)))</f>
        <v>78.701077875844248</v>
      </c>
      <c r="AH53" s="5" cm="1">
        <f t="array" ref="AH53">IF(AH$51=-1,AI53,IF(AH$51=99,AG53,IF(AH$51=0,INDEX($L27:$T27,0,AH$49),(INDEX($L27:$T27,0,AH$51+1)-INDEX($L27:$T27,0,AH$51))/(INDEX($L$4:$T$4,0,AH$51+1)-INDEX($L$4:$T$4,0,AH$51))+AG53)))</f>
        <v>79.914074148708252</v>
      </c>
      <c r="AI53" s="5" cm="1">
        <f t="array" ref="AI53">IF(AI$51=-1,AJ53,IF(AI$51=99,AH53,IF(AI$51=0,INDEX($L27:$T27,0,AI$49),(INDEX($L27:$T27,0,AI$51+1)-INDEX($L27:$T27,0,AI$51))/(INDEX($L$4:$T$4,0,AI$51+1)-INDEX($L$4:$T$4,0,AI$51))+AH53)))</f>
        <v>81.127070421572256</v>
      </c>
      <c r="AJ53" s="5" cm="1">
        <f t="array" ref="AJ53">IF(AJ$51=-1,AK53,IF(AJ$51=99,AI53,IF(AJ$51=0,INDEX($L27:$T27,0,AJ$49),(INDEX($L27:$T27,0,AJ$51+1)-INDEX($L27:$T27,0,AJ$51))/(INDEX($L$4:$T$4,0,AJ$51+1)-INDEX($L$4:$T$4,0,AJ$51))+AI53)))</f>
        <v>82.34006669443626</v>
      </c>
      <c r="AK53" s="5" cm="1">
        <f t="array" ref="AK53">IF(AK$51=-1,AL53,IF(AK$51=99,AJ53,IF(AK$51=0,INDEX($L27:$T27,0,AK$49),(INDEX($L27:$T27,0,AK$51+1)-INDEX($L27:$T27,0,AK$51))/(INDEX($L$4:$T$4,0,AK$51+1)-INDEX($L$4:$T$4,0,AK$51))+AJ53)))</f>
        <v>83.553062967300264</v>
      </c>
      <c r="AL53" s="5" cm="1">
        <f t="array" ref="AL53">IF(AL$51=-1,AM53,IF(AL$51=99,AK53,IF(AL$51=0,INDEX($L27:$T27,0,AL$49),(INDEX($L27:$T27,0,AL$51+1)-INDEX($L27:$T27,0,AL$51))/(INDEX($L$4:$T$4,0,AL$51+1)-INDEX($L$4:$T$4,0,AL$51))+AK53)))</f>
        <v>84.766059240164267</v>
      </c>
      <c r="AM53" s="5" cm="1">
        <f t="array" ref="AM53">IF(AM$51=-1,AN53,IF(AM$51=99,AL53,IF(AM$51=0,INDEX($L27:$T27,0,AM$49),(INDEX($L27:$T27,0,AM$51+1)-INDEX($L27:$T27,0,AM$51))/(INDEX($L$4:$T$4,0,AM$51+1)-INDEX($L$4:$T$4,0,AM$51))+AL53)))</f>
        <v>90.831040604484301</v>
      </c>
      <c r="AN53" s="5" cm="1">
        <f t="array" ref="AN53">IF(AN$51=-1,AO53,IF(AN$51=99,AM53,IF(AN$51=0,INDEX($L27:$T27,0,AN$49),(INDEX($L27:$T27,0,AN$51+1)-INDEX($L27:$T27,0,AN$51))/(INDEX($L$4:$T$4,0,AN$51+1)-INDEX($L$4:$T$4,0,AN$51))+AM53)))</f>
        <v>240.24097374483316</v>
      </c>
      <c r="AO53" s="5" cm="1">
        <f t="array" ref="AO53">IF(AO$51=-1,AP53,IF(AO$51=99,AN53,IF(AO$51=0,INDEX($L27:$T27,0,AO$49),(INDEX($L27:$T27,0,AO$51+1)-INDEX($L27:$T27,0,AO$51))/(INDEX($L$4:$T$4,0,AO$51+1)-INDEX($L$4:$T$4,0,AO$51))+AN53)))</f>
        <v>262.72445495404605</v>
      </c>
    </row>
    <row r="54" spans="1:77">
      <c r="A54" s="32"/>
      <c r="B54" s="16" t="str">
        <f t="shared" ref="B54:B55" si="35">IF(A54="*","","COM_PROJ")</f>
        <v>COM_PROJ</v>
      </c>
      <c r="C54" s="17" t="str">
        <f t="shared" si="32"/>
        <v>-</v>
      </c>
      <c r="D54" s="44" t="str">
        <f t="shared" ref="D54:D55" si="36">B28</f>
        <v>TADJET</v>
      </c>
      <c r="E54" s="17" t="str">
        <f t="shared" si="33"/>
        <v>-</v>
      </c>
      <c r="F54" s="17" t="str">
        <f t="shared" si="33"/>
        <v>-</v>
      </c>
      <c r="G54" s="17" t="str">
        <f t="shared" si="33"/>
        <v>-</v>
      </c>
      <c r="H54" s="17" t="str">
        <f t="shared" si="33"/>
        <v>-</v>
      </c>
      <c r="I54" s="106">
        <f t="shared" ref="I54:I55" si="37">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23.259159653977758</v>
      </c>
      <c r="O54" s="5" cm="1">
        <f t="array" ref="O54">IF(O$51=-1,P54,IF(O$51=99,N54,IF(O$51=0,INDEX($L28:$T28,0,O$49),(INDEX($L28:$T28,0,O$51+1)-INDEX($L28:$T28,0,O$51))/(INDEX($L$4:$T$4,0,O$51+1)-INDEX($L$4:$T$4,0,O$51))+N54)))</f>
        <v>22.729420278848334</v>
      </c>
      <c r="P54" s="5" cm="1">
        <f t="array" ref="P54">IF(P$51=-1,Q54,IF(P$51=99,O54,IF(P$51=0,INDEX($L28:$T28,0,P$49),(INDEX($L28:$T28,0,P$51+1)-INDEX($L28:$T28,0,P$51))/(INDEX($L$4:$T$4,0,P$51+1)-INDEX($L$4:$T$4,0,P$51))+O54)))</f>
        <v>22.19968090371891</v>
      </c>
      <c r="Q54" s="5" cm="1">
        <f t="array" ref="Q54">IF(Q$51=-1,R54,IF(Q$51=99,P54,IF(Q$51=0,INDEX($L28:$T28,0,Q$49),(INDEX($L28:$T28,0,Q$51+1)-INDEX($L28:$T28,0,Q$51))/(INDEX($L$4:$T$4,0,Q$51+1)-INDEX($L$4:$T$4,0,Q$51))+P54)))</f>
        <v>21.669941528589487</v>
      </c>
      <c r="R54" s="5" cm="1">
        <f t="array" ref="R54">IF(R$51=-1,S54,IF(R$51=99,Q54,IF(R$51=0,INDEX($L28:$T28,0,R$49),(INDEX($L28:$T28,0,R$51+1)-INDEX($L28:$T28,0,R$51))/(INDEX($L$4:$T$4,0,R$51+1)-INDEX($L$4:$T$4,0,R$51))+Q54)))</f>
        <v>21.140202153460063</v>
      </c>
      <c r="S54" s="5" cm="1">
        <f t="array" ref="S54">IF(S$51=-1,T54,IF(S$51=99,R54,IF(S$51=0,INDEX($L28:$T28,0,S$49),(INDEX($L28:$T28,0,S$51+1)-INDEX($L28:$T28,0,S$51))/(INDEX($L$4:$T$4,0,S$51+1)-INDEX($L$4:$T$4,0,S$51))+R54)))</f>
        <v>20.610462778330639</v>
      </c>
      <c r="T54" s="5" cm="1">
        <f t="array" ref="T54">IF(T$51=-1,U54,IF(T$51=99,S54,IF(T$51=0,INDEX($L28:$T28,0,T$49),(INDEX($L28:$T28,0,T$51+1)-INDEX($L28:$T28,0,T$51))/(INDEX($L$4:$T$4,0,T$51+1)-INDEX($L$4:$T$4,0,T$51))+S54)))</f>
        <v>20.080723403201215</v>
      </c>
      <c r="U54" s="5" cm="1">
        <f t="array" ref="U54">IF(U$51=-1,V54,IF(U$51=99,T54,IF(U$51=0,INDEX($L28:$T28,0,U$49),(INDEX($L28:$T28,0,U$51+1)-INDEX($L28:$T28,0,U$51))/(INDEX($L$4:$T$4,0,U$51+1)-INDEX($L$4:$T$4,0,U$51))+T54)))</f>
        <v>19.550984028071792</v>
      </c>
      <c r="V54" s="5" cm="1">
        <f t="array" ref="V54">IF(V$51=-1,W54,IF(V$51=99,U54,IF(V$51=0,INDEX($L28:$T28,0,V$49),(INDEX($L28:$T28,0,V$51+1)-INDEX($L28:$T28,0,V$51))/(INDEX($L$4:$T$4,0,V$51+1)-INDEX($L$4:$T$4,0,V$51))+U54)))</f>
        <v>19.021244652942368</v>
      </c>
      <c r="W54" s="5" cm="1">
        <f t="array" ref="W54">IF(W$51=-1,X54,IF(W$51=99,V54,IF(W$51=0,INDEX($L28:$T28,0,W$49),(INDEX($L28:$T28,0,W$51+1)-INDEX($L28:$T28,0,W$51))/(INDEX($L$4:$T$4,0,W$51+1)-INDEX($L$4:$T$4,0,W$51))+V54)))</f>
        <v>18.491505277812941</v>
      </c>
      <c r="X54" s="5" cm="1">
        <f t="array" ref="X54">IF(X$51=-1,Y54,IF(X$51=99,W54,IF(X$51=0,INDEX($L28:$T28,0,X$49),(INDEX($L28:$T28,0,X$51+1)-INDEX($L28:$T28,0,X$51))/(INDEX($L$4:$T$4,0,X$51+1)-INDEX($L$4:$T$4,0,X$51))+W54)))</f>
        <v>18.980703403378691</v>
      </c>
      <c r="Y54" s="5" cm="1">
        <f t="array" ref="Y54">IF(Y$51=-1,Z54,IF(Y$51=99,X54,IF(Y$51=0,INDEX($L28:$T28,0,Y$49),(INDEX($L28:$T28,0,Y$51+1)-INDEX($L28:$T28,0,Y$51))/(INDEX($L$4:$T$4,0,Y$51+1)-INDEX($L$4:$T$4,0,Y$51))+X54)))</f>
        <v>19.46990152894444</v>
      </c>
      <c r="Z54" s="5" cm="1">
        <f t="array" ref="Z54">IF(Z$51=-1,AA54,IF(Z$51=99,Y54,IF(Z$51=0,INDEX($L28:$T28,0,Z$49),(INDEX($L28:$T28,0,Z$51+1)-INDEX($L28:$T28,0,Z$51))/(INDEX($L$4:$T$4,0,Z$51+1)-INDEX($L$4:$T$4,0,Z$51))+Y54)))</f>
        <v>19.95909965451019</v>
      </c>
      <c r="AA54" s="5" cm="1">
        <f t="array" ref="AA54">IF(AA$51=-1,AB54,IF(AA$51=99,Z54,IF(AA$51=0,INDEX($L28:$T28,0,AA$49),(INDEX($L28:$T28,0,AA$51+1)-INDEX($L28:$T28,0,AA$51))/(INDEX($L$4:$T$4,0,AA$51+1)-INDEX($L$4:$T$4,0,AA$51))+Z54)))</f>
        <v>20.44829778007594</v>
      </c>
      <c r="AB54" s="5" cm="1">
        <f t="array" ref="AB54">IF(AB$51=-1,AC54,IF(AB$51=99,AA54,IF(AB$51=0,INDEX($L28:$T28,0,AB$49),(INDEX($L28:$T28,0,AB$51+1)-INDEX($L28:$T28,0,AB$51))/(INDEX($L$4:$T$4,0,AB$51+1)-INDEX($L$4:$T$4,0,AB$51))+AA54)))</f>
        <v>20.93749590564169</v>
      </c>
      <c r="AC54" s="5" cm="1">
        <f t="array" ref="AC54">IF(AC$51=-1,AD54,IF(AC$51=99,AB54,IF(AC$51=0,INDEX($L28:$T28,0,AC$49),(INDEX($L28:$T28,0,AC$51+1)-INDEX($L28:$T28,0,AC$51))/(INDEX($L$4:$T$4,0,AC$51+1)-INDEX($L$4:$T$4,0,AC$51))+AB54)))</f>
        <v>21.42669403120744</v>
      </c>
      <c r="AD54" s="5" cm="1">
        <f t="array" ref="AD54">IF(AD$51=-1,AE54,IF(AD$51=99,AC54,IF(AD$51=0,INDEX($L28:$T28,0,AD$49),(INDEX($L28:$T28,0,AD$51+1)-INDEX($L28:$T28,0,AD$51))/(INDEX($L$4:$T$4,0,AD$51+1)-INDEX($L$4:$T$4,0,AD$51))+AC54)))</f>
        <v>21.915892156773189</v>
      </c>
      <c r="AE54" s="5" cm="1">
        <f t="array" ref="AE54">IF(AE$51=-1,AF54,IF(AE$51=99,AD54,IF(AE$51=0,INDEX($L28:$T28,0,AE$49),(INDEX($L28:$T28,0,AE$51+1)-INDEX($L28:$T28,0,AE$51))/(INDEX($L$4:$T$4,0,AE$51+1)-INDEX($L$4:$T$4,0,AE$51))+AD54)))</f>
        <v>22.405090282338939</v>
      </c>
      <c r="AF54" s="5" cm="1">
        <f t="array" ref="AF54">IF(AF$51=-1,AG54,IF(AF$51=99,AE54,IF(AF$51=0,INDEX($L28:$T28,0,AF$49),(INDEX($L28:$T28,0,AF$51+1)-INDEX($L28:$T28,0,AF$51))/(INDEX($L$4:$T$4,0,AF$51+1)-INDEX($L$4:$T$4,0,AF$51))+AE54)))</f>
        <v>22.894288407904689</v>
      </c>
      <c r="AG54" s="5" cm="1">
        <f t="array" ref="AG54">IF(AG$51=-1,AH54,IF(AG$51=99,AF54,IF(AG$51=0,INDEX($L28:$T28,0,AG$49),(INDEX($L28:$T28,0,AG$51+1)-INDEX($L28:$T28,0,AG$51))/(INDEX($L$4:$T$4,0,AG$51+1)-INDEX($L$4:$T$4,0,AG$51))+AF54)))</f>
        <v>23.383486533470428</v>
      </c>
      <c r="AH54" s="5" cm="1">
        <f t="array" ref="AH54">IF(AH$51=-1,AI54,IF(AH$51=99,AG54,IF(AH$51=0,INDEX($L28:$T28,0,AH$49),(INDEX($L28:$T28,0,AH$51+1)-INDEX($L28:$T28,0,AH$51))/(INDEX($L$4:$T$4,0,AH$51+1)-INDEX($L$4:$T$4,0,AH$51))+AG54)))</f>
        <v>23.743889246841285</v>
      </c>
      <c r="AI54" s="5" cm="1">
        <f t="array" ref="AI54">IF(AI$51=-1,AJ54,IF(AI$51=99,AH54,IF(AI$51=0,INDEX($L28:$T28,0,AI$49),(INDEX($L28:$T28,0,AI$51+1)-INDEX($L28:$T28,0,AI$51))/(INDEX($L$4:$T$4,0,AI$51+1)-INDEX($L$4:$T$4,0,AI$51))+AH54)))</f>
        <v>24.104291960212141</v>
      </c>
      <c r="AJ54" s="5" cm="1">
        <f t="array" ref="AJ54">IF(AJ$51=-1,AK54,IF(AJ$51=99,AI54,IF(AJ$51=0,INDEX($L28:$T28,0,AJ$49),(INDEX($L28:$T28,0,AJ$51+1)-INDEX($L28:$T28,0,AJ$51))/(INDEX($L$4:$T$4,0,AJ$51+1)-INDEX($L$4:$T$4,0,AJ$51))+AI54)))</f>
        <v>24.464694673582997</v>
      </c>
      <c r="AK54" s="5" cm="1">
        <f t="array" ref="AK54">IF(AK$51=-1,AL54,IF(AK$51=99,AJ54,IF(AK$51=0,INDEX($L28:$T28,0,AK$49),(INDEX($L28:$T28,0,AK$51+1)-INDEX($L28:$T28,0,AK$51))/(INDEX($L$4:$T$4,0,AK$51+1)-INDEX($L$4:$T$4,0,AK$51))+AJ54)))</f>
        <v>24.825097386953853</v>
      </c>
      <c r="AL54" s="5" cm="1">
        <f t="array" ref="AL54">IF(AL$51=-1,AM54,IF(AL$51=99,AK54,IF(AL$51=0,INDEX($L28:$T28,0,AL$49),(INDEX($L28:$T28,0,AL$51+1)-INDEX($L28:$T28,0,AL$51))/(INDEX($L$4:$T$4,0,AL$51+1)-INDEX($L$4:$T$4,0,AL$51))+AK54)))</f>
        <v>25.18550010032471</v>
      </c>
      <c r="AM54" s="5" cm="1">
        <f t="array" ref="AM54">IF(AM$51=-1,AN54,IF(AM$51=99,AL54,IF(AM$51=0,INDEX($L28:$T28,0,AM$49),(INDEX($L28:$T28,0,AM$51+1)-INDEX($L28:$T28,0,AM$51))/(INDEX($L$4:$T$4,0,AM$51+1)-INDEX($L$4:$T$4,0,AM$51))+AL54)))</f>
        <v>26.98751366717898</v>
      </c>
      <c r="AN54" s="5" cm="1">
        <f t="array" ref="AN54">IF(AN$51=-1,AO54,IF(AN$51=99,AM54,IF(AN$51=0,INDEX($L28:$T28,0,AN$49),(INDEX($L28:$T28,0,AN$51+1)-INDEX($L28:$T28,0,AN$51))/(INDEX($L$4:$T$4,0,AN$51+1)-INDEX($L$4:$T$4,0,AN$51))+AM54)))</f>
        <v>71.379855600101791</v>
      </c>
      <c r="AO54" s="5" cm="1">
        <f t="array" ref="AO54">IF(AO$51=-1,AP54,IF(AO$51=99,AN54,IF(AO$51=0,INDEX($L28:$T28,0,AO$49),(INDEX($L28:$T28,0,AO$51+1)-INDEX($L28:$T28,0,AO$51))/(INDEX($L$4:$T$4,0,AO$51+1)-INDEX($L$4:$T$4,0,AO$51))+AN54)))</f>
        <v>78.060096764149833</v>
      </c>
    </row>
    <row r="55" spans="1:77">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0.14887400255941624</v>
      </c>
      <c r="P55" s="5" cm="1">
        <f t="array" ref="P55">IF(P$51=-1,Q55,IF(P$51=99,O55,IF(P$51=0,INDEX($L29:$T29,0,P$49),(INDEX($L29:$T29,0,P$51+1)-INDEX($L29:$T29,0,P$51))/(INDEX($L$4:$T$4,0,P$51+1)-INDEX($L$4:$T$4,0,P$51))+O55)))</f>
        <v>0.29774800511883248</v>
      </c>
      <c r="Q55" s="5" cm="1">
        <f t="array" ref="Q55">IF(Q$51=-1,R55,IF(Q$51=99,P55,IF(Q$51=0,INDEX($L29:$T29,0,Q$49),(INDEX($L29:$T29,0,Q$51+1)-INDEX($L29:$T29,0,Q$51))/(INDEX($L$4:$T$4,0,Q$51+1)-INDEX($L$4:$T$4,0,Q$51))+P55)))</f>
        <v>0.44662200767824872</v>
      </c>
      <c r="R55" s="5" cm="1">
        <f t="array" ref="R55">IF(R$51=-1,S55,IF(R$51=99,Q55,IF(R$51=0,INDEX($L29:$T29,0,R$49),(INDEX($L29:$T29,0,R$51+1)-INDEX($L29:$T29,0,R$51))/(INDEX($L$4:$T$4,0,R$51+1)-INDEX($L$4:$T$4,0,R$51))+Q55)))</f>
        <v>0.59549601023766496</v>
      </c>
      <c r="S55" s="5" cm="1">
        <f t="array" ref="S55">IF(S$51=-1,T55,IF(S$51=99,R55,IF(S$51=0,INDEX($L29:$T29,0,S$49),(INDEX($L29:$T29,0,S$51+1)-INDEX($L29:$T29,0,S$51))/(INDEX($L$4:$T$4,0,S$51+1)-INDEX($L$4:$T$4,0,S$51))+R55)))</f>
        <v>0.74437001279708115</v>
      </c>
      <c r="T55" s="5" cm="1">
        <f t="array" ref="T55">IF(T$51=-1,U55,IF(T$51=99,S55,IF(T$51=0,INDEX($L29:$T29,0,T$49),(INDEX($L29:$T29,0,T$51+1)-INDEX($L29:$T29,0,T$51))/(INDEX($L$4:$T$4,0,T$51+1)-INDEX($L$4:$T$4,0,T$51))+S55)))</f>
        <v>0.89324401535649733</v>
      </c>
      <c r="U55" s="5" cm="1">
        <f t="array" ref="U55">IF(U$51=-1,V55,IF(U$51=99,T55,IF(U$51=0,INDEX($L29:$T29,0,U$49),(INDEX($L29:$T29,0,U$51+1)-INDEX($L29:$T29,0,U$51))/(INDEX($L$4:$T$4,0,U$51+1)-INDEX($L$4:$T$4,0,U$51))+T55)))</f>
        <v>1.0421180179159135</v>
      </c>
      <c r="V55" s="5" cm="1">
        <f t="array" ref="V55">IF(V$51=-1,W55,IF(V$51=99,U55,IF(V$51=0,INDEX($L29:$T29,0,V$49),(INDEX($L29:$T29,0,V$51+1)-INDEX($L29:$T29,0,V$51))/(INDEX($L$4:$T$4,0,V$51+1)-INDEX($L$4:$T$4,0,V$51))+U55)))</f>
        <v>1.1909920204753297</v>
      </c>
      <c r="W55" s="5" cm="1">
        <f t="array" ref="W55">IF(W$51=-1,X55,IF(W$51=99,V55,IF(W$51=0,INDEX($L29:$T29,0,W$49),(INDEX($L29:$T29,0,W$51+1)-INDEX($L29:$T29,0,W$51))/(INDEX($L$4:$T$4,0,W$51+1)-INDEX($L$4:$T$4,0,W$51))+V55)))</f>
        <v>1.3398660230347461</v>
      </c>
      <c r="X55" s="5" cm="1">
        <f t="array" ref="X55">IF(X$51=-1,Y55,IF(X$51=99,W55,IF(X$51=0,INDEX($L29:$T29,0,X$49),(INDEX($L29:$T29,0,X$51+1)-INDEX($L29:$T29,0,X$51))/(INDEX($L$4:$T$4,0,X$51+1)-INDEX($L$4:$T$4,0,X$51))+W55)))</f>
        <v>1.3893258342777077</v>
      </c>
      <c r="Y55" s="5" cm="1">
        <f t="array" ref="Y55">IF(Y$51=-1,Z55,IF(Y$51=99,X55,IF(Y$51=0,INDEX($L29:$T29,0,Y$49),(INDEX($L29:$T29,0,Y$51+1)-INDEX($L29:$T29,0,Y$51))/(INDEX($L$4:$T$4,0,Y$51+1)-INDEX($L$4:$T$4,0,Y$51))+X55)))</f>
        <v>1.4387856455206693</v>
      </c>
      <c r="Z55" s="5" cm="1">
        <f t="array" ref="Z55">IF(Z$51=-1,AA55,IF(Z$51=99,Y55,IF(Z$51=0,INDEX($L29:$T29,0,Z$49),(INDEX($L29:$T29,0,Z$51+1)-INDEX($L29:$T29,0,Z$51))/(INDEX($L$4:$T$4,0,Z$51+1)-INDEX($L$4:$T$4,0,Z$51))+Y55)))</f>
        <v>1.488245456763631</v>
      </c>
      <c r="AA55" s="5" cm="1">
        <f t="array" ref="AA55">IF(AA$51=-1,AB55,IF(AA$51=99,Z55,IF(AA$51=0,INDEX($L29:$T29,0,AA$49),(INDEX($L29:$T29,0,AA$51+1)-INDEX($L29:$T29,0,AA$51))/(INDEX($L$4:$T$4,0,AA$51+1)-INDEX($L$4:$T$4,0,AA$51))+Z55)))</f>
        <v>1.5377052680065926</v>
      </c>
      <c r="AB55" s="5" cm="1">
        <f t="array" ref="AB55">IF(AB$51=-1,AC55,IF(AB$51=99,AA55,IF(AB$51=0,INDEX($L29:$T29,0,AB$49),(INDEX($L29:$T29,0,AB$51+1)-INDEX($L29:$T29,0,AB$51))/(INDEX($L$4:$T$4,0,AB$51+1)-INDEX($L$4:$T$4,0,AB$51))+AA55)))</f>
        <v>1.5871650792495542</v>
      </c>
      <c r="AC55" s="5" cm="1">
        <f t="array" ref="AC55">IF(AC$51=-1,AD55,IF(AC$51=99,AB55,IF(AC$51=0,INDEX($L29:$T29,0,AC$49),(INDEX($L29:$T29,0,AC$51+1)-INDEX($L29:$T29,0,AC$51))/(INDEX($L$4:$T$4,0,AC$51+1)-INDEX($L$4:$T$4,0,AC$51))+AB55)))</f>
        <v>1.6366248904925158</v>
      </c>
      <c r="AD55" s="5" cm="1">
        <f t="array" ref="AD55">IF(AD$51=-1,AE55,IF(AD$51=99,AC55,IF(AD$51=0,INDEX($L29:$T29,0,AD$49),(INDEX($L29:$T29,0,AD$51+1)-INDEX($L29:$T29,0,AD$51))/(INDEX($L$4:$T$4,0,AD$51+1)-INDEX($L$4:$T$4,0,AD$51))+AC55)))</f>
        <v>1.6860847017354774</v>
      </c>
      <c r="AE55" s="5" cm="1">
        <f t="array" ref="AE55">IF(AE$51=-1,AF55,IF(AE$51=99,AD55,IF(AE$51=0,INDEX($L29:$T29,0,AE$49),(INDEX($L29:$T29,0,AE$51+1)-INDEX($L29:$T29,0,AE$51))/(INDEX($L$4:$T$4,0,AE$51+1)-INDEX($L$4:$T$4,0,AE$51))+AD55)))</f>
        <v>1.735544512978439</v>
      </c>
      <c r="AF55" s="5" cm="1">
        <f t="array" ref="AF55">IF(AF$51=-1,AG55,IF(AF$51=99,AE55,IF(AF$51=0,INDEX($L29:$T29,0,AF$49),(INDEX($L29:$T29,0,AF$51+1)-INDEX($L29:$T29,0,AF$51))/(INDEX($L$4:$T$4,0,AF$51+1)-INDEX($L$4:$T$4,0,AF$51))+AE55)))</f>
        <v>1.7850043242214007</v>
      </c>
      <c r="AG55" s="5" cm="1">
        <f t="array" ref="AG55">IF(AG$51=-1,AH55,IF(AG$51=99,AF55,IF(AG$51=0,INDEX($L29:$T29,0,AG$49),(INDEX($L29:$T29,0,AG$51+1)-INDEX($L29:$T29,0,AG$51))/(INDEX($L$4:$T$4,0,AG$51+1)-INDEX($L$4:$T$4,0,AG$51))+AF55)))</f>
        <v>1.8344641354643627</v>
      </c>
      <c r="AH55" s="5" cm="1">
        <f t="array" ref="AH55">IF(AH$51=-1,AI55,IF(AH$51=99,AG55,IF(AH$51=0,INDEX($L29:$T29,0,AH$49),(INDEX($L29:$T29,0,AH$51+1)-INDEX($L29:$T29,0,AH$51))/(INDEX($L$4:$T$4,0,AH$51+1)-INDEX($L$4:$T$4,0,AH$51))+AG55)))</f>
        <v>1.8818277347374135</v>
      </c>
      <c r="AI55" s="5" cm="1">
        <f t="array" ref="AI55">IF(AI$51=-1,AJ55,IF(AI$51=99,AH55,IF(AI$51=0,INDEX($L29:$T29,0,AI$49),(INDEX($L29:$T29,0,AI$51+1)-INDEX($L29:$T29,0,AI$51))/(INDEX($L$4:$T$4,0,AI$51+1)-INDEX($L$4:$T$4,0,AI$51))+AH55)))</f>
        <v>1.9291913340104641</v>
      </c>
      <c r="AJ55" s="5" cm="1">
        <f t="array" ref="AJ55">IF(AJ$51=-1,AK55,IF(AJ$51=99,AI55,IF(AJ$51=0,INDEX($L29:$T29,0,AJ$49),(INDEX($L29:$T29,0,AJ$51+1)-INDEX($L29:$T29,0,AJ$51))/(INDEX($L$4:$T$4,0,AJ$51+1)-INDEX($L$4:$T$4,0,AJ$51))+AI55)))</f>
        <v>1.9765549332835146</v>
      </c>
      <c r="AK55" s="5" cm="1">
        <f t="array" ref="AK55">IF(AK$51=-1,AL55,IF(AK$51=99,AJ55,IF(AK$51=0,INDEX($L29:$T29,0,AK$49),(INDEX($L29:$T29,0,AK$51+1)-INDEX($L29:$T29,0,AK$51))/(INDEX($L$4:$T$4,0,AK$51+1)-INDEX($L$4:$T$4,0,AK$51))+AJ55)))</f>
        <v>2.0239185325565652</v>
      </c>
      <c r="AL55" s="5" cm="1">
        <f t="array" ref="AL55">IF(AL$51=-1,AM55,IF(AL$51=99,AK55,IF(AL$51=0,INDEX($L29:$T29,0,AL$49),(INDEX($L29:$T29,0,AL$51+1)-INDEX($L29:$T29,0,AL$51))/(INDEX($L$4:$T$4,0,AL$51+1)-INDEX($L$4:$T$4,0,AL$51))+AK55)))</f>
        <v>2.0712821318296157</v>
      </c>
      <c r="AM55" s="5" cm="1">
        <f t="array" ref="AM55">IF(AM$51=-1,AN55,IF(AM$51=99,AL55,IF(AM$51=0,INDEX($L29:$T29,0,AM$49),(INDEX($L29:$T29,0,AM$51+1)-INDEX($L29:$T29,0,AM$51))/(INDEX($L$4:$T$4,0,AM$51+1)-INDEX($L$4:$T$4,0,AM$51))+AL55)))</f>
        <v>2.3081001281948694</v>
      </c>
      <c r="AN55" s="5" cm="1">
        <f t="array" ref="AN55">IF(AN$51=-1,AO55,IF(AN$51=99,AM55,IF(AN$51=0,INDEX($L29:$T29,0,AN$49),(INDEX($L29:$T29,0,AN$51+1)-INDEX($L29:$T29,0,AN$51))/(INDEX($L$4:$T$4,0,AN$51+1)-INDEX($L$4:$T$4,0,AN$51))+AM55)))</f>
        <v>2.864533579225879</v>
      </c>
      <c r="AO55" s="5" cm="1">
        <f t="array" ref="AO55">IF(AO$51=-1,AP55,IF(AO$51=99,AN55,IF(AO$51=0,INDEX($L29:$T29,0,AO$49),(INDEX($L29:$T29,0,AO$51+1)-INDEX($L29:$T29,0,AO$51))/(INDEX($L$4:$T$4,0,AO$51+1)-INDEX($L$4:$T$4,0,AO$51))+AN55)))</f>
        <v>3.1326172699375663</v>
      </c>
    </row>
    <row r="56" spans="1:77">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4.6283316988252743</v>
      </c>
      <c r="O56" s="5" cm="1">
        <f t="array" ref="O56">IF(O$51=-1,P56,IF(O$51=99,N56,IF(O$51=0,INDEX($L41:$T41,0,O$49),(INDEX($L41:$T41,0,O$51+1)-INDEX($L41:$T41,0,O$51))/(INDEX($L$4:$T$4,0,O$51+1)-INDEX($L$4:$T$4,0,O$51))+N56)))</f>
        <v>4.9307062921517542</v>
      </c>
      <c r="P56" s="5" cm="1">
        <f t="array" ref="P56">IF(P$51=-1,Q56,IF(P$51=99,O56,IF(P$51=0,INDEX($L41:$T41,0,P$49),(INDEX($L41:$T41,0,P$51+1)-INDEX($L41:$T41,0,P$51))/(INDEX($L$4:$T$4,0,P$51+1)-INDEX($L$4:$T$4,0,P$51))+O56)))</f>
        <v>5.233080885478234</v>
      </c>
      <c r="Q56" s="5" cm="1">
        <f t="array" ref="Q56">IF(Q$51=-1,R56,IF(Q$51=99,P56,IF(Q$51=0,INDEX($L41:$T41,0,Q$49),(INDEX($L41:$T41,0,Q$51+1)-INDEX($L41:$T41,0,Q$51))/(INDEX($L$4:$T$4,0,Q$51+1)-INDEX($L$4:$T$4,0,Q$51))+P56)))</f>
        <v>5.5354554788047139</v>
      </c>
      <c r="R56" s="5" cm="1">
        <f t="array" ref="R56">IF(R$51=-1,S56,IF(R$51=99,Q56,IF(R$51=0,INDEX($L41:$T41,0,R$49),(INDEX($L41:$T41,0,R$51+1)-INDEX($L41:$T41,0,R$51))/(INDEX($L$4:$T$4,0,R$51+1)-INDEX($L$4:$T$4,0,R$51))+Q56)))</f>
        <v>5.8378300721311938</v>
      </c>
      <c r="S56" s="5" cm="1">
        <f t="array" ref="S56">IF(S$51=-1,T56,IF(S$51=99,R56,IF(S$51=0,INDEX($L41:$T41,0,S$49),(INDEX($L41:$T41,0,S$51+1)-INDEX($L41:$T41,0,S$51))/(INDEX($L$4:$T$4,0,S$51+1)-INDEX($L$4:$T$4,0,S$51))+R56)))</f>
        <v>6.1402046654576736</v>
      </c>
      <c r="T56" s="5" cm="1">
        <f t="array" ref="T56">IF(T$51=-1,U56,IF(T$51=99,S56,IF(T$51=0,INDEX($L41:$T41,0,T$49),(INDEX($L41:$T41,0,T$51+1)-INDEX($L41:$T41,0,T$51))/(INDEX($L$4:$T$4,0,T$51+1)-INDEX($L$4:$T$4,0,T$51))+S56)))</f>
        <v>6.4425792587841535</v>
      </c>
      <c r="U56" s="5" cm="1">
        <f t="array" ref="U56">IF(U$51=-1,V56,IF(U$51=99,T56,IF(U$51=0,INDEX($L41:$T41,0,U$49),(INDEX($L41:$T41,0,U$51+1)-INDEX($L41:$T41,0,U$51))/(INDEX($L$4:$T$4,0,U$51+1)-INDEX($L$4:$T$4,0,U$51))+T56)))</f>
        <v>6.7449538521106334</v>
      </c>
      <c r="V56" s="5" cm="1">
        <f t="array" ref="V56">IF(V$51=-1,W56,IF(V$51=99,U56,IF(V$51=0,INDEX($L41:$T41,0,V$49),(INDEX($L41:$T41,0,V$51+1)-INDEX($L41:$T41,0,V$51))/(INDEX($L$4:$T$4,0,V$51+1)-INDEX($L$4:$T$4,0,V$51))+U56)))</f>
        <v>7.0473284454371132</v>
      </c>
      <c r="W56" s="5" cm="1">
        <f t="array" ref="W56">IF(W$51=-1,X56,IF(W$51=99,V56,IF(W$51=0,INDEX($L41:$T41,0,W$49),(INDEX($L41:$T41,0,W$51+1)-INDEX($L41:$T41,0,W$51))/(INDEX($L$4:$T$4,0,W$51+1)-INDEX($L$4:$T$4,0,W$51))+V56)))</f>
        <v>7.3497030387635922</v>
      </c>
      <c r="X56" s="5" cm="1">
        <f t="array" ref="X56">IF(X$51=-1,Y56,IF(X$51=99,W56,IF(X$51=0,INDEX($L41:$T41,0,X$49),(INDEX($L41:$T41,0,X$51+1)-INDEX($L41:$T41,0,X$51))/(INDEX($L$4:$T$4,0,X$51+1)-INDEX($L$4:$T$4,0,X$51))+W56)))</f>
        <v>7.6210099595598386</v>
      </c>
      <c r="Y56" s="5" cm="1">
        <f t="array" ref="Y56">IF(Y$51=-1,Z56,IF(Y$51=99,X56,IF(Y$51=0,INDEX($L41:$T41,0,Y$49),(INDEX($L41:$T41,0,Y$51+1)-INDEX($L41:$T41,0,Y$51))/(INDEX($L$4:$T$4,0,Y$51+1)-INDEX($L$4:$T$4,0,Y$51))+X56)))</f>
        <v>7.8923168803560841</v>
      </c>
      <c r="Z56" s="5" cm="1">
        <f t="array" ref="Z56">IF(Z$51=-1,AA56,IF(Z$51=99,Y56,IF(Z$51=0,INDEX($L41:$T41,0,Z$49),(INDEX($L41:$T41,0,Z$51+1)-INDEX($L41:$T41,0,Z$51))/(INDEX($L$4:$T$4,0,Z$51+1)-INDEX($L$4:$T$4,0,Z$51))+Y56)))</f>
        <v>8.1636238011523297</v>
      </c>
      <c r="AA56" s="5" cm="1">
        <f t="array" ref="AA56">IF(AA$51=-1,AB56,IF(AA$51=99,Z56,IF(AA$51=0,INDEX($L41:$T41,0,AA$49),(INDEX($L41:$T41,0,AA$51+1)-INDEX($L41:$T41,0,AA$51))/(INDEX($L$4:$T$4,0,AA$51+1)-INDEX($L$4:$T$4,0,AA$51))+Z56)))</f>
        <v>8.4349307219485752</v>
      </c>
      <c r="AB56" s="5" cm="1">
        <f t="array" ref="AB56">IF(AB$51=-1,AC56,IF(AB$51=99,AA56,IF(AB$51=0,INDEX($L41:$T41,0,AB$49),(INDEX($L41:$T41,0,AB$51+1)-INDEX($L41:$T41,0,AB$51))/(INDEX($L$4:$T$4,0,AB$51+1)-INDEX($L$4:$T$4,0,AB$51))+AA56)))</f>
        <v>8.7062376427448207</v>
      </c>
      <c r="AC56" s="5" cm="1">
        <f t="array" ref="AC56">IF(AC$51=-1,AD56,IF(AC$51=99,AB56,IF(AC$51=0,INDEX($L41:$T41,0,AC$49),(INDEX($L41:$T41,0,AC$51+1)-INDEX($L41:$T41,0,AC$51))/(INDEX($L$4:$T$4,0,AC$51+1)-INDEX($L$4:$T$4,0,AC$51))+AB56)))</f>
        <v>8.9775445635410662</v>
      </c>
      <c r="AD56" s="5" cm="1">
        <f t="array" ref="AD56">IF(AD$51=-1,AE56,IF(AD$51=99,AC56,IF(AD$51=0,INDEX($L41:$T41,0,AD$49),(INDEX($L41:$T41,0,AD$51+1)-INDEX($L41:$T41,0,AD$51))/(INDEX($L$4:$T$4,0,AD$51+1)-INDEX($L$4:$T$4,0,AD$51))+AC56)))</f>
        <v>9.2488514843373117</v>
      </c>
      <c r="AE56" s="5" cm="1">
        <f t="array" ref="AE56">IF(AE$51=-1,AF56,IF(AE$51=99,AD56,IF(AE$51=0,INDEX($L41:$T41,0,AE$49),(INDEX($L41:$T41,0,AE$51+1)-INDEX($L41:$T41,0,AE$51))/(INDEX($L$4:$T$4,0,AE$51+1)-INDEX($L$4:$T$4,0,AE$51))+AD56)))</f>
        <v>9.5201584051335573</v>
      </c>
      <c r="AF56" s="5" cm="1">
        <f t="array" ref="AF56">IF(AF$51=-1,AG56,IF(AF$51=99,AE56,IF(AF$51=0,INDEX($L41:$T41,0,AF$49),(INDEX($L41:$T41,0,AF$51+1)-INDEX($L41:$T41,0,AF$51))/(INDEX($L$4:$T$4,0,AF$51+1)-INDEX($L$4:$T$4,0,AF$51))+AE56)))</f>
        <v>9.7914653259298028</v>
      </c>
      <c r="AG56" s="5" cm="1">
        <f t="array" ref="AG56">IF(AG$51=-1,AH56,IF(AG$51=99,AF56,IF(AG$51=0,INDEX($L41:$T41,0,AG$49),(INDEX($L41:$T41,0,AG$51+1)-INDEX($L41:$T41,0,AG$51))/(INDEX($L$4:$T$4,0,AG$51+1)-INDEX($L$4:$T$4,0,AG$51))+AF56)))</f>
        <v>10.062772246726052</v>
      </c>
      <c r="AH56" s="5" cm="1">
        <f t="array" ref="AH56">IF(AH$51=-1,AI56,IF(AH$51=99,AG56,IF(AH$51=0,INDEX($L41:$T41,0,AH$49),(INDEX($L41:$T41,0,AH$51+1)-INDEX($L41:$T41,0,AH$51))/(INDEX($L$4:$T$4,0,AH$51+1)-INDEX($L$4:$T$4,0,AH$51))+AG56)))</f>
        <v>10.322580603322384</v>
      </c>
      <c r="AI56" s="5" cm="1">
        <f t="array" ref="AI56">IF(AI$51=-1,AJ56,IF(AI$51=99,AH56,IF(AI$51=0,INDEX($L41:$T41,0,AI$49),(INDEX($L41:$T41,0,AI$51+1)-INDEX($L41:$T41,0,AI$51))/(INDEX($L$4:$T$4,0,AI$51+1)-INDEX($L$4:$T$4,0,AI$51))+AH56)))</f>
        <v>10.582388959918717</v>
      </c>
      <c r="AJ56" s="5" cm="1">
        <f t="array" ref="AJ56">IF(AJ$51=-1,AK56,IF(AJ$51=99,AI56,IF(AJ$51=0,INDEX($L41:$T41,0,AJ$49),(INDEX($L41:$T41,0,AJ$51+1)-INDEX($L41:$T41,0,AJ$51))/(INDEX($L$4:$T$4,0,AJ$51+1)-INDEX($L$4:$T$4,0,AJ$51))+AI56)))</f>
        <v>10.842197316515049</v>
      </c>
      <c r="AK56" s="5" cm="1">
        <f t="array" ref="AK56">IF(AK$51=-1,AL56,IF(AK$51=99,AJ56,IF(AK$51=0,INDEX($L41:$T41,0,AK$49),(INDEX($L41:$T41,0,AK$51+1)-INDEX($L41:$T41,0,AK$51))/(INDEX($L$4:$T$4,0,AK$51+1)-INDEX($L$4:$T$4,0,AK$51))+AJ56)))</f>
        <v>11.102005673111382</v>
      </c>
      <c r="AL56" s="5" cm="1">
        <f t="array" ref="AL56">IF(AL$51=-1,AM56,IF(AL$51=99,AK56,IF(AL$51=0,INDEX($L41:$T41,0,AL$49),(INDEX($L41:$T41,0,AL$51+1)-INDEX($L41:$T41,0,AL$51))/(INDEX($L$4:$T$4,0,AL$51+1)-INDEX($L$4:$T$4,0,AL$51))+AK56)))</f>
        <v>11.361814029707714</v>
      </c>
      <c r="AM56" s="5" cm="1">
        <f t="array" ref="AM56">IF(AM$51=-1,AN56,IF(AM$51=99,AL56,IF(AM$51=0,INDEX($L41:$T41,0,AM$49),(INDEX($L41:$T41,0,AM$51+1)-INDEX($L41:$T41,0,AM$51))/(INDEX($L$4:$T$4,0,AM$51+1)-INDEX($L$4:$T$4,0,AM$51))+AL56)))</f>
        <v>12.660855812689379</v>
      </c>
      <c r="AN56" s="5" cm="1">
        <f t="array" ref="AN56">IF(AN$51=-1,AO56,IF(AN$51=99,AM56,IF(AN$51=0,INDEX($L41:$T41,0,AN$49),(INDEX($L41:$T41,0,AN$51+1)-INDEX($L41:$T41,0,AN$51))/(INDEX($L$4:$T$4,0,AN$51+1)-INDEX($L$4:$T$4,0,AN$51))+AM56)))</f>
        <v>15.713116677286488</v>
      </c>
      <c r="AO56" s="5" cm="1">
        <f t="array" ref="AO56">IF(AO$51=-1,AP56,IF(AO$51=99,AN56,IF(AO$51=0,INDEX($L41:$T41,0,AO$49),(INDEX($L41:$T41,0,AO$51+1)-INDEX($L41:$T41,0,AO$51))/(INDEX($L$4:$T$4,0,AO$51+1)-INDEX($L$4:$T$4,0,AO$51))+AN56)))</f>
        <v>17.183663345679431</v>
      </c>
    </row>
  </sheetData>
  <mergeCells count="1">
    <mergeCell ref="B2:C2"/>
  </mergeCells>
  <hyperlinks>
    <hyperlink ref="B3" r:id="rId1" xr:uid="{00000000-0004-0000-1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Bryce Mc Call</cp:lastModifiedBy>
  <dcterms:created xsi:type="dcterms:W3CDTF">2011-09-16T10:01:44Z</dcterms:created>
  <dcterms:modified xsi:type="dcterms:W3CDTF">2024-06-20T13:16:22Z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