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DCB2E86C-576B-4E5C-8CB8-4F1B599F8A59}" xr6:coauthVersionLast="47" xr6:coauthVersionMax="47" xr10:uidLastSave="{00000000-0000-0000-0000-000000000000}"/>
  <bookViews>
    <workbookView xWindow="-110" yWindow="-110" windowWidth="29020" windowHeight="17620" tabRatio="921" firstSheet="4" activeTab="13"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externalReferences>
    <externalReference r:id="rId19"/>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Energy_Balance!$B$55:$I$160</definedName>
    <definedName name="_xlnm._FilterDatabase" localSheetId="12" hidden="1">RES!$A$34:$T$146</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41" l="1"/>
  <c r="F5" i="41"/>
  <c r="F3" i="41"/>
  <c r="G196" i="41" l="1"/>
  <c r="S135" i="20" l="1"/>
  <c r="R135" i="20"/>
  <c r="Q135" i="20"/>
  <c r="E135" i="20"/>
  <c r="Y95" i="20" l="1"/>
  <c r="AC95" i="20"/>
  <c r="AL95" i="20" s="1"/>
  <c r="AA95" i="20"/>
  <c r="AJ95" i="20" s="1"/>
  <c r="L96" i="20"/>
  <c r="L95" i="20"/>
  <c r="AC134" i="20"/>
  <c r="AC133" i="20"/>
  <c r="AC132" i="20"/>
  <c r="AA134" i="20"/>
  <c r="AA133" i="20"/>
  <c r="AA132" i="20"/>
  <c r="Y134" i="20"/>
  <c r="Y133" i="20"/>
  <c r="Y132" i="20"/>
  <c r="L134" i="20"/>
  <c r="B296" i="60"/>
  <c r="B297" i="60"/>
  <c r="B295" i="60"/>
  <c r="F286" i="60"/>
  <c r="Z95" i="20" l="1"/>
  <c r="AI95" i="20" s="1"/>
  <c r="AB134" i="20"/>
  <c r="Z134" i="20"/>
  <c r="AC96" i="20"/>
  <c r="AL96" i="20" s="1"/>
  <c r="AA96" i="20"/>
  <c r="AJ96" i="20" s="1"/>
  <c r="Z133" i="20"/>
  <c r="AH95" i="20"/>
  <c r="Y96" i="20"/>
  <c r="AH96" i="20" s="1"/>
  <c r="AB95" i="20"/>
  <c r="AB133" i="20"/>
  <c r="AB132" i="20"/>
  <c r="Z132" i="20"/>
  <c r="P7" i="33"/>
  <c r="T7" i="33" s="1"/>
  <c r="Q5" i="33"/>
  <c r="U5" i="33" s="1"/>
  <c r="Q7" i="33"/>
  <c r="U7" i="33" s="1"/>
  <c r="K133"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6" i="20"/>
  <c r="AP137" i="20"/>
  <c r="AP138" i="20"/>
  <c r="R143" i="20"/>
  <c r="R142" i="20"/>
  <c r="R140" i="20"/>
  <c r="R139" i="20"/>
  <c r="R138" i="20"/>
  <c r="R137" i="20"/>
  <c r="R136"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9" i="20"/>
  <c r="Q140" i="20"/>
  <c r="Q142" i="20"/>
  <c r="Q143" i="20"/>
  <c r="P44" i="20"/>
  <c r="P45" i="20"/>
  <c r="P46" i="20"/>
  <c r="P40" i="20"/>
  <c r="Q40" i="20" s="1"/>
  <c r="R40" i="20" s="1"/>
  <c r="S40" i="20" s="1"/>
  <c r="P138" i="20"/>
  <c r="P137" i="20"/>
  <c r="P136"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Z96" i="20" l="1"/>
  <c r="AI96" i="20" s="1"/>
  <c r="AK95" i="20"/>
  <c r="AB96" i="20"/>
  <c r="AK96" i="20" s="1"/>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7" i="20"/>
  <c r="Q137" i="20"/>
  <c r="S118" i="20"/>
  <c r="Q118" i="20"/>
  <c r="S125" i="20"/>
  <c r="Q125" i="20"/>
  <c r="S127" i="20"/>
  <c r="Q127" i="20"/>
  <c r="S129" i="20"/>
  <c r="Q129" i="20"/>
  <c r="S103" i="20"/>
  <c r="Q103" i="20"/>
  <c r="S136" i="20"/>
  <c r="Q136" i="20"/>
  <c r="S138" i="20"/>
  <c r="Q138"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1" i="20"/>
  <c r="AP141" i="20" s="1"/>
  <c r="E117" i="20"/>
  <c r="AP117" i="20" s="1"/>
  <c r="E110" i="20"/>
  <c r="AP110" i="20" s="1"/>
  <c r="E87" i="20"/>
  <c r="E144" i="20"/>
  <c r="AP144" i="20" s="1"/>
  <c r="E124" i="20"/>
  <c r="AP124" i="20" s="1"/>
  <c r="N32" i="33"/>
  <c r="N31" i="33"/>
  <c r="AP87" i="20" l="1"/>
  <c r="S121" i="20"/>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7" i="33"/>
  <c r="E93"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227" i="60"/>
  <c r="P224"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84" i="60" l="1"/>
  <c r="B285" i="60"/>
  <c r="B289" i="60" s="1"/>
  <c r="B286" i="60"/>
  <c r="B290" i="60" s="1"/>
  <c r="B287" i="60"/>
  <c r="B291" i="60" s="1"/>
  <c r="AK30" i="20"/>
  <c r="AI30" i="20"/>
  <c r="AG30" i="20"/>
  <c r="AF36" i="20"/>
  <c r="AH36" i="20"/>
  <c r="AJ36" i="20"/>
  <c r="AL36" i="20"/>
  <c r="AE32" i="20"/>
  <c r="AB36" i="20"/>
  <c r="AB37" i="20"/>
  <c r="AC36" i="20"/>
  <c r="AA36" i="20"/>
  <c r="Z36" i="20"/>
  <c r="Y36" i="20"/>
  <c r="X36" i="20"/>
  <c r="W36" i="20"/>
  <c r="Z37" i="20"/>
  <c r="X37" i="20"/>
  <c r="V32" i="20"/>
  <c r="E60" i="33"/>
  <c r="F60" i="33"/>
  <c r="P16" i="33" s="1"/>
  <c r="P22" i="33" s="1"/>
  <c r="P28" i="33" s="1"/>
  <c r="E62" i="33"/>
  <c r="F62" i="33"/>
  <c r="E63" i="33"/>
  <c r="F63" i="33"/>
  <c r="E64" i="33"/>
  <c r="F64" i="33"/>
  <c r="E61" i="33"/>
  <c r="F61" i="33"/>
  <c r="E68" i="33"/>
  <c r="F68" i="33"/>
  <c r="E69" i="33"/>
  <c r="F69" i="33"/>
  <c r="E71" i="33"/>
  <c r="F71" i="33"/>
  <c r="E72" i="33"/>
  <c r="F72" i="33"/>
  <c r="E70" i="33"/>
  <c r="F70" i="33"/>
  <c r="E96" i="33"/>
  <c r="F96" i="33"/>
  <c r="E98" i="33"/>
  <c r="F98" i="33"/>
  <c r="E99" i="33"/>
  <c r="F99" i="33"/>
  <c r="E100" i="33"/>
  <c r="F100" i="33"/>
  <c r="E97" i="33"/>
  <c r="F97" i="33"/>
  <c r="E101" i="33"/>
  <c r="F101" i="33"/>
  <c r="F104" i="33"/>
  <c r="K106" i="33"/>
  <c r="F105" i="33"/>
  <c r="F107" i="33"/>
  <c r="F108" i="33"/>
  <c r="F106" i="33"/>
  <c r="F109" i="33"/>
  <c r="F213" i="41"/>
  <c r="F214" i="41"/>
  <c r="F215" i="41"/>
  <c r="F216" i="41"/>
  <c r="F217" i="41"/>
  <c r="F218" i="41"/>
  <c r="F219" i="41"/>
  <c r="F222" i="41"/>
  <c r="F223" i="41"/>
  <c r="F224" i="41"/>
  <c r="F225" i="41"/>
  <c r="F226" i="41"/>
  <c r="F227" i="41"/>
  <c r="F228" i="41"/>
  <c r="F231" i="41"/>
  <c r="F232" i="41"/>
  <c r="F233" i="41"/>
  <c r="F234" i="41"/>
  <c r="F235" i="41"/>
  <c r="F236" i="41"/>
  <c r="F237" i="41"/>
  <c r="D238" i="41"/>
  <c r="E131" i="33"/>
  <c r="F131" i="33"/>
  <c r="E133" i="33"/>
  <c r="F133" i="33"/>
  <c r="E134" i="33"/>
  <c r="F134" i="33"/>
  <c r="E132" i="33"/>
  <c r="F132" i="33"/>
  <c r="E136" i="33"/>
  <c r="F136" i="33"/>
  <c r="E139" i="33"/>
  <c r="F139" i="33"/>
  <c r="P17" i="33" s="1"/>
  <c r="P23" i="33" s="1"/>
  <c r="P29" i="33" s="1"/>
  <c r="K141" i="33"/>
  <c r="E140" i="33"/>
  <c r="F140" i="33"/>
  <c r="E142" i="33"/>
  <c r="F142" i="33"/>
  <c r="E143" i="33"/>
  <c r="F143" i="33"/>
  <c r="E141" i="33"/>
  <c r="F141" i="33"/>
  <c r="E144" i="33"/>
  <c r="F144" i="33"/>
  <c r="J222" i="60"/>
  <c r="J171" i="60"/>
  <c r="B161" i="60"/>
  <c r="D161" i="60"/>
  <c r="F161" i="60"/>
  <c r="H161" i="60"/>
  <c r="J161" i="60"/>
  <c r="R224" i="60" s="1"/>
  <c r="P228" i="60"/>
  <c r="P229" i="60" s="1"/>
  <c r="E285" i="60"/>
  <c r="Q228" i="60"/>
  <c r="Q229" i="60" s="1"/>
  <c r="E287" i="60"/>
  <c r="F222" i="60"/>
  <c r="D171" i="60"/>
  <c r="G286" i="60"/>
  <c r="I130" i="60"/>
  <c r="I133" i="60" s="1" a="1"/>
  <c r="I133" i="60" s="1"/>
  <c r="J130" i="60"/>
  <c r="K130" i="60"/>
  <c r="K132" i="60" s="1" a="1"/>
  <c r="K132" i="60" s="1"/>
  <c r="L130" i="60"/>
  <c r="L133" i="60" s="1" a="1"/>
  <c r="L133" i="60" s="1"/>
  <c r="M130" i="60"/>
  <c r="M131" i="60" s="1" a="1"/>
  <c r="M131" i="60" s="1"/>
  <c r="N130" i="60"/>
  <c r="N132" i="60" s="1" a="1"/>
  <c r="N132" i="60" s="1"/>
  <c r="L222" i="60"/>
  <c r="J286" i="60"/>
  <c r="H222" i="60"/>
  <c r="H171" i="60"/>
  <c r="I286" i="60"/>
  <c r="F171" i="60"/>
  <c r="H286" i="60"/>
  <c r="D37" i="20"/>
  <c r="S97" i="20"/>
  <c r="E97" i="20"/>
  <c r="E130" i="20"/>
  <c r="S130" i="20"/>
  <c r="E131" i="20"/>
  <c r="S131" i="20"/>
  <c r="E139" i="20"/>
  <c r="S139" i="20"/>
  <c r="E140" i="20"/>
  <c r="S140" i="20"/>
  <c r="E142" i="20"/>
  <c r="S142" i="20"/>
  <c r="E143" i="20"/>
  <c r="S143" i="20"/>
  <c r="E145"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8" i="60"/>
  <c r="E258" i="60"/>
  <c r="L258" i="60"/>
  <c r="J258" i="60"/>
  <c r="H258" i="60"/>
  <c r="E222" i="60"/>
  <c r="G258" i="60"/>
  <c r="I258" i="60"/>
  <c r="G222" i="60"/>
  <c r="K258" i="60"/>
  <c r="I222" i="60"/>
  <c r="K222" i="60"/>
  <c r="C288" i="60"/>
  <c r="C289" i="60"/>
  <c r="C290" i="60"/>
  <c r="C291" i="60"/>
  <c r="G130" i="60"/>
  <c r="G131" i="60" s="1" a="1"/>
  <c r="G131" i="60" s="1"/>
  <c r="H130" i="60"/>
  <c r="H131" i="60" s="1" a="1"/>
  <c r="H131" i="60" s="1"/>
  <c r="E263" i="60"/>
  <c r="D263" i="60"/>
  <c r="E288" i="60"/>
  <c r="E290" i="60"/>
  <c r="E273" i="60"/>
  <c r="E280" i="60" s="1"/>
  <c r="F273" i="60"/>
  <c r="F280" i="60" s="1"/>
  <c r="F294" i="60" s="1"/>
  <c r="G273" i="60"/>
  <c r="H273" i="60"/>
  <c r="I273" i="60"/>
  <c r="J273" i="60"/>
  <c r="K273" i="60"/>
  <c r="L273" i="60"/>
  <c r="D273" i="60"/>
  <c r="D280" i="60" s="1"/>
  <c r="D170" i="60"/>
  <c r="F170" i="60"/>
  <c r="H170" i="60"/>
  <c r="J170" i="60"/>
  <c r="P225" i="60"/>
  <c r="P226" i="60" s="1"/>
  <c r="C282" i="60"/>
  <c r="C281" i="60"/>
  <c r="B282" i="60"/>
  <c r="B281" i="60"/>
  <c r="A174" i="60"/>
  <c r="A173" i="60"/>
  <c r="Q237" i="60"/>
  <c r="Q238" i="60" s="1"/>
  <c r="Q239" i="60" s="1"/>
  <c r="Q225" i="60"/>
  <c r="Q226" i="60" s="1"/>
  <c r="AC37" i="20"/>
  <c r="AA37" i="20"/>
  <c r="Y37" i="20"/>
  <c r="W37" i="20"/>
  <c r="AM39" i="20"/>
  <c r="D258"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2" i="33"/>
  <c r="E56" i="33"/>
  <c r="O15" i="33" s="1"/>
  <c r="O16" i="33" s="1"/>
  <c r="O17" i="33" s="1"/>
  <c r="O18" i="33" s="1"/>
  <c r="E65" i="33"/>
  <c r="E73" i="33"/>
  <c r="E76" i="33"/>
  <c r="E77" i="33"/>
  <c r="E78" i="33"/>
  <c r="E79" i="33"/>
  <c r="E80" i="33"/>
  <c r="E81" i="33"/>
  <c r="E84" i="33"/>
  <c r="E88" i="33"/>
  <c r="E89" i="33"/>
  <c r="E104" i="33"/>
  <c r="E105" i="33"/>
  <c r="E106" i="33"/>
  <c r="E107" i="33"/>
  <c r="E108" i="33"/>
  <c r="E109" i="33"/>
  <c r="E112" i="33"/>
  <c r="E113" i="33"/>
  <c r="E114" i="33"/>
  <c r="E115" i="33"/>
  <c r="E116" i="33"/>
  <c r="E117" i="33"/>
  <c r="E118" i="33"/>
  <c r="E121" i="33"/>
  <c r="E124" i="33"/>
  <c r="O21" i="33" s="1"/>
  <c r="O22" i="33" s="1"/>
  <c r="O23" i="33" s="1"/>
  <c r="O24" i="33" s="1"/>
  <c r="E125" i="33"/>
  <c r="E128" i="33"/>
  <c r="E135" i="33"/>
  <c r="F135" i="33"/>
  <c r="E147" i="33"/>
  <c r="E148" i="33"/>
  <c r="E149" i="33"/>
  <c r="E150" i="33"/>
  <c r="O27" i="33" s="1"/>
  <c r="O28" i="33" s="1"/>
  <c r="O29" i="33" s="1"/>
  <c r="O30" i="33" s="1"/>
  <c r="E151" i="33"/>
  <c r="E152" i="33"/>
  <c r="E155" i="33"/>
  <c r="E158" i="33"/>
  <c r="E159" i="33"/>
  <c r="F65" i="33"/>
  <c r="F73"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5" i="33"/>
  <c r="A82" i="33"/>
  <c r="A55" i="33"/>
  <c r="A56" i="33"/>
  <c r="A58" i="33"/>
  <c r="A59" i="33"/>
  <c r="A62" i="33"/>
  <c r="A63" i="33"/>
  <c r="A64" i="33"/>
  <c r="A61" i="33"/>
  <c r="A65" i="33"/>
  <c r="A66" i="33"/>
  <c r="A67" i="33"/>
  <c r="A68" i="33"/>
  <c r="A69" i="33"/>
  <c r="A70" i="33"/>
  <c r="A71" i="33"/>
  <c r="A72" i="33"/>
  <c r="A73" i="33"/>
  <c r="A74" i="33"/>
  <c r="A75" i="33"/>
  <c r="A77" i="33"/>
  <c r="A78" i="33"/>
  <c r="A79" i="33"/>
  <c r="A80" i="33"/>
  <c r="A81" i="33"/>
  <c r="A83" i="33"/>
  <c r="A84" i="33"/>
  <c r="A86" i="33"/>
  <c r="A87" i="33"/>
  <c r="A88" i="33"/>
  <c r="A89" i="33"/>
  <c r="A90" i="33"/>
  <c r="A91" i="33"/>
  <c r="A92" i="33"/>
  <c r="A94" i="33"/>
  <c r="A95" i="33"/>
  <c r="A96" i="33"/>
  <c r="A97" i="33"/>
  <c r="A98" i="33"/>
  <c r="A99" i="33"/>
  <c r="A100" i="33"/>
  <c r="A101" i="33"/>
  <c r="A102" i="33"/>
  <c r="A103" i="33"/>
  <c r="A104" i="33"/>
  <c r="A105" i="33"/>
  <c r="A106" i="33"/>
  <c r="A107" i="33"/>
  <c r="A108" i="33"/>
  <c r="A109" i="33"/>
  <c r="A110" i="33"/>
  <c r="A111" i="33"/>
  <c r="A112" i="33"/>
  <c r="A114" i="33"/>
  <c r="A115" i="33"/>
  <c r="A116" i="33"/>
  <c r="A117" i="33"/>
  <c r="A118" i="33"/>
  <c r="A119" i="33"/>
  <c r="A120" i="33"/>
  <c r="A121" i="33"/>
  <c r="A122" i="33"/>
  <c r="A123" i="33"/>
  <c r="A124"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A160"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89" i="60" l="1"/>
  <c r="G287" i="60"/>
  <c r="F287" i="60"/>
  <c r="H42" i="20"/>
  <c r="AG36" i="20"/>
  <c r="AG33" i="20"/>
  <c r="AI36" i="20"/>
  <c r="AI33" i="20"/>
  <c r="AK36" i="20"/>
  <c r="AK33" i="20"/>
  <c r="O25" i="33"/>
  <c r="O26" i="33"/>
  <c r="O20" i="33"/>
  <c r="O19" i="33"/>
  <c r="O31" i="33"/>
  <c r="O32" i="33"/>
  <c r="K280" i="60"/>
  <c r="K294" i="60" s="1"/>
  <c r="S273" i="60"/>
  <c r="I280" i="60"/>
  <c r="I294" i="60" s="1"/>
  <c r="Q273" i="60"/>
  <c r="G280" i="60"/>
  <c r="G294" i="60" s="1"/>
  <c r="O273" i="60"/>
  <c r="L280" i="60"/>
  <c r="L294" i="60" s="1"/>
  <c r="T273" i="60"/>
  <c r="J280" i="60"/>
  <c r="J294" i="60" s="1"/>
  <c r="R273" i="60"/>
  <c r="H280" i="60"/>
  <c r="H294" i="60" s="1"/>
  <c r="P273" i="60"/>
  <c r="N273" i="60"/>
  <c r="F71" i="41"/>
  <c r="G50" i="71"/>
  <c r="G49" i="71"/>
  <c r="G51" i="71"/>
  <c r="G47" i="71"/>
  <c r="G46" i="71"/>
  <c r="G45" i="71"/>
  <c r="H73" i="33"/>
  <c r="L73" i="33" s="1"/>
  <c r="I73" i="33" s="1"/>
  <c r="H152" i="33"/>
  <c r="H118" i="33"/>
  <c r="L118" i="33" s="1"/>
  <c r="H81" i="33"/>
  <c r="L81" i="33" s="1"/>
  <c r="H144" i="33"/>
  <c r="L144" i="33" s="1"/>
  <c r="I144" i="33" s="1"/>
  <c r="M129" i="20" s="1"/>
  <c r="H136" i="33"/>
  <c r="L136" i="33" s="1"/>
  <c r="I136" i="33" s="1"/>
  <c r="M121" i="20" s="1"/>
  <c r="G55" i="71"/>
  <c r="G54" i="71"/>
  <c r="G53" i="71"/>
  <c r="H109" i="33"/>
  <c r="L109" i="33" s="1"/>
  <c r="I109" i="33" s="1"/>
  <c r="M92" i="20" s="1"/>
  <c r="N92" i="20" s="1"/>
  <c r="H101" i="33"/>
  <c r="L101" i="33" s="1"/>
  <c r="B288"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8" i="33"/>
  <c r="C161" i="60"/>
  <c r="C60" i="60"/>
  <c r="C62" i="60" s="1"/>
  <c r="R133" i="60" a="1"/>
  <c r="R133" i="60" s="1"/>
  <c r="AP131" i="60" a="1"/>
  <c r="AP131" i="60" s="1"/>
  <c r="I237" i="41"/>
  <c r="F8" i="60"/>
  <c r="L132" i="60" a="1"/>
  <c r="L132" i="60" s="1"/>
  <c r="I233" i="41"/>
  <c r="E291" i="60"/>
  <c r="AB132" i="60" a="1"/>
  <c r="AB132" i="60" s="1"/>
  <c r="H287" i="60"/>
  <c r="J287" i="60"/>
  <c r="I287"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7" i="60"/>
  <c r="I257" i="60"/>
  <c r="K257" i="60"/>
  <c r="F257" i="60"/>
  <c r="C110" i="60"/>
  <c r="I220" i="41"/>
  <c r="J257" i="60"/>
  <c r="E240" i="41"/>
  <c r="I235" i="41"/>
  <c r="AM131" i="60" a="1"/>
  <c r="AM131" i="60" s="1"/>
  <c r="AM132" i="60" a="1"/>
  <c r="AM132" i="60" s="1"/>
  <c r="I170" i="60"/>
  <c r="H257" i="60"/>
  <c r="L257"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3" i="33" s="1"/>
  <c r="D16" i="24"/>
  <c r="C11" i="84" s="1"/>
  <c r="A35" i="24"/>
  <c r="C35" i="24" s="1"/>
  <c r="D27" i="24"/>
  <c r="C22" i="84" s="1"/>
  <c r="A13" i="24"/>
  <c r="K26" i="33"/>
  <c r="L152" i="33"/>
  <c r="I152"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304" i="60"/>
  <c r="F304" i="60" s="1"/>
  <c r="C303" i="60"/>
  <c r="F303" i="60" s="1"/>
  <c r="Q47" i="60"/>
  <c r="Q48" i="60"/>
  <c r="AQ134" i="60"/>
  <c r="D50" i="60"/>
  <c r="C146" i="60"/>
  <c r="J47" i="60"/>
  <c r="B44" i="60"/>
  <c r="J50" i="60"/>
  <c r="L48" i="60"/>
  <c r="G48" i="60"/>
  <c r="F50" i="60"/>
  <c r="J46" i="60"/>
  <c r="H47" i="60"/>
  <c r="G49" i="60"/>
  <c r="F48" i="60"/>
  <c r="L134" i="60"/>
  <c r="E145" i="60"/>
  <c r="C302" i="60"/>
  <c r="F302"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4" i="33"/>
  <c r="D3" i="41"/>
  <c r="E3" i="41" s="1"/>
  <c r="H3" i="41" s="1"/>
  <c r="D4" i="41"/>
  <c r="E4" i="41" s="1"/>
  <c r="D5" i="41"/>
  <c r="E5" i="41" s="1"/>
  <c r="K34" i="33"/>
  <c r="B168" i="60"/>
  <c r="L159"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O37" i="74" l="1"/>
  <c r="O41" i="74" s="1"/>
  <c r="P4" i="41"/>
  <c r="H5" i="41"/>
  <c r="H4" i="41"/>
  <c r="E105" i="41" s="1"/>
  <c r="G5" i="41"/>
  <c r="G4" i="41"/>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7" i="74"/>
  <c r="L37" i="74"/>
  <c r="G3" i="41"/>
  <c r="G6" i="41" s="1"/>
  <c r="N37" i="74"/>
  <c r="I54" i="74"/>
  <c r="H22" i="74"/>
  <c r="F37" i="74"/>
  <c r="H37"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5" i="33"/>
  <c r="K176" i="33" s="1"/>
  <c r="G7" i="41"/>
  <c r="K45" i="33"/>
  <c r="I37" i="20"/>
  <c r="K61" i="60"/>
  <c r="J68" i="60"/>
  <c r="G63" i="60"/>
  <c r="F70" i="60"/>
  <c r="J63" i="60"/>
  <c r="H61" i="60"/>
  <c r="H68" i="60" s="1"/>
  <c r="G68" i="60"/>
  <c r="D162" i="60"/>
  <c r="D168" i="60" s="1"/>
  <c r="C167" i="60"/>
  <c r="C174" i="60" s="1"/>
  <c r="C166" i="60"/>
  <c r="C173" i="60" s="1"/>
  <c r="E255" i="60" s="1"/>
  <c r="N38" i="74" l="1"/>
  <c r="I53" i="74"/>
  <c r="J53" i="74"/>
  <c r="I21" i="74"/>
  <c r="F38" i="74"/>
  <c r="L38" i="74"/>
  <c r="K53" i="74"/>
  <c r="H21" i="74"/>
  <c r="K21" i="74"/>
  <c r="G38" i="74"/>
  <c r="L21" i="74"/>
  <c r="H38" i="74"/>
  <c r="H53" i="74"/>
  <c r="E96" i="41"/>
  <c r="M128" i="41" s="1"/>
  <c r="E90" i="41"/>
  <c r="O38" i="74"/>
  <c r="P53" i="74"/>
  <c r="G53" i="74"/>
  <c r="J21" i="74"/>
  <c r="L53" i="74"/>
  <c r="E102" i="41"/>
  <c r="M185" i="41" s="1"/>
  <c r="M21" i="74"/>
  <c r="E99" i="41"/>
  <c r="O53" i="74"/>
  <c r="N53" i="74"/>
  <c r="F21" i="74"/>
  <c r="M53" i="74"/>
  <c r="G21" i="74"/>
  <c r="N39" i="74"/>
  <c r="P6" i="41"/>
  <c r="J22" i="74"/>
  <c r="E106" i="41"/>
  <c r="M169" i="41" s="1"/>
  <c r="H128" i="33"/>
  <c r="H131" i="33" s="1"/>
  <c r="H139" i="33" s="1"/>
  <c r="H147" i="33" s="1"/>
  <c r="H149" i="33" s="1"/>
  <c r="G54" i="74"/>
  <c r="F39" i="74"/>
  <c r="M22" i="74"/>
  <c r="H7" i="41"/>
  <c r="V5" i="33" s="1"/>
  <c r="P5" i="41"/>
  <c r="F22" i="74"/>
  <c r="O39" i="74"/>
  <c r="H54" i="74"/>
  <c r="J54" i="74"/>
  <c r="L22" i="74"/>
  <c r="M54" i="74"/>
  <c r="E100" i="41"/>
  <c r="M235" i="41" s="1"/>
  <c r="E103" i="41"/>
  <c r="M201" i="41" s="1"/>
  <c r="L39" i="74"/>
  <c r="G22" i="74"/>
  <c r="K54" i="74"/>
  <c r="P54" i="74"/>
  <c r="L54" i="74"/>
  <c r="O54" i="74"/>
  <c r="E97" i="41"/>
  <c r="M136" i="41" s="1"/>
  <c r="H155" i="33"/>
  <c r="H158" i="33" s="1"/>
  <c r="V6" i="33"/>
  <c r="V7" i="33" s="1"/>
  <c r="K22" i="74"/>
  <c r="N54" i="74"/>
  <c r="I22" i="74"/>
  <c r="E91" i="41"/>
  <c r="H39" i="74"/>
  <c r="G39" i="74"/>
  <c r="L82" i="41"/>
  <c r="I82" i="41"/>
  <c r="J82" i="41"/>
  <c r="M82" i="41"/>
  <c r="N82" i="41"/>
  <c r="K82" i="41"/>
  <c r="F82" i="41"/>
  <c r="G82" i="41"/>
  <c r="X4" i="33"/>
  <c r="O82" i="41"/>
  <c r="H82" i="41"/>
  <c r="L41" i="74"/>
  <c r="F70" i="74"/>
  <c r="S67" i="74"/>
  <c r="M175" i="41"/>
  <c r="M180" i="41"/>
  <c r="M176" i="41"/>
  <c r="M179" i="41"/>
  <c r="M178" i="41"/>
  <c r="M181" i="41"/>
  <c r="M182" i="41"/>
  <c r="M177" i="41"/>
  <c r="M127" i="41"/>
  <c r="M123" i="41"/>
  <c r="M122" i="41"/>
  <c r="M157" i="41"/>
  <c r="M154" i="41"/>
  <c r="M153" i="41"/>
  <c r="M159" i="41"/>
  <c r="M155" i="41"/>
  <c r="M158" i="41"/>
  <c r="M152" i="41"/>
  <c r="M156" i="41"/>
  <c r="H41" i="74"/>
  <c r="N41" i="74"/>
  <c r="S69" i="74"/>
  <c r="M146" i="41"/>
  <c r="M147" i="41"/>
  <c r="M142" i="41"/>
  <c r="M144" i="41"/>
  <c r="M143" i="41"/>
  <c r="M145" i="41"/>
  <c r="M148" i="41"/>
  <c r="M149" i="41"/>
  <c r="M216" i="41"/>
  <c r="M217" i="41"/>
  <c r="M219" i="41"/>
  <c r="M214" i="41"/>
  <c r="M218" i="41"/>
  <c r="M215" i="41"/>
  <c r="M220" i="41"/>
  <c r="M213" i="41"/>
  <c r="F41" i="74"/>
  <c r="S37" i="74"/>
  <c r="G41" i="74"/>
  <c r="S20" i="74"/>
  <c r="S68" i="74"/>
  <c r="H56" i="33"/>
  <c r="H60" i="33" s="1"/>
  <c r="H84" i="33"/>
  <c r="H88" i="33"/>
  <c r="M223" i="41"/>
  <c r="M227" i="41"/>
  <c r="M229" i="41"/>
  <c r="M222" i="41"/>
  <c r="M225" i="41"/>
  <c r="M224" i="41"/>
  <c r="M226" i="41"/>
  <c r="M228" i="41"/>
  <c r="M236" i="41"/>
  <c r="M233" i="41"/>
  <c r="M234" i="41"/>
  <c r="M115" i="41"/>
  <c r="M113" i="41"/>
  <c r="M112" i="41"/>
  <c r="M117" i="41"/>
  <c r="M116" i="41"/>
  <c r="M118" i="41"/>
  <c r="M114" i="41"/>
  <c r="M111" i="41"/>
  <c r="G10" i="41"/>
  <c r="H63" i="60"/>
  <c r="H70" i="60" s="1"/>
  <c r="G70" i="60"/>
  <c r="E162" i="60"/>
  <c r="E168" i="60" s="1"/>
  <c r="D167" i="60"/>
  <c r="D174" i="60" s="1"/>
  <c r="D166" i="60"/>
  <c r="D173" i="60" s="1"/>
  <c r="K63" i="60"/>
  <c r="J70" i="60"/>
  <c r="B77" i="60" s="1"/>
  <c r="L61" i="60"/>
  <c r="L68" i="60" s="1"/>
  <c r="D76" i="60" s="1"/>
  <c r="K68" i="60"/>
  <c r="C76" i="60" s="1"/>
  <c r="M125" i="41" l="1"/>
  <c r="S38" i="74"/>
  <c r="S21" i="74"/>
  <c r="M138" i="41"/>
  <c r="M121" i="41"/>
  <c r="M164" i="41"/>
  <c r="M126" i="41"/>
  <c r="M168" i="41"/>
  <c r="M188" i="41"/>
  <c r="M189" i="41"/>
  <c r="M186" i="41"/>
  <c r="M191" i="41"/>
  <c r="H70" i="74"/>
  <c r="M187" i="41"/>
  <c r="M165" i="41"/>
  <c r="M166" i="41"/>
  <c r="M167" i="41"/>
  <c r="M124" i="41"/>
  <c r="M192" i="41"/>
  <c r="M133" i="41"/>
  <c r="M162" i="41"/>
  <c r="M190" i="41"/>
  <c r="M163" i="41"/>
  <c r="L70" i="74"/>
  <c r="H92" i="33"/>
  <c r="K5" i="41"/>
  <c r="H124" i="33"/>
  <c r="H11" i="41"/>
  <c r="H12" i="41" s="1"/>
  <c r="F86" i="41" s="1"/>
  <c r="F73" i="74" s="1"/>
  <c r="H121" i="33"/>
  <c r="K7" i="41"/>
  <c r="K6" i="41"/>
  <c r="N40" i="74"/>
  <c r="L40" i="74"/>
  <c r="K23" i="74"/>
  <c r="S39" i="74"/>
  <c r="N70" i="74"/>
  <c r="G40" i="74"/>
  <c r="K55" i="74"/>
  <c r="H55" i="74"/>
  <c r="S22" i="74"/>
  <c r="K40" i="74"/>
  <c r="M23" i="74"/>
  <c r="M195" i="41"/>
  <c r="M237" i="41"/>
  <c r="M199" i="41"/>
  <c r="M232" i="41"/>
  <c r="M238" i="41"/>
  <c r="M197" i="41"/>
  <c r="O70" i="74"/>
  <c r="F23" i="74"/>
  <c r="F40" i="74"/>
  <c r="L55" i="74"/>
  <c r="L23" i="74"/>
  <c r="P70" i="74"/>
  <c r="M202" i="41"/>
  <c r="M196" i="41"/>
  <c r="M231" i="41"/>
  <c r="I40" i="74"/>
  <c r="J40" i="74"/>
  <c r="J23" i="74"/>
  <c r="H40" i="74"/>
  <c r="M134" i="41"/>
  <c r="G55" i="74"/>
  <c r="O40" i="74"/>
  <c r="G70" i="74"/>
  <c r="M200" i="41"/>
  <c r="M40" i="74"/>
  <c r="H23" i="74"/>
  <c r="I55" i="74"/>
  <c r="I70" i="74"/>
  <c r="M198" i="41"/>
  <c r="M55" i="74"/>
  <c r="K70" i="74"/>
  <c r="P40" i="74"/>
  <c r="M70" i="74"/>
  <c r="I23" i="74"/>
  <c r="M135" i="41"/>
  <c r="G23" i="74"/>
  <c r="M137" i="41"/>
  <c r="M131" i="41"/>
  <c r="J70" i="74"/>
  <c r="J55" i="74"/>
  <c r="M132" i="41"/>
  <c r="F84" i="41"/>
  <c r="I84" i="41" s="1"/>
  <c r="F71" i="74"/>
  <c r="W4" i="33"/>
  <c r="W5" i="33"/>
  <c r="W6" i="33"/>
  <c r="S15" i="33"/>
  <c r="S20" i="33"/>
  <c r="S17" i="33"/>
  <c r="S16" i="33"/>
  <c r="X7" i="33"/>
  <c r="S18" i="33"/>
  <c r="S19" i="33"/>
  <c r="H96" i="33"/>
  <c r="H104" i="33"/>
  <c r="H112" i="33" s="1"/>
  <c r="H76" i="33"/>
  <c r="H68" i="33"/>
  <c r="S41" i="74"/>
  <c r="N22" i="83"/>
  <c r="Q141" i="20" s="1"/>
  <c r="O22" i="83"/>
  <c r="M22" i="83"/>
  <c r="P141" i="20" s="1"/>
  <c r="O9" i="83"/>
  <c r="M9" i="83"/>
  <c r="P71" i="20" s="1"/>
  <c r="N9" i="83"/>
  <c r="Q71" i="20" s="1"/>
  <c r="O21" i="83"/>
  <c r="N21" i="83"/>
  <c r="Q144" i="20" s="1"/>
  <c r="M21" i="83"/>
  <c r="P144"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F85" i="41" l="1"/>
  <c r="F87" i="41"/>
  <c r="F72" i="74"/>
  <c r="I26" i="74"/>
  <c r="F42" i="74"/>
  <c r="J87" i="41"/>
  <c r="L86" i="41"/>
  <c r="L73" i="74" s="1"/>
  <c r="J85" i="41"/>
  <c r="J43" i="74" s="1"/>
  <c r="H86" i="41"/>
  <c r="H71" i="74" s="1"/>
  <c r="M86" i="41"/>
  <c r="M73" i="74" s="1"/>
  <c r="H85" i="41"/>
  <c r="H43" i="74" s="1"/>
  <c r="O85" i="41"/>
  <c r="O42" i="74" s="1"/>
  <c r="F25" i="74"/>
  <c r="O84" i="41"/>
  <c r="O86" i="41"/>
  <c r="I85" i="41"/>
  <c r="I42" i="74" s="1"/>
  <c r="N84" i="41"/>
  <c r="J86" i="41"/>
  <c r="J71" i="74" s="1"/>
  <c r="I86" i="41"/>
  <c r="I73" i="74" s="1"/>
  <c r="H87" i="41"/>
  <c r="F26" i="74"/>
  <c r="I87" i="41"/>
  <c r="N85" i="41"/>
  <c r="N43" i="74" s="1"/>
  <c r="K85" i="41"/>
  <c r="K42" i="74" s="1"/>
  <c r="M84" i="41"/>
  <c r="M26" i="74" s="1"/>
  <c r="L85" i="41"/>
  <c r="L42" i="74" s="1"/>
  <c r="J84" i="41"/>
  <c r="J24" i="74" s="1"/>
  <c r="O87" i="41"/>
  <c r="F24" i="74"/>
  <c r="K84" i="41"/>
  <c r="K57" i="74" s="1"/>
  <c r="G85" i="41"/>
  <c r="G43" i="74" s="1"/>
  <c r="M85" i="41"/>
  <c r="M43" i="74" s="1"/>
  <c r="M87" i="41"/>
  <c r="L87" i="41"/>
  <c r="N86" i="41"/>
  <c r="K86" i="41"/>
  <c r="K71" i="74" s="1"/>
  <c r="N87" i="41"/>
  <c r="H84" i="41"/>
  <c r="H58" i="74" s="1"/>
  <c r="L84" i="41"/>
  <c r="L56" i="74" s="1"/>
  <c r="K87" i="41"/>
  <c r="G86" i="41"/>
  <c r="G73" i="74" s="1"/>
  <c r="G84" i="41"/>
  <c r="G56" i="74" s="1"/>
  <c r="G87" i="41"/>
  <c r="F43" i="74"/>
  <c r="Y4" i="33"/>
  <c r="W7" i="33"/>
  <c r="I25" i="74"/>
  <c r="I56" i="74"/>
  <c r="I24" i="74"/>
  <c r="I58" i="74"/>
  <c r="H44" i="74"/>
  <c r="N44" i="74"/>
  <c r="K44" i="74"/>
  <c r="G44" i="74"/>
  <c r="M44" i="74"/>
  <c r="I44" i="74"/>
  <c r="F44" i="74"/>
  <c r="P44" i="74"/>
  <c r="J44" i="74"/>
  <c r="L44" i="74"/>
  <c r="O44" i="74"/>
  <c r="M57" i="74"/>
  <c r="I57" i="74"/>
  <c r="P21" i="83"/>
  <c r="S144" i="20" s="1"/>
  <c r="R144" i="20"/>
  <c r="P9" i="83"/>
  <c r="S71" i="20" s="1"/>
  <c r="R71" i="20"/>
  <c r="P16" i="83"/>
  <c r="S107" i="20" s="1"/>
  <c r="R107" i="20"/>
  <c r="P22" i="83"/>
  <c r="S141" i="20" s="1"/>
  <c r="R141"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M56" i="74" l="1"/>
  <c r="J25" i="74"/>
  <c r="G72" i="74"/>
  <c r="L24" i="74"/>
  <c r="O43" i="74"/>
  <c r="J56" i="74"/>
  <c r="J58" i="74"/>
  <c r="L71" i="74"/>
  <c r="L72" i="74"/>
  <c r="L57" i="74"/>
  <c r="J26" i="74"/>
  <c r="J42" i="74"/>
  <c r="L26" i="74"/>
  <c r="H42" i="74"/>
  <c r="G71" i="74"/>
  <c r="M24" i="74"/>
  <c r="H73" i="74"/>
  <c r="K58" i="74"/>
  <c r="M58" i="74"/>
  <c r="G58" i="74"/>
  <c r="K26" i="74"/>
  <c r="H72" i="74"/>
  <c r="M25" i="74"/>
  <c r="J72" i="74"/>
  <c r="H26" i="74"/>
  <c r="K73" i="74"/>
  <c r="J73" i="74"/>
  <c r="G42" i="74"/>
  <c r="L58" i="74"/>
  <c r="K56" i="74"/>
  <c r="M42" i="74"/>
  <c r="H24" i="74"/>
  <c r="G57" i="74"/>
  <c r="K25" i="74"/>
  <c r="H56" i="74"/>
  <c r="H57" i="74"/>
  <c r="M71" i="74"/>
  <c r="K24" i="74"/>
  <c r="G25" i="74"/>
  <c r="H25" i="74"/>
  <c r="M72" i="74"/>
  <c r="L43" i="74"/>
  <c r="P86" i="41"/>
  <c r="K72" i="74"/>
  <c r="P85" i="41"/>
  <c r="P43" i="74" s="1"/>
  <c r="I43" i="74"/>
  <c r="K43" i="74"/>
  <c r="L25" i="74"/>
  <c r="I71" i="74"/>
  <c r="J57" i="74"/>
  <c r="I72" i="74"/>
  <c r="P84" i="41"/>
  <c r="N42" i="74"/>
  <c r="P87" i="41"/>
  <c r="G26" i="74"/>
  <c r="G24" i="74"/>
  <c r="Y5" i="33"/>
  <c r="Z5" i="33" s="1"/>
  <c r="L48" i="74"/>
  <c r="O48" i="74"/>
  <c r="F48" i="74"/>
  <c r="S44" i="74"/>
  <c r="K48" i="74"/>
  <c r="I48" i="74"/>
  <c r="N48" i="74"/>
  <c r="J48" i="74"/>
  <c r="M48" i="74"/>
  <c r="H48" i="74"/>
  <c r="G48" i="74"/>
  <c r="P23" i="83"/>
  <c r="S124" i="20" s="1"/>
  <c r="R124" i="20"/>
  <c r="I176" i="60"/>
  <c r="H176" i="60"/>
  <c r="J176" i="60"/>
  <c r="D176" i="60"/>
  <c r="D177" i="60" s="1"/>
  <c r="F176" i="60"/>
  <c r="F177" i="60" s="1"/>
  <c r="E176" i="60"/>
  <c r="E177" i="60" s="1"/>
  <c r="C176" i="60"/>
  <c r="C177" i="60" s="1"/>
  <c r="G176" i="60"/>
  <c r="G166" i="60"/>
  <c r="G173" i="60" s="1"/>
  <c r="G167" i="60"/>
  <c r="G174" i="60" s="1"/>
  <c r="H162" i="60"/>
  <c r="H168" i="60" s="1"/>
  <c r="S71" i="74" l="1"/>
  <c r="I74" i="74" s="1"/>
  <c r="S24" i="74"/>
  <c r="F27" i="74" s="1"/>
  <c r="F52" i="74" s="1"/>
  <c r="S26" i="74"/>
  <c r="K29" i="74" s="1"/>
  <c r="P42" i="74"/>
  <c r="S42" i="74" s="1"/>
  <c r="S25" i="74"/>
  <c r="I28" i="74" s="1"/>
  <c r="S73" i="74"/>
  <c r="G76" i="74" s="1"/>
  <c r="S72" i="74"/>
  <c r="G75" i="74" s="1"/>
  <c r="S43" i="74"/>
  <c r="O46" i="74" s="1"/>
  <c r="S26" i="33"/>
  <c r="Y7" i="33"/>
  <c r="Z6" i="33"/>
  <c r="Z7" i="33" s="1"/>
  <c r="S24" i="33"/>
  <c r="S23" i="33"/>
  <c r="S22" i="33"/>
  <c r="S25" i="33"/>
  <c r="S21" i="33"/>
  <c r="M27" i="74"/>
  <c r="H27" i="74"/>
  <c r="J74" i="74"/>
  <c r="M28" i="74"/>
  <c r="L46" i="74"/>
  <c r="P76" i="74"/>
  <c r="H74" i="74"/>
  <c r="N74" i="74"/>
  <c r="K74" i="74"/>
  <c r="O74" i="74"/>
  <c r="F74" i="74"/>
  <c r="P74" i="74"/>
  <c r="M74" i="74"/>
  <c r="J29" i="74"/>
  <c r="S48" i="74"/>
  <c r="S49" i="74"/>
  <c r="L74" i="74"/>
  <c r="H129" i="33"/>
  <c r="G177" i="60"/>
  <c r="H167" i="60"/>
  <c r="H174" i="60" s="1"/>
  <c r="H177" i="60" s="1"/>
  <c r="H166" i="60"/>
  <c r="H173" i="60" s="1"/>
  <c r="I162" i="60"/>
  <c r="I168" i="60" s="1"/>
  <c r="N76" i="74" l="1"/>
  <c r="L27" i="74"/>
  <c r="I76" i="74"/>
  <c r="K27" i="74"/>
  <c r="J27" i="74"/>
  <c r="S27" i="74" s="1"/>
  <c r="I27" i="74"/>
  <c r="H29" i="74"/>
  <c r="L29" i="74"/>
  <c r="G27" i="74"/>
  <c r="G45" i="74"/>
  <c r="J45" i="74"/>
  <c r="G29" i="74"/>
  <c r="K76" i="74"/>
  <c r="M76" i="74"/>
  <c r="I29" i="74"/>
  <c r="L75" i="74"/>
  <c r="G74" i="74"/>
  <c r="J78" i="74" s="1"/>
  <c r="K75" i="74"/>
  <c r="J76" i="74"/>
  <c r="L76" i="74"/>
  <c r="F29" i="74"/>
  <c r="F54" i="74" s="1"/>
  <c r="S54" i="74" s="1"/>
  <c r="L45" i="74"/>
  <c r="M45" i="74"/>
  <c r="O76" i="74"/>
  <c r="F76" i="74"/>
  <c r="J46" i="74"/>
  <c r="I75" i="74"/>
  <c r="P45" i="74"/>
  <c r="P75" i="74"/>
  <c r="O75" i="74"/>
  <c r="I45" i="74"/>
  <c r="N45" i="74"/>
  <c r="H46" i="74"/>
  <c r="F45" i="74"/>
  <c r="H75" i="74"/>
  <c r="H45" i="74"/>
  <c r="M46" i="74"/>
  <c r="G46" i="74"/>
  <c r="P46" i="74"/>
  <c r="F46" i="74"/>
  <c r="O45" i="74"/>
  <c r="N75" i="74"/>
  <c r="J75" i="74"/>
  <c r="N46" i="74"/>
  <c r="K46" i="74"/>
  <c r="M29" i="74"/>
  <c r="K45" i="74"/>
  <c r="F75" i="74"/>
  <c r="J28" i="74"/>
  <c r="K28" i="74"/>
  <c r="G28" i="74"/>
  <c r="F28" i="74"/>
  <c r="H28" i="74"/>
  <c r="I46" i="74"/>
  <c r="H76" i="74"/>
  <c r="L28" i="74"/>
  <c r="M75" i="74"/>
  <c r="S31" i="33"/>
  <c r="S32" i="33"/>
  <c r="S27" i="33"/>
  <c r="S30" i="33"/>
  <c r="S28" i="33"/>
  <c r="S29" i="33"/>
  <c r="M31" i="74"/>
  <c r="I31" i="74"/>
  <c r="S52" i="74"/>
  <c r="K149" i="33"/>
  <c r="K152" i="33" s="1"/>
  <c r="H94" i="33"/>
  <c r="J162" i="60"/>
  <c r="J168" i="60" s="1"/>
  <c r="I167" i="60"/>
  <c r="I174" i="60" s="1"/>
  <c r="I177" i="60" s="1"/>
  <c r="I166" i="60"/>
  <c r="I173" i="60" s="1"/>
  <c r="H31" i="74" l="1"/>
  <c r="J31" i="74"/>
  <c r="S74" i="74"/>
  <c r="L78" i="74"/>
  <c r="M80" i="74"/>
  <c r="F31" i="74"/>
  <c r="L31" i="74"/>
  <c r="G31" i="74"/>
  <c r="K31" i="74"/>
  <c r="F79" i="74"/>
  <c r="I79" i="74"/>
  <c r="H32" i="74"/>
  <c r="H49" i="74"/>
  <c r="F80" i="74"/>
  <c r="O50" i="74"/>
  <c r="M49" i="74"/>
  <c r="K78" i="74"/>
  <c r="I78" i="74"/>
  <c r="J79" i="74"/>
  <c r="F50" i="74"/>
  <c r="G78" i="74"/>
  <c r="H78" i="74"/>
  <c r="J33" i="74"/>
  <c r="M78" i="74"/>
  <c r="F78" i="74"/>
  <c r="G33" i="74"/>
  <c r="G80" i="74"/>
  <c r="J49" i="74"/>
  <c r="K80" i="74"/>
  <c r="G49" i="74"/>
  <c r="F49" i="74"/>
  <c r="L47" i="74"/>
  <c r="H80" i="74"/>
  <c r="L50" i="74"/>
  <c r="I80" i="74"/>
  <c r="S76" i="74"/>
  <c r="H79" i="74"/>
  <c r="J80" i="74"/>
  <c r="L80" i="74"/>
  <c r="I50" i="74"/>
  <c r="S75" i="74"/>
  <c r="M32" i="74"/>
  <c r="J50" i="74"/>
  <c r="K49" i="74"/>
  <c r="N229" i="41" s="1"/>
  <c r="K50" i="74"/>
  <c r="O49" i="74"/>
  <c r="M50" i="74"/>
  <c r="H50" i="74"/>
  <c r="N50" i="74"/>
  <c r="F47" i="74"/>
  <c r="I49" i="74"/>
  <c r="S46" i="74"/>
  <c r="G50" i="74"/>
  <c r="H47" i="74"/>
  <c r="S45" i="74"/>
  <c r="S29" i="74"/>
  <c r="L32" i="74"/>
  <c r="F30" i="74"/>
  <c r="I32" i="74"/>
  <c r="F77" i="74"/>
  <c r="L79" i="74"/>
  <c r="G32" i="74"/>
  <c r="K33" i="74"/>
  <c r="K79" i="74"/>
  <c r="M79" i="74"/>
  <c r="K30" i="74"/>
  <c r="I77" i="74"/>
  <c r="I33" i="74"/>
  <c r="L49" i="74"/>
  <c r="N49" i="74"/>
  <c r="M33" i="74"/>
  <c r="F33" i="74"/>
  <c r="G79" i="74"/>
  <c r="H77" i="74"/>
  <c r="H33" i="74"/>
  <c r="F32" i="74"/>
  <c r="L33" i="74"/>
  <c r="L77" i="74"/>
  <c r="G47" i="74"/>
  <c r="I47" i="74"/>
  <c r="H30" i="74"/>
  <c r="F53" i="74"/>
  <c r="F55" i="74" s="1"/>
  <c r="F57" i="74" s="1"/>
  <c r="S57" i="74" s="1"/>
  <c r="G77" i="74"/>
  <c r="M30" i="74"/>
  <c r="M47" i="74"/>
  <c r="J77" i="74"/>
  <c r="K47" i="74"/>
  <c r="K77" i="74"/>
  <c r="I30" i="74"/>
  <c r="J32" i="74"/>
  <c r="J30" i="74"/>
  <c r="K32" i="74"/>
  <c r="M77" i="74"/>
  <c r="J47" i="74"/>
  <c r="S28" i="74"/>
  <c r="G30" i="74"/>
  <c r="L30" i="74"/>
  <c r="S33" i="33"/>
  <c r="T26" i="33" s="1"/>
  <c r="K124" i="33" s="1"/>
  <c r="W30" i="33"/>
  <c r="S32" i="74"/>
  <c r="S31" i="74"/>
  <c r="J167" i="60"/>
  <c r="J174" i="60" s="1"/>
  <c r="J177" i="60" s="1"/>
  <c r="J166" i="60"/>
  <c r="J173" i="60" s="1"/>
  <c r="O226" i="60"/>
  <c r="O224" i="60"/>
  <c r="O225" i="60"/>
  <c r="O239" i="60"/>
  <c r="O237" i="60"/>
  <c r="O238" i="60"/>
  <c r="N162" i="41" l="1"/>
  <c r="O162" i="41" s="1"/>
  <c r="S78" i="74"/>
  <c r="S79" i="74"/>
  <c r="S53" i="74"/>
  <c r="N123" i="41"/>
  <c r="N144" i="41"/>
  <c r="N224" i="41"/>
  <c r="N153" i="41"/>
  <c r="O153" i="41" s="1"/>
  <c r="H106" i="33" s="1"/>
  <c r="L106" i="33" s="1"/>
  <c r="N146" i="41"/>
  <c r="N167" i="41"/>
  <c r="O167" i="41" s="1"/>
  <c r="N233" i="41"/>
  <c r="O233" i="41" s="1"/>
  <c r="N126" i="41"/>
  <c r="N228" i="41"/>
  <c r="S33" i="74"/>
  <c r="N131" i="41"/>
  <c r="O131" i="41" s="1"/>
  <c r="N134" i="41"/>
  <c r="O134" i="41" s="1"/>
  <c r="H134" i="33" s="1"/>
  <c r="L134" i="33" s="1"/>
  <c r="N138" i="41"/>
  <c r="O138" i="41" s="1"/>
  <c r="N115" i="41"/>
  <c r="N235" i="41"/>
  <c r="O235" i="41" s="1"/>
  <c r="N213" i="41"/>
  <c r="N165" i="41"/>
  <c r="O165" i="41" s="1"/>
  <c r="L165" i="41" s="1"/>
  <c r="N238" i="41"/>
  <c r="O238" i="41" s="1"/>
  <c r="N219" i="41"/>
  <c r="N125" i="41"/>
  <c r="O125" i="41" s="1"/>
  <c r="H100" i="33" s="1"/>
  <c r="L100" i="33" s="1"/>
  <c r="N128" i="41"/>
  <c r="N122" i="41"/>
  <c r="N143" i="41"/>
  <c r="O143" i="41" s="1"/>
  <c r="H70" i="33" s="1"/>
  <c r="L70" i="33" s="1"/>
  <c r="N163" i="41"/>
  <c r="O163" i="41" s="1"/>
  <c r="H141" i="33" s="1"/>
  <c r="L141" i="33" s="1"/>
  <c r="N145" i="41"/>
  <c r="N236" i="41"/>
  <c r="O236" i="41" s="1"/>
  <c r="S50" i="74"/>
  <c r="N237" i="41"/>
  <c r="O237" i="41" s="1"/>
  <c r="N223" i="41"/>
  <c r="O223" i="41" s="1"/>
  <c r="N112" i="41"/>
  <c r="O112" i="41" s="1"/>
  <c r="H62" i="33" s="1"/>
  <c r="L62" i="33" s="1"/>
  <c r="N137" i="41"/>
  <c r="O137" i="41" s="1"/>
  <c r="N121" i="41"/>
  <c r="P121" i="41" s="1"/>
  <c r="N116" i="41"/>
  <c r="N127" i="41"/>
  <c r="S80" i="74"/>
  <c r="N132" i="41"/>
  <c r="O132" i="41" s="1"/>
  <c r="H133" i="33" s="1"/>
  <c r="L133" i="33" s="1"/>
  <c r="N159" i="41"/>
  <c r="O159" i="41" s="1"/>
  <c r="N168" i="41"/>
  <c r="O168" i="41" s="1"/>
  <c r="N142" i="41"/>
  <c r="O142" i="41" s="1"/>
  <c r="N147" i="41"/>
  <c r="N154" i="41"/>
  <c r="N157" i="41"/>
  <c r="O157" i="41" s="1"/>
  <c r="N166" i="41"/>
  <c r="O166" i="41" s="1"/>
  <c r="H143" i="33" s="1"/>
  <c r="L143" i="33" s="1"/>
  <c r="N216" i="41"/>
  <c r="N234" i="41"/>
  <c r="O234" i="41" s="1"/>
  <c r="N220" i="41"/>
  <c r="O220" i="41" s="1"/>
  <c r="N215" i="41"/>
  <c r="N225" i="41"/>
  <c r="O225" i="41" s="1"/>
  <c r="N231" i="41"/>
  <c r="O231" i="41" s="1"/>
  <c r="N133" i="41"/>
  <c r="O133" i="41" s="1"/>
  <c r="H132" i="33" s="1"/>
  <c r="L132" i="33" s="1"/>
  <c r="N136" i="41"/>
  <c r="O136" i="41" s="1"/>
  <c r="N135" i="41"/>
  <c r="O135" i="41" s="1"/>
  <c r="H135" i="33" s="1"/>
  <c r="L135" i="33" s="1"/>
  <c r="N158" i="41"/>
  <c r="O158" i="41" s="1"/>
  <c r="N148" i="41"/>
  <c r="O148" i="41" s="1"/>
  <c r="N156" i="41"/>
  <c r="O156" i="41" s="1"/>
  <c r="H108" i="33" s="1"/>
  <c r="L108" i="33" s="1"/>
  <c r="N232" i="41"/>
  <c r="O232" i="41" s="1"/>
  <c r="N217" i="41"/>
  <c r="O217" i="41" s="1"/>
  <c r="N111" i="41"/>
  <c r="S111" i="41" s="1"/>
  <c r="N124" i="41"/>
  <c r="N114" i="41"/>
  <c r="N118" i="41"/>
  <c r="O118" i="41" s="1"/>
  <c r="N113" i="41"/>
  <c r="P113" i="41" s="1"/>
  <c r="N169" i="41"/>
  <c r="O169" i="41" s="1"/>
  <c r="N149" i="41"/>
  <c r="O149" i="41" s="1"/>
  <c r="N152" i="41"/>
  <c r="N155" i="41"/>
  <c r="N164" i="41"/>
  <c r="O164" i="41" s="1"/>
  <c r="H140" i="33" s="1"/>
  <c r="L140" i="33" s="1"/>
  <c r="N214" i="41"/>
  <c r="N226" i="41"/>
  <c r="O226" i="41" s="1"/>
  <c r="N218" i="41"/>
  <c r="O218" i="41" s="1"/>
  <c r="N222" i="41"/>
  <c r="P224" i="41" s="1"/>
  <c r="N227" i="41"/>
  <c r="O227" i="41" s="1"/>
  <c r="N117" i="41"/>
  <c r="O117" i="41" s="1"/>
  <c r="T27" i="33"/>
  <c r="K128" i="33" s="1"/>
  <c r="T30" i="33"/>
  <c r="K147" i="33" s="1"/>
  <c r="T22" i="33"/>
  <c r="K96" i="33" s="1"/>
  <c r="T18" i="33"/>
  <c r="K76" i="33" s="1"/>
  <c r="T17" i="33"/>
  <c r="K68" i="33" s="1"/>
  <c r="O81" i="41"/>
  <c r="T21" i="33"/>
  <c r="K92" i="33" s="1"/>
  <c r="T31" i="33"/>
  <c r="K155" i="33" s="1"/>
  <c r="T24" i="33"/>
  <c r="K112" i="33" s="1"/>
  <c r="T23" i="33"/>
  <c r="K104" i="33" s="1"/>
  <c r="T28" i="33"/>
  <c r="K131" i="33" s="1"/>
  <c r="T20" i="33"/>
  <c r="K88" i="33" s="1"/>
  <c r="T32" i="33"/>
  <c r="K158" i="33" s="1"/>
  <c r="T15" i="33"/>
  <c r="K56" i="33" s="1"/>
  <c r="T16" i="33"/>
  <c r="K60" i="33" s="1"/>
  <c r="T29" i="33"/>
  <c r="K139" i="33" s="1"/>
  <c r="T19" i="33"/>
  <c r="K84" i="33" s="1"/>
  <c r="T25" i="33"/>
  <c r="K121" i="33" s="1"/>
  <c r="J81" i="41"/>
  <c r="H81" i="41"/>
  <c r="F60" i="74"/>
  <c r="M60" i="74"/>
  <c r="G60" i="74"/>
  <c r="H60" i="74"/>
  <c r="L60" i="74"/>
  <c r="K60" i="74"/>
  <c r="I60" i="74"/>
  <c r="J60" i="74"/>
  <c r="O128" i="41"/>
  <c r="G81" i="41"/>
  <c r="K81" i="41"/>
  <c r="O127" i="41"/>
  <c r="O154" i="41"/>
  <c r="H105" i="33" s="1"/>
  <c r="O122" i="41"/>
  <c r="H98" i="33" s="1"/>
  <c r="L98" i="33" s="1"/>
  <c r="L81" i="41"/>
  <c r="F81" i="41"/>
  <c r="R152" i="41"/>
  <c r="S125" i="41"/>
  <c r="R111" i="41"/>
  <c r="Q111" i="41"/>
  <c r="P111" i="41"/>
  <c r="O116" i="41"/>
  <c r="I81" i="41"/>
  <c r="N81" i="41"/>
  <c r="O123" i="41"/>
  <c r="H97" i="33" s="1"/>
  <c r="O144" i="41"/>
  <c r="H69" i="33" s="1"/>
  <c r="L69" i="33" s="1"/>
  <c r="O146" i="41"/>
  <c r="H72" i="33" s="1"/>
  <c r="L72" i="33" s="1"/>
  <c r="O228" i="41"/>
  <c r="O224" i="41"/>
  <c r="H93" i="33" s="1"/>
  <c r="L93" i="33" s="1"/>
  <c r="O229" i="41"/>
  <c r="Q112" i="41"/>
  <c r="F58" i="74"/>
  <c r="S58" i="74" s="1"/>
  <c r="F56" i="74"/>
  <c r="S56" i="74" s="1"/>
  <c r="M81" i="41"/>
  <c r="O145" i="41"/>
  <c r="H238" i="60"/>
  <c r="J238" i="60"/>
  <c r="K238" i="60"/>
  <c r="I238" i="60"/>
  <c r="F238" i="60"/>
  <c r="L238" i="60"/>
  <c r="G238" i="60"/>
  <c r="H237" i="60"/>
  <c r="G237" i="60"/>
  <c r="L237" i="60"/>
  <c r="K237" i="60"/>
  <c r="I237" i="60"/>
  <c r="J237" i="60"/>
  <c r="F237" i="60"/>
  <c r="H239" i="60"/>
  <c r="J239" i="60"/>
  <c r="G239" i="60"/>
  <c r="I239" i="60"/>
  <c r="L239" i="60"/>
  <c r="K239" i="60"/>
  <c r="F239" i="60"/>
  <c r="J225" i="60"/>
  <c r="J247" i="60" s="1"/>
  <c r="L225" i="60"/>
  <c r="L247" i="60" s="1"/>
  <c r="E225" i="60"/>
  <c r="E247" i="60" s="1"/>
  <c r="F225" i="60"/>
  <c r="F247" i="60" s="1"/>
  <c r="K225" i="60"/>
  <c r="K247" i="60" s="1"/>
  <c r="D225" i="60"/>
  <c r="D247" i="60" s="1"/>
  <c r="G225" i="60"/>
  <c r="G247" i="60" s="1"/>
  <c r="H225" i="60"/>
  <c r="H247" i="60" s="1"/>
  <c r="I225" i="60"/>
  <c r="I247" i="60" s="1"/>
  <c r="F259" i="60"/>
  <c r="K259" i="60" s="1"/>
  <c r="J224" i="60"/>
  <c r="J246" i="60" s="1"/>
  <c r="K224" i="60"/>
  <c r="K246" i="60" s="1"/>
  <c r="E224" i="60"/>
  <c r="E246" i="60" s="1"/>
  <c r="G224" i="60"/>
  <c r="G246" i="60" s="1"/>
  <c r="I224" i="60"/>
  <c r="I246" i="60" s="1"/>
  <c r="D224" i="60"/>
  <c r="L224" i="60"/>
  <c r="L246" i="60" s="1"/>
  <c r="F224" i="60"/>
  <c r="F246" i="60" s="1"/>
  <c r="F274" i="60" s="1"/>
  <c r="H224" i="60"/>
  <c r="H246" i="60" s="1"/>
  <c r="O228" i="60"/>
  <c r="O227" i="60"/>
  <c r="O229" i="60"/>
  <c r="H226" i="60"/>
  <c r="D226" i="60"/>
  <c r="J226" i="60"/>
  <c r="E226" i="60"/>
  <c r="K226" i="60"/>
  <c r="G226" i="60"/>
  <c r="I226" i="60"/>
  <c r="L226" i="60"/>
  <c r="F226" i="60"/>
  <c r="S220" i="41" l="1"/>
  <c r="Q117" i="41"/>
  <c r="R158" i="41"/>
  <c r="P158" i="41"/>
  <c r="R115" i="41"/>
  <c r="P223" i="41"/>
  <c r="Q158" i="41"/>
  <c r="Q118" i="41"/>
  <c r="R213" i="41"/>
  <c r="H142" i="33"/>
  <c r="L142" i="33" s="1"/>
  <c r="P152" i="41"/>
  <c r="O152" i="41"/>
  <c r="Q113" i="41"/>
  <c r="O115" i="41"/>
  <c r="H64" i="33" s="1"/>
  <c r="L64" i="33" s="1"/>
  <c r="S115" i="41"/>
  <c r="Q115" i="41"/>
  <c r="R156" i="41"/>
  <c r="R214" i="41"/>
  <c r="S112" i="41"/>
  <c r="R116" i="41"/>
  <c r="S155" i="41"/>
  <c r="R216" i="41"/>
  <c r="R159" i="41"/>
  <c r="R154" i="41"/>
  <c r="P112" i="41"/>
  <c r="R113" i="41"/>
  <c r="S158" i="41"/>
  <c r="Q116" i="41"/>
  <c r="P116" i="41"/>
  <c r="S218" i="41"/>
  <c r="P114" i="41"/>
  <c r="Q155" i="41"/>
  <c r="O113" i="41"/>
  <c r="H61" i="33" s="1"/>
  <c r="L61" i="33" s="1"/>
  <c r="S118" i="41"/>
  <c r="S117" i="41"/>
  <c r="S157" i="41"/>
  <c r="Q159" i="41"/>
  <c r="O155" i="41"/>
  <c r="L155" i="41" s="1"/>
  <c r="R118" i="41"/>
  <c r="P157" i="41"/>
  <c r="S216" i="41"/>
  <c r="R117" i="41"/>
  <c r="P115" i="41"/>
  <c r="S116" i="41"/>
  <c r="O111" i="41"/>
  <c r="B17" i="41"/>
  <c r="R155" i="41"/>
  <c r="S113" i="41"/>
  <c r="R122" i="41"/>
  <c r="R112" i="41"/>
  <c r="R220" i="41"/>
  <c r="S126" i="41"/>
  <c r="P153" i="41"/>
  <c r="S114" i="41"/>
  <c r="Q213" i="41"/>
  <c r="Q127" i="41"/>
  <c r="P128" i="41"/>
  <c r="R215" i="41"/>
  <c r="S219" i="41"/>
  <c r="Q217" i="41"/>
  <c r="R114" i="41"/>
  <c r="O219" i="41"/>
  <c r="S153" i="41"/>
  <c r="Q153" i="41"/>
  <c r="P125" i="41"/>
  <c r="P213" i="41"/>
  <c r="P122" i="41"/>
  <c r="P225" i="41"/>
  <c r="P142" i="41"/>
  <c r="O126" i="41"/>
  <c r="R217" i="41"/>
  <c r="R153" i="41"/>
  <c r="S213" i="41"/>
  <c r="S221" i="41" s="1"/>
  <c r="P218" i="41"/>
  <c r="S214" i="41"/>
  <c r="P220" i="41"/>
  <c r="P126" i="41"/>
  <c r="R124" i="41"/>
  <c r="P217" i="41"/>
  <c r="S217" i="41"/>
  <c r="Q229" i="41"/>
  <c r="R144" i="41"/>
  <c r="P123" i="41"/>
  <c r="O213" i="41"/>
  <c r="Q218" i="41"/>
  <c r="R218" i="41"/>
  <c r="Q220" i="41"/>
  <c r="Q156" i="41"/>
  <c r="R148" i="41"/>
  <c r="Q143" i="41"/>
  <c r="R219" i="41"/>
  <c r="P228" i="41"/>
  <c r="Q144" i="41"/>
  <c r="P222" i="41"/>
  <c r="P215" i="41"/>
  <c r="R142" i="41"/>
  <c r="Q223" i="41"/>
  <c r="R145" i="41"/>
  <c r="Q148" i="41"/>
  <c r="Q124" i="41"/>
  <c r="Q219" i="41"/>
  <c r="R146" i="41"/>
  <c r="R222" i="41"/>
  <c r="Q149" i="41"/>
  <c r="Q215" i="41"/>
  <c r="Q226" i="41"/>
  <c r="P118" i="41"/>
  <c r="Q145" i="41"/>
  <c r="O124" i="41"/>
  <c r="H99" i="33" s="1"/>
  <c r="L99" i="33" s="1"/>
  <c r="P219" i="41"/>
  <c r="Q146" i="41"/>
  <c r="S215" i="41"/>
  <c r="S147" i="41"/>
  <c r="R227" i="41"/>
  <c r="R147" i="41"/>
  <c r="S154" i="41"/>
  <c r="Q154" i="41"/>
  <c r="P159" i="41"/>
  <c r="S159" i="41"/>
  <c r="S128" i="41"/>
  <c r="P117" i="41"/>
  <c r="P155" i="41"/>
  <c r="S152" i="41"/>
  <c r="S160" i="41" s="1"/>
  <c r="Q152" i="41"/>
  <c r="R157" i="41"/>
  <c r="P154" i="41"/>
  <c r="R226" i="41"/>
  <c r="R143" i="41"/>
  <c r="Q157" i="41"/>
  <c r="R123" i="41"/>
  <c r="R121" i="41"/>
  <c r="H137" i="33"/>
  <c r="R225" i="41"/>
  <c r="S127" i="41"/>
  <c r="Q128" i="41"/>
  <c r="P156" i="41"/>
  <c r="S156" i="41"/>
  <c r="S148" i="41"/>
  <c r="P143" i="41"/>
  <c r="S143" i="41"/>
  <c r="O114" i="41"/>
  <c r="H63" i="33" s="1"/>
  <c r="L63" i="33" s="1"/>
  <c r="P124" i="41"/>
  <c r="P229" i="41"/>
  <c r="R224" i="41"/>
  <c r="R228" i="41"/>
  <c r="O121" i="41"/>
  <c r="Q125" i="41"/>
  <c r="P227" i="41"/>
  <c r="O222" i="41"/>
  <c r="P226" i="41"/>
  <c r="O214" i="41"/>
  <c r="P149" i="41"/>
  <c r="Q225" i="41"/>
  <c r="O215" i="41"/>
  <c r="H57" i="33" s="1"/>
  <c r="H58" i="33" s="1"/>
  <c r="O216" i="41"/>
  <c r="P147" i="41"/>
  <c r="O147" i="41"/>
  <c r="O150" i="41" s="1"/>
  <c r="Q142" i="41"/>
  <c r="P127" i="41"/>
  <c r="Q126" i="41"/>
  <c r="Q114" i="41"/>
  <c r="S124" i="41"/>
  <c r="Q123" i="41"/>
  <c r="Q121" i="41"/>
  <c r="R125" i="41"/>
  <c r="Q227" i="41"/>
  <c r="P214" i="41"/>
  <c r="S149" i="41"/>
  <c r="Q122" i="41"/>
  <c r="P216" i="41"/>
  <c r="Q147" i="41"/>
  <c r="R126" i="41"/>
  <c r="R128" i="41"/>
  <c r="R223" i="41"/>
  <c r="P145" i="41"/>
  <c r="S145" i="41"/>
  <c r="P148" i="41"/>
  <c r="R229" i="41"/>
  <c r="Q224" i="41"/>
  <c r="Q228" i="41"/>
  <c r="P146" i="41"/>
  <c r="S146" i="41"/>
  <c r="P144" i="41"/>
  <c r="S144" i="41"/>
  <c r="S123" i="41"/>
  <c r="S121" i="41"/>
  <c r="S129" i="41" s="1"/>
  <c r="Q222" i="41"/>
  <c r="Q214" i="41"/>
  <c r="R149" i="41"/>
  <c r="S122" i="41"/>
  <c r="Q216" i="41"/>
  <c r="S142" i="41"/>
  <c r="S150" i="41" s="1"/>
  <c r="R127" i="41"/>
  <c r="G64" i="74"/>
  <c r="T33" i="33"/>
  <c r="F281" i="60"/>
  <c r="I64" i="74"/>
  <c r="F64" i="74"/>
  <c r="L64" i="74"/>
  <c r="J64" i="74"/>
  <c r="H64" i="74"/>
  <c r="M64" i="74"/>
  <c r="K64" i="74"/>
  <c r="S60" i="74"/>
  <c r="F61" i="74"/>
  <c r="G61" i="74"/>
  <c r="L61" i="74"/>
  <c r="H61" i="74"/>
  <c r="M61" i="74"/>
  <c r="J61" i="74"/>
  <c r="I61" i="74"/>
  <c r="K61" i="74"/>
  <c r="H107" i="33"/>
  <c r="L107" i="33" s="1"/>
  <c r="L105" i="33"/>
  <c r="L145" i="41"/>
  <c r="H71" i="33"/>
  <c r="L71" i="33" s="1"/>
  <c r="F59" i="74"/>
  <c r="K59" i="74"/>
  <c r="I59" i="74"/>
  <c r="L59" i="74"/>
  <c r="M59" i="74"/>
  <c r="H59" i="74"/>
  <c r="G59" i="74"/>
  <c r="J59" i="74"/>
  <c r="L97" i="33"/>
  <c r="S119" i="41"/>
  <c r="F248" i="60"/>
  <c r="J248" i="60"/>
  <c r="L248" i="60"/>
  <c r="G248" i="60"/>
  <c r="E248" i="60"/>
  <c r="E275" i="60" s="1"/>
  <c r="D248" i="60"/>
  <c r="D275" i="60" s="1"/>
  <c r="I248" i="60"/>
  <c r="K248" i="60"/>
  <c r="H248" i="60"/>
  <c r="T168" i="60"/>
  <c r="D246" i="60"/>
  <c r="D274" i="60" s="1"/>
  <c r="G259" i="60"/>
  <c r="G265" i="60" s="1"/>
  <c r="G276" i="60" s="1"/>
  <c r="G277" i="60" s="1"/>
  <c r="K265" i="60"/>
  <c r="K276" i="60" s="1"/>
  <c r="K277" i="60" s="1"/>
  <c r="H240" i="60"/>
  <c r="J241" i="60"/>
  <c r="J240" i="60"/>
  <c r="J259" i="60"/>
  <c r="J255" i="60"/>
  <c r="J263" i="60"/>
  <c r="F240" i="60"/>
  <c r="L259" i="60"/>
  <c r="I255" i="60"/>
  <c r="I263" i="60"/>
  <c r="L240" i="60"/>
  <c r="I241" i="60"/>
  <c r="K255" i="60"/>
  <c r="K263" i="60"/>
  <c r="D259" i="60"/>
  <c r="H241" i="60"/>
  <c r="L263" i="60"/>
  <c r="L255" i="60"/>
  <c r="I240" i="60"/>
  <c r="G241" i="60"/>
  <c r="G255" i="60"/>
  <c r="G263" i="60"/>
  <c r="G240" i="60"/>
  <c r="H255" i="60"/>
  <c r="H263" i="60"/>
  <c r="L227" i="60"/>
  <c r="F260" i="60"/>
  <c r="I260" i="60" s="1"/>
  <c r="D227" i="60"/>
  <c r="I227" i="60"/>
  <c r="K227" i="60"/>
  <c r="E227" i="60"/>
  <c r="F227" i="60"/>
  <c r="F243" i="60" s="1"/>
  <c r="H227" i="60"/>
  <c r="J227" i="60"/>
  <c r="G227" i="60"/>
  <c r="K240" i="60"/>
  <c r="E228" i="60"/>
  <c r="L228" i="60"/>
  <c r="H228" i="60"/>
  <c r="K228" i="60"/>
  <c r="I228" i="60"/>
  <c r="J228" i="60"/>
  <c r="F228" i="60"/>
  <c r="G228" i="60"/>
  <c r="D228" i="60"/>
  <c r="F255" i="60"/>
  <c r="F263" i="60"/>
  <c r="E240" i="60"/>
  <c r="E259" i="60"/>
  <c r="E274" i="60"/>
  <c r="K241" i="60"/>
  <c r="I259" i="60"/>
  <c r="F241" i="60"/>
  <c r="E241" i="60"/>
  <c r="F265" i="60"/>
  <c r="F276" i="60" s="1"/>
  <c r="F277" i="60" s="1"/>
  <c r="H229" i="60"/>
  <c r="K229" i="60"/>
  <c r="F229" i="60"/>
  <c r="G229" i="60"/>
  <c r="D229" i="60"/>
  <c r="L229" i="60"/>
  <c r="I229" i="60"/>
  <c r="E229" i="60"/>
  <c r="J229" i="60"/>
  <c r="H259" i="60"/>
  <c r="L241" i="60"/>
  <c r="H145" i="33" l="1"/>
  <c r="Q160" i="41"/>
  <c r="P160" i="41"/>
  <c r="Q119" i="41"/>
  <c r="R221" i="41"/>
  <c r="P119" i="41"/>
  <c r="R129" i="41"/>
  <c r="R119" i="41"/>
  <c r="R160" i="41"/>
  <c r="L57" i="33"/>
  <c r="R150" i="41"/>
  <c r="H102" i="33"/>
  <c r="Q150" i="41"/>
  <c r="P129" i="41"/>
  <c r="P230" i="41"/>
  <c r="R230" i="41"/>
  <c r="Q221" i="41"/>
  <c r="P221" i="41"/>
  <c r="P150" i="41"/>
  <c r="Q129" i="41"/>
  <c r="Q230" i="41"/>
  <c r="H66" i="33"/>
  <c r="O119" i="41"/>
  <c r="F275" i="60"/>
  <c r="F282" i="60" s="1"/>
  <c r="F278" i="60"/>
  <c r="S65" i="74"/>
  <c r="H110"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5" i="60"/>
  <c r="H274" i="60"/>
  <c r="I275" i="60"/>
  <c r="I274" i="60"/>
  <c r="L275" i="60"/>
  <c r="L274" i="60"/>
  <c r="K275" i="60"/>
  <c r="K274" i="60"/>
  <c r="G275" i="60"/>
  <c r="G274" i="60"/>
  <c r="J275" i="60"/>
  <c r="J274" i="60"/>
  <c r="J234" i="60"/>
  <c r="J249" i="60"/>
  <c r="J231" i="60"/>
  <c r="J252" i="60"/>
  <c r="I284" i="60" s="1"/>
  <c r="F261" i="60"/>
  <c r="F267" i="60" s="1"/>
  <c r="G288" i="60" s="1"/>
  <c r="F262" i="60"/>
  <c r="F266" i="60" s="1"/>
  <c r="G290" i="60" s="1"/>
  <c r="I235" i="60"/>
  <c r="I253" i="60"/>
  <c r="I250" i="60"/>
  <c r="I232" i="60"/>
  <c r="H231" i="60"/>
  <c r="H252" i="60"/>
  <c r="H284" i="60" s="1"/>
  <c r="H249" i="60"/>
  <c r="H234" i="60"/>
  <c r="L249" i="60"/>
  <c r="L231" i="60"/>
  <c r="L252" i="60"/>
  <c r="J284" i="60" s="1"/>
  <c r="L234" i="60"/>
  <c r="K253" i="60"/>
  <c r="K235" i="60"/>
  <c r="K250" i="60"/>
  <c r="K232" i="60"/>
  <c r="F234" i="60"/>
  <c r="F252" i="60"/>
  <c r="G284" i="60" s="1"/>
  <c r="F249" i="60"/>
  <c r="F231" i="60"/>
  <c r="E233" i="60"/>
  <c r="E254" i="60"/>
  <c r="E251" i="60"/>
  <c r="E236" i="60"/>
  <c r="H235" i="60"/>
  <c r="H232" i="60"/>
  <c r="H253" i="60"/>
  <c r="H250" i="60"/>
  <c r="G260" i="60"/>
  <c r="J253" i="60"/>
  <c r="J232" i="60"/>
  <c r="J250" i="60"/>
  <c r="J235" i="60"/>
  <c r="H265" i="60"/>
  <c r="H276" i="60" s="1"/>
  <c r="H277" i="60" s="1"/>
  <c r="J265" i="60"/>
  <c r="J276" i="60" s="1"/>
  <c r="J277" i="60" s="1"/>
  <c r="J251" i="60"/>
  <c r="J233" i="60"/>
  <c r="J236" i="60"/>
  <c r="J254" i="60"/>
  <c r="I285" i="60" s="1"/>
  <c r="I233" i="60"/>
  <c r="I236" i="60"/>
  <c r="I251" i="60"/>
  <c r="I254" i="60"/>
  <c r="E265" i="60"/>
  <c r="E276" i="60" s="1"/>
  <c r="L250" i="60"/>
  <c r="L235" i="60"/>
  <c r="L232" i="60"/>
  <c r="L253" i="60"/>
  <c r="E252" i="60"/>
  <c r="E231" i="60"/>
  <c r="E234" i="60"/>
  <c r="E260" i="60" s="1"/>
  <c r="E249" i="60"/>
  <c r="F253" i="60"/>
  <c r="F235" i="60"/>
  <c r="F232" i="60"/>
  <c r="F250" i="60"/>
  <c r="I262" i="60"/>
  <c r="I266" i="60" s="1"/>
  <c r="I261" i="60"/>
  <c r="I267" i="60" s="1"/>
  <c r="I265" i="60"/>
  <c r="I276" i="60" s="1"/>
  <c r="I277" i="60" s="1"/>
  <c r="E250" i="60"/>
  <c r="E232" i="60"/>
  <c r="E235" i="60"/>
  <c r="E253" i="60"/>
  <c r="K231" i="60"/>
  <c r="K249" i="60"/>
  <c r="K252" i="60"/>
  <c r="K234" i="60"/>
  <c r="D233" i="60"/>
  <c r="D254" i="60"/>
  <c r="F285" i="60" s="1"/>
  <c r="D251" i="60"/>
  <c r="D236" i="60"/>
  <c r="D249" i="60"/>
  <c r="D231" i="60"/>
  <c r="D252" i="60"/>
  <c r="F284" i="60" s="1"/>
  <c r="D234" i="60"/>
  <c r="D265" i="60"/>
  <c r="D276" i="60" s="1"/>
  <c r="L265" i="60"/>
  <c r="L276" i="60" s="1"/>
  <c r="L277" i="60" s="1"/>
  <c r="G249" i="60"/>
  <c r="G252" i="60"/>
  <c r="G231" i="60"/>
  <c r="G234" i="60"/>
  <c r="L254" i="60"/>
  <c r="J285" i="60" s="1"/>
  <c r="L233" i="60"/>
  <c r="L251" i="60"/>
  <c r="L236" i="60"/>
  <c r="G233" i="60"/>
  <c r="G251" i="60"/>
  <c r="G254" i="60"/>
  <c r="G236" i="60"/>
  <c r="K260" i="60"/>
  <c r="F251" i="60"/>
  <c r="F233" i="60"/>
  <c r="F254" i="60"/>
  <c r="G285" i="60" s="1"/>
  <c r="F236" i="60"/>
  <c r="K254" i="60"/>
  <c r="K236" i="60"/>
  <c r="K233" i="60"/>
  <c r="K251" i="60"/>
  <c r="D253" i="60"/>
  <c r="D250" i="60"/>
  <c r="D232" i="60"/>
  <c r="D235" i="60"/>
  <c r="J260" i="60"/>
  <c r="I249" i="60"/>
  <c r="I252" i="60"/>
  <c r="I231" i="60"/>
  <c r="I234" i="60"/>
  <c r="H251" i="60"/>
  <c r="H236" i="60"/>
  <c r="H254" i="60"/>
  <c r="H285" i="60" s="1"/>
  <c r="H233" i="60"/>
  <c r="G235" i="60"/>
  <c r="G250" i="60"/>
  <c r="G232" i="60"/>
  <c r="G253" i="60"/>
  <c r="L260" i="60"/>
  <c r="H260" i="60"/>
  <c r="F279" i="60" l="1"/>
  <c r="N274" i="60"/>
  <c r="N197" i="41"/>
  <c r="O197" i="41" s="1"/>
  <c r="N148" i="33" s="1"/>
  <c r="N187" i="41"/>
  <c r="N181" i="41"/>
  <c r="N198" i="41"/>
  <c r="O198" i="41" s="1"/>
  <c r="N188" i="41"/>
  <c r="N180" i="41"/>
  <c r="N195" i="41"/>
  <c r="O195" i="41" s="1"/>
  <c r="N185" i="41"/>
  <c r="N175" i="41"/>
  <c r="N196" i="41"/>
  <c r="O196" i="41" s="1"/>
  <c r="N186" i="41"/>
  <c r="N182" i="41"/>
  <c r="N201" i="41"/>
  <c r="O201" i="41" s="1"/>
  <c r="N191" i="41"/>
  <c r="N177" i="41"/>
  <c r="N202" i="41"/>
  <c r="O202" i="41" s="1"/>
  <c r="N192" i="41"/>
  <c r="N176" i="41"/>
  <c r="S63" i="74"/>
  <c r="N199" i="41"/>
  <c r="O199" i="41" s="1"/>
  <c r="L151" i="33" s="1"/>
  <c r="N189" i="41"/>
  <c r="N179" i="41"/>
  <c r="N200" i="41"/>
  <c r="O200" i="41" s="1"/>
  <c r="N190" i="41"/>
  <c r="N178" i="41"/>
  <c r="S64" i="74"/>
  <c r="T274" i="60"/>
  <c r="S274" i="60"/>
  <c r="Q274" i="60"/>
  <c r="R274" i="60"/>
  <c r="P274" i="60"/>
  <c r="O274" i="60"/>
  <c r="J278" i="60"/>
  <c r="J281" i="60" s="1"/>
  <c r="G278" i="60"/>
  <c r="G281" i="60" s="1"/>
  <c r="K278" i="60"/>
  <c r="K281" i="60" s="1"/>
  <c r="L281" i="60"/>
  <c r="L278" i="60"/>
  <c r="I278" i="60"/>
  <c r="I281" i="60" s="1"/>
  <c r="H278" i="60"/>
  <c r="H281" i="60" s="1"/>
  <c r="D277" i="60"/>
  <c r="D279" i="60" s="1"/>
  <c r="D282" i="60" s="1"/>
  <c r="D278" i="60"/>
  <c r="D281" i="60" s="1"/>
  <c r="E277" i="60"/>
  <c r="E279" i="60" s="1"/>
  <c r="E282" i="60" s="1"/>
  <c r="E278" i="60"/>
  <c r="E281" i="60" s="1"/>
  <c r="J279" i="60"/>
  <c r="J282" i="60" s="1"/>
  <c r="G279" i="60"/>
  <c r="G282" i="60" s="1"/>
  <c r="K279" i="60"/>
  <c r="K282" i="60" s="1"/>
  <c r="L279" i="60"/>
  <c r="L282" i="60" s="1"/>
  <c r="I279" i="60"/>
  <c r="I282" i="60" s="1"/>
  <c r="H279" i="60"/>
  <c r="H282" i="60" s="1"/>
  <c r="I264" i="60"/>
  <c r="G289" i="60"/>
  <c r="H262" i="60"/>
  <c r="H266" i="60" s="1"/>
  <c r="H290" i="60" s="1"/>
  <c r="H261" i="60"/>
  <c r="H267" i="60" s="1"/>
  <c r="H288" i="60" s="1"/>
  <c r="L262" i="60"/>
  <c r="L266" i="60" s="1"/>
  <c r="J290" i="60" s="1"/>
  <c r="L261" i="60"/>
  <c r="L267" i="60" s="1"/>
  <c r="J288" i="60" s="1"/>
  <c r="J261" i="60"/>
  <c r="J267" i="60" s="1"/>
  <c r="I288" i="60" s="1"/>
  <c r="J262" i="60"/>
  <c r="J266" i="60" s="1"/>
  <c r="I290" i="60" s="1"/>
  <c r="E261" i="60"/>
  <c r="E267" i="60" s="1"/>
  <c r="E262" i="60"/>
  <c r="E266" i="60" s="1"/>
  <c r="D260" i="60"/>
  <c r="F264" i="60"/>
  <c r="K261" i="60"/>
  <c r="K267" i="60" s="1"/>
  <c r="K262" i="60"/>
  <c r="K266" i="60" s="1"/>
  <c r="G262" i="60"/>
  <c r="G266" i="60" s="1"/>
  <c r="G261" i="60"/>
  <c r="G267" i="60" s="1"/>
  <c r="G291" i="60"/>
  <c r="L149" i="33" l="1"/>
  <c r="M150" i="33"/>
  <c r="O190" i="41"/>
  <c r="P190" i="41"/>
  <c r="S190" i="41"/>
  <c r="Q190" i="41"/>
  <c r="R190" i="41"/>
  <c r="R182" i="41"/>
  <c r="O182" i="41"/>
  <c r="P182" i="41"/>
  <c r="S182" i="41"/>
  <c r="Q182" i="41"/>
  <c r="S185" i="41"/>
  <c r="Q185" i="41"/>
  <c r="R185" i="41"/>
  <c r="O185" i="41"/>
  <c r="P185" i="41"/>
  <c r="L198" i="41"/>
  <c r="Q177" i="41"/>
  <c r="R177" i="41"/>
  <c r="O177" i="41"/>
  <c r="H77" i="33" s="1"/>
  <c r="P177" i="41"/>
  <c r="S177" i="41"/>
  <c r="S186" i="41"/>
  <c r="Q186" i="41"/>
  <c r="R186" i="41"/>
  <c r="O186" i="41"/>
  <c r="H115" i="33" s="1"/>
  <c r="P186" i="41"/>
  <c r="R181" i="41"/>
  <c r="O181" i="41"/>
  <c r="P181" i="41"/>
  <c r="S181" i="41"/>
  <c r="Q181" i="41"/>
  <c r="Q179" i="41"/>
  <c r="R179" i="41"/>
  <c r="O179" i="41"/>
  <c r="H80" i="33" s="1"/>
  <c r="L80" i="33" s="1"/>
  <c r="P179" i="41"/>
  <c r="S179" i="41"/>
  <c r="Q176" i="41"/>
  <c r="R176" i="41"/>
  <c r="O176" i="41"/>
  <c r="H78" i="33" s="1"/>
  <c r="L78" i="33" s="1"/>
  <c r="P176" i="41"/>
  <c r="S176" i="41"/>
  <c r="O191" i="41"/>
  <c r="P191" i="41"/>
  <c r="S191" i="41"/>
  <c r="Q191" i="41"/>
  <c r="R191" i="41"/>
  <c r="R180" i="41"/>
  <c r="O180" i="41"/>
  <c r="P180" i="41"/>
  <c r="S180" i="41"/>
  <c r="Q180" i="41"/>
  <c r="S187" i="41"/>
  <c r="Q187" i="41"/>
  <c r="R187" i="41"/>
  <c r="O187" i="41"/>
  <c r="H114" i="33" s="1"/>
  <c r="P187" i="41"/>
  <c r="Q178" i="41"/>
  <c r="R178" i="41"/>
  <c r="O178" i="41"/>
  <c r="P178" i="41"/>
  <c r="S178" i="41"/>
  <c r="O189" i="41"/>
  <c r="H117" i="33" s="1"/>
  <c r="L117" i="33" s="1"/>
  <c r="P189" i="41"/>
  <c r="S189" i="41"/>
  <c r="Q189" i="41"/>
  <c r="R189" i="41"/>
  <c r="O192" i="41"/>
  <c r="P192" i="41"/>
  <c r="S192" i="41"/>
  <c r="Q192" i="41"/>
  <c r="R192" i="41"/>
  <c r="R175" i="41"/>
  <c r="O175" i="41"/>
  <c r="P175" i="41"/>
  <c r="S175" i="41"/>
  <c r="Q175" i="41"/>
  <c r="S188" i="41"/>
  <c r="Q188" i="41"/>
  <c r="R188" i="41"/>
  <c r="O188" i="41"/>
  <c r="P188" i="41"/>
  <c r="K264" i="60"/>
  <c r="L264" i="60"/>
  <c r="H264" i="60"/>
  <c r="D261" i="60"/>
  <c r="D267" i="60" s="1"/>
  <c r="F288" i="60" s="1"/>
  <c r="F289" i="60" s="1"/>
  <c r="D262" i="60"/>
  <c r="D266" i="60" s="1"/>
  <c r="F290" i="60" s="1"/>
  <c r="F291" i="60" s="1"/>
  <c r="J289" i="60"/>
  <c r="J291" i="60"/>
  <c r="H291" i="60"/>
  <c r="I289" i="60"/>
  <c r="I291" i="60"/>
  <c r="J264" i="60"/>
  <c r="H289" i="60"/>
  <c r="G264" i="60"/>
  <c r="E264" i="60"/>
  <c r="P183" i="41" l="1"/>
  <c r="S183" i="41"/>
  <c r="H79" i="33"/>
  <c r="L178" i="41"/>
  <c r="L150" i="33"/>
  <c r="H153" i="33"/>
  <c r="Q193" i="41"/>
  <c r="J42" i="33"/>
  <c r="J48" i="33" s="1"/>
  <c r="P193" i="41"/>
  <c r="S193" i="41"/>
  <c r="H116" i="33"/>
  <c r="L116" i="33" s="1"/>
  <c r="L188" i="41"/>
  <c r="Q183" i="41"/>
  <c r="R183" i="41"/>
  <c r="R193" i="41"/>
  <c r="N84" i="20"/>
  <c r="D264" i="60"/>
  <c r="K115" i="33"/>
  <c r="L115" i="33" s="1"/>
  <c r="H84" i="20" l="1"/>
  <c r="I143" i="33"/>
  <c r="I135" i="33"/>
  <c r="J32" i="33" s="1"/>
  <c r="I80" i="33"/>
  <c r="I100" i="33"/>
  <c r="I151" i="33"/>
  <c r="J34" i="33" s="1"/>
  <c r="I117" i="33"/>
  <c r="I108" i="33"/>
  <c r="I72" i="33"/>
  <c r="I64" i="33"/>
  <c r="L79" i="33"/>
  <c r="H82" i="33"/>
  <c r="O11" i="83"/>
  <c r="N104" i="20"/>
  <c r="N129" i="20"/>
  <c r="N121" i="20"/>
  <c r="H42" i="33"/>
  <c r="H48" i="33" s="1"/>
  <c r="I115" i="33" s="1"/>
  <c r="M103" i="20" s="1"/>
  <c r="N111" i="20"/>
  <c r="N138" i="20"/>
  <c r="N72" i="20"/>
  <c r="H72" i="20" s="1"/>
  <c r="H129" i="20" l="1"/>
  <c r="H121" i="20"/>
  <c r="H92" i="20"/>
  <c r="H104" i="20"/>
  <c r="H138" i="20"/>
  <c r="M90" i="20"/>
  <c r="N90" i="20" s="1"/>
  <c r="J26" i="33"/>
  <c r="M64" i="20"/>
  <c r="N64" i="20" s="1"/>
  <c r="J19" i="33"/>
  <c r="I42" i="33"/>
  <c r="I48" i="33" s="1"/>
  <c r="I79"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1" i="33"/>
  <c r="M128" i="20" s="1"/>
  <c r="I78" i="33"/>
  <c r="M65" i="20" s="1"/>
  <c r="I98" i="33"/>
  <c r="M80" i="20" s="1"/>
  <c r="I62" i="33"/>
  <c r="M44" i="20" s="1"/>
  <c r="I149" i="33"/>
  <c r="I106" i="33"/>
  <c r="M91" i="20" s="1"/>
  <c r="N91" i="20" s="1"/>
  <c r="I70" i="33"/>
  <c r="M54" i="20" s="1"/>
  <c r="I133" i="33"/>
  <c r="M118" i="20" s="1"/>
  <c r="H27" i="33"/>
  <c r="N103" i="20"/>
  <c r="H34" i="33" l="1"/>
  <c r="M137" i="20"/>
  <c r="N137" i="20" s="1"/>
  <c r="H35" i="33"/>
  <c r="H53" i="20"/>
  <c r="H82" i="20"/>
  <c r="H127" i="20"/>
  <c r="H90" i="20"/>
  <c r="H103" i="20"/>
  <c r="H102" i="20"/>
  <c r="H64" i="20"/>
  <c r="J173" i="33"/>
  <c r="J38" i="33"/>
  <c r="C12" i="20" s="1"/>
  <c r="J43" i="33"/>
  <c r="I19" i="33"/>
  <c r="M63" i="20"/>
  <c r="J174" i="33"/>
  <c r="J44" i="33"/>
  <c r="J45" i="33"/>
  <c r="J175" i="33"/>
  <c r="N46" i="20"/>
  <c r="J10" i="20"/>
  <c r="I134" i="33"/>
  <c r="I99" i="33"/>
  <c r="I107" i="33"/>
  <c r="I150" i="33"/>
  <c r="I34" i="33" s="1"/>
  <c r="I142" i="33"/>
  <c r="I63" i="33"/>
  <c r="I71" i="33"/>
  <c r="I116" i="33"/>
  <c r="P14" i="83"/>
  <c r="S79" i="20" s="1"/>
  <c r="R79" i="20"/>
  <c r="E95" i="20"/>
  <c r="AP95" i="20" s="1"/>
  <c r="P13" i="83"/>
  <c r="P20" i="83"/>
  <c r="S117" i="20" s="1"/>
  <c r="R117" i="20"/>
  <c r="H32" i="33"/>
  <c r="N118" i="20"/>
  <c r="H50" i="33"/>
  <c r="K12" i="20" s="1"/>
  <c r="H17" i="33"/>
  <c r="H18" i="33"/>
  <c r="N54" i="20"/>
  <c r="H25" i="33"/>
  <c r="N80" i="20"/>
  <c r="H26" i="33"/>
  <c r="H19" i="33"/>
  <c r="N65" i="20"/>
  <c r="H33" i="33"/>
  <c r="N128" i="20"/>
  <c r="H128" i="20" l="1"/>
  <c r="H80" i="20"/>
  <c r="H54" i="20"/>
  <c r="H118" i="20"/>
  <c r="S95" i="20"/>
  <c r="P95" i="20"/>
  <c r="H91" i="20"/>
  <c r="H65" i="20"/>
  <c r="H137" i="20"/>
  <c r="H46" i="20"/>
  <c r="I33" i="33"/>
  <c r="M126" i="20"/>
  <c r="I32" i="33"/>
  <c r="M119" i="20"/>
  <c r="M101" i="20"/>
  <c r="N101" i="20" s="1"/>
  <c r="I27" i="33"/>
  <c r="M52" i="20"/>
  <c r="I18" i="33"/>
  <c r="I26" i="33"/>
  <c r="M89" i="20"/>
  <c r="N89" i="20" s="1"/>
  <c r="I17" i="33"/>
  <c r="M45" i="20"/>
  <c r="I25" i="33"/>
  <c r="M81" i="20"/>
  <c r="J176" i="33"/>
  <c r="H45" i="33"/>
  <c r="H174" i="33"/>
  <c r="H44" i="33"/>
  <c r="H38" i="33"/>
  <c r="C10" i="20" s="1"/>
  <c r="H173" i="33"/>
  <c r="H43" i="33"/>
  <c r="H175" i="33"/>
  <c r="I175" i="33" l="1"/>
  <c r="R95" i="20"/>
  <c r="Q95" i="20"/>
  <c r="H101" i="20"/>
  <c r="H89" i="20"/>
  <c r="I45" i="33"/>
  <c r="I44" i="33"/>
  <c r="I174" i="33"/>
  <c r="I43" i="33"/>
  <c r="I173" i="33"/>
  <c r="I38" i="33"/>
  <c r="C11" i="20" s="1"/>
  <c r="N44" i="20"/>
  <c r="J12" i="20"/>
  <c r="H176" i="33"/>
  <c r="L77" i="33"/>
  <c r="H44" i="20" l="1"/>
  <c r="I176" i="33"/>
  <c r="L114" i="33" l="1"/>
  <c r="L148" i="33" l="1"/>
  <c r="G42" i="33" s="1"/>
  <c r="G48" i="33" s="1"/>
  <c r="I57" i="33" l="1"/>
  <c r="M40" i="20" s="1"/>
  <c r="N40" i="20" s="1"/>
  <c r="AE40" i="20" s="1"/>
  <c r="I93" i="33"/>
  <c r="M76" i="20" s="1"/>
  <c r="I140" i="33"/>
  <c r="M125" i="20" s="1"/>
  <c r="I105" i="33"/>
  <c r="M88" i="20" s="1"/>
  <c r="N88" i="20" s="1"/>
  <c r="I132" i="33"/>
  <c r="M120" i="20" s="1"/>
  <c r="I69" i="33"/>
  <c r="M51" i="20" s="1"/>
  <c r="I97" i="33"/>
  <c r="M83" i="20" s="1"/>
  <c r="I61" i="33"/>
  <c r="M47" i="20" s="1"/>
  <c r="I77" i="33"/>
  <c r="M61" i="20" s="1"/>
  <c r="I148" i="33"/>
  <c r="I114"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G26" i="33"/>
  <c r="N81" i="20"/>
  <c r="N119" i="20"/>
  <c r="N63" i="20"/>
  <c r="N126" i="20"/>
  <c r="I50" i="33"/>
  <c r="K11" i="20" s="1"/>
  <c r="H81" i="20" l="1"/>
  <c r="H126" i="20"/>
  <c r="H119" i="20"/>
  <c r="H51" i="20"/>
  <c r="H88" i="20"/>
  <c r="H63" i="20"/>
  <c r="G45" i="33"/>
  <c r="G43" i="33"/>
  <c r="G174" i="33"/>
  <c r="G175" i="33"/>
  <c r="G173"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6" i="33"/>
  <c r="N52" i="20"/>
  <c r="H52" i="20" l="1"/>
  <c r="H45" i="20"/>
  <c r="N61" i="20"/>
  <c r="N83" i="20"/>
  <c r="N120" i="20"/>
  <c r="M48" i="20"/>
  <c r="N47" i="20"/>
  <c r="H120" i="20" l="1"/>
  <c r="H83" i="20"/>
  <c r="H47" i="20"/>
  <c r="H61" i="20"/>
  <c r="N136" i="20" l="1"/>
  <c r="J9" i="20"/>
  <c r="H136" i="20" l="1"/>
  <c r="L76" i="33" l="1"/>
  <c r="I76" i="33" s="1"/>
  <c r="M62" i="20" s="1"/>
  <c r="L147" i="33" l="1"/>
  <c r="I147" i="33" s="1"/>
  <c r="F19" i="33"/>
  <c r="N62" i="20" l="1"/>
  <c r="M66" i="20"/>
  <c r="F35" i="33"/>
  <c r="M34" i="33" l="1"/>
  <c r="N133" i="20"/>
  <c r="N134" i="20"/>
  <c r="N132" i="20"/>
  <c r="AE62" i="20"/>
  <c r="AE64" i="20"/>
  <c r="AE65" i="20"/>
  <c r="AE63" i="20"/>
  <c r="V62" i="20"/>
  <c r="AE61" i="20"/>
  <c r="V61" i="20"/>
  <c r="V64" i="20"/>
  <c r="V65" i="20"/>
  <c r="V63" i="20"/>
  <c r="H62" i="20"/>
  <c r="E13" i="85"/>
  <c r="N66" i="20"/>
  <c r="N139" i="20" l="1"/>
  <c r="V137" i="20"/>
  <c r="AE137" i="20" s="1"/>
  <c r="V132" i="20"/>
  <c r="H134" i="20"/>
  <c r="V134" i="20"/>
  <c r="H133" i="20"/>
  <c r="V133" i="20"/>
  <c r="AC62" i="20"/>
  <c r="AA62" i="20"/>
  <c r="AB62" i="20"/>
  <c r="AA63" i="20"/>
  <c r="AJ63" i="20" s="1"/>
  <c r="AB63" i="20"/>
  <c r="AK63" i="20" s="1"/>
  <c r="AL63" i="20"/>
  <c r="Z62" i="20"/>
  <c r="M132" i="20"/>
  <c r="M134" i="20"/>
  <c r="M133" i="20"/>
  <c r="AJ61" i="20"/>
  <c r="AK61" i="20" s="1"/>
  <c r="AH61" i="20"/>
  <c r="AE66" i="20"/>
  <c r="AG61" i="20"/>
  <c r="AI61" i="20"/>
  <c r="AF61" i="20"/>
  <c r="AA61" i="20"/>
  <c r="W62" i="20"/>
  <c r="AF62" i="20" s="1"/>
  <c r="X62" i="20"/>
  <c r="AG62" i="20" s="1"/>
  <c r="AB61" i="20"/>
  <c r="X61" i="20"/>
  <c r="AC61" i="20"/>
  <c r="Y61" i="20"/>
  <c r="W61" i="20"/>
  <c r="Z61" i="20"/>
  <c r="Y62" i="20"/>
  <c r="AH62" i="20" s="1"/>
  <c r="Z63" i="20"/>
  <c r="AI63" i="20" s="1"/>
  <c r="W63" i="20"/>
  <c r="AF63" i="20" s="1"/>
  <c r="X63" i="20"/>
  <c r="AG63" i="20" s="1"/>
  <c r="Y63" i="20"/>
  <c r="AH63" i="20" s="1"/>
  <c r="Y65" i="20"/>
  <c r="AH65" i="20" s="1"/>
  <c r="AC65" i="20"/>
  <c r="Z65" i="20"/>
  <c r="AI65" i="20" s="1"/>
  <c r="AB65" i="20"/>
  <c r="W65" i="20"/>
  <c r="AF65" i="20" s="1"/>
  <c r="X65" i="20"/>
  <c r="AG65" i="20" s="1"/>
  <c r="AA65" i="20"/>
  <c r="AJ65" i="20" s="1"/>
  <c r="AK65" i="20" s="1"/>
  <c r="W64" i="20"/>
  <c r="AF64" i="20" s="1"/>
  <c r="AA64" i="20"/>
  <c r="AJ64" i="20" s="1"/>
  <c r="X64" i="20"/>
  <c r="AG64" i="20" s="1"/>
  <c r="AB64" i="20"/>
  <c r="AK64" i="20" s="1"/>
  <c r="Y64" i="20"/>
  <c r="AH64" i="20" s="1"/>
  <c r="Z64" i="20"/>
  <c r="AI64" i="20" s="1"/>
  <c r="AC64" i="20"/>
  <c r="AL64" i="20" s="1"/>
  <c r="V66" i="20"/>
  <c r="E33" i="85"/>
  <c r="E34" i="85"/>
  <c r="H132" i="20"/>
  <c r="M139" i="20" l="1"/>
  <c r="W137" i="20"/>
  <c r="X137" i="20" s="1"/>
  <c r="Y137" i="20" s="1"/>
  <c r="Y139" i="20" s="1"/>
  <c r="AF137" i="20"/>
  <c r="V139" i="20"/>
  <c r="AE134" i="20"/>
  <c r="W134" i="20"/>
  <c r="AE133" i="20"/>
  <c r="W133" i="20"/>
  <c r="AE132" i="20"/>
  <c r="W132" i="20"/>
  <c r="AH66" i="20"/>
  <c r="AG66" i="20"/>
  <c r="AF66" i="20"/>
  <c r="AL66" i="20"/>
  <c r="AJ66" i="20"/>
  <c r="AI66" i="20"/>
  <c r="AK66" i="20"/>
  <c r="AF132" i="20" l="1"/>
  <c r="AF133" i="20"/>
  <c r="AF134" i="20"/>
  <c r="AG137" i="20"/>
  <c r="AH137" i="20" s="1"/>
  <c r="AI137" i="20" s="1"/>
  <c r="AJ137" i="20" s="1"/>
  <c r="AK137" i="20" s="1"/>
  <c r="AL137" i="20" s="1"/>
  <c r="Z137" i="20"/>
  <c r="AA137" i="20" s="1"/>
  <c r="AB137" i="20" s="1"/>
  <c r="AC137" i="20" s="1"/>
  <c r="AH134" i="20"/>
  <c r="AH133" i="20"/>
  <c r="AH132" i="20"/>
  <c r="AI133" i="20"/>
  <c r="AI132" i="20"/>
  <c r="W139" i="20"/>
  <c r="AE139" i="20"/>
  <c r="X132" i="20"/>
  <c r="AG132" i="20" s="1"/>
  <c r="X133" i="20"/>
  <c r="AG133" i="20" s="1"/>
  <c r="X134" i="20"/>
  <c r="AG134" i="20" s="1"/>
  <c r="AH139" i="20" l="1"/>
  <c r="Z139" i="20"/>
  <c r="AI134" i="20"/>
  <c r="AI139" i="20" s="1"/>
  <c r="AJ133" i="20"/>
  <c r="AJ134" i="20"/>
  <c r="AJ132" i="20"/>
  <c r="AA139" i="20"/>
  <c r="AF139" i="20"/>
  <c r="X139" i="20"/>
  <c r="AG139" i="20"/>
  <c r="H119" i="33"/>
  <c r="L112" i="33"/>
  <c r="L68" i="33"/>
  <c r="I68" i="33" s="1"/>
  <c r="M50" i="20" s="1"/>
  <c r="L139" i="33"/>
  <c r="I139" i="33" s="1"/>
  <c r="M124" i="20" s="1"/>
  <c r="L104" i="33"/>
  <c r="I104" i="33" s="1"/>
  <c r="M87" i="20" s="1"/>
  <c r="N87" i="20" s="1"/>
  <c r="AJ139" i="20" l="1"/>
  <c r="AK132" i="20"/>
  <c r="AK134" i="20"/>
  <c r="AK133" i="20"/>
  <c r="AB139" i="20"/>
  <c r="L113" i="33"/>
  <c r="I113" i="33" s="1"/>
  <c r="M99" i="20" s="1"/>
  <c r="L84" i="33"/>
  <c r="I84" i="33" s="1"/>
  <c r="M68" i="20" s="1"/>
  <c r="L96" i="33"/>
  <c r="I96" i="33" s="1"/>
  <c r="M79" i="20" s="1"/>
  <c r="F18" i="33"/>
  <c r="L124" i="33"/>
  <c r="I124" i="33" s="1"/>
  <c r="M110" i="20" s="1"/>
  <c r="L60" i="33"/>
  <c r="I60" i="33" s="1"/>
  <c r="M43" i="20" s="1"/>
  <c r="F33" i="33"/>
  <c r="I112" i="33"/>
  <c r="L158" i="33"/>
  <c r="I158" i="33" s="1"/>
  <c r="M144" i="20" s="1"/>
  <c r="L88" i="33"/>
  <c r="I88" i="33" s="1"/>
  <c r="M71" i="20" s="1"/>
  <c r="L131" i="33"/>
  <c r="I131" i="33" s="1"/>
  <c r="M117" i="20" s="1"/>
  <c r="L155" i="33"/>
  <c r="I155" i="33" s="1"/>
  <c r="M141" i="20" s="1"/>
  <c r="F26" i="33"/>
  <c r="L121" i="33"/>
  <c r="I121" i="33" s="1"/>
  <c r="M107" i="20" s="1"/>
  <c r="AK139" i="20" l="1"/>
  <c r="AL134" i="20"/>
  <c r="AL133" i="20"/>
  <c r="AL132" i="20"/>
  <c r="AC139" i="20"/>
  <c r="M112" i="33"/>
  <c r="F27" i="33"/>
  <c r="F21" i="33"/>
  <c r="F32" i="33"/>
  <c r="F29" i="33"/>
  <c r="F22" i="33"/>
  <c r="F30" i="33"/>
  <c r="F37" i="33"/>
  <c r="F17" i="33"/>
  <c r="F36" i="33"/>
  <c r="F28" i="33"/>
  <c r="N99" i="20"/>
  <c r="M105" i="20"/>
  <c r="F25" i="33"/>
  <c r="AL139" i="20" l="1"/>
  <c r="N96" i="20"/>
  <c r="M96" i="20" s="1"/>
  <c r="N95" i="20"/>
  <c r="M95" i="20" s="1"/>
  <c r="AF99" i="20"/>
  <c r="AK99" i="20"/>
  <c r="AG99" i="20"/>
  <c r="AH99" i="20"/>
  <c r="AI99" i="20"/>
  <c r="AJ99" i="20"/>
  <c r="AL99" i="20"/>
  <c r="AE99" i="20"/>
  <c r="AE102" i="20"/>
  <c r="AE103" i="20"/>
  <c r="AE101" i="20"/>
  <c r="AE100" i="20"/>
  <c r="V99" i="20"/>
  <c r="V104" i="20"/>
  <c r="V102" i="20"/>
  <c r="V103" i="20"/>
  <c r="V101" i="20"/>
  <c r="V100" i="20"/>
  <c r="H99" i="20"/>
  <c r="M93" i="20"/>
  <c r="N79" i="20"/>
  <c r="M85" i="20"/>
  <c r="N124" i="20"/>
  <c r="M130" i="20"/>
  <c r="N117" i="20"/>
  <c r="M122" i="20"/>
  <c r="N105" i="20"/>
  <c r="N50" i="20"/>
  <c r="M55" i="20"/>
  <c r="AB101" i="20" l="1"/>
  <c r="AC101" i="20"/>
  <c r="AA101" i="20"/>
  <c r="AC99" i="20"/>
  <c r="AB99" i="20"/>
  <c r="AA99" i="20"/>
  <c r="M97" i="20"/>
  <c r="AE53" i="20"/>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W101" i="20"/>
  <c r="AF101" i="20" s="1"/>
  <c r="Y101" i="20"/>
  <c r="AH101" i="20" s="1"/>
  <c r="Z101" i="20"/>
  <c r="AI101" i="20" s="1"/>
  <c r="X101" i="20"/>
  <c r="AG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5" i="20"/>
  <c r="N144" i="20"/>
  <c r="AE144" i="20" s="1"/>
  <c r="AF144" i="20" s="1"/>
  <c r="AG144" i="20" s="1"/>
  <c r="AH144" i="20" s="1"/>
  <c r="AI144" i="20" s="1"/>
  <c r="AJ144" i="20" s="1"/>
  <c r="AK144" i="20" s="1"/>
  <c r="AL144" i="20" s="1"/>
  <c r="M142" i="20"/>
  <c r="N141" i="20"/>
  <c r="AE141" i="20" s="1"/>
  <c r="AF141" i="20" s="1"/>
  <c r="AG141" i="20" s="1"/>
  <c r="AH141" i="20" s="1"/>
  <c r="AI141" i="20" s="1"/>
  <c r="AJ141" i="20" s="1"/>
  <c r="AK141" i="20" s="1"/>
  <c r="AL141" i="20" s="1"/>
  <c r="N122" i="20"/>
  <c r="N130" i="20"/>
  <c r="M112" i="20"/>
  <c r="N110" i="20"/>
  <c r="AE110" i="20" s="1"/>
  <c r="AF110" i="20" s="1"/>
  <c r="AG110" i="20" s="1"/>
  <c r="AH110" i="20" s="1"/>
  <c r="AI110" i="20" s="1"/>
  <c r="AJ110" i="20" s="1"/>
  <c r="AK110" i="20" s="1"/>
  <c r="AL110" i="20" s="1"/>
  <c r="W129" i="20" l="1"/>
  <c r="Y124" i="20"/>
  <c r="Z124" i="20"/>
  <c r="X124" i="20"/>
  <c r="AC50" i="20"/>
  <c r="AA50" i="20"/>
  <c r="AB50" i="20"/>
  <c r="AB87" i="20"/>
  <c r="AC87" i="20"/>
  <c r="AA87" i="20"/>
  <c r="AC124" i="20"/>
  <c r="AB124" i="20"/>
  <c r="AA124" i="20"/>
  <c r="AC88" i="20"/>
  <c r="AB88" i="20"/>
  <c r="AA88" i="20"/>
  <c r="AA89" i="20"/>
  <c r="AJ89" i="20" s="1"/>
  <c r="AB89" i="20"/>
  <c r="AK89" i="20" s="1"/>
  <c r="AC89" i="20"/>
  <c r="AL89" i="20" s="1"/>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1" i="20"/>
  <c r="W141" i="20" s="1"/>
  <c r="X141" i="20" s="1"/>
  <c r="Y141" i="20" s="1"/>
  <c r="Z141" i="20" s="1"/>
  <c r="AA141" i="20" s="1"/>
  <c r="AB141" i="20" s="1"/>
  <c r="AC141" i="20" s="1"/>
  <c r="V95" i="20"/>
  <c r="V107" i="20"/>
  <c r="W107" i="20" s="1"/>
  <c r="X107" i="20" s="1"/>
  <c r="Y107" i="20" s="1"/>
  <c r="Z107" i="20" s="1"/>
  <c r="AA107" i="20" s="1"/>
  <c r="AB107" i="20" s="1"/>
  <c r="AC107" i="20" s="1"/>
  <c r="V71" i="20"/>
  <c r="W71" i="20" s="1"/>
  <c r="X71" i="20" s="1"/>
  <c r="Y71" i="20" s="1"/>
  <c r="Z71" i="20" s="1"/>
  <c r="AA71" i="20" s="1"/>
  <c r="AB71" i="20" s="1"/>
  <c r="AC71" i="20" s="1"/>
  <c r="V144" i="20"/>
  <c r="W144" i="20" s="1"/>
  <c r="X144" i="20" s="1"/>
  <c r="Y144" i="20" s="1"/>
  <c r="Z144" i="20" s="1"/>
  <c r="AA144" i="20" s="1"/>
  <c r="AB144" i="20" s="1"/>
  <c r="AC144" i="20" s="1"/>
  <c r="AC105" i="20"/>
  <c r="AA105" i="20"/>
  <c r="Y105" i="20"/>
  <c r="AB105" i="20"/>
  <c r="AC91" i="20"/>
  <c r="Z91" i="20"/>
  <c r="X91" i="20"/>
  <c r="AB91" i="20"/>
  <c r="W91" i="20"/>
  <c r="AA91" i="20"/>
  <c r="Y91" i="20"/>
  <c r="Y87" i="20"/>
  <c r="V93" i="20"/>
  <c r="W87" i="20"/>
  <c r="X87" i="20"/>
  <c r="Z87" i="20"/>
  <c r="Z105" i="20"/>
  <c r="X105" i="20"/>
  <c r="W88" i="20"/>
  <c r="AF88" i="20" s="1"/>
  <c r="X88" i="20"/>
  <c r="AG88" i="20" s="1"/>
  <c r="Y88" i="20"/>
  <c r="AH88" i="20" s="1"/>
  <c r="Z88" i="20"/>
  <c r="AI88" i="20" s="1"/>
  <c r="AJ88" i="20" s="1"/>
  <c r="AK88" i="20" s="1"/>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Z89" i="20"/>
  <c r="AI89" i="20" s="1"/>
  <c r="Y89" i="20"/>
  <c r="AH89" i="20" s="1"/>
  <c r="X89" i="20"/>
  <c r="AG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F128" i="20"/>
  <c r="AJ128" i="20"/>
  <c r="AK128" i="20" s="1"/>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V130" i="20"/>
  <c r="W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C53" i="20"/>
  <c r="W53" i="20"/>
  <c r="AF53" i="20" s="1"/>
  <c r="AA53" i="20"/>
  <c r="AJ53" i="20" s="1"/>
  <c r="AK53" i="20" s="1"/>
  <c r="Y53" i="20"/>
  <c r="AH53" i="20" s="1"/>
  <c r="X53" i="20"/>
  <c r="AG53" i="20" s="1"/>
  <c r="Z53" i="20"/>
  <c r="AI53" i="20" s="1"/>
  <c r="X50" i="20"/>
  <c r="Y50" i="20"/>
  <c r="Z50" i="20"/>
  <c r="W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B51" i="20"/>
  <c r="AA51" i="20"/>
  <c r="AJ51" i="20" s="1"/>
  <c r="AK51" i="20" s="1"/>
  <c r="X51" i="20"/>
  <c r="AG51" i="20" s="1"/>
  <c r="V105" i="20"/>
  <c r="E24" i="85"/>
  <c r="H71" i="20"/>
  <c r="E15" i="85"/>
  <c r="H110" i="20"/>
  <c r="E26" i="85"/>
  <c r="H107" i="20"/>
  <c r="E25" i="85"/>
  <c r="H68" i="20"/>
  <c r="E14" i="85"/>
  <c r="H144" i="20"/>
  <c r="E36" i="85"/>
  <c r="H141"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2" i="20"/>
  <c r="N145" i="20"/>
  <c r="N108" i="20"/>
  <c r="X129" i="20" l="1"/>
  <c r="X130" i="20" s="1"/>
  <c r="AE95" i="20"/>
  <c r="V96" i="20"/>
  <c r="AE96" i="20" s="1"/>
  <c r="W130" i="20"/>
  <c r="W95"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Y129" i="20" l="1"/>
  <c r="AH127" i="20"/>
  <c r="Z127" i="20"/>
  <c r="AA127" i="20" s="1"/>
  <c r="AB127" i="20" s="1"/>
  <c r="AC127" i="20" s="1"/>
  <c r="V97" i="20"/>
  <c r="AE97" i="20"/>
  <c r="AF97" i="20" s="1"/>
  <c r="AG97" i="20" s="1"/>
  <c r="AH97" i="20" s="1"/>
  <c r="AI97" i="20" s="1"/>
  <c r="AJ97" i="20" s="1"/>
  <c r="AK97" i="20" s="1"/>
  <c r="AL97" i="20" s="1"/>
  <c r="X95" i="20"/>
  <c r="W96" i="20"/>
  <c r="AF96" i="20" s="1"/>
  <c r="AF95" i="20"/>
  <c r="Y130" i="20"/>
  <c r="AH117" i="20"/>
  <c r="AG122" i="20"/>
  <c r="Z126" i="20"/>
  <c r="AH126" i="20"/>
  <c r="X122" i="20"/>
  <c r="AG130" i="20"/>
  <c r="Z129" i="20" l="1"/>
  <c r="Z130" i="20" s="1"/>
  <c r="W97" i="20"/>
  <c r="X96" i="20"/>
  <c r="AG96" i="20" s="1"/>
  <c r="AG95" i="20"/>
  <c r="AA126" i="20"/>
  <c r="AH130" i="20"/>
  <c r="AI117" i="20"/>
  <c r="AH122" i="20"/>
  <c r="AI130" i="20"/>
  <c r="Y97" i="20"/>
  <c r="AA129" i="20" l="1"/>
  <c r="AA130" i="20" s="1"/>
  <c r="X97" i="20"/>
  <c r="AB126" i="20"/>
  <c r="AJ117" i="20"/>
  <c r="AI122" i="20"/>
  <c r="AL130" i="20"/>
  <c r="AJ130" i="20"/>
  <c r="AB122" i="20"/>
  <c r="Z122" i="20"/>
  <c r="AA97" i="20"/>
  <c r="Z97" i="20" s="1"/>
  <c r="AB129" i="20" l="1"/>
  <c r="AC126" i="20"/>
  <c r="AK130" i="20"/>
  <c r="AK117" i="20"/>
  <c r="AJ122" i="20"/>
  <c r="AC97" i="20"/>
  <c r="AB97" i="20" s="1"/>
  <c r="AC129" i="20" l="1"/>
  <c r="AC130" i="20" s="1"/>
  <c r="AB130" i="20"/>
  <c r="AL117" i="20"/>
  <c r="AL122" i="20" s="1"/>
  <c r="AK122" i="20"/>
  <c r="L128" i="33" l="1"/>
  <c r="I128" i="33" s="1"/>
  <c r="M114" i="20" s="1"/>
  <c r="L56" i="33"/>
  <c r="L92" i="33"/>
  <c r="I92" i="33" s="1"/>
  <c r="M75" i="20" s="1"/>
  <c r="L51" i="71" l="1"/>
  <c r="M51" i="71" s="1"/>
  <c r="L30" i="71"/>
  <c r="M30" i="71" s="1"/>
  <c r="F23" i="33"/>
  <c r="F174" i="33" s="1"/>
  <c r="L29" i="71"/>
  <c r="M29" i="71" s="1"/>
  <c r="L50" i="71"/>
  <c r="M50" i="71" s="1"/>
  <c r="L49" i="71"/>
  <c r="M49" i="71" s="1"/>
  <c r="N29" i="71"/>
  <c r="P29" i="71" s="1"/>
  <c r="E19" i="85" s="1"/>
  <c r="N49" i="71"/>
  <c r="P49" i="71" s="1"/>
  <c r="L31" i="71"/>
  <c r="M31" i="71" s="1"/>
  <c r="L55" i="71"/>
  <c r="M55" i="71" s="1"/>
  <c r="L35" i="71"/>
  <c r="M35" i="71" s="1"/>
  <c r="L53" i="71"/>
  <c r="M53" i="71" s="1"/>
  <c r="F31" i="33"/>
  <c r="F175" i="33" s="1"/>
  <c r="N33" i="71"/>
  <c r="P33" i="71" s="1"/>
  <c r="E30" i="85" s="1"/>
  <c r="N53" i="71"/>
  <c r="P53" i="71" s="1"/>
  <c r="L33" i="71"/>
  <c r="L54" i="71"/>
  <c r="M54" i="71" s="1"/>
  <c r="L34" i="71"/>
  <c r="M34" i="71" s="1"/>
  <c r="I56" i="33"/>
  <c r="F42" i="33"/>
  <c r="L47" i="71" l="1"/>
  <c r="M47" i="71" s="1"/>
  <c r="L46" i="71"/>
  <c r="M46" i="71" s="1"/>
  <c r="F15" i="33"/>
  <c r="F173"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6"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AK44" i="20" s="1"/>
  <c r="X44" i="20"/>
  <c r="AG44" i="20" s="1"/>
  <c r="AB44" i="20"/>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Z47" i="20"/>
  <c r="AI47" i="20" s="1"/>
  <c r="W47" i="20"/>
  <c r="AF47" i="20" s="1"/>
  <c r="AB47" i="20"/>
  <c r="AA47" i="20"/>
  <c r="AJ47" i="20" s="1"/>
  <c r="AK47" i="20" s="1"/>
  <c r="X47" i="20"/>
  <c r="AG47" i="20" s="1"/>
  <c r="Y43" i="20"/>
  <c r="AC43" i="20"/>
  <c r="Z43" i="20"/>
  <c r="AA43" i="20"/>
  <c r="V48" i="20"/>
  <c r="AB43" i="20"/>
  <c r="W43" i="20"/>
  <c r="AC48" i="20" l="1"/>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tc={9CA33124-EB17-413B-88C7-52611B7F8AD0}</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9"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 ref="H149" authorId="2" shapeId="0" xr:uid="{9CA33124-EB17-413B-88C7-52611B7F8AD0}">
      <text>
        <t>[Threaded comment]
Your version of Excel allows you to read this threaded comment; however, any edits to it will get removed if the file is opened in a newer version of Excel. Learn more: https://go.microsoft.com/fwlink/?linkid=870924
Comment:
    Assume 1.5% ownership of gas geysers in the high income groups based on GHS results, but reduced to 0.7 so that UED share is closer to 1.5 in the RES sheet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<sst xmlns="http://schemas.openxmlformats.org/spreadsheetml/2006/main" count="3806" uniqueCount="1070">
  <si>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</si>
  <si>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</si>
  <si>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</si>
  <si>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</si>
  <si>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</si>
  <si>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</si>
  <si>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</si>
  <si>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</si>
  <si>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</si>
  <si>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</si>
  <si>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</si>
  <si>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</si>
  <si>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</si>
  <si>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</si>
  <si>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</si>
  <si>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</si>
  <si>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</si>
  <si>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</si>
  <si>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</si>
  <si>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</si>
  <si>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</si>
  <si>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</si>
  <si>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</si>
  <si>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</si>
  <si>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</si>
  <si>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</si>
  <si>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</si>
  <si>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</si>
  <si>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</si>
  <si>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</si>
  <si>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</si>
  <si>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</si>
  <si>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</si>
  <si>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</si>
  <si>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</si>
  <si>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</si>
  <si>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</si>
  <si>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</si>
  <si>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</si>
  <si>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</si>
  <si>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</si>
  <si>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</si>
  <si>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</si>
  <si>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</si>
  <si>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</si>
  <si>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</si>
  <si>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</si>
  <si>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</si>
  <si>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</si>
  <si>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</si>
  <si>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</si>
  <si>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</si>
  <si>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</si>
  <si>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</si>
  <si>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</si>
  <si>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</si>
  <si>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</si>
  <si>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</si>
  <si>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</si>
  <si>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</si>
  <si>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</si>
  <si>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</si>
  <si>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</si>
  <si>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</si>
  <si>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</si>
  <si>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</si>
  <si>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</si>
  <si>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</si>
  <si>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</si>
  <si>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</si>
  <si>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</si>
  <si>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</si>
  <si>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</si>
  <si>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</si>
  <si>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</si>
  <si>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</si>
  <si>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</si>
  <si>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</si>
  <si>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</si>
  <si>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</si>
  <si>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</si>
  <si>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</si>
  <si>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</si>
  <si>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</si>
  <si>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</si>
  <si>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</si>
  <si>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</si>
  <si>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</si>
  <si>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</si>
  <si>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</si>
  <si>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</si>
  <si>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</si>
  <si>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</si>
  <si>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</si>
  <si>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</si>
  <si>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</si>
  <si>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</si>
  <si>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</si>
  <si>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</si>
  <si>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</si>
  <si>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</si>
  <si>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</si>
  <si>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</si>
  <si>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</si>
  <si>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</si>
  <si>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</si>
  <si>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</si>
  <si>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</si>
  <si>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</si>
  <si>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</si>
  <si>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</si>
  <si>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</si>
  <si>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</si>
  <si>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</si>
  <si>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</si>
  <si>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</si>
  <si>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</si>
  <si>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</si>
  <si>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</si>
  <si>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</si>
  <si>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</si>
  <si>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</si>
  <si>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</si>
  <si>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</si>
  <si>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</si>
  <si>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</si>
  <si>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</si>
  <si>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</si>
  <si>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</si>
  <si>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</si>
  <si>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</si>
  <si>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</si>
  <si>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</si>
  <si>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</si>
  <si>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</si>
  <si>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</si>
  <si>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</si>
  <si>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</si>
  <si>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</si>
  <si>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</si>
  <si>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</si>
  <si>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</si>
  <si>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</si>
  <si>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</si>
  <si>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</si>
  <si>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</si>
  <si>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</si>
  <si>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</si>
  <si>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</si>
  <si>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</si>
  <si>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</si>
  <si>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</si>
  <si>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</si>
  <si>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</si>
  <si>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</si>
  <si>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</si>
  <si>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</si>
  <si>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</si>
  <si>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</si>
  <si>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</si>
  <si>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</si>
  <si>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</si>
  <si>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</si>
  <si>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</si>
  <si>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</si>
  <si>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</si>
  <si>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</si>
  <si>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</si>
  <si>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</si>
  <si>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</si>
  <si>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</si>
  <si>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</si>
  <si>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</si>
  <si>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</si>
  <si>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</si>
  <si>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</si>
  <si>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</si>
  <si>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</si>
  <si>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</si>
  <si>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</si>
  <si>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</si>
  <si>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</si>
  <si>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</si>
  <si>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</si>
  <si>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</si>
  <si>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</si>
  <si>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</si>
  <si>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</si>
  <si>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</si>
  <si>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</si>
  <si>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</si>
  <si>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</si>
  <si>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</si>
  <si>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</si>
  <si>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</si>
  <si>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</si>
  <si>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</si>
  <si>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</si>
  <si>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</si>
  <si>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</si>
  <si>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</si>
  <si>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</si>
  <si>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</si>
  <si>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</si>
  <si>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</si>
  <si>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</si>
  <si>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</si>
  <si>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</si>
  <si>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</si>
  <si>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</si>
  <si>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</si>
  <si>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</si>
  <si>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</si>
  <si>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</si>
  <si>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</si>
  <si>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</si>
  <si>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</si>
  <si>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</si>
  <si>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</si>
  <si>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</si>
  <si>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</si>
  <si>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</si>
  <si>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</si>
  <si>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</si>
  <si>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</si>
  <si>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</si>
  <si>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</si>
  <si>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</si>
  <si>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</si>
  <si>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</si>
  <si>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</si>
  <si>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</si>
  <si>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</si>
  <si>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</si>
  <si>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</si>
  <si>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</si>
  <si>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</si>
  <si>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</si>
  <si>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</si>
  <si>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</si>
  <si>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</si>
  <si>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</si>
  <si>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</si>
  <si>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</si>
  <si>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</si>
  <si>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</si>
  <si>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</si>
  <si>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</si>
  <si>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</si>
  <si>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</si>
  <si>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</si>
  <si>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</si>
  <si>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</si>
  <si>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</si>
  <si>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</si>
  <si>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</si>
  <si>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</si>
  <si>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</si>
  <si>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</si>
  <si>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</si>
  <si>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</si>
  <si>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</si>
  <si>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</si>
  <si>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</si>
  <si>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</si>
  <si>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</si>
  <si>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</si>
  <si>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</si>
  <si>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</si>
  <si>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</si>
  <si>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</si>
  <si>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</si>
  <si>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</si>
  <si>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</si>
  <si>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</si>
  <si>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</si>
  <si>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</si>
  <si>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</si>
  <si>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</si>
  <si>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</si>
  <si>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</si>
  <si>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</si>
  <si>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</si>
  <si>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</si>
  <si>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</si>
  <si>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</si>
  <si>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</si>
  <si>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</si>
  <si>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</si>
  <si>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</si>
  <si>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</si>
  <si>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</si>
  <si>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</si>
  <si>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</si>
  <si>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</si>
  <si>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</si>
  <si>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</si>
  <si>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</si>
  <si>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</si>
  <si>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</si>
  <si>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</si>
  <si>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</si>
  <si>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</si>
  <si>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</si>
  <si>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</si>
  <si>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</si>
  <si>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</si>
  <si>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</si>
  <si>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</si>
  <si>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</si>
  <si>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</si>
  <si>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</si>
  <si>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</si>
  <si>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</si>
  <si>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</si>
  <si>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</si>
  <si>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</si>
  <si>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</si>
  <si>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</si>
  <si>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</si>
  <si>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</si>
  <si>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</si>
  <si>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</si>
  <si>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</si>
  <si>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</si>
  <si>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</si>
  <si>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</si>
  <si>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</si>
  <si>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</si>
  <si>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</si>
  <si>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</si>
  <si>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</si>
  <si>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</si>
  <si>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</si>
  <si>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</si>
  <si>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</si>
  <si>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</si>
  <si>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</si>
  <si>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</si>
  <si>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</si>
  <si>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</si>
  <si>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</si>
  <si>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</si>
  <si>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</si>
  <si>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</si>
  <si>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</si>
  <si>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</si>
  <si>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</si>
  <si>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</si>
  <si>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</si>
  <si>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</si>
  <si>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</si>
  <si>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</si>
  <si>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</si>
  <si>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</si>
  <si>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</si>
  <si>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</si>
  <si>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</si>
  <si>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</si>
  <si>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</si>
  <si>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</si>
  <si>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</si>
  <si>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</si>
  <si>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</si>
  <si>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</si>
  <si>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</si>
  <si>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</si>
  <si>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</si>
  <si>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</si>
  <si>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</si>
  <si>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</si>
  <si>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</si>
  <si>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</si>
  <si>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</si>
  <si>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</si>
  <si>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</si>
  <si>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</si>
  <si>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</si>
  <si>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</si>
  <si>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</si>
  <si>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</si>
  <si>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</si>
  <si>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</si>
  <si>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</si>
  <si>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</si>
  <si>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</si>
  <si>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</si>
  <si>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</si>
  <si>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</si>
  <si>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</si>
  <si>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</si>
  <si>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</si>
  <si>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</si>
  <si>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</si>
  <si>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</si>
  <si>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</si>
  <si>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</si>
  <si>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</si>
  <si>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</si>
  <si>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</si>
  <si>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</si>
  <si>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</si>
  <si>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</si>
  <si>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</si>
  <si>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</si>
  <si>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</si>
  <si>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</si>
  <si>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</si>
  <si>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</si>
  <si>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</si>
  <si>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</si>
  <si>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</si>
  <si>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</si>
  <si>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</si>
  <si>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</si>
  <si>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</si>
  <si>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</si>
  <si>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</si>
  <si>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</si>
  <si>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</si>
  <si>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</si>
  <si>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</si>
  <si>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</si>
  <si>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</si>
  <si>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</si>
  <si>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</si>
  <si>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</si>
  <si>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</si>
  <si>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</si>
  <si>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</si>
  <si>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</si>
  <si>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</si>
  <si>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</si>
  <si>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</si>
  <si>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</si>
  <si>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</si>
  <si>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</si>
  <si>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</si>
  <si>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</si>
  <si>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</si>
  <si>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</si>
  <si>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</si>
  <si>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</si>
  <si>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</si>
  <si>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</si>
  <si>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</si>
  <si>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</si>
  <si>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</si>
  <si>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</si>
  <si>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</si>
  <si>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</si>
  <si>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</si>
  <si>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</si>
  <si>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</si>
  <si>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</si>
  <si>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</si>
  <si>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</si>
  <si>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</si>
  <si>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</si>
  <si>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</si>
  <si>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</si>
  <si>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</si>
  <si>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</si>
  <si>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</si>
  <si>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</si>
  <si>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</si>
  <si>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</si>
  <si>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</si>
  <si>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</si>
  <si>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</si>
  <si>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</si>
  <si>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</si>
  <si>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</si>
  <si>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</si>
  <si>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</si>
  <si>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</si>
  <si>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</si>
  <si>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</si>
  <si>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</si>
  <si>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</si>
  <si>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</si>
  <si>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</si>
  <si>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</si>
  <si>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</si>
  <si>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</si>
  <si>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</si>
  <si>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</si>
  <si>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</si>
  <si>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</si>
  <si>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</si>
  <si>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</si>
  <si>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</si>
  <si>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</si>
  <si>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</si>
  <si>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</si>
  <si>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</si>
  <si>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</si>
  <si>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</si>
  <si>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</si>
  <si>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</si>
  <si>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</si>
  <si>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</si>
  <si>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</si>
  <si>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</si>
  <si>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</si>
  <si>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</si>
  <si>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</si>
  <si>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</si>
  <si>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</si>
  <si>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</si>
  <si>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</si>
  <si>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</si>
  <si>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</si>
  <si>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</si>
  <si>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</si>
  <si>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</si>
  <si>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</si>
  <si>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</si>
  <si>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</si>
  <si>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</si>
  <si>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</si>
  <si>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</si>
  <si>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</si>
  <si>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</si>
  <si>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</si>
  <si>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</si>
  <si>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</si>
  <si>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</si>
  <si>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</si>
  <si>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</si>
  <si>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</si>
  <si>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</si>
  <si>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</si>
  <si>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</si>
  <si>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</si>
  <si>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</si>
  <si>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</si>
  <si>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</si>
  <si>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</si>
  <si>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</si>
  <si>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</si>
  <si>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</si>
  <si>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</si>
  <si>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</si>
  <si>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</si>
  <si>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</si>
  <si>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</si>
  <si>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</si>
  <si>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</si>
  <si>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</si>
  <si>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</si>
  <si>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</si>
  <si>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</si>
  <si>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</si>
  <si>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</si>
  <si>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</si>
  <si>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</si>
  <si>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</si>
  <si>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</si>
  <si>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</si>
  <si>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</si>
  <si>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</si>
  <si>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</si>
  <si>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</si>
  <si>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</si>
  <si>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</si>
  <si>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</si>
  <si>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</si>
  <si>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</si>
  <si>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</si>
  <si>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</si>
  <si>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</si>
  <si>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</si>
  <si>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</si>
  <si>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</si>
  <si>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</si>
  <si>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</si>
  <si>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</si>
  <si>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</si>
  <si>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</si>
  <si>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</si>
  <si>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</si>
  <si>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</si>
  <si>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</si>
  <si>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</si>
  <si>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</si>
  <si>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</si>
  <si>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</si>
  <si>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</si>
  <si>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</si>
  <si>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</si>
  <si>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</si>
  <si>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</si>
  <si>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</si>
  <si>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</si>
  <si>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</si>
  <si>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</si>
  <si>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</si>
  <si>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</si>
  <si>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</si>
  <si>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</si>
  <si>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</si>
  <si>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</si>
  <si>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</si>
  <si>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</si>
  <si>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</si>
  <si>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</si>
  <si>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</si>
  <si>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</si>
  <si>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</si>
  <si>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</si>
  <si>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</si>
  <si>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</si>
  <si>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</si>
  <si>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</si>
  <si>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</si>
  <si>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</si>
  <si>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</si>
  <si>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</si>
  <si>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</si>
  <si>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</si>
  <si>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</si>
  <si>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</si>
  <si>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</si>
  <si>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</si>
  <si>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</si>
  <si>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</si>
  <si>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</si>
  <si>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</si>
  <si>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</si>
  <si>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</si>
  <si>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</si>
  <si>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</si>
  <si>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</si>
  <si>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</si>
  <si>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</si>
  <si>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</si>
  <si>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</si>
  <si>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</si>
  <si>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</si>
  <si>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</si>
  <si>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</si>
  <si>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</si>
  <si>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</si>
  <si>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</si>
  <si>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</si>
  <si>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</si>
  <si>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</si>
  <si>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</si>
  <si>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</si>
  <si>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</si>
  <si>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</si>
  <si>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</si>
  <si>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</si>
  <si>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</si>
  <si>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</si>
  <si>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</si>
  <si>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</si>
  <si>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</si>
  <si>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</si>
  <si>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</si>
  <si>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</si>
  <si>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</si>
  <si>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</si>
  <si>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</si>
  <si>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</si>
  <si>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</si>
  <si>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</si>
  <si>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</si>
  <si>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</si>
  <si>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</si>
  <si>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</si>
  <si>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</si>
  <si>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</si>
  <si>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</si>
  <si>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</si>
  <si>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</si>
  <si>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</si>
  <si>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</si>
  <si>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</si>
  <si>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</si>
  <si>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</si>
  <si>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</si>
  <si>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</si>
  <si>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</si>
  <si>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</si>
  <si>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</si>
  <si>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</si>
  <si>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</si>
  <si>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</si>
  <si>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</si>
  <si>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</si>
  <si>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</si>
  <si>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</si>
  <si>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</si>
  <si>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</si>
  <si>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</si>
  <si>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</si>
  <si>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</si>
  <si>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</si>
  <si>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</si>
  <si>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</si>
  <si>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</si>
  <si>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</si>
  <si>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</si>
  <si>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</si>
  <si>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</si>
  <si>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</si>
  <si>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</si>
  <si>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</si>
  <si>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</si>
  <si>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</si>
  <si>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</si>
  <si>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</si>
  <si>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</si>
  <si>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</si>
  <si>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</si>
  <si>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</si>
  <si>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</si>
  <si>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</si>
  <si>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</si>
  <si>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</si>
  <si>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</si>
  <si>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</si>
  <si>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</si>
  <si>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</si>
  <si>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</si>
  <si>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</si>
  <si>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</si>
  <si>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</si>
  <si>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</si>
  <si>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</si>
  <si>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</si>
  <si>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</si>
  <si>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</si>
  <si>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</si>
  <si>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</si>
  <si>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</si>
  <si>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</si>
  <si>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</si>
  <si>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</si>
  <si>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</si>
  <si>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</si>
  <si>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</si>
  <si>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</si>
  <si>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</si>
  <si>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</si>
  <si>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</si>
  <si>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</si>
  <si>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</si>
  <si>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</si>
  <si>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</si>
  <si>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</si>
  <si>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</si>
  <si>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</si>
  <si>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</si>
  <si>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</si>
  <si>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</si>
  <si>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</si>
  <si>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</si>
  <si>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</si>
  <si>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</si>
  <si>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</si>
  <si>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</si>
  <si>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</si>
  <si>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</si>
  <si>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</si>
  <si>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</si>
  <si>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</si>
  <si>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</si>
  <si>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</si>
  <si>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</si>
  <si>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</si>
  <si>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</si>
  <si>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</si>
  <si>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</si>
  <si>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</si>
  <si>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</si>
  <si>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</si>
  <si>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</si>
  <si>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</si>
  <si>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</si>
  <si>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</si>
  <si>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</si>
  <si>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</si>
  <si>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</si>
  <si>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</si>
  <si>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</si>
  <si>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</si>
  <si>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</si>
  <si>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</si>
  <si>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</si>
  <si>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</si>
  <si>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</si>
  <si>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</si>
  <si>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</si>
  <si>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</si>
  <si>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</si>
  <si>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</si>
  <si>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</si>
  <si>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</si>
  <si>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</si>
  <si>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</si>
  <si>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</si>
  <si>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</si>
  <si>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</si>
  <si>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</si>
  <si>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</si>
  <si>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</si>
  <si>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</si>
  <si>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</si>
  <si>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</si>
  <si>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</si>
  <si>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</si>
  <si>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</si>
  <si>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</si>
  <si>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</si>
  <si>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</si>
  <si>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</si>
  <si>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</si>
  <si>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</si>
  <si>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</si>
  <si>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</si>
  <si>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</si>
  <si>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</si>
  <si>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</si>
  <si>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</si>
  <si>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</si>
  <si>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</si>
  <si>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</si>
  <si>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</si>
  <si>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</si>
  <si>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</si>
  <si>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</si>
  <si>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</si>
  <si>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</si>
  <si>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</si>
  <si>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</si>
  <si>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</si>
  <si>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</si>
  <si>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</si>
  <si>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</si>
  <si>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</si>
  <si>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</si>
  <si>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</si>
  <si>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</si>
  <si>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</si>
  <si>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</si>
  <si>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</si>
  <si>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</si>
  <si>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</si>
  <si>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</si>
  <si>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</si>
  <si>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</si>
  <si>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</si>
  <si>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</si>
  <si>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</si>
  <si>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</si>
  <si>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</si>
  <si>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</si>
  <si>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</si>
  <si>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</si>
  <si>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</si>
  <si>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</si>
  <si>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</si>
  <si>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</si>
  <si>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</si>
  <si>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</si>
  <si>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</si>
  <si>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</si>
  <si>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</si>
  <si>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</si>
  <si>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</si>
  <si>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</si>
  <si>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</si>
  <si>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</si>
  <si>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</si>
  <si>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</si>
  <si>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</si>
  <si>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</si>
  <si>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</si>
  <si>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</si>
  <si>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</si>
  <si>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</si>
  <si>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</si>
  <si>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</si>
  <si>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</si>
  <si>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</si>
  <si>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</si>
  <si>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</si>
  <si>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</si>
  <si>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</si>
  <si>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</si>
  <si>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</si>
  <si>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</si>
  <si>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</si>
  <si>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</si>
  <si>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</si>
  <si>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</si>
  <si>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</si>
  <si>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</si>
  <si>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</si>
  <si>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</si>
  <si>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</si>
  <si>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</si>
  <si>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</si>
  <si>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</si>
  <si>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</si>
  <si>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</si>
  <si>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</si>
  <si>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</si>
  <si>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</si>
  <si>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</si>
  <si>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</si>
  <si>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</si>
  <si>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</si>
  <si>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</si>
  <si>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</si>
  <si>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</si>
  <si>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</si>
  <si>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</si>
  <si>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</si>
  <si>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</si>
  <si>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</si>
  <si>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</si>
  <si>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</si>
  <si>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</si>
  <si>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</si>
  <si>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</si>
  <si>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</si>
  <si>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</si>
  <si>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</si>
  <si>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</si>
  <si>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</si>
  <si>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</si>
  <si>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</si>
  <si>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</si>
  <si>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</si>
  <si>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</si>
  <si>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</si>
  <si>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</si>
  <si>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</si>
  <si>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</si>
  <si>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</si>
  <si>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</si>
  <si>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</si>
  <si>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</si>
  <si>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</si>
  <si>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</si>
  <si>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</si>
  <si>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</si>
  <si>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</si>
  <si>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</si>
  <si>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</si>
  <si>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</si>
  <si>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</si>
  <si>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</si>
  <si>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</si>
  <si>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</si>
  <si>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</si>
  <si>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</si>
  <si>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</si>
  <si>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</si>
  <si>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</si>
  <si>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</si>
  <si>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</si>
  <si>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</si>
  <si>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</si>
  <si>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</si>
  <si>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</si>
  <si>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</si>
  <si>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</si>
  <si>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</si>
  <si>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</si>
  <si>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</si>
  <si>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</si>
  <si>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</si>
  <si>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</si>
  <si>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</si>
  <si>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</si>
  <si>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</si>
  <si>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</si>
  <si>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</si>
  <si>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</si>
  <si>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</si>
  <si>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</si>
  <si>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</si>
  <si>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</si>
  <si>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</si>
  <si>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</si>
  <si>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</si>
  <si>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</si>
  <si>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</si>
  <si>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</si>
  <si>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</si>
  <si>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</si>
  <si>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</si>
  <si>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</si>
  <si>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</si>
  <si>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</si>
  <si>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</si>
  <si>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</si>
  <si>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</si>
  <si>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</si>
  <si>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</si>
  <si>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</si>
  <si>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</si>
  <si>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</si>
  <si>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</si>
  <si>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</si>
  <si>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</si>
  <si>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</si>
  <si>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</si>
  <si>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</si>
  <si>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</si>
  <si>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</si>
  <si>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</si>
  <si>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</si>
  <si>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</si>
  <si>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</si>
  <si>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</si>
  <si>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</si>
  <si>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</si>
  <si>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</si>
  <si>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</si>
  <si>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</si>
  <si>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</si>
  <si>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</si>
  <si>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</si>
  <si>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</si>
  <si>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</si>
  <si>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</si>
  <si>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</si>
  <si>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</si>
  <si>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</si>
  <si>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</si>
  <si>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</si>
  <si>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</si>
  <si>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</si>
  <si>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</si>
  <si>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</si>
  <si>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</si>
  <si>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</si>
  <si>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</si>
  <si>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</si>
  <si>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</si>
  <si>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</si>
  <si>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</si>
  <si>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</si>
  <si>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</si>
  <si>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</si>
  <si>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</si>
  <si>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</si>
  <si>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</si>
  <si>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</si>
  <si>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</si>
  <si>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</si>
  <si>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</si>
  <si>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</si>
  <si>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</si>
  <si>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</si>
  <si>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</si>
  <si>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High HP</t>
  </si>
  <si>
    <t>High SWH</t>
  </si>
  <si>
    <t>Total percentage of households with either HP or SWH or PV</t>
  </si>
  <si>
    <t>Shares for 2017 adjusted to account for electrification responses being too high</t>
  </si>
  <si>
    <t>Data from outdated splits</t>
  </si>
  <si>
    <t>Gas increase in Water heating</t>
  </si>
  <si>
    <t>percent in 5 years</t>
  </si>
  <si>
    <t>Residential - Water Heating - High Income  - Oil LPG - STOV -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</si>
</sst>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 numFmtId="185" formatCode="0.00000000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5">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4" fontId="80" fillId="50" borderId="3" xfId="25"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2" fontId="0" fillId="32" borderId="0" xfId="0" applyNumberFormat="1" applyFill="1"/>
    <xf numFmtId="9" fontId="0" fillId="32" borderId="0" xfId="0" applyNumberFormat="1" applyFill="1"/>
    <xf numFmtId="0" fontId="2" fillId="32" borderId="0" xfId="0" applyFont="1" applyFill="1"/>
    <xf numFmtId="185" fontId="0" fillId="0" borderId="0" xfId="0" applyNumberForma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services'!$A$223</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services'!$C$224</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services'!$C$225</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services'!$D$225:$L$225</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services'!$C$226</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services'!$D$226:$L$226</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services'!$C$259</c:f>
              <c:strCache>
                <c:ptCount val="1"/>
                <c:pt idx="0">
                  <c:v>PAM HI</c:v>
                </c:pt>
              </c:strCache>
            </c:strRef>
          </c:tx>
          <c:spPr>
            <a:ln>
              <a:prstDash val="dash"/>
            </a:ln>
          </c:spPr>
          <c:marker>
            <c:symbol val="none"/>
          </c:marker>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services'!$A$227</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services'!$D$227:$L$227</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services'!$C$228</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services'!$D$228:$L$228</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services'!$C$229</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services'!$D$229:$L$229</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services'!$C$260</c:f>
              <c:strCache>
                <c:ptCount val="1"/>
                <c:pt idx="0">
                  <c:v>PAM MI total</c:v>
                </c:pt>
              </c:strCache>
            </c:strRef>
          </c:tx>
          <c:spPr>
            <a:ln>
              <a:prstDash val="dash"/>
            </a:ln>
          </c:spPr>
          <c:marker>
            <c:symbol val="none"/>
          </c:marker>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services'!$A$237</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services'!$D$237:$L$237</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services'!$C$238</c:f>
              <c:strCache>
                <c:ptCount val="1"/>
                <c:pt idx="0">
                  <c:v>Middle</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services'!$D$238:$L$238</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services'!$C$239</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services'!$D$239:$L$239</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services'!$C$263</c:f>
              <c:strCache>
                <c:ptCount val="1"/>
                <c:pt idx="0">
                  <c:v>PAM LI</c:v>
                </c:pt>
              </c:strCache>
            </c:strRef>
          </c:tx>
          <c:spPr>
            <a:ln>
              <a:prstDash val="dash"/>
            </a:ln>
          </c:spPr>
          <c:marker>
            <c:symbol val="none"/>
          </c:marker>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services'!$A$258</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services'!$C$259</c:f>
              <c:strCache>
                <c:ptCount val="1"/>
                <c:pt idx="0">
                  <c:v>PAM HI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services'!$C$263</c:f>
              <c:strCache>
                <c:ptCount val="1"/>
                <c:pt idx="0">
                  <c:v>PAM LI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services'!$C$264</c:f>
              <c:strCache>
                <c:ptCount val="1"/>
                <c:pt idx="0">
                  <c:v>Total</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services'!$D$264:$L$264</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5210213.83403531</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263764.06366319896</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983829.50565854774</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1415641.2399966046</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41761.184247646939</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8615.4527080127737</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8135.5229879809076</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10828.532104759348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4047590.2120274771</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200349.44700071058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412086.46074302198</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666786.56679779675</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29399.694876245369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4307.0542137046723</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5610.6073147071938</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6933.3309747912353</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3635529.0198345976</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327804.64300944185</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52190.282030702037</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74480.079653549386</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6097.9455008967561</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598.56054245694759</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5305.1073451948932</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13149.922732644891</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4477584.4003132246</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63805.350732236824</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657885.34464011656</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1269784.59741045</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106606.01043103916</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10998.056037751585</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7205.2365769183125</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133673.57094380938</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3408714.7670860616</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43640.785518274919</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351520.30917608703</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597460.86514272122</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69342.212567342474</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5349.8727544866624</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5061.1467051871632</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69894.718784178884</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3102639.6391536109</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101246.88471881289</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97704.471895579321</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92936.863076946349</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16865.614542845367</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1171.9917101251726</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7094.2367736681017</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65877.057998525765</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5284477.1279129051</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232294.99191005644</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849011.15972001245</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1385383.2281824346</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42163.126707097355</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8400.7940789445947</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6851.1127986855499</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15065.954060893388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3979579.3674114584</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159405.44406599895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455136.27647982509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653999.14128688583</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27515.45238252019</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4099.9230672421936</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4828.2488182427596</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7903.5698270536677</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3417834.5867020772</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379205.48875351949</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129714.29140527548</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104312.91443620263</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6862.201844372531</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920.95656910468949</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6939.5091242978669</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7638.2784048925869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6154466.9179677246</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22288.353118599593</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342150.55600860034</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1357949.5138627142</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30072.098688851467</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35861.895755570571</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4710894.7077283124</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27218.280164119948</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492037.73091615166</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108340.5122960296</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34572.142843840578</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3946291.1306370096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15838.275937675104</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68850.898516778645</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71406.355710285599</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12768.899847734991</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4.9326966818374585</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9.196088998853833</c:v>
                </c:pt>
                <c:pt idx="1">
                  <c:v>1.6663284061754902</c:v>
                </c:pt>
                <c:pt idx="2">
                  <c:v>1.904237417940239</c:v>
                </c:pt>
                <c:pt idx="3">
                  <c:v>34.967637890800518</c:v>
                </c:pt>
                <c:pt idx="4">
                  <c:v>2.3535815120671839</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0.95750497666009449</c:v>
                </c:pt>
                <c:pt idx="1">
                  <c:v>0.35693974145360596</c:v>
                </c:pt>
                <c:pt idx="2">
                  <c:v>0.14415128807126942</c:v>
                </c:pt>
                <c:pt idx="3">
                  <c:v>10.454948317666286</c:v>
                </c:pt>
                <c:pt idx="4">
                  <c:v>3.7550709430592919</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2.0455635349283408</c:v>
                </c:pt>
                <c:pt idx="1">
                  <c:v>3.1719268744075291</c:v>
                </c:pt>
                <c:pt idx="2">
                  <c:v>1.0552619963705012</c:v>
                </c:pt>
                <c:pt idx="3">
                  <c:v>9.7869349556914056</c:v>
                </c:pt>
                <c:pt idx="4">
                  <c:v>0.59405855758485748</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4.265980312649079</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7.8325578803259024</c:v>
                </c:pt>
                <c:pt idx="1">
                  <c:v>0.213882713452347</c:v>
                </c:pt>
                <c:pt idx="2">
                  <c:v>0.97146027136689783</c:v>
                </c:pt>
                <c:pt idx="3">
                  <c:v>16.470240170660297</c:v>
                </c:pt>
                <c:pt idx="4">
                  <c:v>1.6569113057431128</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1.9338138363548154</c:v>
                </c:pt>
                <c:pt idx="1">
                  <c:v>0.7628780260587259</c:v>
                </c:pt>
                <c:pt idx="2">
                  <c:v>1.1851951647682253</c:v>
                </c:pt>
                <c:pt idx="3">
                  <c:v>4.9192772377567433</c:v>
                </c:pt>
                <c:pt idx="4">
                  <c:v>5.0559700886146182</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2.1876095357695995</c:v>
                </c:pt>
                <c:pt idx="2">
                  <c:v>3.8659756459214241</c:v>
                </c:pt>
                <c:pt idx="3">
                  <c:v>5.9439143441639235</c:v>
                </c:pt>
                <c:pt idx="4">
                  <c:v>0.9716798484936372</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9.5886666621823888</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5.5928399686710613</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8.9153831563052766</c:v>
                </c:pt>
                <c:pt idx="1">
                  <c:v>9.8047990028176782E-2</c:v>
                </c:pt>
                <c:pt idx="2">
                  <c:v>4.1252927578215273</c:v>
                </c:pt>
                <c:pt idx="3">
                  <c:v>0.98560703676527339</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2.5732372304921198</c:v>
                </c:pt>
                <c:pt idx="1">
                  <c:v>2.6505081182760407E-2</c:v>
                </c:pt>
                <c:pt idx="2">
                  <c:v>3.6662132083249852</c:v>
                </c:pt>
                <c:pt idx="3">
                  <c:v>0.23844004649551748</c:v>
                </c:pt>
                <c:pt idx="4">
                  <c:v>1.2297277444373003</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17.695698412697091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Energy_Balance!$F$172</c:f>
              <c:strCache>
                <c:ptCount val="1"/>
                <c:pt idx="0">
                  <c:v>Electricity</c:v>
                </c:pt>
              </c:strCache>
            </c:strRef>
          </c:tx>
          <c:spPr>
            <a:solidFill>
              <a:schemeClr val="accent1"/>
            </a:solidFill>
            <a:ln>
              <a:noFill/>
            </a:ln>
            <a:effectLst/>
          </c:spPr>
          <c:invertIfNegative val="0"/>
          <c:cat>
            <c:strRef>
              <c:f>Energy_Balance!$E$173:$E$175</c:f>
              <c:strCache>
                <c:ptCount val="3"/>
                <c:pt idx="0">
                  <c:v>Low</c:v>
                </c:pt>
                <c:pt idx="1">
                  <c:v>Middle</c:v>
                </c:pt>
                <c:pt idx="2">
                  <c:v>High</c:v>
                </c:pt>
              </c:strCache>
            </c:strRef>
          </c:cat>
          <c:val>
            <c:numRef>
              <c:f>Energy_Balance!$F$173:$F$175</c:f>
              <c:numCache>
                <c:formatCode>0.00</c:formatCode>
                <c:ptCount val="3"/>
                <c:pt idx="0">
                  <c:v>35.59629432542674</c:v>
                </c:pt>
                <c:pt idx="1">
                  <c:v>43.128065097360675</c:v>
                </c:pt>
                <c:pt idx="2">
                  <c:v>91.275640577212613</c:v>
                </c:pt>
              </c:numCache>
            </c:numRef>
          </c:val>
          <c:extLst>
            <c:ext xmlns:c16="http://schemas.microsoft.com/office/drawing/2014/chart" uri="{C3380CC4-5D6E-409C-BE32-E72D297353CC}">
              <c16:uniqueId val="{00000000-C52B-A248-9F4B-B36177F34136}"/>
            </c:ext>
          </c:extLst>
        </c:ser>
        <c:ser>
          <c:idx val="1"/>
          <c:order val="1"/>
          <c:tx>
            <c:strRef>
              <c:f>Energy_Balance!$G$172</c:f>
              <c:strCache>
                <c:ptCount val="1"/>
                <c:pt idx="0">
                  <c:v>Paraffin</c:v>
                </c:pt>
              </c:strCache>
            </c:strRef>
          </c:tx>
          <c:spPr>
            <a:solidFill>
              <a:schemeClr val="accent2"/>
            </a:solidFill>
            <a:ln>
              <a:noFill/>
            </a:ln>
            <a:effectLst/>
          </c:spPr>
          <c:invertIfNegative val="0"/>
          <c:cat>
            <c:strRef>
              <c:f>Energy_Balance!$E$173:$E$175</c:f>
              <c:strCache>
                <c:ptCount val="3"/>
                <c:pt idx="0">
                  <c:v>Low</c:v>
                </c:pt>
                <c:pt idx="1">
                  <c:v>Middle</c:v>
                </c:pt>
                <c:pt idx="2">
                  <c:v>High</c:v>
                </c:pt>
              </c:strCache>
            </c:strRef>
          </c:cat>
          <c:val>
            <c:numRef>
              <c:f>Energy_Balance!$G$173:$G$175</c:f>
              <c:numCache>
                <c:formatCode>0.00</c:formatCode>
                <c:ptCount val="3"/>
                <c:pt idx="0">
                  <c:v>5.6035939784638948</c:v>
                </c:pt>
                <c:pt idx="1">
                  <c:v>3.911852950325168</c:v>
                </c:pt>
                <c:pt idx="2">
                  <c:v>0.12455307121093719</c:v>
                </c:pt>
              </c:numCache>
            </c:numRef>
          </c:val>
          <c:extLst>
            <c:ext xmlns:c16="http://schemas.microsoft.com/office/drawing/2014/chart" uri="{C3380CC4-5D6E-409C-BE32-E72D297353CC}">
              <c16:uniqueId val="{00000001-C52B-A248-9F4B-B36177F34136}"/>
            </c:ext>
          </c:extLst>
        </c:ser>
        <c:ser>
          <c:idx val="2"/>
          <c:order val="2"/>
          <c:tx>
            <c:strRef>
              <c:f>Energy_Balance!$H$172</c:f>
              <c:strCache>
                <c:ptCount val="1"/>
                <c:pt idx="0">
                  <c:v>Gas</c:v>
                </c:pt>
              </c:strCache>
            </c:strRef>
          </c:tx>
          <c:spPr>
            <a:solidFill>
              <a:schemeClr val="accent3"/>
            </a:solidFill>
            <a:ln>
              <a:noFill/>
            </a:ln>
            <a:effectLst/>
          </c:spPr>
          <c:invertIfNegative val="0"/>
          <c:cat>
            <c:strRef>
              <c:f>Energy_Balance!$E$173:$E$175</c:f>
              <c:strCache>
                <c:ptCount val="3"/>
                <c:pt idx="0">
                  <c:v>Low</c:v>
                </c:pt>
                <c:pt idx="1">
                  <c:v>Middle</c:v>
                </c:pt>
                <c:pt idx="2">
                  <c:v>High</c:v>
                </c:pt>
              </c:strCache>
            </c:strRef>
          </c:cat>
          <c:val>
            <c:numRef>
              <c:f>Energy_Balance!$H$173:$H$175</c:f>
              <c:numCache>
                <c:formatCode>0.00</c:formatCode>
                <c:ptCount val="3"/>
                <c:pt idx="0">
                  <c:v>3.1036507023820095</c:v>
                </c:pt>
                <c:pt idx="1">
                  <c:v>6.022631082056547</c:v>
                </c:pt>
                <c:pt idx="2">
                  <c:v>8.8437182155614416</c:v>
                </c:pt>
              </c:numCache>
            </c:numRef>
          </c:val>
          <c:extLst>
            <c:ext xmlns:c16="http://schemas.microsoft.com/office/drawing/2014/chart" uri="{C3380CC4-5D6E-409C-BE32-E72D297353CC}">
              <c16:uniqueId val="{00000002-C52B-A248-9F4B-B36177F34136}"/>
            </c:ext>
          </c:extLst>
        </c:ser>
        <c:ser>
          <c:idx val="3"/>
          <c:order val="3"/>
          <c:tx>
            <c:strRef>
              <c:f>Energy_Balance!$I$172</c:f>
              <c:strCache>
                <c:ptCount val="1"/>
                <c:pt idx="0">
                  <c:v>Wood</c:v>
                </c:pt>
              </c:strCache>
            </c:strRef>
          </c:tx>
          <c:spPr>
            <a:solidFill>
              <a:schemeClr val="accent4"/>
            </a:solidFill>
            <a:ln>
              <a:noFill/>
            </a:ln>
            <a:effectLst/>
          </c:spPr>
          <c:invertIfNegative val="0"/>
          <c:cat>
            <c:strRef>
              <c:f>Energy_Balance!$E$173:$E$175</c:f>
              <c:strCache>
                <c:ptCount val="3"/>
                <c:pt idx="0">
                  <c:v>Low</c:v>
                </c:pt>
                <c:pt idx="1">
                  <c:v>Middle</c:v>
                </c:pt>
                <c:pt idx="2">
                  <c:v>High</c:v>
                </c:pt>
              </c:strCache>
            </c:strRef>
          </c:cat>
          <c:val>
            <c:numRef>
              <c:f>Energy_Balance!$I$173:$I$175</c:f>
              <c:numCache>
                <c:formatCode>0.00</c:formatCode>
                <c:ptCount val="3"/>
                <c:pt idx="0">
                  <c:v>55.209521164158211</c:v>
                </c:pt>
                <c:pt idx="1">
                  <c:v>27.333431752580964</c:v>
                </c:pt>
                <c:pt idx="2">
                  <c:v>1.2240470832607908</c:v>
                </c:pt>
              </c:numCache>
            </c:numRef>
          </c:val>
          <c:extLst>
            <c:ext xmlns:c16="http://schemas.microsoft.com/office/drawing/2014/chart" uri="{C3380CC4-5D6E-409C-BE32-E72D297353CC}">
              <c16:uniqueId val="{00000004-C52B-A248-9F4B-B36177F34136}"/>
            </c:ext>
          </c:extLst>
        </c:ser>
        <c:ser>
          <c:idx val="4"/>
          <c:order val="4"/>
          <c:tx>
            <c:strRef>
              <c:f>Energy_Balance!$J$172</c:f>
              <c:strCache>
                <c:ptCount val="1"/>
                <c:pt idx="0">
                  <c:v>Coal</c:v>
                </c:pt>
              </c:strCache>
            </c:strRef>
          </c:tx>
          <c:spPr>
            <a:solidFill>
              <a:schemeClr val="accent5"/>
            </a:solidFill>
            <a:ln>
              <a:noFill/>
            </a:ln>
            <a:effectLst/>
          </c:spPr>
          <c:invertIfNegative val="0"/>
          <c:cat>
            <c:strRef>
              <c:f>Energy_Balance!$E$173:$E$175</c:f>
              <c:strCache>
                <c:ptCount val="3"/>
                <c:pt idx="0">
                  <c:v>Low</c:v>
                </c:pt>
                <c:pt idx="1">
                  <c:v>Middle</c:v>
                </c:pt>
                <c:pt idx="2">
                  <c:v>High</c:v>
                </c:pt>
              </c:strCache>
            </c:strRef>
          </c:cat>
          <c:val>
            <c:numRef>
              <c:f>Energy_Balance!$J$173:$J$175</c:f>
              <c:numCache>
                <c:formatCode>0.00</c:formatCode>
                <c:ptCount val="3"/>
                <c:pt idx="0">
                  <c:v>6.7027110127113341</c:v>
                </c:pt>
                <c:pt idx="1">
                  <c:v>7.6845612428513679</c:v>
                </c:pt>
                <c:pt idx="2">
                  <c:v>1.2297277444373003</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Energy_Balance!$F$203</c:f>
              <c:strCache>
                <c:ptCount val="1"/>
                <c:pt idx="0">
                  <c:v>Electricity</c:v>
                </c:pt>
              </c:strCache>
            </c:strRef>
          </c:tx>
          <c:spPr>
            <a:solidFill>
              <a:schemeClr val="accent1"/>
            </a:solidFill>
            <a:ln>
              <a:noFill/>
            </a:ln>
            <a:effectLst/>
          </c:spPr>
          <c:invertIfNegative val="0"/>
          <c:cat>
            <c:multiLvlStrRef>
              <c:f>Energy_Balance!$D$204:$E$221</c:f>
              <c:multiLvlStrCache>
                <c:ptCount val="18"/>
                <c:lvl>
                  <c:pt idx="0">
                    <c:v>Lighting</c:v>
                  </c:pt>
                  <c:pt idx="1">
                    <c:v>Cooking</c:v>
                  </c:pt>
                  <c:pt idx="2">
                    <c:v>Heating</c:v>
                  </c:pt>
                  <c:pt idx="3">
                    <c:v>Water heating</c:v>
                  </c:pt>
                  <c:pt idx="4">
                    <c:v>Refrigeration</c:v>
                  </c:pt>
                  <c:pt idx="5">
                    <c:v>Other</c:v>
                  </c:pt>
                  <c:pt idx="6">
                    <c:v>Lighting</c:v>
                  </c:pt>
                  <c:pt idx="7">
                    <c:v>Cooking</c:v>
                  </c:pt>
                  <c:pt idx="8">
                    <c:v>Heating</c:v>
                  </c:pt>
                  <c:pt idx="9">
                    <c:v>Water heating</c:v>
                  </c:pt>
                  <c:pt idx="10">
                    <c:v>Refrigeration</c:v>
                  </c:pt>
                  <c:pt idx="11">
                    <c:v>Other</c:v>
                  </c:pt>
                  <c:pt idx="12">
                    <c:v>Lighting</c:v>
                  </c:pt>
                  <c:pt idx="13">
                    <c:v>Cooking</c:v>
                  </c:pt>
                  <c:pt idx="14">
                    <c:v>Heating</c:v>
                  </c:pt>
                  <c:pt idx="15">
                    <c:v>Water heating</c:v>
                  </c:pt>
                  <c:pt idx="16">
                    <c:v>Refrigeration</c:v>
                  </c:pt>
                  <c:pt idx="17">
                    <c:v>Other</c:v>
                  </c:pt>
                </c:lvl>
                <c:lvl>
                  <c:pt idx="0">
                    <c:v>L</c:v>
                  </c:pt>
                  <c:pt idx="6">
                    <c:v>M</c:v>
                  </c:pt>
                  <c:pt idx="12">
                    <c:v>H</c:v>
                  </c:pt>
                </c:lvl>
              </c:multiLvlStrCache>
            </c:multiLvlStrRef>
          </c:cat>
          <c:val>
            <c:numRef>
              <c:f>Energy_Balance!$F$204:$F$221</c:f>
              <c:numCache>
                <c:formatCode>0.00</c:formatCode>
                <c:ptCount val="18"/>
                <c:pt idx="0">
                  <c:v>4.7592198597930109</c:v>
                </c:pt>
                <c:pt idx="1">
                  <c:v>8.8726739588346266</c:v>
                </c:pt>
                <c:pt idx="2">
                  <c:v>0.92383071465765942</c:v>
                </c:pt>
                <c:pt idx="3">
                  <c:v>1.9736236034429964</c:v>
                </c:pt>
                <c:pt idx="4">
                  <c:v>10.633507612276235</c:v>
                </c:pt>
                <c:pt idx="5">
                  <c:v>7.1815610711883968</c:v>
                </c:pt>
                <c:pt idx="6">
                  <c:v>4.3879081164006175</c:v>
                </c:pt>
                <c:pt idx="7">
                  <c:v>8.062558887421492</c:v>
                </c:pt>
                <c:pt idx="8">
                  <c:v>1.9328157938120758</c:v>
                </c:pt>
                <c:pt idx="9">
                  <c:v>9.5424238974834363</c:v>
                </c:pt>
                <c:pt idx="10">
                  <c:v>10.104542359380272</c:v>
                </c:pt>
                <c:pt idx="11">
                  <c:v>9.7023536824606165</c:v>
                </c:pt>
                <c:pt idx="12">
                  <c:v>5.6443889869639712</c:v>
                </c:pt>
                <c:pt idx="13">
                  <c:v>9.0087971892288934</c:v>
                </c:pt>
                <c:pt idx="14">
                  <c:v>2.6079095350372934</c:v>
                </c:pt>
                <c:pt idx="15">
                  <c:v>44.293428072729746</c:v>
                </c:pt>
                <c:pt idx="16">
                  <c:v>12.524672448938746</c:v>
                </c:pt>
                <c:pt idx="17">
                  <c:v>17.843784209949941</c:v>
                </c:pt>
              </c:numCache>
            </c:numRef>
          </c:val>
          <c:extLst>
            <c:ext xmlns:c16="http://schemas.microsoft.com/office/drawing/2014/chart" uri="{C3380CC4-5D6E-409C-BE32-E72D297353CC}">
              <c16:uniqueId val="{00000000-696D-4B31-8823-933076773833}"/>
            </c:ext>
          </c:extLst>
        </c:ser>
        <c:ser>
          <c:idx val="1"/>
          <c:order val="1"/>
          <c:tx>
            <c:strRef>
              <c:f>Energy_Balance!$G$203</c:f>
              <c:strCache>
                <c:ptCount val="1"/>
                <c:pt idx="0">
                  <c:v>Paraffin</c:v>
                </c:pt>
              </c:strCache>
            </c:strRef>
          </c:tx>
          <c:spPr>
            <a:solidFill>
              <a:schemeClr val="accent2"/>
            </a:solidFill>
            <a:ln>
              <a:noFill/>
            </a:ln>
            <a:effectLst/>
          </c:spPr>
          <c:invertIfNegative val="0"/>
          <c:cat>
            <c:multiLvlStrRef>
              <c:f>Energy_Balance!$D$204:$E$221</c:f>
              <c:multiLvlStrCache>
                <c:ptCount val="18"/>
                <c:lvl>
                  <c:pt idx="0">
                    <c:v>Lighting</c:v>
                  </c:pt>
                  <c:pt idx="1">
                    <c:v>Cooking</c:v>
                  </c:pt>
                  <c:pt idx="2">
                    <c:v>Heating</c:v>
                  </c:pt>
                  <c:pt idx="3">
                    <c:v>Water heating</c:v>
                  </c:pt>
                  <c:pt idx="4">
                    <c:v>Refrigeration</c:v>
                  </c:pt>
                  <c:pt idx="5">
                    <c:v>Other</c:v>
                  </c:pt>
                  <c:pt idx="6">
                    <c:v>Lighting</c:v>
                  </c:pt>
                  <c:pt idx="7">
                    <c:v>Cooking</c:v>
                  </c:pt>
                  <c:pt idx="8">
                    <c:v>Heating</c:v>
                  </c:pt>
                  <c:pt idx="9">
                    <c:v>Water heating</c:v>
                  </c:pt>
                  <c:pt idx="10">
                    <c:v>Refrigeration</c:v>
                  </c:pt>
                  <c:pt idx="11">
                    <c:v>Other</c:v>
                  </c:pt>
                  <c:pt idx="12">
                    <c:v>Lighting</c:v>
                  </c:pt>
                  <c:pt idx="13">
                    <c:v>Cooking</c:v>
                  </c:pt>
                  <c:pt idx="14">
                    <c:v>Heating</c:v>
                  </c:pt>
                  <c:pt idx="15">
                    <c:v>Water heating</c:v>
                  </c:pt>
                  <c:pt idx="16">
                    <c:v>Refrigeration</c:v>
                  </c:pt>
                  <c:pt idx="17">
                    <c:v>Other</c:v>
                  </c:pt>
                </c:lvl>
                <c:lvl>
                  <c:pt idx="0">
                    <c:v>L</c:v>
                  </c:pt>
                  <c:pt idx="6">
                    <c:v>M</c:v>
                  </c:pt>
                  <c:pt idx="12">
                    <c:v>H</c:v>
                  </c:pt>
                </c:lvl>
              </c:multiLvlStrCache>
            </c:multiLvlStrRef>
          </c:cat>
          <c:val>
            <c:numRef>
              <c:f>Energy_Balance!$G$204:$G$221</c:f>
              <c:numCache>
                <c:formatCode>0.00</c:formatCode>
                <c:ptCount val="18"/>
                <c:pt idx="0">
                  <c:v>0.36541482196776115</c:v>
                </c:pt>
                <c:pt idx="1">
                  <c:v>1.4969403216661288</c:v>
                </c:pt>
                <c:pt idx="2">
                  <c:v>0.32511472040198852</c:v>
                </c:pt>
                <c:pt idx="3">
                  <c:v>2.8371679818600861</c:v>
                </c:pt>
                <c:pt idx="4">
                  <c:v>0</c:v>
                </c:pt>
                <c:pt idx="5">
                  <c:v>0</c:v>
                </c:pt>
                <c:pt idx="6">
                  <c:v>0.71482186957706251</c:v>
                </c:pt>
                <c:pt idx="7">
                  <c:v>0.20615414115615299</c:v>
                </c:pt>
                <c:pt idx="8">
                  <c:v>0.74689579765915792</c:v>
                </c:pt>
                <c:pt idx="9">
                  <c:v>2.0981351412120754</c:v>
                </c:pt>
                <c:pt idx="10">
                  <c:v>0</c:v>
                </c:pt>
                <c:pt idx="11">
                  <c:v>0</c:v>
                </c:pt>
                <c:pt idx="12">
                  <c:v>0</c:v>
                </c:pt>
                <c:pt idx="13">
                  <c:v>9.2563833924448141E-2</c:v>
                </c:pt>
                <c:pt idx="14">
                  <c:v>2.5486082730346662E-2</c:v>
                </c:pt>
                <c:pt idx="15">
                  <c:v>0.73130528784479287</c:v>
                </c:pt>
                <c:pt idx="16">
                  <c:v>0</c:v>
                </c:pt>
                <c:pt idx="17">
                  <c:v>0</c:v>
                </c:pt>
              </c:numCache>
            </c:numRef>
          </c:val>
          <c:extLst>
            <c:ext xmlns:c16="http://schemas.microsoft.com/office/drawing/2014/chart" uri="{C3380CC4-5D6E-409C-BE32-E72D297353CC}">
              <c16:uniqueId val="{00000001-696D-4B31-8823-933076773833}"/>
            </c:ext>
          </c:extLst>
        </c:ser>
        <c:ser>
          <c:idx val="2"/>
          <c:order val="2"/>
          <c:tx>
            <c:strRef>
              <c:f>Energy_Balance!$H$203</c:f>
              <c:strCache>
                <c:ptCount val="1"/>
                <c:pt idx="0">
                  <c:v>Gas</c:v>
                </c:pt>
              </c:strCache>
            </c:strRef>
          </c:tx>
          <c:spPr>
            <a:solidFill>
              <a:schemeClr val="accent3"/>
            </a:solidFill>
            <a:ln>
              <a:noFill/>
            </a:ln>
            <a:effectLst/>
          </c:spPr>
          <c:invertIfNegative val="0"/>
          <c:cat>
            <c:multiLvlStrRef>
              <c:f>Energy_Balance!$D$204:$E$221</c:f>
              <c:multiLvlStrCache>
                <c:ptCount val="18"/>
                <c:lvl>
                  <c:pt idx="0">
                    <c:v>Lighting</c:v>
                  </c:pt>
                  <c:pt idx="1">
                    <c:v>Cooking</c:v>
                  </c:pt>
                  <c:pt idx="2">
                    <c:v>Heating</c:v>
                  </c:pt>
                  <c:pt idx="3">
                    <c:v>Water heating</c:v>
                  </c:pt>
                  <c:pt idx="4">
                    <c:v>Refrigeration</c:v>
                  </c:pt>
                  <c:pt idx="5">
                    <c:v>Other</c:v>
                  </c:pt>
                  <c:pt idx="6">
                    <c:v>Lighting</c:v>
                  </c:pt>
                  <c:pt idx="7">
                    <c:v>Cooking</c:v>
                  </c:pt>
                  <c:pt idx="8">
                    <c:v>Heating</c:v>
                  </c:pt>
                  <c:pt idx="9">
                    <c:v>Water heating</c:v>
                  </c:pt>
                  <c:pt idx="10">
                    <c:v>Refrigeration</c:v>
                  </c:pt>
                  <c:pt idx="11">
                    <c:v>Other</c:v>
                  </c:pt>
                  <c:pt idx="12">
                    <c:v>Lighting</c:v>
                  </c:pt>
                  <c:pt idx="13">
                    <c:v>Cooking</c:v>
                  </c:pt>
                  <c:pt idx="14">
                    <c:v>Heating</c:v>
                  </c:pt>
                  <c:pt idx="15">
                    <c:v>Water heating</c:v>
                  </c:pt>
                  <c:pt idx="16">
                    <c:v>Refrigeration</c:v>
                  </c:pt>
                  <c:pt idx="17">
                    <c:v>Other</c:v>
                  </c:pt>
                </c:lvl>
                <c:lvl>
                  <c:pt idx="0">
                    <c:v>L</c:v>
                  </c:pt>
                  <c:pt idx="6">
                    <c:v>M</c:v>
                  </c:pt>
                  <c:pt idx="12">
                    <c:v>H</c:v>
                  </c:pt>
                </c:lvl>
              </c:multiLvlStrCache>
            </c:multiLvlStrRef>
          </c:cat>
          <c:val>
            <c:numRef>
              <c:f>Energy_Balance!$H$204:$H$221</c:f>
              <c:numCache>
                <c:formatCode>0.00</c:formatCode>
                <c:ptCount val="18"/>
                <c:pt idx="0">
                  <c:v>0</c:v>
                </c:pt>
                <c:pt idx="1">
                  <c:v>1.0540082413086083</c:v>
                </c:pt>
                <c:pt idx="2">
                  <c:v>8.2195005713241232E-2</c:v>
                </c:pt>
                <c:pt idx="3">
                  <c:v>0.58421574773989327</c:v>
                </c:pt>
                <c:pt idx="4">
                  <c:v>0</c:v>
                </c:pt>
                <c:pt idx="5">
                  <c:v>0</c:v>
                </c:pt>
                <c:pt idx="6">
                  <c:v>0</c:v>
                </c:pt>
                <c:pt idx="7">
                  <c:v>0.57692644375234903</c:v>
                </c:pt>
                <c:pt idx="8">
                  <c:v>0.72640689006309955</c:v>
                </c:pt>
                <c:pt idx="9">
                  <c:v>2.2949532423457586</c:v>
                </c:pt>
                <c:pt idx="10">
                  <c:v>0</c:v>
                </c:pt>
                <c:pt idx="11">
                  <c:v>0</c:v>
                </c:pt>
                <c:pt idx="12">
                  <c:v>0</c:v>
                </c:pt>
                <c:pt idx="13">
                  <c:v>2.3995866483591111</c:v>
                </c:pt>
                <c:pt idx="14">
                  <c:v>2.206870457913674</c:v>
                </c:pt>
                <c:pt idx="15">
                  <c:v>8.0448373228042644</c:v>
                </c:pt>
                <c:pt idx="16">
                  <c:v>0</c:v>
                </c:pt>
                <c:pt idx="17">
                  <c:v>0</c:v>
                </c:pt>
              </c:numCache>
            </c:numRef>
          </c:val>
          <c:extLst>
            <c:ext xmlns:c16="http://schemas.microsoft.com/office/drawing/2014/chart" uri="{C3380CC4-5D6E-409C-BE32-E72D297353CC}">
              <c16:uniqueId val="{00000002-696D-4B31-8823-933076773833}"/>
            </c:ext>
          </c:extLst>
        </c:ser>
        <c:ser>
          <c:idx val="3"/>
          <c:order val="3"/>
          <c:tx>
            <c:strRef>
              <c:f>Energy_Balance!$I$203</c:f>
              <c:strCache>
                <c:ptCount val="1"/>
                <c:pt idx="0">
                  <c:v>Wood</c:v>
                </c:pt>
              </c:strCache>
            </c:strRef>
          </c:tx>
          <c:spPr>
            <a:solidFill>
              <a:schemeClr val="accent4"/>
            </a:solidFill>
            <a:ln>
              <a:noFill/>
            </a:ln>
            <a:effectLst/>
          </c:spPr>
          <c:invertIfNegative val="0"/>
          <c:cat>
            <c:multiLvlStrRef>
              <c:f>Energy_Balance!$D$204:$E$221</c:f>
              <c:multiLvlStrCache>
                <c:ptCount val="18"/>
                <c:lvl>
                  <c:pt idx="0">
                    <c:v>Lighting</c:v>
                  </c:pt>
                  <c:pt idx="1">
                    <c:v>Cooking</c:v>
                  </c:pt>
                  <c:pt idx="2">
                    <c:v>Heating</c:v>
                  </c:pt>
                  <c:pt idx="3">
                    <c:v>Water heating</c:v>
                  </c:pt>
                  <c:pt idx="4">
                    <c:v>Refrigeration</c:v>
                  </c:pt>
                  <c:pt idx="5">
                    <c:v>Other</c:v>
                  </c:pt>
                  <c:pt idx="6">
                    <c:v>Lighting</c:v>
                  </c:pt>
                  <c:pt idx="7">
                    <c:v>Cooking</c:v>
                  </c:pt>
                  <c:pt idx="8">
                    <c:v>Heating</c:v>
                  </c:pt>
                  <c:pt idx="9">
                    <c:v>Water heating</c:v>
                  </c:pt>
                  <c:pt idx="10">
                    <c:v>Refrigeration</c:v>
                  </c:pt>
                  <c:pt idx="11">
                    <c:v>Other</c:v>
                  </c:pt>
                  <c:pt idx="12">
                    <c:v>Lighting</c:v>
                  </c:pt>
                  <c:pt idx="13">
                    <c:v>Cooking</c:v>
                  </c:pt>
                  <c:pt idx="14">
                    <c:v>Heating</c:v>
                  </c:pt>
                  <c:pt idx="15">
                    <c:v>Water heating</c:v>
                  </c:pt>
                  <c:pt idx="16">
                    <c:v>Refrigeration</c:v>
                  </c:pt>
                  <c:pt idx="17">
                    <c:v>Other</c:v>
                  </c:pt>
                </c:lvl>
                <c:lvl>
                  <c:pt idx="0">
                    <c:v>L</c:v>
                  </c:pt>
                  <c:pt idx="6">
                    <c:v>M</c:v>
                  </c:pt>
                  <c:pt idx="12">
                    <c:v>H</c:v>
                  </c:pt>
                </c:lvl>
              </c:multiLvlStrCache>
            </c:multiLvlStrRef>
          </c:cat>
          <c:val>
            <c:numRef>
              <c:f>Energy_Balance!$I$204:$I$221</c:f>
              <c:numCache>
                <c:formatCode>0.00</c:formatCode>
                <c:ptCount val="18"/>
                <c:pt idx="0">
                  <c:v>0</c:v>
                </c:pt>
                <c:pt idx="1">
                  <c:v>33.542202919333945</c:v>
                </c:pt>
                <c:pt idx="2">
                  <c:v>10.185203913611241</c:v>
                </c:pt>
                <c:pt idx="3">
                  <c:v>9.3904034820075051</c:v>
                </c:pt>
                <c:pt idx="4">
                  <c:v>0</c:v>
                </c:pt>
                <c:pt idx="5">
                  <c:v>0</c:v>
                </c:pt>
                <c:pt idx="6">
                  <c:v>0</c:v>
                </c:pt>
                <c:pt idx="7">
                  <c:v>16.951093019503173</c:v>
                </c:pt>
                <c:pt idx="8">
                  <c:v>5.1512463307387257</c:v>
                </c:pt>
                <c:pt idx="9">
                  <c:v>6.1152168202815496</c:v>
                </c:pt>
                <c:pt idx="10">
                  <c:v>0</c:v>
                </c:pt>
                <c:pt idx="11">
                  <c:v>0</c:v>
                </c:pt>
                <c:pt idx="12">
                  <c:v>0</c:v>
                </c:pt>
                <c:pt idx="13">
                  <c:v>0.99354566271501477</c:v>
                </c:pt>
                <c:pt idx="14">
                  <c:v>0.24522190197486701</c:v>
                </c:pt>
                <c:pt idx="15">
                  <c:v>1.1928659498339771</c:v>
                </c:pt>
                <c:pt idx="16">
                  <c:v>0</c:v>
                </c:pt>
                <c:pt idx="17">
                  <c:v>0</c:v>
                </c:pt>
              </c:numCache>
            </c:numRef>
          </c:val>
          <c:extLst>
            <c:ext xmlns:c16="http://schemas.microsoft.com/office/drawing/2014/chart" uri="{C3380CC4-5D6E-409C-BE32-E72D297353CC}">
              <c16:uniqueId val="{00000003-696D-4B31-8823-933076773833}"/>
            </c:ext>
          </c:extLst>
        </c:ser>
        <c:ser>
          <c:idx val="4"/>
          <c:order val="4"/>
          <c:tx>
            <c:strRef>
              <c:f>Energy_Balance!$J$203</c:f>
              <c:strCache>
                <c:ptCount val="1"/>
                <c:pt idx="0">
                  <c:v>Coal</c:v>
                </c:pt>
              </c:strCache>
            </c:strRef>
          </c:tx>
          <c:spPr>
            <a:solidFill>
              <a:schemeClr val="accent5"/>
            </a:solidFill>
            <a:ln>
              <a:noFill/>
            </a:ln>
            <a:effectLst/>
          </c:spPr>
          <c:invertIfNegative val="0"/>
          <c:cat>
            <c:multiLvlStrRef>
              <c:f>Energy_Balance!$D$204:$E$221</c:f>
              <c:multiLvlStrCache>
                <c:ptCount val="18"/>
                <c:lvl>
                  <c:pt idx="0">
                    <c:v>Lighting</c:v>
                  </c:pt>
                  <c:pt idx="1">
                    <c:v>Cooking</c:v>
                  </c:pt>
                  <c:pt idx="2">
                    <c:v>Heating</c:v>
                  </c:pt>
                  <c:pt idx="3">
                    <c:v>Water heating</c:v>
                  </c:pt>
                  <c:pt idx="4">
                    <c:v>Refrigeration</c:v>
                  </c:pt>
                  <c:pt idx="5">
                    <c:v>Other</c:v>
                  </c:pt>
                  <c:pt idx="6">
                    <c:v>Lighting</c:v>
                  </c:pt>
                  <c:pt idx="7">
                    <c:v>Cooking</c:v>
                  </c:pt>
                  <c:pt idx="8">
                    <c:v>Heating</c:v>
                  </c:pt>
                  <c:pt idx="9">
                    <c:v>Water heating</c:v>
                  </c:pt>
                  <c:pt idx="10">
                    <c:v>Refrigeration</c:v>
                  </c:pt>
                  <c:pt idx="11">
                    <c:v>Other</c:v>
                  </c:pt>
                  <c:pt idx="12">
                    <c:v>Lighting</c:v>
                  </c:pt>
                  <c:pt idx="13">
                    <c:v>Cooking</c:v>
                  </c:pt>
                  <c:pt idx="14">
                    <c:v>Heating</c:v>
                  </c:pt>
                  <c:pt idx="15">
                    <c:v>Water heating</c:v>
                  </c:pt>
                  <c:pt idx="16">
                    <c:v>Refrigeration</c:v>
                  </c:pt>
                  <c:pt idx="17">
                    <c:v>Other</c:v>
                  </c:pt>
                </c:lvl>
                <c:lvl>
                  <c:pt idx="0">
                    <c:v>L</c:v>
                  </c:pt>
                  <c:pt idx="6">
                    <c:v>M</c:v>
                  </c:pt>
                  <c:pt idx="12">
                    <c:v>H</c:v>
                  </c:pt>
                </c:lvl>
              </c:multiLvlStrCache>
            </c:multiLvlStrRef>
          </c:cat>
          <c:val>
            <c:numRef>
              <c:f>Energy_Balance!$J$204:$J$221</c:f>
              <c:numCache>
                <c:formatCode>0.00</c:formatCode>
                <c:ptCount val="18"/>
                <c:pt idx="0">
                  <c:v>0</c:v>
                </c:pt>
                <c:pt idx="1">
                  <c:v>2.1940201359108897</c:v>
                </c:pt>
                <c:pt idx="2">
                  <c:v>3.5807184128955476</c:v>
                </c:pt>
                <c:pt idx="3">
                  <c:v>0.55466590619951062</c:v>
                </c:pt>
                <c:pt idx="4">
                  <c:v>0</c:v>
                </c:pt>
                <c:pt idx="5">
                  <c:v>0</c:v>
                </c:pt>
                <c:pt idx="6">
                  <c:v>0</c:v>
                </c:pt>
                <c:pt idx="7">
                  <c:v>1.6572312557292754</c:v>
                </c:pt>
                <c:pt idx="8">
                  <c:v>5.1822659916246563</c:v>
                </c:pt>
                <c:pt idx="9">
                  <c:v>0.97280809955558833</c:v>
                </c:pt>
                <c:pt idx="10">
                  <c:v>0</c:v>
                </c:pt>
                <c:pt idx="11">
                  <c:v>0</c:v>
                </c:pt>
                <c:pt idx="12">
                  <c:v>0</c:v>
                </c:pt>
                <c:pt idx="13">
                  <c:v>0</c:v>
                </c:pt>
                <c:pt idx="14">
                  <c:v>1.2379218124175966</c:v>
                </c:pt>
                <c:pt idx="15">
                  <c:v>0.23736838566694082</c:v>
                </c:pt>
                <c:pt idx="16">
                  <c:v>0</c:v>
                </c:pt>
                <c:pt idx="17">
                  <c:v>0</c:v>
                </c:pt>
              </c:numCache>
            </c:numRef>
          </c:val>
          <c:extLst>
            <c:ext xmlns:c16="http://schemas.microsoft.com/office/drawing/2014/chart" uri="{C3380CC4-5D6E-409C-BE32-E72D297353CC}">
              <c16:uniqueId val="{00000004-696D-4B31-8823-933076773833}"/>
            </c:ext>
          </c:extLst>
        </c:ser>
        <c:dLbls>
          <c:showLegendKey val="0"/>
          <c:showVal val="0"/>
          <c:showCatName val="0"/>
          <c:showSerName val="0"/>
          <c:showPercent val="0"/>
          <c:showBubbleSize val="0"/>
        </c:dLbls>
        <c:gapWidth val="150"/>
        <c:overlap val="100"/>
        <c:axId val="1504125696"/>
        <c:axId val="1504113216"/>
      </c:barChart>
      <c:catAx>
        <c:axId val="1504125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113216"/>
        <c:crosses val="autoZero"/>
        <c:auto val="1"/>
        <c:lblAlgn val="ctr"/>
        <c:lblOffset val="100"/>
        <c:noMultiLvlLbl val="0"/>
      </c:catAx>
      <c:valAx>
        <c:axId val="1504113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125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238</xdr:row>
      <xdr:rowOff>139700</xdr:rowOff>
    </xdr:from>
    <xdr:to>
      <xdr:col>25</xdr:col>
      <xdr:colOff>120650</xdr:colOff>
      <xdr:row>271</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727517" y="52569533"/>
          <a:ext cx="8305800" cy="5327650"/>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180</xdr:row>
      <xdr:rowOff>65087</xdr:rowOff>
    </xdr:from>
    <xdr:to>
      <xdr:col>15</xdr:col>
      <xdr:colOff>1082675</xdr:colOff>
      <xdr:row>197</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180</xdr:row>
      <xdr:rowOff>48793</xdr:rowOff>
    </xdr:from>
    <xdr:to>
      <xdr:col>6</xdr:col>
      <xdr:colOff>794736</xdr:colOff>
      <xdr:row>194</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313568</xdr:colOff>
      <xdr:row>189</xdr:row>
      <xdr:rowOff>116418</xdr:rowOff>
    </xdr:from>
    <xdr:to>
      <xdr:col>12</xdr:col>
      <xdr:colOff>444500</xdr:colOff>
      <xdr:row>215</xdr:row>
      <xdr:rowOff>145447</xdr:rowOff>
    </xdr:to>
    <xdr:graphicFrame macro="">
      <xdr:nvGraphicFramePr>
        <xdr:cNvPr id="3" name="Chart 2">
          <a:extLst>
            <a:ext uri="{FF2B5EF4-FFF2-40B4-BE49-F238E27FC236}">
              <a16:creationId xmlns:a16="http://schemas.microsoft.com/office/drawing/2014/main" id="{E2384CD1-8F93-1BFE-0F6D-1A59237F0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s\SATIMGE_Veda\suppxls\Scen_DMD_PRJ%20-%20Copy.xlsx" TargetMode="External"/><Relationship Id="rId1" Type="http://schemas.openxmlformats.org/officeDocument/2006/relationships/externalLinkPath" Target="suppxls/Scen_DMD_PRJ%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REGIONS"/>
      <sheetName val="Index_SATIM"/>
      <sheetName val="Index_G2E"/>
      <sheetName val="Index_E2G"/>
      <sheetName val="POP_STATSSA"/>
      <sheetName val="DriversGams"/>
      <sheetName val="Drivers"/>
      <sheetName val="BY-DMD"/>
      <sheetName val="DMD"/>
      <sheetName val="AGR"/>
      <sheetName val="IND"/>
      <sheetName val="RES"/>
      <sheetName val="COM"/>
      <sheetName val="FTRA"/>
      <sheetName val="PTRA"/>
      <sheetName val="OtherTRA"/>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7">
          <cell r="E17">
            <v>0.4556701030927835</v>
          </cell>
        </row>
        <row r="18">
          <cell r="E18">
            <v>0.30824742268041239</v>
          </cell>
        </row>
        <row r="19">
          <cell r="E19">
            <v>0.23608247422680412</v>
          </cell>
        </row>
      </sheetData>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9" dT="2020-06-10T10:21:22.86" personId="{CDDAF179-4480-4DE8-BE64-7CEFAF2FA394}" id="{6A7695AD-4A76-48DA-970B-19A6CB9DACC1}">
    <text>Also difference in wood use here, with non-elec hhlds using more</text>
  </threadedComment>
  <threadedComment ref="H149" dT="2024-10-17T11:09:04.45" personId="{E1B755A1-88E3-EE4F-B17D-58DA0F0B7737}" id="{9CA33124-EB17-413B-88C7-52611B7F8AD0}">
    <text>Assume 1.5% ownership of gas geysers in the high income groups based on GHS results, but reduced to 0.7 so that UED share is closer to 1.5 in the RES sheet</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53125" defaultRowHeight="12.5"/>
  <cols>
    <col min="1" max="1" width="38.8164062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1640625" defaultRowHeight="12.5"/>
  <sheetData>
    <row r="1" spans="1:6" ht="13">
      <c r="B1" s="160">
        <v>1</v>
      </c>
      <c r="C1" s="6"/>
      <c r="D1" s="5" t="s">
        <v>394</v>
      </c>
      <c r="F1" s="21"/>
    </row>
    <row r="2" spans="1:6" ht="13.5">
      <c r="A2" s="6"/>
      <c r="B2" s="159">
        <v>0</v>
      </c>
      <c r="C2" s="159" t="s">
        <v>396</v>
      </c>
    </row>
    <row r="3" spans="1:6" ht="13.5">
      <c r="A3" s="6"/>
      <c r="B3" s="159">
        <v>1</v>
      </c>
      <c r="C3" s="159" t="s">
        <v>395</v>
      </c>
    </row>
    <row r="5" spans="1:6">
      <c r="A5" t="s">
        <v>64</v>
      </c>
    </row>
    <row r="10" spans="1:6" ht="13.5">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1640625" defaultRowHeight="12.5"/>
  <cols>
    <col min="1" max="1" width="17.7265625" customWidth="1"/>
    <col min="2" max="2" width="74.26953125" customWidth="1"/>
    <col min="3" max="3" width="44.453125" customWidth="1"/>
    <col min="4" max="4" width="51.7265625" customWidth="1"/>
    <col min="5" max="5" width="22" customWidth="1"/>
    <col min="6" max="6" width="25.26953125" customWidth="1"/>
    <col min="7" max="7" width="43.7265625" customWidth="1"/>
  </cols>
  <sheetData>
    <row r="2" spans="1:7">
      <c r="A2" s="1"/>
    </row>
    <row r="3" spans="1:7" ht="13">
      <c r="A3" s="5" t="s">
        <v>199</v>
      </c>
    </row>
    <row r="4" spans="1:7">
      <c r="A4" s="1"/>
    </row>
    <row r="5" spans="1:7" ht="13">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1640625" defaultRowHeight="12.5"/>
  <cols>
    <col min="3" max="3" width="15.453125" bestFit="1" customWidth="1"/>
    <col min="5" max="5" width="13.1796875" customWidth="1"/>
    <col min="6" max="6" width="35.26953125" customWidth="1"/>
    <col min="7" max="7" width="53.453125" customWidth="1"/>
    <col min="8" max="8" width="17.453125" customWidth="1"/>
    <col min="11" max="11" width="17.726562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1640625" defaultRowHeight="12.5"/>
  <cols>
    <col min="1" max="1" width="7" customWidth="1"/>
    <col min="2" max="2" width="14.7265625" customWidth="1"/>
    <col min="3" max="3" width="29" customWidth="1"/>
    <col min="4" max="4" width="11.453125" customWidth="1"/>
  </cols>
  <sheetData>
    <row r="2" spans="1:6" ht="14">
      <c r="B2" s="72" t="s">
        <v>0</v>
      </c>
      <c r="C2" s="72" t="s">
        <v>174</v>
      </c>
      <c r="D2" s="18" t="s">
        <v>1</v>
      </c>
      <c r="E2" s="16" t="s">
        <v>165</v>
      </c>
      <c r="F2" s="1" t="s">
        <v>212</v>
      </c>
    </row>
    <row r="3" spans="1:6" ht="15.5">
      <c r="A3" s="1"/>
      <c r="B3" s="73" t="s">
        <v>42</v>
      </c>
      <c r="C3" s="72">
        <v>3.6</v>
      </c>
      <c r="D3" s="16" t="s">
        <v>123</v>
      </c>
      <c r="E3">
        <v>4</v>
      </c>
    </row>
    <row r="4" spans="1:6" ht="14">
      <c r="B4" s="72" t="s">
        <v>3</v>
      </c>
      <c r="C4" s="72">
        <v>37</v>
      </c>
      <c r="D4" s="16" t="s">
        <v>172</v>
      </c>
      <c r="E4" t="s">
        <v>185</v>
      </c>
    </row>
    <row r="5" spans="1:6" ht="14">
      <c r="B5" s="72" t="s">
        <v>21</v>
      </c>
      <c r="C5" s="72">
        <v>26.7</v>
      </c>
      <c r="D5" s="16" t="s">
        <v>172</v>
      </c>
      <c r="E5">
        <v>4</v>
      </c>
    </row>
    <row r="6" spans="1:6" ht="14">
      <c r="B6" s="72" t="s">
        <v>21</v>
      </c>
      <c r="C6" s="72">
        <v>46</v>
      </c>
      <c r="D6" s="16" t="s">
        <v>32</v>
      </c>
    </row>
    <row r="7" spans="1:6" ht="14">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4">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10"/>
  <sheetViews>
    <sheetView topLeftCell="A289" zoomScale="60" zoomScaleNormal="60" workbookViewId="0">
      <selection activeCell="C311" sqref="C311"/>
    </sheetView>
  </sheetViews>
  <sheetFormatPr defaultColWidth="11.453125" defaultRowHeight="12.5"/>
  <cols>
    <col min="1" max="1" width="32.453125" customWidth="1"/>
    <col min="2" max="2" width="19.1796875" bestFit="1" customWidth="1"/>
    <col min="3" max="3" width="10.81640625" customWidth="1"/>
    <col min="4" max="4" width="10" customWidth="1"/>
    <col min="5" max="5" width="16.7265625" customWidth="1"/>
    <col min="6" max="6" width="9.7265625" customWidth="1"/>
    <col min="7" max="8" width="8.81640625" customWidth="1"/>
    <col min="9" max="9" width="8.26953125" customWidth="1"/>
    <col min="10" max="10" width="9.7265625" customWidth="1"/>
    <col min="11" max="11" width="8.1796875" customWidth="1"/>
    <col min="12" max="12" width="10.81640625" customWidth="1"/>
    <col min="13" max="13" width="9.453125" customWidth="1"/>
    <col min="14" max="14" width="8.453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5" t="s">
        <v>444</v>
      </c>
      <c r="B11" s="614"/>
      <c r="C11" s="613" t="s">
        <v>445</v>
      </c>
      <c r="D11" s="614"/>
      <c r="E11" s="614"/>
      <c r="F11" s="614"/>
      <c r="G11" s="614"/>
      <c r="H11" s="614"/>
      <c r="I11" s="614"/>
      <c r="J11" s="614"/>
      <c r="K11" s="614"/>
      <c r="L11" s="614"/>
      <c r="M11" s="614"/>
      <c r="N11" s="614"/>
      <c r="O11" s="614"/>
      <c r="P11" s="614"/>
      <c r="Q11" s="613" t="s">
        <v>446</v>
      </c>
      <c r="R11" s="614"/>
      <c r="S11" s="614"/>
      <c r="T11" s="614"/>
      <c r="U11" s="614"/>
      <c r="V11" s="614"/>
      <c r="W11" s="614"/>
      <c r="X11" s="614"/>
      <c r="Y11" s="614"/>
      <c r="Z11" s="614"/>
      <c r="AA11" s="614"/>
      <c r="AB11" s="614"/>
      <c r="AC11" s="614"/>
      <c r="AD11" s="614"/>
      <c r="AE11" s="613" t="s">
        <v>447</v>
      </c>
      <c r="AF11" s="614"/>
      <c r="AG11" s="614"/>
      <c r="AH11" s="614"/>
      <c r="AI11" s="614"/>
      <c r="AJ11" s="614"/>
      <c r="AK11" s="614"/>
      <c r="AL11" s="614"/>
      <c r="AM11" s="614"/>
      <c r="AN11" s="614"/>
      <c r="AO11" s="614"/>
      <c r="AP11" s="614"/>
      <c r="AQ11" s="614"/>
      <c r="AR11" s="614"/>
      <c r="AS11" s="613" t="s">
        <v>448</v>
      </c>
      <c r="AT11" s="614"/>
      <c r="AU11" s="614"/>
      <c r="AV11" s="614"/>
      <c r="AW11" s="614"/>
      <c r="AX11" s="614"/>
      <c r="AY11" s="614"/>
      <c r="AZ11" s="614"/>
      <c r="BA11" s="614"/>
      <c r="BB11" s="614"/>
      <c r="BC11" s="614"/>
      <c r="BD11" s="614"/>
      <c r="BE11" s="614"/>
      <c r="BF11" s="614"/>
      <c r="BG11" s="613" t="s">
        <v>449</v>
      </c>
      <c r="BH11" s="614"/>
      <c r="BI11" s="614"/>
      <c r="BJ11" s="614"/>
      <c r="BK11" s="614"/>
      <c r="BL11" s="614"/>
      <c r="BM11" s="614"/>
      <c r="BN11" s="614"/>
      <c r="BO11" s="614"/>
      <c r="BP11" s="614"/>
      <c r="BQ11" s="614"/>
      <c r="BR11" s="614"/>
      <c r="BS11" s="614"/>
      <c r="BT11" s="614"/>
      <c r="BU11" s="613" t="s">
        <v>450</v>
      </c>
      <c r="BV11" s="614"/>
      <c r="BW11" s="614"/>
      <c r="BX11" s="614"/>
      <c r="BY11" s="614"/>
      <c r="BZ11" s="614"/>
      <c r="CA11" s="614"/>
      <c r="CB11" s="614"/>
      <c r="CC11" s="614"/>
      <c r="CD11" s="614"/>
      <c r="CE11" s="614"/>
      <c r="CF11" s="614"/>
      <c r="CG11" s="614"/>
      <c r="CH11" s="614"/>
      <c r="CI11" s="613" t="s">
        <v>451</v>
      </c>
      <c r="CJ11" s="614"/>
      <c r="CK11" s="614"/>
      <c r="CL11" s="614"/>
      <c r="CM11" s="614"/>
      <c r="CN11" s="614"/>
      <c r="CO11" s="614"/>
      <c r="CP11" s="614"/>
      <c r="CQ11" s="614"/>
      <c r="CR11" s="614"/>
      <c r="CS11" s="614"/>
      <c r="CT11" s="614"/>
      <c r="CU11" s="614"/>
      <c r="CV11" s="614"/>
    </row>
    <row r="12" spans="1:100" s="274" customFormat="1" ht="26.25" customHeight="1">
      <c r="A12" s="615" t="s">
        <v>453</v>
      </c>
      <c r="B12" s="614"/>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2.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0">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7.5">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5">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0">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ht="13">
      <c r="A75" s="285" t="s">
        <v>54</v>
      </c>
      <c r="B75" s="286" t="s">
        <v>478</v>
      </c>
      <c r="C75" s="286" t="s">
        <v>479</v>
      </c>
      <c r="D75" s="286" t="s">
        <v>480</v>
      </c>
    </row>
    <row r="76" spans="1:12" ht="13">
      <c r="A76" s="285" t="s">
        <v>504</v>
      </c>
      <c r="B76" s="282"/>
      <c r="C76" s="283">
        <f>SUMPRODUCT(C46:C48,C67:C69)+SUMPRODUCT(G46:G48,G67:G69)+SUMPRODUCT(K46:K48,K67:K69)</f>
        <v>113.15017353023923</v>
      </c>
      <c r="D76" s="283">
        <f>SUMPRODUCT(D46:D48,D67:D69)+SUMPRODUCT(H46:H48,H67:H69)+SUMPRODUCT(L46:L48,L67:L69)</f>
        <v>155.3270429890442</v>
      </c>
    </row>
    <row r="77" spans="1:12" ht="13">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5" t="s">
        <v>512</v>
      </c>
      <c r="B88" s="614"/>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2.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0">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7.5">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5">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0">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ht="13">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2.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0">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7.5">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5">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0">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ht="13">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2.5">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9">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ht="13">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2.5">
      <c r="A137" s="303" t="s">
        <v>65</v>
      </c>
      <c r="H137" t="s">
        <v>767</v>
      </c>
    </row>
    <row r="138" spans="1:44" ht="13">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ht="13">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ht="13">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ht="13">
      <c r="A154" s="5" t="s">
        <v>599</v>
      </c>
    </row>
    <row r="155" spans="1:17">
      <c r="A155" t="s">
        <v>684</v>
      </c>
      <c r="B155" s="50">
        <v>0.83</v>
      </c>
    </row>
    <row r="156" spans="1:17" ht="13">
      <c r="A156" s="347" t="s">
        <v>600</v>
      </c>
      <c r="B156" s="280"/>
      <c r="C156" s="280"/>
      <c r="D156" s="280"/>
      <c r="E156" s="280"/>
      <c r="F156" s="280"/>
      <c r="G156" s="280"/>
      <c r="H156" s="280"/>
      <c r="I156" s="280"/>
      <c r="J156" s="280"/>
    </row>
    <row r="157" spans="1:17" ht="13">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ht="13">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ht="13">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ht="13">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4.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4.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4.5">
      <c r="A163" s="341" t="s">
        <v>816</v>
      </c>
      <c r="B163" s="342"/>
      <c r="C163" s="342"/>
      <c r="D163" s="342"/>
      <c r="E163" s="342"/>
      <c r="F163" s="342"/>
      <c r="G163" s="342"/>
      <c r="H163" s="342"/>
      <c r="I163" s="342"/>
      <c r="J163" s="342"/>
      <c r="M163" s="306"/>
      <c r="N163" s="306"/>
      <c r="O163" s="306"/>
      <c r="P163" s="306"/>
      <c r="Q163" s="306"/>
    </row>
    <row r="164" spans="1:20" ht="14.5">
      <c r="A164" s="271" t="s">
        <v>817</v>
      </c>
      <c r="B164" s="24"/>
      <c r="C164" s="24"/>
      <c r="D164" s="24"/>
      <c r="E164" s="24"/>
      <c r="F164" s="24"/>
      <c r="G164" s="24"/>
      <c r="H164" s="24"/>
      <c r="I164" s="24"/>
      <c r="J164" s="24"/>
      <c r="M164" s="306"/>
      <c r="N164" s="306"/>
      <c r="O164" s="306"/>
      <c r="P164" s="306"/>
      <c r="Q164" s="306"/>
    </row>
    <row r="165" spans="1:20" ht="14.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4.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4.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4.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D224/B168</f>
        <v>8.7745777275293861E-3</v>
      </c>
    </row>
    <row r="169" spans="1:20" ht="14.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4.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4.5">
      <c r="A172" s="339" t="s">
        <v>687</v>
      </c>
      <c r="B172" s="340"/>
      <c r="C172" s="340"/>
      <c r="D172" s="340"/>
      <c r="E172" s="340"/>
      <c r="F172" s="340"/>
      <c r="G172" s="340"/>
      <c r="H172" s="340"/>
      <c r="I172" s="340"/>
      <c r="J172" s="340"/>
      <c r="M172" s="306"/>
      <c r="N172" s="306"/>
      <c r="O172" s="306"/>
      <c r="P172" s="306"/>
      <c r="Q172" s="306"/>
    </row>
    <row r="173" spans="1:20" ht="14.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4.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4.5">
      <c r="A175" s="339" t="s">
        <v>704</v>
      </c>
      <c r="B175" s="340"/>
      <c r="C175" s="340"/>
      <c r="D175" s="340"/>
      <c r="E175" s="340"/>
      <c r="F175" s="340"/>
      <c r="G175" s="340"/>
      <c r="H175" s="340"/>
      <c r="I175" s="340"/>
      <c r="J175" s="340"/>
      <c r="K175" t="s">
        <v>703</v>
      </c>
      <c r="M175" s="306"/>
      <c r="N175" s="306"/>
      <c r="O175" s="306"/>
      <c r="P175" s="306"/>
      <c r="Q175" s="306"/>
    </row>
    <row r="176" spans="1:20" ht="14.5">
      <c r="A176" s="308" t="s">
        <v>418</v>
      </c>
      <c r="B176" s="344">
        <v>0.51061825480855005</v>
      </c>
      <c r="C176" s="245">
        <f>$M176*$N176*EXP($O176*C$222)/($M176+$N176*(EXP($O176*C$222)-1))</f>
        <v>0.51061825480855005</v>
      </c>
      <c r="D176" s="245">
        <f t="shared" ref="D176:J176" si="47">$M176*$N176*EXP($O176*D$222)/($M176+$N176*(EXP($O176*D$222)-1))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7" ht="14.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7" ht="14.5">
      <c r="A178" s="308"/>
      <c r="B178" s="309"/>
      <c r="C178" s="309"/>
      <c r="D178" s="309"/>
      <c r="E178" s="309"/>
      <c r="F178" s="309"/>
      <c r="G178" s="309"/>
      <c r="H178" s="309"/>
      <c r="I178" s="309"/>
      <c r="J178" s="309"/>
      <c r="M178" s="306"/>
      <c r="N178" s="306"/>
      <c r="O178" s="306"/>
      <c r="P178" s="306"/>
      <c r="Q178" s="306"/>
    </row>
    <row r="179" spans="1:17" ht="14.5">
      <c r="A179" s="308"/>
      <c r="B179" s="309"/>
      <c r="C179" s="309"/>
      <c r="D179" s="309"/>
      <c r="E179" s="309"/>
      <c r="F179" s="309"/>
      <c r="G179" s="309"/>
      <c r="H179" s="309"/>
      <c r="I179" s="309"/>
      <c r="J179" s="309"/>
      <c r="M179" s="306"/>
      <c r="N179" s="306"/>
      <c r="O179" s="306"/>
      <c r="P179" s="306"/>
      <c r="Q179" s="306"/>
    </row>
    <row r="180" spans="1:17" ht="14.5">
      <c r="A180" s="308"/>
      <c r="B180" s="309"/>
      <c r="C180" s="309"/>
      <c r="D180" s="309"/>
      <c r="E180" s="309"/>
      <c r="F180" s="309"/>
      <c r="G180" s="309"/>
      <c r="H180" s="309"/>
      <c r="I180" s="309"/>
      <c r="J180" s="309"/>
      <c r="M180" s="306"/>
      <c r="N180" s="306"/>
      <c r="O180" s="306"/>
      <c r="P180" s="306"/>
      <c r="Q180" s="306"/>
    </row>
    <row r="181" spans="1:17" ht="14.5">
      <c r="A181" s="308"/>
      <c r="B181" s="309"/>
      <c r="C181" s="309"/>
      <c r="D181" s="309"/>
      <c r="E181" s="309"/>
      <c r="F181" s="309"/>
      <c r="G181" s="309"/>
      <c r="H181" s="309"/>
      <c r="I181" s="309"/>
      <c r="J181" s="309"/>
      <c r="M181" s="306"/>
      <c r="N181" s="306"/>
      <c r="O181" s="306"/>
      <c r="P181" s="306"/>
      <c r="Q181" s="306"/>
    </row>
    <row r="182" spans="1:17" ht="14.5">
      <c r="A182" s="308"/>
      <c r="B182" s="309"/>
      <c r="C182" s="309"/>
      <c r="D182" s="309"/>
      <c r="E182" s="309"/>
      <c r="F182" s="309"/>
      <c r="G182" s="309"/>
      <c r="H182" s="309"/>
      <c r="I182" s="309"/>
      <c r="J182" s="309"/>
      <c r="M182" s="306"/>
      <c r="N182" s="306"/>
      <c r="O182" s="306"/>
      <c r="P182" s="306"/>
      <c r="Q182" s="306"/>
    </row>
    <row r="183" spans="1:17" ht="14.5">
      <c r="A183" s="308"/>
      <c r="B183" s="309"/>
      <c r="C183" s="309"/>
      <c r="D183" s="309"/>
      <c r="E183" s="309"/>
      <c r="F183" s="309"/>
      <c r="G183" s="309"/>
      <c r="H183" s="309"/>
      <c r="I183" s="309"/>
      <c r="J183" s="309"/>
      <c r="M183" s="306"/>
      <c r="N183" s="306"/>
      <c r="O183" s="306"/>
      <c r="P183" s="306"/>
      <c r="Q183" s="306"/>
    </row>
    <row r="184" spans="1:17" ht="14.5">
      <c r="A184" s="308"/>
      <c r="B184" s="309"/>
      <c r="C184" s="309"/>
      <c r="D184" s="309"/>
      <c r="E184" s="309"/>
      <c r="F184" s="309"/>
      <c r="G184" s="309"/>
      <c r="H184" s="309"/>
      <c r="I184" s="309"/>
      <c r="J184" s="309"/>
      <c r="M184" s="306"/>
      <c r="N184" s="306"/>
      <c r="O184" s="306"/>
      <c r="P184" s="306"/>
      <c r="Q184" s="306"/>
    </row>
    <row r="185" spans="1:17" ht="14.5">
      <c r="A185" s="308"/>
      <c r="B185" s="309"/>
      <c r="C185" s="309"/>
      <c r="D185" s="309"/>
      <c r="E185" s="309"/>
      <c r="F185" s="309"/>
      <c r="G185" s="309"/>
      <c r="H185" s="309"/>
      <c r="I185" s="309"/>
      <c r="J185" s="309"/>
      <c r="M185" s="306"/>
      <c r="N185" s="306"/>
      <c r="O185" s="306"/>
      <c r="P185" s="306"/>
      <c r="Q185" s="306"/>
    </row>
    <row r="186" spans="1:17" ht="14.5">
      <c r="A186" s="308"/>
      <c r="B186" s="309"/>
      <c r="C186" s="309"/>
      <c r="D186" s="309"/>
      <c r="E186" s="309"/>
      <c r="F186" s="309"/>
      <c r="G186" s="309"/>
      <c r="H186" s="309"/>
      <c r="I186" s="309"/>
      <c r="J186" s="309"/>
      <c r="M186" s="306"/>
      <c r="N186" s="306"/>
      <c r="O186" s="306"/>
      <c r="P186" s="306"/>
      <c r="Q186" s="306"/>
    </row>
    <row r="187" spans="1:17" ht="14.5">
      <c r="A187" s="308"/>
      <c r="B187" s="309"/>
      <c r="C187" s="309"/>
      <c r="D187" s="309"/>
      <c r="E187" s="309"/>
      <c r="F187" s="309"/>
      <c r="G187" s="309"/>
      <c r="H187" s="309"/>
      <c r="I187" s="309"/>
      <c r="J187" s="309"/>
      <c r="M187" s="306"/>
      <c r="N187" s="306"/>
      <c r="O187" s="306"/>
      <c r="P187" s="306"/>
      <c r="Q187" s="306"/>
    </row>
    <row r="188" spans="1:17" ht="14.5">
      <c r="A188" s="308"/>
      <c r="B188" s="309"/>
      <c r="C188" s="309"/>
      <c r="D188" s="309"/>
      <c r="E188" s="309"/>
      <c r="F188" s="309"/>
      <c r="G188" s="309"/>
      <c r="H188" s="309"/>
      <c r="I188" s="309"/>
      <c r="J188" s="309"/>
      <c r="M188" s="306"/>
      <c r="N188" s="306"/>
      <c r="O188" s="306"/>
      <c r="P188" s="306"/>
      <c r="Q188" s="306"/>
    </row>
    <row r="189" spans="1:17" ht="14.5">
      <c r="A189" s="308"/>
      <c r="B189" s="309"/>
      <c r="C189" s="309"/>
      <c r="D189" s="309"/>
      <c r="E189" s="309"/>
      <c r="F189" s="309"/>
      <c r="G189" s="309"/>
      <c r="H189" s="309"/>
      <c r="I189" s="309"/>
      <c r="J189" s="309"/>
      <c r="M189" s="306"/>
      <c r="N189" s="306"/>
      <c r="O189" s="306"/>
      <c r="P189" s="306"/>
      <c r="Q189" s="306"/>
    </row>
    <row r="190" spans="1:17" ht="14.5">
      <c r="A190" s="308"/>
      <c r="B190" s="309"/>
      <c r="C190" s="309"/>
      <c r="D190" s="309"/>
      <c r="E190" s="309"/>
      <c r="F190" s="309"/>
      <c r="G190" s="309"/>
      <c r="H190" s="309"/>
      <c r="I190" s="309"/>
      <c r="J190" s="309"/>
      <c r="M190" s="306"/>
      <c r="N190" s="306"/>
      <c r="O190" s="306"/>
      <c r="P190" s="306"/>
      <c r="Q190" s="306"/>
    </row>
    <row r="191" spans="1:17" ht="14.5">
      <c r="A191" s="308"/>
      <c r="B191" s="309"/>
      <c r="C191" s="309"/>
      <c r="D191" s="309"/>
      <c r="E191" s="309"/>
      <c r="F191" s="309"/>
      <c r="G191" s="309"/>
      <c r="H191" s="309"/>
      <c r="I191" s="309"/>
      <c r="J191" s="309"/>
      <c r="M191" s="306"/>
      <c r="N191" s="306"/>
      <c r="O191" s="306"/>
      <c r="P191" s="306"/>
      <c r="Q191" s="306"/>
    </row>
    <row r="192" spans="1:17" ht="14.5">
      <c r="A192" s="308"/>
      <c r="B192" s="309"/>
      <c r="C192" s="309"/>
      <c r="D192" s="309"/>
      <c r="E192" s="309"/>
      <c r="F192" s="309"/>
      <c r="G192" s="309"/>
      <c r="H192" s="309"/>
      <c r="I192" s="309"/>
      <c r="J192" s="309"/>
      <c r="M192" s="306"/>
      <c r="N192" s="306"/>
      <c r="O192" s="306"/>
      <c r="P192" s="306"/>
      <c r="Q192" s="306"/>
    </row>
    <row r="193" spans="1:17" ht="14.5">
      <c r="A193" s="308"/>
      <c r="B193" s="309"/>
      <c r="C193" s="309"/>
      <c r="D193" s="309"/>
      <c r="E193" s="309"/>
      <c r="F193" s="309"/>
      <c r="G193" s="309"/>
      <c r="H193" s="309"/>
      <c r="I193" s="309"/>
      <c r="J193" s="309"/>
      <c r="M193" s="306"/>
      <c r="N193" s="306"/>
      <c r="O193" s="306"/>
      <c r="P193" s="306"/>
      <c r="Q193" s="306"/>
    </row>
    <row r="194" spans="1:17" ht="14.5">
      <c r="A194" s="308"/>
      <c r="B194" s="309"/>
      <c r="C194" s="309"/>
      <c r="D194" s="309"/>
      <c r="E194" s="309"/>
      <c r="F194" s="309"/>
      <c r="G194" s="309"/>
      <c r="H194" s="309"/>
      <c r="I194" s="309"/>
      <c r="J194" s="309"/>
      <c r="M194" s="306"/>
      <c r="N194" s="306"/>
      <c r="O194" s="306"/>
      <c r="P194" s="306"/>
      <c r="Q194" s="306"/>
    </row>
    <row r="195" spans="1:17" ht="14.5">
      <c r="A195" s="308"/>
      <c r="B195" s="309"/>
      <c r="C195" s="309"/>
      <c r="D195" s="309"/>
      <c r="E195" s="309"/>
      <c r="F195" s="309"/>
      <c r="G195" s="309"/>
      <c r="H195" s="309"/>
      <c r="I195" s="309"/>
      <c r="J195" s="309"/>
      <c r="M195" s="306"/>
      <c r="N195" s="306"/>
      <c r="O195" s="306"/>
      <c r="P195" s="306"/>
      <c r="Q195" s="306"/>
    </row>
    <row r="196" spans="1:17" ht="14.5">
      <c r="A196" s="308"/>
      <c r="B196" s="309"/>
      <c r="C196" s="309"/>
      <c r="D196" s="309"/>
      <c r="E196" s="309"/>
      <c r="F196" s="309"/>
      <c r="G196" s="309"/>
      <c r="H196" s="309"/>
      <c r="I196" s="309"/>
      <c r="J196" s="309"/>
      <c r="M196" s="306"/>
      <c r="N196" s="306"/>
      <c r="O196" s="306"/>
      <c r="P196" s="306"/>
      <c r="Q196" s="306"/>
    </row>
    <row r="197" spans="1:17" ht="14.5">
      <c r="A197" s="308"/>
      <c r="B197" s="309"/>
      <c r="C197" s="309"/>
      <c r="D197" s="309"/>
      <c r="E197" s="309"/>
      <c r="F197" s="309"/>
      <c r="G197" s="309"/>
      <c r="H197" s="309"/>
      <c r="I197" s="309"/>
      <c r="J197" s="309"/>
      <c r="M197" s="306"/>
      <c r="N197" s="306"/>
      <c r="O197" s="306"/>
      <c r="P197" s="306"/>
      <c r="Q197" s="306"/>
    </row>
    <row r="198" spans="1:17" ht="14.5">
      <c r="A198" s="308"/>
      <c r="B198" s="309"/>
      <c r="C198" s="309"/>
      <c r="D198" s="309"/>
      <c r="E198" s="309"/>
      <c r="F198" s="309"/>
      <c r="G198" s="309"/>
      <c r="H198" s="309"/>
      <c r="I198" s="309"/>
      <c r="J198" s="309"/>
      <c r="M198" s="306"/>
      <c r="N198" s="306"/>
      <c r="O198" s="306"/>
      <c r="P198" s="306"/>
      <c r="Q198" s="306"/>
    </row>
    <row r="199" spans="1:17" ht="14.5">
      <c r="A199" s="308"/>
      <c r="B199" s="309"/>
      <c r="C199" s="309"/>
      <c r="D199" s="309"/>
      <c r="E199" s="309"/>
      <c r="F199" s="309"/>
      <c r="G199" s="309"/>
      <c r="H199" s="309"/>
      <c r="I199" s="309"/>
      <c r="J199" s="309"/>
      <c r="M199" s="306"/>
      <c r="N199" s="306"/>
      <c r="O199" s="306"/>
      <c r="P199" s="306"/>
      <c r="Q199" s="306"/>
    </row>
    <row r="200" spans="1:17" ht="14.5">
      <c r="A200" s="308"/>
      <c r="B200" s="309"/>
      <c r="C200" s="309"/>
      <c r="D200" s="309"/>
      <c r="E200" s="309"/>
      <c r="F200" s="309"/>
      <c r="G200" s="309"/>
      <c r="H200" s="309"/>
      <c r="I200" s="309"/>
      <c r="J200" s="309"/>
      <c r="M200" s="306"/>
      <c r="N200" s="306"/>
      <c r="O200" s="306"/>
      <c r="P200" s="306"/>
      <c r="Q200" s="306"/>
    </row>
    <row r="201" spans="1:17" ht="14.5">
      <c r="A201" s="308"/>
      <c r="B201" s="309"/>
      <c r="C201" s="309"/>
      <c r="D201" s="309"/>
      <c r="E201" s="309"/>
      <c r="F201" s="309"/>
      <c r="G201" s="309"/>
      <c r="H201" s="309"/>
      <c r="I201" s="309"/>
      <c r="J201" s="309"/>
      <c r="M201" s="306"/>
      <c r="N201" s="306"/>
      <c r="O201" s="306"/>
      <c r="P201" s="306"/>
      <c r="Q201" s="306"/>
    </row>
    <row r="202" spans="1:17" ht="14.5">
      <c r="A202" s="302" t="s">
        <v>1064</v>
      </c>
      <c r="B202" s="245"/>
      <c r="C202" s="245">
        <v>2020</v>
      </c>
      <c r="D202" s="245">
        <v>2030</v>
      </c>
      <c r="E202" s="245">
        <v>2040</v>
      </c>
      <c r="F202" s="245">
        <v>2050</v>
      </c>
      <c r="G202" s="309"/>
      <c r="H202" s="309"/>
      <c r="I202" s="309"/>
      <c r="J202" s="309"/>
      <c r="M202" s="306"/>
      <c r="N202" s="306"/>
      <c r="O202" s="306"/>
      <c r="P202" s="306"/>
      <c r="Q202" s="306"/>
    </row>
    <row r="203" spans="1:17" ht="14.5">
      <c r="A203" s="302" t="s">
        <v>30</v>
      </c>
      <c r="B203" s="245" t="s">
        <v>165</v>
      </c>
      <c r="C203" s="610">
        <v>3.028174262033153E-2</v>
      </c>
      <c r="D203" s="610">
        <v>0.13199451253964828</v>
      </c>
      <c r="E203" s="610">
        <v>0.14072850918775132</v>
      </c>
      <c r="F203" s="610">
        <v>0.15654244902357867</v>
      </c>
      <c r="G203" s="309"/>
      <c r="H203" s="309"/>
      <c r="I203" s="309"/>
      <c r="J203" s="309"/>
      <c r="M203" s="306"/>
      <c r="N203" s="306"/>
      <c r="O203" s="306"/>
      <c r="P203" s="306"/>
      <c r="Q203" s="306"/>
    </row>
    <row r="204" spans="1:17" ht="14.5">
      <c r="A204" s="302" t="s">
        <v>1063</v>
      </c>
      <c r="B204" s="245" t="s">
        <v>165</v>
      </c>
      <c r="C204" s="610">
        <v>6.7486104740387992E-2</v>
      </c>
      <c r="D204" s="610">
        <v>0.22682339589223816</v>
      </c>
      <c r="E204" s="610">
        <v>0.31452908462306262</v>
      </c>
      <c r="F204" s="610">
        <v>0.33604849317251195</v>
      </c>
      <c r="G204" s="309"/>
      <c r="H204" s="309"/>
      <c r="I204" s="309"/>
      <c r="J204" s="309"/>
      <c r="M204" s="306"/>
      <c r="N204" s="306"/>
      <c r="O204" s="306"/>
      <c r="P204" s="306"/>
      <c r="Q204" s="306"/>
    </row>
    <row r="205" spans="1:17" ht="14.5">
      <c r="A205" s="302" t="s">
        <v>30</v>
      </c>
      <c r="B205" s="245" t="s">
        <v>93</v>
      </c>
      <c r="C205" s="610">
        <v>3.028174262033153E-2</v>
      </c>
      <c r="D205" s="610">
        <v>0.24086613715971961</v>
      </c>
      <c r="E205" s="610">
        <v>0.25731698588231544</v>
      </c>
      <c r="F205" s="610">
        <v>0.29391468138521759</v>
      </c>
      <c r="G205" s="309"/>
      <c r="H205" s="309"/>
      <c r="I205" s="309"/>
      <c r="J205" s="309"/>
      <c r="M205" s="306"/>
      <c r="N205" s="306"/>
      <c r="O205" s="306"/>
      <c r="P205" s="306"/>
      <c r="Q205" s="306"/>
    </row>
    <row r="206" spans="1:17" ht="14.5">
      <c r="A206" s="302" t="s">
        <v>31</v>
      </c>
      <c r="B206" s="245" t="s">
        <v>93</v>
      </c>
      <c r="C206" s="610">
        <v>6.7486104740387992E-2</v>
      </c>
      <c r="D206" s="610">
        <v>0.3541406156683013</v>
      </c>
      <c r="E206" s="610">
        <v>0.50807207455375414</v>
      </c>
      <c r="F206" s="610">
        <v>0.56706899483366602</v>
      </c>
      <c r="G206" s="309"/>
      <c r="H206" s="309"/>
      <c r="I206" s="309"/>
      <c r="J206" s="309"/>
      <c r="M206" s="306"/>
      <c r="N206" s="306"/>
      <c r="O206" s="306"/>
      <c r="P206" s="306"/>
      <c r="Q206" s="306"/>
    </row>
    <row r="207" spans="1:17" ht="14.5">
      <c r="A207" s="308"/>
      <c r="B207" s="309"/>
      <c r="C207" s="309"/>
      <c r="D207" s="309"/>
      <c r="E207" s="309"/>
      <c r="F207" s="309"/>
      <c r="G207" s="309"/>
      <c r="H207" s="309"/>
      <c r="I207" s="309"/>
      <c r="J207" s="309"/>
      <c r="M207" s="306"/>
      <c r="N207" s="306"/>
      <c r="O207" s="306"/>
      <c r="P207" s="306"/>
      <c r="Q207" s="306"/>
    </row>
    <row r="208" spans="1:17" ht="14.5">
      <c r="A208" s="308"/>
      <c r="B208" s="309"/>
      <c r="C208" s="309"/>
      <c r="D208" s="309"/>
      <c r="E208" s="309"/>
      <c r="F208" s="309"/>
      <c r="G208" s="309"/>
      <c r="H208" s="309"/>
      <c r="I208" s="309"/>
      <c r="J208" s="309"/>
      <c r="M208" s="306"/>
      <c r="N208" s="306"/>
      <c r="O208" s="306"/>
      <c r="P208" s="306"/>
      <c r="Q208" s="306"/>
    </row>
    <row r="209" spans="1:19" ht="14.5">
      <c r="A209" s="308"/>
      <c r="B209" s="309"/>
      <c r="C209" s="309"/>
      <c r="D209" s="309"/>
      <c r="E209" s="309"/>
      <c r="F209" s="309"/>
      <c r="G209" s="309"/>
      <c r="H209" s="309"/>
      <c r="I209" s="309"/>
      <c r="J209" s="309"/>
      <c r="M209" s="306"/>
      <c r="N209" s="306"/>
      <c r="O209" s="306"/>
      <c r="P209" s="306"/>
      <c r="Q209" s="306"/>
    </row>
    <row r="210" spans="1:19" ht="14.5">
      <c r="A210" s="308"/>
      <c r="B210" s="309"/>
      <c r="C210" s="309"/>
      <c r="D210" s="309"/>
      <c r="E210" s="309"/>
      <c r="F210" s="309"/>
      <c r="G210" s="309"/>
      <c r="H210" s="309"/>
      <c r="I210" s="309"/>
      <c r="J210" s="309"/>
      <c r="M210" s="306"/>
      <c r="N210" s="306"/>
      <c r="O210" s="306"/>
      <c r="P210" s="306"/>
      <c r="Q210" s="306"/>
    </row>
    <row r="211" spans="1:19" ht="14.5">
      <c r="A211" s="308"/>
      <c r="B211" s="309"/>
      <c r="C211" s="309"/>
      <c r="D211" s="309"/>
      <c r="E211" s="309"/>
      <c r="F211" s="309"/>
      <c r="G211" s="309"/>
      <c r="H211" s="309"/>
      <c r="I211" s="309"/>
      <c r="J211" s="309"/>
      <c r="M211" s="306"/>
      <c r="N211" s="306"/>
      <c r="O211" s="306"/>
      <c r="P211" s="306"/>
      <c r="Q211" s="306"/>
    </row>
    <row r="212" spans="1:19" ht="14.5">
      <c r="A212" s="308"/>
      <c r="B212" s="309"/>
      <c r="C212" s="309"/>
      <c r="D212" s="309"/>
      <c r="E212" s="309"/>
      <c r="F212" s="309"/>
      <c r="G212" s="309"/>
      <c r="H212" s="309"/>
      <c r="I212" s="309"/>
      <c r="J212" s="309"/>
      <c r="M212" s="306"/>
      <c r="N212" s="306"/>
      <c r="O212" s="306"/>
      <c r="P212" s="306"/>
      <c r="Q212" s="306"/>
    </row>
    <row r="213" spans="1:19" ht="14.5">
      <c r="A213" s="308"/>
      <c r="B213" s="309"/>
      <c r="C213" s="309"/>
      <c r="D213" s="309"/>
      <c r="E213" s="309"/>
      <c r="F213" s="309"/>
      <c r="G213" s="309"/>
      <c r="H213" s="309"/>
      <c r="I213" s="309"/>
      <c r="J213" s="309"/>
      <c r="M213" s="306"/>
      <c r="N213" s="306"/>
      <c r="O213" s="306"/>
      <c r="P213" s="306"/>
      <c r="Q213" s="306"/>
    </row>
    <row r="214" spans="1:19" ht="14.5">
      <c r="A214" s="302" t="s">
        <v>504</v>
      </c>
      <c r="B214" s="245"/>
      <c r="C214" s="609">
        <v>0.93251389525961204</v>
      </c>
      <c r="D214" s="609">
        <v>0.77317660410776179</v>
      </c>
      <c r="E214" s="609">
        <v>0.68547091537693738</v>
      </c>
      <c r="F214" s="609">
        <v>0.66395150682748816</v>
      </c>
      <c r="G214" s="309"/>
      <c r="H214" s="309"/>
      <c r="I214" s="309"/>
      <c r="J214" s="309"/>
      <c r="M214" s="306"/>
      <c r="N214" s="306"/>
      <c r="O214" s="306"/>
      <c r="P214" s="306"/>
      <c r="Q214" s="306"/>
    </row>
    <row r="215" spans="1:19" ht="14.5">
      <c r="A215" s="302" t="s">
        <v>1062</v>
      </c>
      <c r="B215" s="245" t="s">
        <v>165</v>
      </c>
      <c r="C215" s="609">
        <v>8.435763092548499E-3</v>
      </c>
      <c r="D215" s="609">
        <v>2.8352924486529769E-2</v>
      </c>
      <c r="E215" s="609">
        <v>3.9316135577882827E-2</v>
      </c>
      <c r="F215" s="609">
        <v>4.2006061646563994E-2</v>
      </c>
      <c r="G215" s="309"/>
      <c r="H215" s="309"/>
      <c r="I215" s="309"/>
      <c r="J215" s="309"/>
      <c r="M215" s="306"/>
      <c r="N215" s="306"/>
      <c r="O215" s="306"/>
      <c r="P215" s="306"/>
      <c r="Q215" s="306"/>
    </row>
    <row r="216" spans="1:19" ht="14.5">
      <c r="A216" s="302" t="s">
        <v>1063</v>
      </c>
      <c r="B216" s="245" t="s">
        <v>165</v>
      </c>
      <c r="C216" s="609">
        <v>5.9050341647839497E-2</v>
      </c>
      <c r="D216" s="609">
        <v>0.19847047140570839</v>
      </c>
      <c r="E216" s="609">
        <v>0.27521294904517979</v>
      </c>
      <c r="F216" s="609">
        <v>0.29404243152594794</v>
      </c>
      <c r="G216" s="309"/>
      <c r="H216" s="309"/>
      <c r="I216" s="309"/>
      <c r="J216" s="309"/>
      <c r="M216" s="306"/>
      <c r="N216" s="306"/>
      <c r="O216" s="306"/>
      <c r="P216" s="306"/>
      <c r="Q216" s="306"/>
    </row>
    <row r="217" spans="1:19" ht="14.5">
      <c r="A217" s="302" t="s">
        <v>504</v>
      </c>
      <c r="B217" s="245"/>
      <c r="C217" s="609">
        <v>0.93251389525961204</v>
      </c>
      <c r="D217" s="609">
        <v>0.64585938433169865</v>
      </c>
      <c r="E217" s="609">
        <v>0.49192792544624592</v>
      </c>
      <c r="F217" s="609">
        <v>0.43293100516633398</v>
      </c>
      <c r="G217" s="309"/>
      <c r="H217" s="309"/>
      <c r="I217" s="309"/>
      <c r="J217" s="309"/>
      <c r="M217" s="306"/>
      <c r="N217" s="306"/>
      <c r="O217" s="306"/>
      <c r="P217" s="306"/>
      <c r="Q217" s="306"/>
    </row>
    <row r="218" spans="1:19" ht="14.5">
      <c r="A218" s="302" t="s">
        <v>1062</v>
      </c>
      <c r="B218" s="245" t="s">
        <v>93</v>
      </c>
      <c r="C218" s="609">
        <v>8.435763092548499E-3</v>
      </c>
      <c r="D218" s="609">
        <v>4.4267576958537662E-2</v>
      </c>
      <c r="E218" s="609">
        <v>6.3509009319219267E-2</v>
      </c>
      <c r="F218" s="609">
        <v>7.0883624354208252E-2</v>
      </c>
      <c r="G218" s="309"/>
      <c r="H218" s="309"/>
      <c r="I218" s="309"/>
      <c r="J218" s="309"/>
      <c r="M218" s="306"/>
      <c r="N218" s="306"/>
      <c r="O218" s="306"/>
      <c r="P218" s="306"/>
      <c r="Q218" s="306"/>
    </row>
    <row r="219" spans="1:19" ht="14.5">
      <c r="A219" s="302" t="s">
        <v>1063</v>
      </c>
      <c r="B219" s="245" t="s">
        <v>93</v>
      </c>
      <c r="C219" s="609">
        <v>5.9050341647839497E-2</v>
      </c>
      <c r="D219" s="609">
        <v>0.30987303870976363</v>
      </c>
      <c r="E219" s="609">
        <v>0.44456306523453487</v>
      </c>
      <c r="F219" s="609">
        <v>0.49618537047945777</v>
      </c>
      <c r="G219" s="309"/>
      <c r="H219" s="309"/>
      <c r="I219" s="309"/>
      <c r="J219" s="309"/>
      <c r="M219" s="306"/>
      <c r="N219" s="306"/>
      <c r="O219" s="306"/>
      <c r="P219" s="306"/>
      <c r="Q219" s="306"/>
    </row>
    <row r="220" spans="1:19" ht="14.5">
      <c r="A220" s="308"/>
      <c r="B220" s="309"/>
      <c r="C220" s="309"/>
      <c r="D220" s="309"/>
      <c r="E220" s="309"/>
      <c r="F220" s="309"/>
      <c r="G220" s="309"/>
      <c r="H220" s="309"/>
      <c r="I220" s="309"/>
      <c r="J220" s="309"/>
      <c r="M220" s="306"/>
      <c r="N220" s="306"/>
      <c r="O220" s="306"/>
      <c r="P220" s="306"/>
      <c r="Q220" s="306"/>
    </row>
    <row r="221" spans="1:19" ht="14.5">
      <c r="A221" s="2"/>
      <c r="B221" s="2"/>
      <c r="D221" s="2"/>
      <c r="F221" s="2"/>
      <c r="H221" s="2"/>
      <c r="J221" s="2"/>
      <c r="M221" s="306"/>
      <c r="N221" s="306"/>
      <c r="O221" s="306"/>
      <c r="P221" s="306"/>
      <c r="Q221" s="306"/>
    </row>
    <row r="222" spans="1:19" ht="13">
      <c r="A222" s="304" t="s">
        <v>691</v>
      </c>
      <c r="B222" s="302"/>
      <c r="C222" s="302"/>
      <c r="D222" s="302">
        <v>0</v>
      </c>
      <c r="E222" s="302">
        <f t="shared" ref="E222:L222" si="49">E$223-$D$223</f>
        <v>3</v>
      </c>
      <c r="F222" s="302">
        <f t="shared" si="49"/>
        <v>8</v>
      </c>
      <c r="G222" s="302">
        <f t="shared" si="49"/>
        <v>13</v>
      </c>
      <c r="H222" s="302">
        <f t="shared" si="49"/>
        <v>18</v>
      </c>
      <c r="I222" s="302">
        <f t="shared" si="49"/>
        <v>23</v>
      </c>
      <c r="J222" s="302">
        <f t="shared" si="49"/>
        <v>28</v>
      </c>
      <c r="K222" s="302">
        <f t="shared" si="49"/>
        <v>33</v>
      </c>
      <c r="L222" s="302">
        <f t="shared" si="49"/>
        <v>38</v>
      </c>
      <c r="O222" t="s">
        <v>596</v>
      </c>
    </row>
    <row r="223" spans="1:19" ht="13">
      <c r="A223" s="304" t="s">
        <v>614</v>
      </c>
      <c r="B223" s="302" t="s">
        <v>589</v>
      </c>
      <c r="C223" s="302"/>
      <c r="D223" s="304">
        <v>2012</v>
      </c>
      <c r="E223" s="304">
        <v>2015</v>
      </c>
      <c r="F223" s="304">
        <v>2020</v>
      </c>
      <c r="G223" s="304">
        <v>2025</v>
      </c>
      <c r="H223" s="304">
        <v>2030</v>
      </c>
      <c r="I223" s="304">
        <v>2035</v>
      </c>
      <c r="J223" s="304">
        <v>2040</v>
      </c>
      <c r="K223" s="304">
        <v>2045</v>
      </c>
      <c r="L223" s="304">
        <v>2050</v>
      </c>
      <c r="N223" s="5" t="s">
        <v>595</v>
      </c>
      <c r="O223" s="14" t="s">
        <v>594</v>
      </c>
      <c r="P223" s="14" t="s">
        <v>437</v>
      </c>
      <c r="Q223" s="14" t="s">
        <v>609</v>
      </c>
      <c r="R223" s="14" t="s">
        <v>597</v>
      </c>
    </row>
    <row r="224" spans="1:19">
      <c r="A224" s="302"/>
      <c r="B224" s="302" t="s">
        <v>59</v>
      </c>
      <c r="C224" s="302" t="s">
        <v>587</v>
      </c>
      <c r="D224" s="245">
        <f t="shared" ref="D224:L229" si="50">$O224*$P224*EXP($Q224*D$222)/($O224+$P224*(EXP($Q224*D$222)-1))</f>
        <v>27950</v>
      </c>
      <c r="E224" s="245">
        <f t="shared" si="50"/>
        <v>58857.570340177561</v>
      </c>
      <c r="F224" s="245">
        <f t="shared" si="50"/>
        <v>200435.52081881356</v>
      </c>
      <c r="G224" s="245">
        <f t="shared" si="50"/>
        <v>644835.81944953371</v>
      </c>
      <c r="H224" s="245">
        <f t="shared" si="50"/>
        <v>1767791.3285220149</v>
      </c>
      <c r="I224" s="245">
        <f t="shared" si="50"/>
        <v>3528078.5781210754</v>
      </c>
      <c r="J224" s="245">
        <f t="shared" si="50"/>
        <v>4936368.239469626</v>
      </c>
      <c r="K224" s="245">
        <f t="shared" si="50"/>
        <v>5573805.5052590463</v>
      </c>
      <c r="L224" s="245">
        <f t="shared" si="50"/>
        <v>5787939.5827813214</v>
      </c>
      <c r="N224">
        <v>100</v>
      </c>
      <c r="O224" s="8">
        <f>$E$149*$J$160*$J$162*N224/100</f>
        <v>5878627.7822403442</v>
      </c>
      <c r="P224">
        <f>I139</f>
        <v>27950</v>
      </c>
      <c r="Q224">
        <v>0.25</v>
      </c>
      <c r="R224">
        <f>J161*J160</f>
        <v>27734473.420595895</v>
      </c>
      <c r="S224" t="s">
        <v>604</v>
      </c>
    </row>
    <row r="225" spans="1:17">
      <c r="A225" s="302"/>
      <c r="B225" s="302"/>
      <c r="C225" s="302" t="s">
        <v>58</v>
      </c>
      <c r="D225" s="245">
        <f t="shared" si="50"/>
        <v>27950</v>
      </c>
      <c r="E225" s="245">
        <f t="shared" si="50"/>
        <v>58548.275416055978</v>
      </c>
      <c r="F225" s="245">
        <f t="shared" si="50"/>
        <v>194695.64237629084</v>
      </c>
      <c r="G225" s="245">
        <f t="shared" si="50"/>
        <v>583330.4215300451</v>
      </c>
      <c r="H225" s="245">
        <f t="shared" si="50"/>
        <v>1362591.5828017865</v>
      </c>
      <c r="I225" s="245">
        <f t="shared" si="50"/>
        <v>2207472.8269972703</v>
      </c>
      <c r="J225" s="245">
        <f t="shared" si="50"/>
        <v>2684342.6181293325</v>
      </c>
      <c r="K225" s="245">
        <f t="shared" si="50"/>
        <v>2861443.845201401</v>
      </c>
      <c r="L225" s="245">
        <f t="shared" si="50"/>
        <v>2916573.9106388506</v>
      </c>
      <c r="N225">
        <v>50</v>
      </c>
      <c r="O225" s="8">
        <f>$E$149*$J$160*$J$162*N225/100</f>
        <v>2939313.8911201721</v>
      </c>
      <c r="P225">
        <f>P224</f>
        <v>27950</v>
      </c>
      <c r="Q225">
        <f>Q224</f>
        <v>0.25</v>
      </c>
    </row>
    <row r="226" spans="1:17">
      <c r="A226" s="302"/>
      <c r="B226" s="302"/>
      <c r="C226" s="302" t="s">
        <v>588</v>
      </c>
      <c r="D226" s="245">
        <f t="shared" si="50"/>
        <v>27950</v>
      </c>
      <c r="E226" s="245">
        <f t="shared" si="50"/>
        <v>58754.109576479277</v>
      </c>
      <c r="F226" s="245">
        <f t="shared" si="50"/>
        <v>198484.98972358942</v>
      </c>
      <c r="G226" s="245">
        <f t="shared" si="50"/>
        <v>622941.83284232824</v>
      </c>
      <c r="H226" s="245">
        <f t="shared" si="50"/>
        <v>1608362.7366748778</v>
      </c>
      <c r="I226" s="245">
        <f t="shared" si="50"/>
        <v>2941500.8811973915</v>
      </c>
      <c r="J226" s="245">
        <f t="shared" si="50"/>
        <v>3857593.8519480298</v>
      </c>
      <c r="K226" s="245">
        <f t="shared" si="50"/>
        <v>4235522.1606349265</v>
      </c>
      <c r="L226" s="245">
        <f t="shared" si="50"/>
        <v>4357841.8257824276</v>
      </c>
      <c r="N226">
        <v>75</v>
      </c>
      <c r="O226" s="8">
        <f>$E$149*$J$160*$J$162*N226/100</f>
        <v>4408970.8366802577</v>
      </c>
      <c r="P226">
        <f>P225</f>
        <v>27950</v>
      </c>
      <c r="Q226">
        <f>Q225</f>
        <v>0.25</v>
      </c>
    </row>
    <row r="227" spans="1:17" ht="13">
      <c r="A227" s="304" t="s">
        <v>613</v>
      </c>
      <c r="B227" s="302" t="s">
        <v>616</v>
      </c>
      <c r="C227" s="302" t="s">
        <v>587</v>
      </c>
      <c r="D227" s="245">
        <f t="shared" si="50"/>
        <v>138095</v>
      </c>
      <c r="E227" s="245">
        <f t="shared" si="50"/>
        <v>245822.29529794829</v>
      </c>
      <c r="F227" s="245">
        <f t="shared" si="50"/>
        <v>614262.76573844638</v>
      </c>
      <c r="G227" s="245">
        <f t="shared" si="50"/>
        <v>1369229.5320803381</v>
      </c>
      <c r="H227" s="245">
        <f t="shared" si="50"/>
        <v>2499262.1230827225</v>
      </c>
      <c r="I227" s="245">
        <f t="shared" si="50"/>
        <v>3588897.8226191034</v>
      </c>
      <c r="J227" s="245">
        <f t="shared" si="50"/>
        <v>4274477.7524382714</v>
      </c>
      <c r="K227" s="245">
        <f t="shared" si="50"/>
        <v>4597573.4665484382</v>
      </c>
      <c r="L227" s="245">
        <f t="shared" si="50"/>
        <v>4729074.700587227</v>
      </c>
      <c r="N227">
        <v>100</v>
      </c>
      <c r="O227" s="8">
        <f>J177</f>
        <v>4809126.847871772</v>
      </c>
      <c r="P227">
        <f>I140</f>
        <v>138095</v>
      </c>
      <c r="Q227">
        <v>0.2</v>
      </c>
    </row>
    <row r="228" spans="1:17">
      <c r="A228" s="302"/>
      <c r="B228" s="302"/>
      <c r="C228" s="302" t="s">
        <v>58</v>
      </c>
      <c r="D228" s="245">
        <f t="shared" si="50"/>
        <v>138095</v>
      </c>
      <c r="E228" s="245">
        <f t="shared" si="50"/>
        <v>240280.7372903153</v>
      </c>
      <c r="F228" s="245">
        <f t="shared" si="50"/>
        <v>557437.27795969637</v>
      </c>
      <c r="G228" s="245">
        <f t="shared" si="50"/>
        <v>1083621.5619265069</v>
      </c>
      <c r="H228" s="245">
        <f t="shared" si="50"/>
        <v>1660097.0793513348</v>
      </c>
      <c r="I228" s="245">
        <f t="shared" si="50"/>
        <v>2064047.9286188548</v>
      </c>
      <c r="J228" s="245">
        <f t="shared" si="50"/>
        <v>2266978.7469702698</v>
      </c>
      <c r="K228" s="245">
        <f t="shared" si="50"/>
        <v>2352049.4852583357</v>
      </c>
      <c r="L228" s="245">
        <f t="shared" si="50"/>
        <v>2384974.1950583998</v>
      </c>
      <c r="N228">
        <v>50</v>
      </c>
      <c r="O228" s="8">
        <f>J177*N228/100</f>
        <v>2404563.423935886</v>
      </c>
      <c r="P228">
        <f>P227</f>
        <v>138095</v>
      </c>
      <c r="Q228">
        <f>Q227</f>
        <v>0.2</v>
      </c>
    </row>
    <row r="229" spans="1:17">
      <c r="A229" s="302"/>
      <c r="B229" s="302"/>
      <c r="C229" s="302" t="s">
        <v>588</v>
      </c>
      <c r="D229" s="245">
        <f t="shared" si="50"/>
        <v>138095</v>
      </c>
      <c r="E229" s="245">
        <f t="shared" si="50"/>
        <v>243946.9250522849</v>
      </c>
      <c r="F229" s="245">
        <f t="shared" si="50"/>
        <v>594075.94723062252</v>
      </c>
      <c r="G229" s="245">
        <f t="shared" si="50"/>
        <v>1258649.6109614698</v>
      </c>
      <c r="H229" s="245">
        <f t="shared" si="50"/>
        <v>2138868.7620435925</v>
      </c>
      <c r="I229" s="245">
        <f t="shared" si="50"/>
        <v>2879744.6612418857</v>
      </c>
      <c r="J229" s="245">
        <f t="shared" si="50"/>
        <v>3300296.800101405</v>
      </c>
      <c r="K229" s="245">
        <f t="shared" si="50"/>
        <v>3487669.6783072087</v>
      </c>
      <c r="L229" s="245">
        <f t="shared" si="50"/>
        <v>3562067.7051859237</v>
      </c>
      <c r="N229">
        <v>75</v>
      </c>
      <c r="O229" s="8">
        <f>N229*J177/100</f>
        <v>3606845.1359038288</v>
      </c>
      <c r="P229">
        <f>P228</f>
        <v>138095</v>
      </c>
      <c r="Q229">
        <f>Q228</f>
        <v>0.2</v>
      </c>
    </row>
    <row r="230" spans="1:17">
      <c r="A230" s="302"/>
      <c r="B230" t="s">
        <v>418</v>
      </c>
      <c r="C230" s="302" t="s">
        <v>615</v>
      </c>
      <c r="D230" s="338">
        <v>0</v>
      </c>
      <c r="E230" s="338">
        <v>0</v>
      </c>
      <c r="F230" s="338">
        <v>0.05</v>
      </c>
      <c r="G230" s="338">
        <v>0.1</v>
      </c>
      <c r="H230" s="338">
        <v>0.15</v>
      </c>
      <c r="I230" s="338">
        <v>0.15</v>
      </c>
      <c r="J230" s="338">
        <v>0.15</v>
      </c>
      <c r="K230" s="338">
        <v>0.15</v>
      </c>
      <c r="L230" s="338">
        <v>0.15</v>
      </c>
      <c r="O230" s="8"/>
    </row>
    <row r="231" spans="1:17">
      <c r="A231" s="302"/>
      <c r="B231" s="302" t="s">
        <v>617</v>
      </c>
      <c r="C231" s="302" t="s">
        <v>587</v>
      </c>
      <c r="D231" s="310">
        <f>D227*D$230</f>
        <v>0</v>
      </c>
      <c r="E231" s="310">
        <f t="shared" ref="E231:L231" si="51">E227*E$230</f>
        <v>0</v>
      </c>
      <c r="F231" s="310">
        <f t="shared" si="51"/>
        <v>30713.13828692232</v>
      </c>
      <c r="G231" s="310">
        <f t="shared" si="51"/>
        <v>136922.95320803381</v>
      </c>
      <c r="H231" s="310">
        <f t="shared" si="51"/>
        <v>374889.31846240838</v>
      </c>
      <c r="I231" s="310">
        <f t="shared" si="51"/>
        <v>538334.67339286546</v>
      </c>
      <c r="J231" s="310">
        <f t="shared" si="51"/>
        <v>641171.66286574071</v>
      </c>
      <c r="K231" s="310">
        <f t="shared" si="51"/>
        <v>689636.01998226566</v>
      </c>
      <c r="L231" s="310">
        <f t="shared" si="51"/>
        <v>709361.20508808398</v>
      </c>
      <c r="O231" s="8"/>
    </row>
    <row r="232" spans="1:17">
      <c r="A232" s="302"/>
      <c r="B232" s="302"/>
      <c r="C232" s="302" t="s">
        <v>58</v>
      </c>
      <c r="D232" s="310">
        <f t="shared" ref="D232:L233" si="52">D228*D$230</f>
        <v>0</v>
      </c>
      <c r="E232" s="310">
        <f t="shared" si="52"/>
        <v>0</v>
      </c>
      <c r="F232" s="310">
        <f t="shared" si="52"/>
        <v>27871.863897984818</v>
      </c>
      <c r="G232" s="310">
        <f t="shared" si="52"/>
        <v>108362.1561926507</v>
      </c>
      <c r="H232" s="310">
        <f t="shared" si="52"/>
        <v>249014.56190270022</v>
      </c>
      <c r="I232" s="310">
        <f t="shared" si="52"/>
        <v>309607.1892928282</v>
      </c>
      <c r="J232" s="310">
        <f t="shared" si="52"/>
        <v>340046.81204554049</v>
      </c>
      <c r="K232" s="310">
        <f t="shared" si="52"/>
        <v>352807.42278875032</v>
      </c>
      <c r="L232" s="310">
        <f t="shared" si="52"/>
        <v>357746.12925875996</v>
      </c>
      <c r="O232" s="8"/>
    </row>
    <row r="233" spans="1:17">
      <c r="A233" s="302"/>
      <c r="B233" s="302"/>
      <c r="C233" s="302" t="s">
        <v>588</v>
      </c>
      <c r="D233" s="310">
        <f t="shared" si="52"/>
        <v>0</v>
      </c>
      <c r="E233" s="310">
        <f t="shared" si="52"/>
        <v>0</v>
      </c>
      <c r="F233" s="310">
        <f t="shared" si="52"/>
        <v>29703.797361531128</v>
      </c>
      <c r="G233" s="310">
        <f t="shared" si="52"/>
        <v>125864.96109614699</v>
      </c>
      <c r="H233" s="310">
        <f t="shared" si="52"/>
        <v>320830.31430653884</v>
      </c>
      <c r="I233" s="310">
        <f t="shared" si="52"/>
        <v>431961.69918628287</v>
      </c>
      <c r="J233" s="310">
        <f t="shared" si="52"/>
        <v>495044.52001521073</v>
      </c>
      <c r="K233" s="310">
        <f t="shared" si="52"/>
        <v>523150.45174608129</v>
      </c>
      <c r="L233" s="310">
        <f t="shared" si="52"/>
        <v>534310.15577788849</v>
      </c>
      <c r="O233" s="8"/>
    </row>
    <row r="234" spans="1:17">
      <c r="A234" s="302"/>
      <c r="B234" s="302" t="s">
        <v>618</v>
      </c>
      <c r="C234" s="302" t="s">
        <v>587</v>
      </c>
      <c r="D234" s="310">
        <f>D227*(1-D$230)</f>
        <v>138095</v>
      </c>
      <c r="E234" s="310">
        <f t="shared" ref="E234:L234" si="53">E227*(1-E$230)</f>
        <v>245822.29529794829</v>
      </c>
      <c r="F234" s="310">
        <f t="shared" si="53"/>
        <v>583549.62745152402</v>
      </c>
      <c r="G234" s="310">
        <f t="shared" si="53"/>
        <v>1232306.5788723044</v>
      </c>
      <c r="H234" s="310">
        <f t="shared" si="53"/>
        <v>2124372.8046203139</v>
      </c>
      <c r="I234" s="310">
        <f t="shared" si="53"/>
        <v>3050563.1492262376</v>
      </c>
      <c r="J234" s="310">
        <f t="shared" si="53"/>
        <v>3633306.0895725307</v>
      </c>
      <c r="K234" s="310">
        <f t="shared" si="53"/>
        <v>3907937.4465661724</v>
      </c>
      <c r="L234" s="310">
        <f t="shared" si="53"/>
        <v>4019713.4954991429</v>
      </c>
      <c r="O234" s="8"/>
    </row>
    <row r="235" spans="1:17">
      <c r="A235" s="302"/>
      <c r="B235" s="302"/>
      <c r="C235" s="302" t="s">
        <v>58</v>
      </c>
      <c r="D235" s="310">
        <f t="shared" ref="D235:L236" si="54">D228*(1-D$230)</f>
        <v>138095</v>
      </c>
      <c r="E235" s="310">
        <f t="shared" si="54"/>
        <v>240280.7372903153</v>
      </c>
      <c r="F235" s="310">
        <f t="shared" si="54"/>
        <v>529565.41406171152</v>
      </c>
      <c r="G235" s="310">
        <f t="shared" si="54"/>
        <v>975259.40573385626</v>
      </c>
      <c r="H235" s="310">
        <f t="shared" si="54"/>
        <v>1411082.5174486346</v>
      </c>
      <c r="I235" s="310">
        <f t="shared" si="54"/>
        <v>1754440.7393260265</v>
      </c>
      <c r="J235" s="310">
        <f t="shared" si="54"/>
        <v>1926931.9349247294</v>
      </c>
      <c r="K235" s="310">
        <f t="shared" si="54"/>
        <v>1999242.0624695853</v>
      </c>
      <c r="L235" s="310">
        <f t="shared" si="54"/>
        <v>2027228.0657996398</v>
      </c>
      <c r="O235" s="8"/>
    </row>
    <row r="236" spans="1:17">
      <c r="A236" s="302"/>
      <c r="B236" s="302"/>
      <c r="C236" s="302" t="s">
        <v>588</v>
      </c>
      <c r="D236" s="310">
        <f t="shared" si="54"/>
        <v>138095</v>
      </c>
      <c r="E236" s="310">
        <f t="shared" si="54"/>
        <v>243946.9250522849</v>
      </c>
      <c r="F236" s="310">
        <f t="shared" si="54"/>
        <v>564372.14986909134</v>
      </c>
      <c r="G236" s="310">
        <f t="shared" si="54"/>
        <v>1132784.649865323</v>
      </c>
      <c r="H236" s="310">
        <f t="shared" si="54"/>
        <v>1818038.4477370535</v>
      </c>
      <c r="I236" s="310">
        <f t="shared" si="54"/>
        <v>2447782.962055603</v>
      </c>
      <c r="J236" s="310">
        <f t="shared" si="54"/>
        <v>2805252.2800861942</v>
      </c>
      <c r="K236" s="310">
        <f t="shared" si="54"/>
        <v>2964519.2265611272</v>
      </c>
      <c r="L236" s="310">
        <f t="shared" si="54"/>
        <v>3027757.5494080349</v>
      </c>
      <c r="O236" s="8"/>
    </row>
    <row r="237" spans="1:17" ht="13">
      <c r="A237" s="304" t="s">
        <v>627</v>
      </c>
      <c r="B237" s="302" t="s">
        <v>628</v>
      </c>
      <c r="C237" s="302" t="s">
        <v>31</v>
      </c>
      <c r="D237" s="310">
        <v>1</v>
      </c>
      <c r="E237" s="310">
        <v>1000</v>
      </c>
      <c r="F237" s="245">
        <f>$O237*$P237*EXP($Q237*F$257)/($O237+$P237*(EXP($Q237*F$257)-1))</f>
        <v>2715.9633440993275</v>
      </c>
      <c r="G237" s="245">
        <f t="shared" ref="F237:L239" si="55">$O237*$P237*EXP($Q237*G$222)/($O237+$P237*(EXP($Q237*G$222)-1))</f>
        <v>13380.882990594493</v>
      </c>
      <c r="H237" s="245">
        <f t="shared" si="55"/>
        <v>35962.22885997744</v>
      </c>
      <c r="I237" s="245">
        <f t="shared" si="55"/>
        <v>94843.844357287977</v>
      </c>
      <c r="J237" s="245">
        <f t="shared" si="55"/>
        <v>238502.31055409231</v>
      </c>
      <c r="K237" s="245">
        <f t="shared" si="55"/>
        <v>538648.8354669346</v>
      </c>
      <c r="L237" s="245">
        <f t="shared" si="55"/>
        <v>1003001.275816632</v>
      </c>
      <c r="N237">
        <v>100</v>
      </c>
      <c r="O237" s="8">
        <f>$D$149*$J$158*$J$162*N237/100</f>
        <v>2012862.6019696158</v>
      </c>
      <c r="P237">
        <v>1000</v>
      </c>
      <c r="Q237">
        <f>Q227</f>
        <v>0.2</v>
      </c>
    </row>
    <row r="238" spans="1:17">
      <c r="A238" s="302"/>
      <c r="B238" s="302"/>
      <c r="C238" s="302" t="s">
        <v>30</v>
      </c>
      <c r="D238" s="310">
        <v>1</v>
      </c>
      <c r="E238" s="310">
        <v>1000</v>
      </c>
      <c r="F238" s="245">
        <f t="shared" si="55"/>
        <v>4933.6541570118015</v>
      </c>
      <c r="G238" s="245">
        <f t="shared" si="55"/>
        <v>13299.041479013369</v>
      </c>
      <c r="H238" s="245">
        <f t="shared" si="55"/>
        <v>35347.950756263112</v>
      </c>
      <c r="I238" s="245">
        <f t="shared" si="55"/>
        <v>90616.991662014232</v>
      </c>
      <c r="J238" s="245">
        <f t="shared" si="55"/>
        <v>213319.71367365413</v>
      </c>
      <c r="K238" s="245">
        <f t="shared" si="55"/>
        <v>425056.90767169988</v>
      </c>
      <c r="L238" s="245">
        <f t="shared" si="55"/>
        <v>669539.44782187312</v>
      </c>
      <c r="N238">
        <v>50</v>
      </c>
      <c r="O238" s="8">
        <f>$D$149*$J$158*$J$162*N238/100</f>
        <v>1006431.3009848079</v>
      </c>
      <c r="P238">
        <v>1000</v>
      </c>
      <c r="Q238">
        <f t="shared" ref="Q238:Q239" si="56">Q237</f>
        <v>0.2</v>
      </c>
    </row>
    <row r="239" spans="1:17">
      <c r="A239" s="302"/>
      <c r="B239" s="302"/>
      <c r="C239" s="302" t="s">
        <v>29</v>
      </c>
      <c r="D239" s="310">
        <v>1</v>
      </c>
      <c r="E239" s="310">
        <v>1000</v>
      </c>
      <c r="F239" s="245">
        <f t="shared" si="55"/>
        <v>4940.0967095556862</v>
      </c>
      <c r="G239" s="245">
        <f t="shared" si="55"/>
        <v>13353.49079411678</v>
      </c>
      <c r="H239" s="245">
        <f t="shared" si="55"/>
        <v>35755.110943393913</v>
      </c>
      <c r="I239" s="245">
        <f t="shared" si="55"/>
        <v>93391.75034988916</v>
      </c>
      <c r="J239" s="245">
        <f t="shared" si="55"/>
        <v>229472.49450212307</v>
      </c>
      <c r="K239" s="245">
        <f t="shared" si="55"/>
        <v>494590.79603907018</v>
      </c>
      <c r="L239" s="245">
        <f t="shared" si="55"/>
        <v>860195.47309881181</v>
      </c>
      <c r="N239">
        <v>75</v>
      </c>
      <c r="O239" s="8">
        <f>$D$149*$J$158*$J$162*N239/100</f>
        <v>1509646.9514772117</v>
      </c>
      <c r="P239">
        <v>1000</v>
      </c>
      <c r="Q239">
        <f t="shared" si="56"/>
        <v>0.2</v>
      </c>
    </row>
    <row r="240" spans="1:17">
      <c r="A240" s="302" t="s">
        <v>610</v>
      </c>
      <c r="B240" s="302" t="s">
        <v>676</v>
      </c>
      <c r="C240" s="302" t="s">
        <v>607</v>
      </c>
      <c r="D240" s="245"/>
      <c r="E240" s="245">
        <f>(E224-D224)/E222</f>
        <v>10302.523446725854</v>
      </c>
      <c r="F240" s="245">
        <f>(F224-E224)/F222</f>
        <v>17697.243809829499</v>
      </c>
      <c r="G240" s="245">
        <f t="shared" ref="G240:L240" si="57">(G224-F224)/G222</f>
        <v>34184.638356209238</v>
      </c>
      <c r="H240" s="245">
        <f t="shared" si="57"/>
        <v>62386.417170693399</v>
      </c>
      <c r="I240" s="245">
        <f t="shared" si="57"/>
        <v>76534.228243437406</v>
      </c>
      <c r="J240" s="245">
        <f t="shared" si="57"/>
        <v>50296.059333876809</v>
      </c>
      <c r="K240" s="245">
        <f t="shared" si="57"/>
        <v>19316.280781497586</v>
      </c>
      <c r="L240" s="245">
        <f t="shared" si="57"/>
        <v>5635.1073032177637</v>
      </c>
      <c r="O240" s="8"/>
    </row>
    <row r="241" spans="1:15">
      <c r="A241" s="302"/>
      <c r="B241" s="302" t="s">
        <v>677</v>
      </c>
      <c r="C241" s="302" t="s">
        <v>607</v>
      </c>
      <c r="D241" s="245"/>
      <c r="E241" s="245">
        <f>(E225-D225)/E222</f>
        <v>10199.425138685327</v>
      </c>
      <c r="F241" s="245">
        <f t="shared" ref="F241:L241" si="58">(F225-E225)/F222</f>
        <v>17018.420870029357</v>
      </c>
      <c r="G241" s="245">
        <f t="shared" si="58"/>
        <v>29894.983011827248</v>
      </c>
      <c r="H241" s="245">
        <f t="shared" si="58"/>
        <v>43292.286737318966</v>
      </c>
      <c r="I241" s="245">
        <f t="shared" si="58"/>
        <v>36733.96713893408</v>
      </c>
      <c r="J241" s="245">
        <f t="shared" si="58"/>
        <v>17031.063969002222</v>
      </c>
      <c r="K241" s="245">
        <f t="shared" si="58"/>
        <v>5366.7038506687422</v>
      </c>
      <c r="L241" s="245">
        <f t="shared" si="58"/>
        <v>1450.791195722358</v>
      </c>
      <c r="O241" s="8"/>
    </row>
    <row r="242" spans="1:15">
      <c r="A242" s="302"/>
      <c r="B242" s="302" t="s">
        <v>677</v>
      </c>
      <c r="C242" s="302" t="s">
        <v>608</v>
      </c>
      <c r="D242" s="245"/>
      <c r="E242" s="245"/>
      <c r="F242" s="245"/>
      <c r="G242" s="245"/>
      <c r="H242" s="245"/>
      <c r="I242" s="245"/>
      <c r="J242" s="245"/>
      <c r="K242" s="245"/>
      <c r="L242" s="245"/>
      <c r="O242" s="8"/>
    </row>
    <row r="243" spans="1:15">
      <c r="F243">
        <f>F224+F227</f>
        <v>814698.28655725997</v>
      </c>
    </row>
    <row r="244" spans="1:15" ht="13">
      <c r="A244" s="304" t="s">
        <v>691</v>
      </c>
      <c r="B244" s="302"/>
      <c r="C244" s="302"/>
      <c r="D244" s="302" t="s">
        <v>605</v>
      </c>
      <c r="E244" s="302"/>
      <c r="F244" s="302"/>
      <c r="G244" s="302"/>
      <c r="H244" s="302"/>
      <c r="I244" s="302"/>
      <c r="J244" s="302"/>
      <c r="K244" s="302"/>
      <c r="L244" s="302"/>
    </row>
    <row r="245" spans="1:15" ht="13">
      <c r="A245" s="304" t="s">
        <v>606</v>
      </c>
      <c r="B245" s="302" t="s">
        <v>589</v>
      </c>
      <c r="C245" s="302"/>
      <c r="D245" s="304">
        <v>2012</v>
      </c>
      <c r="E245" s="304">
        <v>2015</v>
      </c>
      <c r="F245" s="304">
        <v>2020</v>
      </c>
      <c r="G245" s="304">
        <v>2025</v>
      </c>
      <c r="H245" s="304">
        <v>2030</v>
      </c>
      <c r="I245" s="304">
        <v>2035</v>
      </c>
      <c r="J245" s="304">
        <v>2040</v>
      </c>
      <c r="K245" s="304">
        <v>2045</v>
      </c>
      <c r="L245" s="304">
        <v>2050</v>
      </c>
      <c r="M245" t="s">
        <v>697</v>
      </c>
    </row>
    <row r="246" spans="1:15">
      <c r="A246" s="302" t="s">
        <v>59</v>
      </c>
      <c r="B246" s="302" t="s">
        <v>607</v>
      </c>
      <c r="C246" s="302" t="s">
        <v>587</v>
      </c>
      <c r="D246" s="307">
        <f>D224/$B$168</f>
        <v>8.7745777275293861E-3</v>
      </c>
      <c r="E246" s="307">
        <f>E224/C$168</f>
        <v>1.6109362844475762E-2</v>
      </c>
      <c r="F246" s="307">
        <f t="shared" ref="F246:L248" si="59">F224/D$168</f>
        <v>4.5654514773069851E-2</v>
      </c>
      <c r="G246" s="307">
        <f t="shared" si="59"/>
        <v>0.12160943009231959</v>
      </c>
      <c r="H246" s="307">
        <f t="shared" si="59"/>
        <v>0.27771497581927407</v>
      </c>
      <c r="I246" s="307">
        <f t="shared" si="59"/>
        <v>0.52436995723584667</v>
      </c>
      <c r="J246" s="307">
        <f t="shared" si="59"/>
        <v>0.72793725928542241</v>
      </c>
      <c r="K246" s="307">
        <f t="shared" si="59"/>
        <v>0.80524495209338831</v>
      </c>
      <c r="L246" s="307">
        <f t="shared" si="59"/>
        <v>0.83240468576534998</v>
      </c>
    </row>
    <row r="247" spans="1:15">
      <c r="A247" s="302"/>
      <c r="B247" s="302" t="s">
        <v>607</v>
      </c>
      <c r="C247" s="302" t="s">
        <v>58</v>
      </c>
      <c r="D247" s="307">
        <f t="shared" ref="D247:D248" si="60">D225/$B$168</f>
        <v>8.7745777275293861E-3</v>
      </c>
      <c r="E247" s="307">
        <f t="shared" ref="E247:E248" si="61">E225/C$168</f>
        <v>1.6024708582843286E-2</v>
      </c>
      <c r="F247" s="307">
        <f t="shared" si="59"/>
        <v>4.4347104968264522E-2</v>
      </c>
      <c r="G247" s="307">
        <f t="shared" si="59"/>
        <v>0.11001014208289206</v>
      </c>
      <c r="H247" s="307">
        <f t="shared" si="59"/>
        <v>0.2140592514308354</v>
      </c>
      <c r="I247" s="307">
        <f t="shared" si="59"/>
        <v>0.32809145438827247</v>
      </c>
      <c r="J247" s="307">
        <f t="shared" si="59"/>
        <v>0.39584425505380594</v>
      </c>
      <c r="K247" s="307">
        <f t="shared" si="59"/>
        <v>0.4133913911910056</v>
      </c>
      <c r="L247" s="307">
        <f t="shared" si="59"/>
        <v>0.4194532017609825</v>
      </c>
    </row>
    <row r="248" spans="1:15">
      <c r="A248" s="302"/>
      <c r="B248" s="302" t="s">
        <v>607</v>
      </c>
      <c r="C248" s="302" t="s">
        <v>588</v>
      </c>
      <c r="D248" s="307">
        <f t="shared" si="60"/>
        <v>8.7745777275293861E-3</v>
      </c>
      <c r="E248" s="307">
        <f t="shared" si="61"/>
        <v>1.6081045552869103E-2</v>
      </c>
      <c r="F248" s="307">
        <f t="shared" si="59"/>
        <v>4.5210229496994749E-2</v>
      </c>
      <c r="G248" s="307">
        <f t="shared" si="59"/>
        <v>0.11748044849197362</v>
      </c>
      <c r="H248" s="307">
        <f t="shared" si="59"/>
        <v>0.25266919874402061</v>
      </c>
      <c r="I248" s="307">
        <f t="shared" si="59"/>
        <v>0.43718830437844874</v>
      </c>
      <c r="J248" s="307">
        <f t="shared" si="59"/>
        <v>0.56885673025176331</v>
      </c>
      <c r="K248" s="307">
        <f t="shared" si="59"/>
        <v>0.61190381259499016</v>
      </c>
      <c r="L248" s="307">
        <f t="shared" si="59"/>
        <v>0.62673217363861577</v>
      </c>
    </row>
    <row r="249" spans="1:15">
      <c r="A249" s="302" t="s">
        <v>418</v>
      </c>
      <c r="B249" s="302" t="s">
        <v>607</v>
      </c>
      <c r="C249" s="302" t="s">
        <v>587</v>
      </c>
      <c r="D249" s="307">
        <f>D227/B$177*D$230</f>
        <v>0</v>
      </c>
      <c r="E249" s="307">
        <f t="shared" ref="E249:L249" si="62">E227/C$174*E$230</f>
        <v>0</v>
      </c>
      <c r="F249" s="307">
        <f t="shared" si="62"/>
        <v>6.6987730718320029E-3</v>
      </c>
      <c r="G249" s="307">
        <f t="shared" si="62"/>
        <v>2.6352834989611069E-2</v>
      </c>
      <c r="H249" s="307">
        <f t="shared" si="62"/>
        <v>6.4065627357668561E-2</v>
      </c>
      <c r="I249" s="307">
        <f t="shared" si="62"/>
        <v>8.9929614836388463E-2</v>
      </c>
      <c r="J249" s="307">
        <f t="shared" si="62"/>
        <v>0.10497780394355592</v>
      </c>
      <c r="K249" s="307">
        <f t="shared" si="62"/>
        <v>0.10633068321528817</v>
      </c>
      <c r="L249" s="307">
        <f t="shared" si="62"/>
        <v>0.10321727399595863</v>
      </c>
      <c r="M249" t="s">
        <v>111</v>
      </c>
    </row>
    <row r="250" spans="1:15">
      <c r="A250" s="302" t="s">
        <v>690</v>
      </c>
      <c r="B250" s="302" t="s">
        <v>607</v>
      </c>
      <c r="C250" s="302" t="s">
        <v>58</v>
      </c>
      <c r="D250" s="307">
        <f>D228/B$177*D$230</f>
        <v>0</v>
      </c>
      <c r="E250" s="307">
        <f t="shared" ref="E250:L250" si="63">E228/C$177*E$230</f>
        <v>0</v>
      </c>
      <c r="F250" s="307">
        <f t="shared" si="63"/>
        <v>1.1905311039914081E-2</v>
      </c>
      <c r="G250" s="307">
        <f t="shared" si="63"/>
        <v>3.5013901054766997E-2</v>
      </c>
      <c r="H250" s="307">
        <f t="shared" si="63"/>
        <v>6.3843737350299412E-2</v>
      </c>
      <c r="I250" s="307">
        <f t="shared" si="63"/>
        <v>7.4948754657535949E-2</v>
      </c>
      <c r="J250" s="307">
        <f t="shared" si="63"/>
        <v>7.9863718618332691E-2</v>
      </c>
      <c r="K250" s="307">
        <f t="shared" si="63"/>
        <v>7.7801989568355434E-2</v>
      </c>
      <c r="L250" s="307">
        <f t="shared" si="63"/>
        <v>7.4388998372350412E-2</v>
      </c>
      <c r="M250" t="s">
        <v>696</v>
      </c>
    </row>
    <row r="251" spans="1:15">
      <c r="A251" s="302"/>
      <c r="B251" s="302" t="s">
        <v>607</v>
      </c>
      <c r="C251" s="302" t="s">
        <v>588</v>
      </c>
      <c r="D251" s="307">
        <f>D229/B$177*D$230</f>
        <v>0</v>
      </c>
      <c r="E251" s="307">
        <f t="shared" ref="E251:L251" si="64">E229/C$177*E$230</f>
        <v>0</v>
      </c>
      <c r="F251" s="307">
        <f t="shared" si="64"/>
        <v>1.2687811190164986E-2</v>
      </c>
      <c r="G251" s="307">
        <f t="shared" si="64"/>
        <v>4.0669394638545214E-2</v>
      </c>
      <c r="H251" s="307">
        <f t="shared" si="64"/>
        <v>8.2256259088190162E-2</v>
      </c>
      <c r="I251" s="307">
        <f t="shared" si="64"/>
        <v>0.10456795750677679</v>
      </c>
      <c r="J251" s="307">
        <f t="shared" si="64"/>
        <v>0.11626662815103092</v>
      </c>
      <c r="K251" s="307">
        <f t="shared" si="64"/>
        <v>0.11536646725769195</v>
      </c>
      <c r="L251" s="307">
        <f t="shared" si="64"/>
        <v>0.11110336089686257</v>
      </c>
      <c r="M251" t="s">
        <v>122</v>
      </c>
    </row>
    <row r="252" spans="1:15">
      <c r="A252" s="302"/>
      <c r="B252" s="302" t="s">
        <v>695</v>
      </c>
      <c r="C252" s="302" t="s">
        <v>587</v>
      </c>
      <c r="D252" s="307">
        <f>D227/B$177*(1-D$230)</f>
        <v>6.8475059934243659E-2</v>
      </c>
      <c r="E252" s="307">
        <f t="shared" ref="E252:L252" si="65">E227/C$177*(1-E$230)</f>
        <v>0.11509717330389066</v>
      </c>
      <c r="F252" s="307">
        <f t="shared" si="65"/>
        <v>0.24925996508395273</v>
      </c>
      <c r="G252" s="307">
        <f t="shared" si="65"/>
        <v>0.39818200502639728</v>
      </c>
      <c r="H252" s="307">
        <f t="shared" si="65"/>
        <v>0.54465850645832281</v>
      </c>
      <c r="I252" s="307">
        <f t="shared" si="65"/>
        <v>0.73847093008693787</v>
      </c>
      <c r="J252" s="307">
        <f t="shared" si="65"/>
        <v>0.85332173369422615</v>
      </c>
      <c r="K252" s="307">
        <f t="shared" si="65"/>
        <v>0.86178829812653757</v>
      </c>
      <c r="L252" s="307">
        <f t="shared" si="65"/>
        <v>0.83585100219970787</v>
      </c>
      <c r="M252" t="s">
        <v>111</v>
      </c>
    </row>
    <row r="253" spans="1:15">
      <c r="A253" s="302"/>
      <c r="B253" s="302" t="s">
        <v>695</v>
      </c>
      <c r="C253" s="302" t="s">
        <v>58</v>
      </c>
      <c r="D253" s="307">
        <f t="shared" ref="D253" si="66">D228/B$174*(1-D$230)</f>
        <v>3.4964615601534361E-2</v>
      </c>
      <c r="E253" s="307">
        <f t="shared" ref="E253" si="67">E228/C$174*(1-E$230)</f>
        <v>5.7445852821196478E-2</v>
      </c>
      <c r="F253" s="307">
        <f t="shared" ref="F253" si="68">F228/D$174*(1-F$230)</f>
        <v>0.11550231377692394</v>
      </c>
      <c r="G253" s="307">
        <f t="shared" ref="G253" si="69">G228/E$174*(1-G$230)</f>
        <v>0.18770300807288234</v>
      </c>
      <c r="H253" s="307">
        <f t="shared" ref="H253" si="70">H228/F$174*(1-H$230)</f>
        <v>0.24114287146020683</v>
      </c>
      <c r="I253" s="307">
        <f t="shared" ref="I253" si="71">I228/G$174*(1-I$230)</f>
        <v>0.29308195763514644</v>
      </c>
      <c r="J253" s="307">
        <f t="shared" ref="J253" si="72">J228/H$174*(1-J$230)</f>
        <v>0.31549286188504394</v>
      </c>
      <c r="K253" s="307">
        <f t="shared" ref="K253" si="73">K228/I$174*(1-K$230)</f>
        <v>0.30825068333959621</v>
      </c>
      <c r="L253" s="307">
        <f t="shared" ref="L253" si="74">L228/J$174*(1-L$230)</f>
        <v>0.29497659756281142</v>
      </c>
      <c r="M253" t="s">
        <v>696</v>
      </c>
    </row>
    <row r="254" spans="1:15">
      <c r="A254" s="302"/>
      <c r="B254" s="302" t="s">
        <v>695</v>
      </c>
      <c r="C254" s="302" t="s">
        <v>588</v>
      </c>
      <c r="D254" s="307">
        <f>D229/B$177*(1-D$230)</f>
        <v>6.8475059934243659E-2</v>
      </c>
      <c r="E254" s="307">
        <f t="shared" ref="E254:L254" si="75">E229/C$177*(1-E$230)</f>
        <v>0.11421910073560528</v>
      </c>
      <c r="F254" s="307">
        <f t="shared" si="75"/>
        <v>0.24106841261313472</v>
      </c>
      <c r="G254" s="307">
        <f t="shared" si="75"/>
        <v>0.36602455174690696</v>
      </c>
      <c r="H254" s="307">
        <f t="shared" si="75"/>
        <v>0.46611880149974422</v>
      </c>
      <c r="I254" s="307">
        <f t="shared" si="75"/>
        <v>0.59255175920506842</v>
      </c>
      <c r="J254" s="307">
        <f t="shared" si="75"/>
        <v>0.65884422618917526</v>
      </c>
      <c r="K254" s="307">
        <f t="shared" si="75"/>
        <v>0.65374331446025447</v>
      </c>
      <c r="L254" s="307">
        <f t="shared" si="75"/>
        <v>0.62958571174888789</v>
      </c>
      <c r="M254" t="s">
        <v>122</v>
      </c>
    </row>
    <row r="255" spans="1:15">
      <c r="A255" s="302" t="s">
        <v>18</v>
      </c>
      <c r="B255" s="302" t="s">
        <v>695</v>
      </c>
      <c r="C255" s="302" t="s">
        <v>587</v>
      </c>
      <c r="D255" s="355">
        <v>0</v>
      </c>
      <c r="E255" s="356">
        <f>E237/C173</f>
        <v>2.0749603150142109E-4</v>
      </c>
      <c r="F255" s="356">
        <f t="shared" ref="F255:L255" si="76">F237/D173</f>
        <v>6.1599215895705931E-4</v>
      </c>
      <c r="G255" s="356">
        <f t="shared" si="76"/>
        <v>3.2509256239793365E-3</v>
      </c>
      <c r="H255" s="356">
        <f t="shared" si="76"/>
        <v>9.8778103549652975E-3</v>
      </c>
      <c r="I255" s="356">
        <f t="shared" si="76"/>
        <v>2.8925306015421575E-2</v>
      </c>
      <c r="J255" s="356">
        <f t="shared" si="76"/>
        <v>7.4402566364663705E-2</v>
      </c>
      <c r="K255" s="356">
        <f t="shared" si="76"/>
        <v>0.17022113825972524</v>
      </c>
      <c r="L255" s="356">
        <f t="shared" si="76"/>
        <v>0.31040333319418079</v>
      </c>
      <c r="M255" t="s">
        <v>696</v>
      </c>
    </row>
    <row r="257" spans="1:15">
      <c r="F257">
        <f>F258-E258</f>
        <v>5</v>
      </c>
      <c r="G257" s="302">
        <f>G$258-$E$258</f>
        <v>10</v>
      </c>
      <c r="H257" s="302">
        <f t="shared" ref="H257:L257" si="77">H$258-$E$258</f>
        <v>15</v>
      </c>
      <c r="I257" s="302">
        <f t="shared" si="77"/>
        <v>20</v>
      </c>
      <c r="J257" s="302">
        <f t="shared" si="77"/>
        <v>25</v>
      </c>
      <c r="K257" s="302">
        <f t="shared" si="77"/>
        <v>30</v>
      </c>
      <c r="L257" s="302">
        <f t="shared" si="77"/>
        <v>35</v>
      </c>
    </row>
    <row r="258" spans="1:15" ht="13">
      <c r="A258" s="82" t="s">
        <v>624</v>
      </c>
      <c r="B258" s="82"/>
      <c r="C258" s="82"/>
      <c r="D258" s="357">
        <f>D223</f>
        <v>2012</v>
      </c>
      <c r="E258" s="357">
        <f t="shared" ref="E258:L258" si="78">E223</f>
        <v>2015</v>
      </c>
      <c r="F258" s="357">
        <f t="shared" si="78"/>
        <v>2020</v>
      </c>
      <c r="G258" s="357">
        <f t="shared" si="78"/>
        <v>2025</v>
      </c>
      <c r="H258" s="357">
        <f t="shared" si="78"/>
        <v>2030</v>
      </c>
      <c r="I258" s="357">
        <f t="shared" si="78"/>
        <v>2035</v>
      </c>
      <c r="J258" s="357">
        <f t="shared" si="78"/>
        <v>2040</v>
      </c>
      <c r="K258" s="357">
        <f t="shared" si="78"/>
        <v>2045</v>
      </c>
      <c r="L258" s="357">
        <f t="shared" si="78"/>
        <v>2050</v>
      </c>
    </row>
    <row r="259" spans="1:15" ht="14.15" customHeight="1">
      <c r="A259" s="82"/>
      <c r="B259" s="82" t="s">
        <v>59</v>
      </c>
      <c r="C259" s="82" t="s">
        <v>629</v>
      </c>
      <c r="D259" s="245">
        <f>D224</f>
        <v>27950</v>
      </c>
      <c r="E259" s="245">
        <f>E224</f>
        <v>58857.570340177561</v>
      </c>
      <c r="F259" s="245">
        <f>$O224*$P224*EXP($N259*F$257)/($O224+$P224*(EXP($N259*F$257)-1))</f>
        <v>254895.88484757452</v>
      </c>
      <c r="G259" s="245">
        <f t="shared" ref="G259:L259" si="79">$O224*$F259*EXP($O259*G$257)/($O224+$F259*(EXP($O259*G$257)-1))</f>
        <v>1474862.0157627151</v>
      </c>
      <c r="H259" s="245">
        <f t="shared" si="79"/>
        <v>2801420.8739724793</v>
      </c>
      <c r="I259" s="245">
        <f t="shared" si="79"/>
        <v>4186772.4784253244</v>
      </c>
      <c r="J259" s="245">
        <f t="shared" si="79"/>
        <v>5117820.8610229595</v>
      </c>
      <c r="K259" s="245">
        <f t="shared" si="79"/>
        <v>5573805.5052590473</v>
      </c>
      <c r="L259" s="245">
        <f t="shared" si="79"/>
        <v>5762689.8220821638</v>
      </c>
      <c r="N259">
        <v>0.45</v>
      </c>
      <c r="O259">
        <v>0.2</v>
      </c>
    </row>
    <row r="260" spans="1:15">
      <c r="A260" s="82" t="s">
        <v>625</v>
      </c>
      <c r="B260" s="82" t="s">
        <v>681</v>
      </c>
      <c r="C260" s="82" t="s">
        <v>682</v>
      </c>
      <c r="D260" s="309">
        <f>D234</f>
        <v>138095</v>
      </c>
      <c r="E260" s="309">
        <f>E234</f>
        <v>245822.29529794829</v>
      </c>
      <c r="F260" s="245">
        <f>$O227*$P227*EXP($N260*F$257)/($O227+$P227*(EXP($N260*F$257)-1))</f>
        <v>1053453.7881037707</v>
      </c>
      <c r="G260" s="245">
        <f t="shared" ref="G260:L260" si="80">$O227*$F260*EXP($O260*G$257)/($O227+$F260*(EXP($O260*G$257)-1))</f>
        <v>2678459.4989427892</v>
      </c>
      <c r="H260" s="245">
        <f t="shared" si="80"/>
        <v>3495616.5273471246</v>
      </c>
      <c r="I260" s="245">
        <f t="shared" si="80"/>
        <v>4084197.6457546423</v>
      </c>
      <c r="J260" s="245">
        <f t="shared" si="80"/>
        <v>4437105.5982963108</v>
      </c>
      <c r="K260" s="245">
        <f t="shared" si="80"/>
        <v>4625918.5649903379</v>
      </c>
      <c r="L260" s="245">
        <f t="shared" si="80"/>
        <v>4720810.1554810842</v>
      </c>
      <c r="N260">
        <v>0.45</v>
      </c>
      <c r="O260">
        <v>0.15</v>
      </c>
    </row>
    <row r="261" spans="1:15">
      <c r="A261" s="82"/>
      <c r="B261" s="82"/>
      <c r="C261" s="82" t="s">
        <v>680</v>
      </c>
      <c r="D261" s="309">
        <f>D260*(1-D230)</f>
        <v>138095</v>
      </c>
      <c r="E261" s="309">
        <f t="shared" ref="E261:L261" si="81">E260*(1-E230)</f>
        <v>245822.29529794829</v>
      </c>
      <c r="F261" s="309">
        <f t="shared" si="81"/>
        <v>1000781.0986985822</v>
      </c>
      <c r="G261" s="309">
        <f t="shared" si="81"/>
        <v>2410613.5490485104</v>
      </c>
      <c r="H261" s="309">
        <f t="shared" si="81"/>
        <v>2971274.0482450561</v>
      </c>
      <c r="I261" s="309">
        <f t="shared" si="81"/>
        <v>3471567.9988914458</v>
      </c>
      <c r="J261" s="309">
        <f t="shared" si="81"/>
        <v>3771539.758551864</v>
      </c>
      <c r="K261" s="309">
        <f t="shared" si="81"/>
        <v>3932030.780241787</v>
      </c>
      <c r="L261" s="309">
        <f t="shared" si="81"/>
        <v>4012688.6321589216</v>
      </c>
    </row>
    <row r="262" spans="1:15">
      <c r="A262" s="82"/>
      <c r="B262" s="82"/>
      <c r="C262" s="82" t="s">
        <v>679</v>
      </c>
      <c r="D262" s="245">
        <f>D260*D230</f>
        <v>0</v>
      </c>
      <c r="E262" s="245">
        <f t="shared" ref="E262:L262" si="82">E260*E230</f>
        <v>0</v>
      </c>
      <c r="F262" s="245">
        <f t="shared" si="82"/>
        <v>52672.689405188539</v>
      </c>
      <c r="G262" s="245">
        <f t="shared" si="82"/>
        <v>267845.94989427895</v>
      </c>
      <c r="H262" s="245">
        <f t="shared" si="82"/>
        <v>524342.4791020687</v>
      </c>
      <c r="I262" s="245">
        <f t="shared" si="82"/>
        <v>612629.64686319628</v>
      </c>
      <c r="J262" s="245">
        <f t="shared" si="82"/>
        <v>665565.83974444657</v>
      </c>
      <c r="K262" s="245">
        <f t="shared" si="82"/>
        <v>693887.78474855062</v>
      </c>
      <c r="L262" s="245">
        <f t="shared" si="82"/>
        <v>708121.52332216257</v>
      </c>
    </row>
    <row r="263" spans="1:15">
      <c r="A263" s="82"/>
      <c r="B263" s="82"/>
      <c r="C263" s="82" t="s">
        <v>630</v>
      </c>
      <c r="D263" s="309">
        <f>D237</f>
        <v>1</v>
      </c>
      <c r="E263" s="309">
        <f t="shared" ref="E263:L263" si="83">E237</f>
        <v>1000</v>
      </c>
      <c r="F263" s="309">
        <f t="shared" si="83"/>
        <v>2715.9633440993275</v>
      </c>
      <c r="G263" s="309">
        <f t="shared" si="83"/>
        <v>13380.882990594493</v>
      </c>
      <c r="H263" s="309">
        <f t="shared" si="83"/>
        <v>35962.22885997744</v>
      </c>
      <c r="I263" s="309">
        <f t="shared" si="83"/>
        <v>94843.844357287977</v>
      </c>
      <c r="J263" s="309">
        <f t="shared" si="83"/>
        <v>238502.31055409231</v>
      </c>
      <c r="K263" s="309">
        <f t="shared" si="83"/>
        <v>538648.8354669346</v>
      </c>
      <c r="L263" s="309">
        <f t="shared" si="83"/>
        <v>1003001.275816632</v>
      </c>
    </row>
    <row r="264" spans="1:15">
      <c r="A264" s="82"/>
      <c r="B264" s="82"/>
      <c r="C264" s="82" t="s">
        <v>27</v>
      </c>
      <c r="D264" s="245">
        <f>SUM(D259:D263)</f>
        <v>304141</v>
      </c>
      <c r="E264" s="245">
        <f t="shared" ref="E264:L264" si="84">SUM(E259:E263)</f>
        <v>551502.1609360741</v>
      </c>
      <c r="F264" s="245">
        <f t="shared" si="84"/>
        <v>2364519.4243992153</v>
      </c>
      <c r="G264" s="245">
        <f t="shared" si="84"/>
        <v>6845161.8966388889</v>
      </c>
      <c r="H264" s="245">
        <f t="shared" si="84"/>
        <v>9828616.1575267073</v>
      </c>
      <c r="I264" s="245">
        <f t="shared" si="84"/>
        <v>12450011.614291897</v>
      </c>
      <c r="J264" s="245">
        <f t="shared" si="84"/>
        <v>14230534.368169675</v>
      </c>
      <c r="K264" s="245">
        <f t="shared" si="84"/>
        <v>15364291.470706658</v>
      </c>
      <c r="L264" s="245">
        <f t="shared" si="84"/>
        <v>16207311.408860965</v>
      </c>
    </row>
    <row r="265" spans="1:15">
      <c r="A265" s="82" t="s">
        <v>675</v>
      </c>
      <c r="B265" s="82" t="s">
        <v>629</v>
      </c>
      <c r="C265" s="82" t="s">
        <v>699</v>
      </c>
      <c r="D265" s="307">
        <f>D259/(B$162*B$160)</f>
        <v>8.0735449002391386E-3</v>
      </c>
      <c r="E265" s="307">
        <f t="shared" ref="E265:L265" si="85">E259/(C$162*C$160)</f>
        <v>1.4822327441589532E-2</v>
      </c>
      <c r="F265" s="307">
        <f t="shared" si="85"/>
        <v>5.3420740778140748E-2</v>
      </c>
      <c r="G265" s="307">
        <f t="shared" si="85"/>
        <v>0.25592194618327269</v>
      </c>
      <c r="H265" s="307">
        <f t="shared" si="85"/>
        <v>0.40493442594678425</v>
      </c>
      <c r="I265" s="307">
        <f t="shared" si="85"/>
        <v>0.57255465848084375</v>
      </c>
      <c r="J265" s="307">
        <f t="shared" si="85"/>
        <v>0.69439969193660434</v>
      </c>
      <c r="K265" s="307">
        <f t="shared" si="85"/>
        <v>0.74091101341778065</v>
      </c>
      <c r="L265" s="307">
        <f t="shared" si="85"/>
        <v>0.76255963164455631</v>
      </c>
    </row>
    <row r="266" spans="1:15">
      <c r="A266" s="82"/>
      <c r="B266" s="82"/>
      <c r="C266" s="82" t="s">
        <v>607</v>
      </c>
      <c r="D266" s="307">
        <f t="shared" ref="D266:L266" si="86">D262/B174</f>
        <v>0</v>
      </c>
      <c r="E266" s="307">
        <f t="shared" si="86"/>
        <v>0</v>
      </c>
      <c r="F266" s="307">
        <f t="shared" si="86"/>
        <v>1.148832106026392E-2</v>
      </c>
      <c r="G266" s="307">
        <f t="shared" si="86"/>
        <v>5.1550890152619183E-2</v>
      </c>
      <c r="H266" s="307">
        <f t="shared" si="86"/>
        <v>8.9605993608264642E-2</v>
      </c>
      <c r="I266" s="307">
        <f t="shared" si="86"/>
        <v>0.10234070161695454</v>
      </c>
      <c r="J266" s="307">
        <f t="shared" si="86"/>
        <v>0.10897181563504492</v>
      </c>
      <c r="K266" s="307">
        <f t="shared" si="86"/>
        <v>0.10698623634675221</v>
      </c>
      <c r="L266" s="307">
        <f t="shared" si="86"/>
        <v>0.10303689117887883</v>
      </c>
    </row>
    <row r="267" spans="1:15">
      <c r="A267" s="82"/>
      <c r="B267" s="82"/>
      <c r="C267" s="82" t="s">
        <v>608</v>
      </c>
      <c r="D267" s="307">
        <f>D261/B177</f>
        <v>6.8475059934243659E-2</v>
      </c>
      <c r="E267" s="307">
        <f t="shared" ref="E267:L267" si="87">E261/C177</f>
        <v>0.11509717330389066</v>
      </c>
      <c r="F267" s="307">
        <f t="shared" si="87"/>
        <v>0.42747805839189029</v>
      </c>
      <c r="G267" s="307">
        <f t="shared" si="87"/>
        <v>0.77891569578595865</v>
      </c>
      <c r="H267" s="307">
        <f t="shared" si="87"/>
        <v>0.76179175419484257</v>
      </c>
      <c r="I267" s="307">
        <f t="shared" si="87"/>
        <v>0.84038648721357412</v>
      </c>
      <c r="J267" s="307">
        <f t="shared" si="87"/>
        <v>0.88578742503988339</v>
      </c>
      <c r="K267" s="307">
        <f t="shared" si="87"/>
        <v>0.86710142130427592</v>
      </c>
      <c r="L267" s="307">
        <f t="shared" si="87"/>
        <v>0.8343902664856292</v>
      </c>
    </row>
    <row r="268" spans="1:15">
      <c r="A268" s="82"/>
      <c r="B268" s="82" t="s">
        <v>678</v>
      </c>
      <c r="C268" s="82" t="s">
        <v>629</v>
      </c>
      <c r="D268" s="348"/>
      <c r="E268" s="348"/>
      <c r="F268" s="348"/>
      <c r="G268" s="348"/>
      <c r="H268" s="348"/>
      <c r="I268" s="348"/>
      <c r="J268" s="348"/>
      <c r="K268" s="348"/>
      <c r="L268" s="348"/>
    </row>
    <row r="269" spans="1:15">
      <c r="A269" s="82"/>
      <c r="B269" s="82"/>
      <c r="C269" s="82" t="s">
        <v>679</v>
      </c>
      <c r="D269" s="348"/>
      <c r="E269" s="348"/>
      <c r="F269" s="348"/>
      <c r="G269" s="348"/>
      <c r="H269" s="348"/>
      <c r="I269" s="348"/>
      <c r="J269" s="348"/>
      <c r="K269" s="348"/>
      <c r="L269" s="348"/>
    </row>
    <row r="271" spans="1:15" ht="13" thickBot="1"/>
    <row r="272" spans="1:15" s="15" customFormat="1" ht="13" thickBot="1">
      <c r="B272" s="335" t="s">
        <v>674</v>
      </c>
      <c r="C272" s="336"/>
      <c r="D272" s="337" t="s">
        <v>689</v>
      </c>
    </row>
    <row r="273" spans="1:20" ht="13">
      <c r="A273" s="5" t="s">
        <v>673</v>
      </c>
      <c r="D273" s="5">
        <f t="shared" ref="D273:L273" si="88">D245</f>
        <v>2012</v>
      </c>
      <c r="E273" s="5">
        <f t="shared" si="88"/>
        <v>2015</v>
      </c>
      <c r="F273" s="5">
        <f t="shared" si="88"/>
        <v>2020</v>
      </c>
      <c r="G273" s="5">
        <f t="shared" si="88"/>
        <v>2025</v>
      </c>
      <c r="H273" s="5">
        <f t="shared" si="88"/>
        <v>2030</v>
      </c>
      <c r="I273" s="5">
        <f t="shared" si="88"/>
        <v>2035</v>
      </c>
      <c r="J273" s="5">
        <f t="shared" si="88"/>
        <v>2040</v>
      </c>
      <c r="K273" s="5">
        <f t="shared" si="88"/>
        <v>2045</v>
      </c>
      <c r="L273" s="5">
        <f t="shared" si="88"/>
        <v>2050</v>
      </c>
      <c r="N273">
        <f>F273</f>
        <v>2020</v>
      </c>
      <c r="O273">
        <f t="shared" ref="O273:S273" si="89">G273</f>
        <v>2025</v>
      </c>
      <c r="P273">
        <f t="shared" si="89"/>
        <v>2030</v>
      </c>
      <c r="Q273">
        <f t="shared" si="89"/>
        <v>2035</v>
      </c>
      <c r="R273">
        <f t="shared" si="89"/>
        <v>2040</v>
      </c>
      <c r="S273">
        <f t="shared" si="89"/>
        <v>2045</v>
      </c>
      <c r="T273">
        <f>L273</f>
        <v>2050</v>
      </c>
    </row>
    <row r="274" spans="1:20">
      <c r="A274" s="245" t="s">
        <v>683</v>
      </c>
      <c r="B274" s="245" t="s">
        <v>670</v>
      </c>
      <c r="C274" s="245" t="s">
        <v>669</v>
      </c>
      <c r="D274" s="352">
        <f t="shared" ref="D274:E274" si="90">-D246</f>
        <v>-8.7745777275293861E-3</v>
      </c>
      <c r="E274" s="352">
        <f t="shared" si="90"/>
        <v>-1.6109362844475762E-2</v>
      </c>
      <c r="F274" s="352">
        <f>-F246</f>
        <v>-4.5654514773069851E-2</v>
      </c>
      <c r="G274" s="352">
        <f>-G248*1.05</f>
        <v>-0.1233544709165723</v>
      </c>
      <c r="H274" s="352">
        <f t="shared" ref="H274:L274" si="91">-H248*1.05</f>
        <v>-0.26530265868122166</v>
      </c>
      <c r="I274" s="352">
        <f t="shared" si="91"/>
        <v>-0.45904771959737117</v>
      </c>
      <c r="J274" s="352">
        <f t="shared" si="91"/>
        <v>-0.59729956676435148</v>
      </c>
      <c r="K274" s="352">
        <f t="shared" si="91"/>
        <v>-0.64249900322473974</v>
      </c>
      <c r="L274" s="352">
        <f t="shared" si="91"/>
        <v>-0.65806878232054655</v>
      </c>
      <c r="N274" s="352">
        <f>-(F274+F275)/2</f>
        <v>4.5432372135032303E-2</v>
      </c>
      <c r="O274" s="352">
        <f t="shared" ref="O274:T274" si="92">-(G274+G275)/2</f>
        <v>0.12041745970427295</v>
      </c>
      <c r="P274" s="352">
        <f t="shared" si="92"/>
        <v>0.25898592871262116</v>
      </c>
      <c r="Q274" s="352">
        <f t="shared" si="92"/>
        <v>0.44811801198790996</v>
      </c>
      <c r="R274" s="352">
        <f t="shared" si="92"/>
        <v>0.58307814850805739</v>
      </c>
      <c r="S274" s="352">
        <f t="shared" si="92"/>
        <v>0.62720140790986489</v>
      </c>
      <c r="T274" s="352">
        <f t="shared" si="92"/>
        <v>0.64240047797958111</v>
      </c>
    </row>
    <row r="275" spans="1:20">
      <c r="A275" s="245"/>
      <c r="B275" s="245" t="s">
        <v>671</v>
      </c>
      <c r="C275" s="245" t="s">
        <v>669</v>
      </c>
      <c r="D275" s="352">
        <f t="shared" ref="D275:L275" si="93">-D248</f>
        <v>-8.7745777275293861E-3</v>
      </c>
      <c r="E275" s="352">
        <f t="shared" si="93"/>
        <v>-1.6081045552869103E-2</v>
      </c>
      <c r="F275" s="352">
        <f t="shared" si="93"/>
        <v>-4.5210229496994749E-2</v>
      </c>
      <c r="G275" s="352">
        <f t="shared" si="93"/>
        <v>-0.11748044849197362</v>
      </c>
      <c r="H275" s="352">
        <f t="shared" si="93"/>
        <v>-0.25266919874402061</v>
      </c>
      <c r="I275" s="352">
        <f t="shared" si="93"/>
        <v>-0.43718830437844874</v>
      </c>
      <c r="J275" s="352">
        <f t="shared" si="93"/>
        <v>-0.56885673025176331</v>
      </c>
      <c r="K275" s="352">
        <f t="shared" si="93"/>
        <v>-0.61190381259499016</v>
      </c>
      <c r="L275" s="352">
        <f t="shared" si="93"/>
        <v>-0.62673217363861577</v>
      </c>
    </row>
    <row r="276" spans="1:20">
      <c r="A276" s="245" t="s">
        <v>834</v>
      </c>
      <c r="B276" s="245" t="s">
        <v>670</v>
      </c>
      <c r="C276" s="245" t="s">
        <v>669</v>
      </c>
      <c r="D276" s="352">
        <f t="shared" ref="D276:L276" si="94">-D265</f>
        <v>-8.0735449002391386E-3</v>
      </c>
      <c r="E276" s="352">
        <f t="shared" si="94"/>
        <v>-1.4822327441589532E-2</v>
      </c>
      <c r="F276" s="352">
        <f t="shared" si="94"/>
        <v>-5.3420740778140748E-2</v>
      </c>
      <c r="G276" s="352">
        <f t="shared" si="94"/>
        <v>-0.25592194618327269</v>
      </c>
      <c r="H276" s="352">
        <f t="shared" si="94"/>
        <v>-0.40493442594678425</v>
      </c>
      <c r="I276" s="352">
        <f t="shared" si="94"/>
        <v>-0.57255465848084375</v>
      </c>
      <c r="J276" s="352">
        <f t="shared" si="94"/>
        <v>-0.69439969193660434</v>
      </c>
      <c r="K276" s="352">
        <f t="shared" si="94"/>
        <v>-0.74091101341778065</v>
      </c>
      <c r="L276" s="352">
        <f t="shared" si="94"/>
        <v>-0.76255963164455631</v>
      </c>
    </row>
    <row r="277" spans="1:20">
      <c r="A277" s="245"/>
      <c r="B277" s="245" t="s">
        <v>671</v>
      </c>
      <c r="C277" s="245" t="s">
        <v>669</v>
      </c>
      <c r="D277" s="353">
        <f>D276*0.99</f>
        <v>-7.9928094512367476E-3</v>
      </c>
      <c r="E277" s="353">
        <f t="shared" ref="E277:L277" si="95">E276*0.99</f>
        <v>-1.4674104167173636E-2</v>
      </c>
      <c r="F277" s="353">
        <f t="shared" si="95"/>
        <v>-5.288653337035934E-2</v>
      </c>
      <c r="G277" s="353">
        <f t="shared" si="95"/>
        <v>-0.25336272672143995</v>
      </c>
      <c r="H277" s="353">
        <f t="shared" si="95"/>
        <v>-0.4008850816873164</v>
      </c>
      <c r="I277" s="353">
        <f t="shared" si="95"/>
        <v>-0.56682911189603535</v>
      </c>
      <c r="J277" s="353">
        <f t="shared" si="95"/>
        <v>-0.68745569501723824</v>
      </c>
      <c r="K277" s="353">
        <f t="shared" si="95"/>
        <v>-0.73350190328360287</v>
      </c>
      <c r="L277" s="353">
        <f t="shared" si="95"/>
        <v>-0.75493403532811076</v>
      </c>
    </row>
    <row r="278" spans="1:20">
      <c r="A278" s="245" t="s">
        <v>835</v>
      </c>
      <c r="B278" s="245" t="s">
        <v>670</v>
      </c>
      <c r="C278" s="245" t="s">
        <v>669</v>
      </c>
      <c r="D278" s="352">
        <f>D276</f>
        <v>-8.0735449002391386E-3</v>
      </c>
      <c r="E278" s="352">
        <f>E276</f>
        <v>-1.4822327441589532E-2</v>
      </c>
      <c r="F278" s="352">
        <f>(F274+F276)/2</f>
        <v>-4.9537627775605303E-2</v>
      </c>
      <c r="G278" s="352">
        <f t="shared" ref="G278:L278" si="96">(G274+G276)/2</f>
        <v>-0.1896382085499225</v>
      </c>
      <c r="H278" s="352">
        <f t="shared" si="96"/>
        <v>-0.33511854231400295</v>
      </c>
      <c r="I278" s="352">
        <f t="shared" si="96"/>
        <v>-0.51580118903910743</v>
      </c>
      <c r="J278" s="352">
        <f t="shared" si="96"/>
        <v>-0.64584962935047785</v>
      </c>
      <c r="K278" s="352">
        <f t="shared" si="96"/>
        <v>-0.69170500832126014</v>
      </c>
      <c r="L278" s="352">
        <f t="shared" si="96"/>
        <v>-0.71031420698255143</v>
      </c>
    </row>
    <row r="279" spans="1:20">
      <c r="A279" s="245"/>
      <c r="B279" s="245" t="s">
        <v>671</v>
      </c>
      <c r="C279" s="245" t="s">
        <v>669</v>
      </c>
      <c r="D279" s="352">
        <f>D277</f>
        <v>-7.9928094512367476E-3</v>
      </c>
      <c r="E279" s="352">
        <f>E277</f>
        <v>-1.4674104167173636E-2</v>
      </c>
      <c r="F279" s="352">
        <f>(F275+F277)/2</f>
        <v>-4.9048381433677041E-2</v>
      </c>
      <c r="G279" s="352">
        <f t="shared" ref="G279:L279" si="97">(G275+G277)/2</f>
        <v>-0.18542158760670679</v>
      </c>
      <c r="H279" s="352">
        <f t="shared" si="97"/>
        <v>-0.3267771402156685</v>
      </c>
      <c r="I279" s="352">
        <f t="shared" si="97"/>
        <v>-0.50200870813724208</v>
      </c>
      <c r="J279" s="352">
        <f t="shared" si="97"/>
        <v>-0.62815621263450083</v>
      </c>
      <c r="K279" s="352">
        <f t="shared" si="97"/>
        <v>-0.67270285793929652</v>
      </c>
      <c r="L279" s="352">
        <f t="shared" si="97"/>
        <v>-0.69083310448336332</v>
      </c>
    </row>
    <row r="280" spans="1:20" ht="13">
      <c r="D280" s="5">
        <f>D273</f>
        <v>2012</v>
      </c>
      <c r="E280" s="5">
        <f t="shared" ref="E280:L280" si="98">E273</f>
        <v>2015</v>
      </c>
      <c r="F280" s="5">
        <f t="shared" si="98"/>
        <v>2020</v>
      </c>
      <c r="G280" s="5">
        <f t="shared" si="98"/>
        <v>2025</v>
      </c>
      <c r="H280" s="5">
        <f t="shared" si="98"/>
        <v>2030</v>
      </c>
      <c r="I280" s="5">
        <f t="shared" si="98"/>
        <v>2035</v>
      </c>
      <c r="J280" s="5">
        <f t="shared" si="98"/>
        <v>2040</v>
      </c>
      <c r="K280" s="5">
        <f t="shared" si="98"/>
        <v>2045</v>
      </c>
      <c r="L280" s="5">
        <f t="shared" si="98"/>
        <v>2050</v>
      </c>
    </row>
    <row r="281" spans="1:20" ht="15.5">
      <c r="A281" s="354" t="s">
        <v>692</v>
      </c>
      <c r="B281" s="165" t="str">
        <f>B274</f>
        <v>RHIEW-UP</v>
      </c>
      <c r="C281" s="165" t="str">
        <f>C274</f>
        <v>S-RHWEG-ALL</v>
      </c>
      <c r="D281" s="165">
        <f>IF(RES!$G$16=0,D274,IF(OR(RES!$G$16=3,RES!$G$16=1),D276,D278))</f>
        <v>-8.7745777275293861E-3</v>
      </c>
      <c r="E281" s="165">
        <f>IF(RES!$G$16=0,E274,IF(OR(RES!$G$16=3,RES!$G$16=1),E276,E278))</f>
        <v>-1.6109362844475762E-2</v>
      </c>
      <c r="F281" s="165">
        <f>IF(RES!$G$16=0,F274,IF(OR(RES!$G$16=3,RES!$G$16=1),F276,F278))</f>
        <v>-4.5654514773069851E-2</v>
      </c>
      <c r="G281" s="165">
        <f>IF(RES!$G$16=0,G274,IF(OR(RES!$G$16=3,RES!$G$16=1),G276,G278))</f>
        <v>-0.1233544709165723</v>
      </c>
      <c r="H281" s="165">
        <f>IF(RES!$G$16=0,H274,IF(OR(RES!$G$16=3,RES!$G$16=1),H276,H278))</f>
        <v>-0.26530265868122166</v>
      </c>
      <c r="I281" s="165">
        <f>IF(RES!$G$16=0,I274,IF(OR(RES!$G$16=3,RES!$G$16=1),I276,I278))</f>
        <v>-0.45904771959737117</v>
      </c>
      <c r="J281" s="165">
        <f>IF(RES!$G$16=0,J274,IF(OR(RES!$G$16=3,RES!$G$16=1),J276,J278))</f>
        <v>-0.59729956676435148</v>
      </c>
      <c r="K281" s="165">
        <f>IF(RES!$G$16=0,K274,IF(OR(RES!$G$16=3,RES!$G$16=1),K276,K278))</f>
        <v>-0.64249900322473974</v>
      </c>
      <c r="L281" s="165">
        <f>IF(RES!$G$16=0,L274,IF(OR(RES!$G$16=3,RES!$G$16=1),L276,L278))</f>
        <v>-0.65806878232054655</v>
      </c>
    </row>
    <row r="282" spans="1:20">
      <c r="A282" s="165"/>
      <c r="B282" s="165" t="str">
        <f>B275</f>
        <v>RHIEW-LO</v>
      </c>
      <c r="C282" s="165" t="str">
        <f>C275</f>
        <v>S-RHWEG-ALL</v>
      </c>
      <c r="D282" s="165">
        <f>IF(RES!$G$16=0,D275,IF(OR(RES!$G$16=3,RES!$G$16=1),D277,D279))</f>
        <v>-8.7745777275293861E-3</v>
      </c>
      <c r="E282" s="165">
        <f>IF(RES!$G$16=0,E275,IF(OR(RES!$G$16=3,RES!$G$16=1),E277,E279))</f>
        <v>-1.6081045552869103E-2</v>
      </c>
      <c r="F282" s="165">
        <f>IF(RES!$G$16=0,F275,IF(OR(RES!$G$16=3,RES!$G$16=1),F277,F279))</f>
        <v>-4.5210229496994749E-2</v>
      </c>
      <c r="G282" s="165">
        <f>IF(RES!$G$16=0,G275,IF(OR(RES!$G$16=3,RES!$G$16=1),G277,G279))</f>
        <v>-0.11748044849197362</v>
      </c>
      <c r="H282" s="165">
        <f>IF(RES!$G$16=0,H275,IF(OR(RES!$G$16=3,RES!$G$16=1),H277,H279))</f>
        <v>-0.25266919874402061</v>
      </c>
      <c r="I282" s="165">
        <f>IF(RES!$G$16=0,I275,IF(OR(RES!$G$16=3,RES!$G$16=1),I277,I279))</f>
        <v>-0.43718830437844874</v>
      </c>
      <c r="J282" s="165">
        <f>IF(RES!$G$16=0,J275,IF(OR(RES!$G$16=3,RES!$G$16=1),J277,J279))</f>
        <v>-0.56885673025176331</v>
      </c>
      <c r="K282" s="165">
        <f>IF(RES!$G$16=0,K275,IF(OR(RES!$G$16=3,RES!$G$16=1),K277,K279))</f>
        <v>-0.61190381259499016</v>
      </c>
      <c r="L282" s="165">
        <f>IF(RES!$G$16=0,L275,IF(OR(RES!$G$16=3,RES!$G$16=1),L277,L279))</f>
        <v>-0.62673217363861577</v>
      </c>
    </row>
    <row r="283" spans="1:20" ht="13">
      <c r="F283" s="5">
        <v>2012</v>
      </c>
      <c r="G283" s="5">
        <v>2020</v>
      </c>
      <c r="H283" s="5">
        <v>2030</v>
      </c>
      <c r="I283" s="5">
        <v>2040</v>
      </c>
      <c r="J283" s="5">
        <v>2050</v>
      </c>
    </row>
    <row r="284" spans="1:20" ht="15.5">
      <c r="A284" s="354" t="s">
        <v>698</v>
      </c>
      <c r="B284" s="165" t="str">
        <f>RES!B96</f>
        <v>RMEWELCSWH-E</v>
      </c>
      <c r="C284" s="165" t="s">
        <v>111</v>
      </c>
      <c r="D284" s="165" t="s">
        <v>691</v>
      </c>
      <c r="E284" s="165" t="s">
        <v>695</v>
      </c>
      <c r="F284" s="358">
        <f>SUMIFS(D$249:D$255,$B$249:$B$255,$E284,$M$249:$M$255,$C284)</f>
        <v>6.8475059934243659E-2</v>
      </c>
      <c r="G284" s="358">
        <f>SUMIFS(F$249:F$255,$B$249:$B$255,$E284,$M$249:$M$255,$C284)</f>
        <v>0.24925996508395273</v>
      </c>
      <c r="H284" s="358">
        <f>SUMIFS(H$249:H$255,$B$249:$B$255,$E284,$M$249:$M$255,$C284)</f>
        <v>0.54465850645832281</v>
      </c>
      <c r="I284" s="358">
        <f>SUMIFS(J$249:J$255,$B$249:$B$255,$E284,$M$249:$M$255,$C284)</f>
        <v>0.85332173369422615</v>
      </c>
      <c r="J284" s="358">
        <f>SUMIFS(L$249:L$255,$B$249:$B$255,$E284,$M$249:$M$255,$C284)</f>
        <v>0.83585100219970787</v>
      </c>
    </row>
    <row r="285" spans="1:20" ht="15.5">
      <c r="A285" s="354" t="s">
        <v>692</v>
      </c>
      <c r="B285" s="165" t="str">
        <f>RES!B96</f>
        <v>RMEWELCSWH-E</v>
      </c>
      <c r="C285" s="165" t="s">
        <v>122</v>
      </c>
      <c r="D285" s="165" t="s">
        <v>691</v>
      </c>
      <c r="E285" s="165" t="str">
        <f>E284</f>
        <v>Low pressure</v>
      </c>
      <c r="F285" s="358">
        <f>SUMIFS(D$249:D$255,$B$249:$B$255,$E285,$M$249:$M$255,$C285)</f>
        <v>6.8475059934243659E-2</v>
      </c>
      <c r="G285" s="358">
        <f>SUMIFS(F$249:F$255,$B$249:$B$255,$E285,$M$249:$M$255,$C285)</f>
        <v>0.24106841261313472</v>
      </c>
      <c r="H285" s="358">
        <f>SUMIFS(H$249:H$255,$B$249:$B$255,$E285,$M$249:$M$255,$C285)</f>
        <v>0.46611880149974422</v>
      </c>
      <c r="I285" s="358">
        <f>SUMIFS(J$249:J$255,$B$249:$B$255,$E285,$M$249:$M$255,$C285)</f>
        <v>0.65884422618917526</v>
      </c>
      <c r="J285" s="358">
        <f>SUMIFS(L$249:L$255,$B$249:$B$255,$E285,$M$249:$M$255,$C285)</f>
        <v>0.62958571174888789</v>
      </c>
    </row>
    <row r="286" spans="1:20">
      <c r="A286" s="165"/>
      <c r="B286" s="165" t="e">
        <f>RES!#REF!</f>
        <v>#REF!</v>
      </c>
      <c r="C286" s="165" t="s">
        <v>111</v>
      </c>
      <c r="D286" s="165" t="s">
        <v>691</v>
      </c>
      <c r="E286" s="165" t="s">
        <v>705</v>
      </c>
      <c r="F286" s="358">
        <f>SUMIFS(D$249:D$255,$B$249:$B$255,$E286,$M$249:$M$255,$C286)</f>
        <v>0</v>
      </c>
      <c r="G286" s="358">
        <f>SUMIFS(F$249:F$255,$B$249:$B$255,$E286,$M$249:$M$255,$C286)</f>
        <v>0</v>
      </c>
      <c r="H286" s="358">
        <f>SUMIFS(H$249:H$255,$B$249:$B$255,$E286,$M$249:$M$255,$C286)</f>
        <v>0</v>
      </c>
      <c r="I286" s="358">
        <f>SUMIFS(J$249:J$255,$B$249:$B$255,$E286,$M$249:$M$255,$C286)</f>
        <v>0</v>
      </c>
      <c r="J286" s="358">
        <f>SUMIFS(L$249:L$255,$B$249:$B$255,$E286,$M$249:$M$255,$C286)</f>
        <v>0</v>
      </c>
    </row>
    <row r="287" spans="1:20">
      <c r="A287" s="165"/>
      <c r="B287" s="165" t="e">
        <f>RES!#REF!</f>
        <v>#REF!</v>
      </c>
      <c r="C287" s="165" t="s">
        <v>122</v>
      </c>
      <c r="D287" s="165" t="s">
        <v>691</v>
      </c>
      <c r="E287" s="165" t="str">
        <f>E286</f>
        <v>High pressusre</v>
      </c>
      <c r="F287" s="358">
        <f>SUMIFS(D$249:D$255,$B$249:$B$255,$E287,$M$249:$M$255,$C287)</f>
        <v>0</v>
      </c>
      <c r="G287" s="358">
        <f>SUMIFS(F$249:F$255,$B$249:$B$255,$E287,$M$249:$M$255,$C287)</f>
        <v>0</v>
      </c>
      <c r="H287" s="358">
        <f>SUMIFS(H$249:H$255,$B$249:$B$255,$E287,$M$249:$M$255,$C287)</f>
        <v>0</v>
      </c>
      <c r="I287" s="358">
        <f>SUMIFS(J$249:J$255,$B$249:$B$255,$E287,$M$249:$M$255,$C287)</f>
        <v>0</v>
      </c>
      <c r="J287" s="358">
        <f>SUMIFS(L$249:L$255,$B$249:$B$255,$E287,$M$249:$M$255,$C287)</f>
        <v>0</v>
      </c>
      <c r="L287" t="s">
        <v>700</v>
      </c>
    </row>
    <row r="288" spans="1:20">
      <c r="A288" s="165" t="s">
        <v>694</v>
      </c>
      <c r="B288" s="165" t="str">
        <f>B284</f>
        <v>RMEWELCSWH-E</v>
      </c>
      <c r="C288" s="165" t="str">
        <f t="shared" ref="C288" si="99">C284</f>
        <v>UP</v>
      </c>
      <c r="D288" s="165" t="s">
        <v>65</v>
      </c>
      <c r="E288" s="165" t="str">
        <f>E284</f>
        <v>Low pressure</v>
      </c>
      <c r="F288" s="358">
        <f>D267</f>
        <v>6.8475059934243659E-2</v>
      </c>
      <c r="G288" s="358">
        <f>F267</f>
        <v>0.42747805839189029</v>
      </c>
      <c r="H288" s="358">
        <f>H267</f>
        <v>0.76179175419484257</v>
      </c>
      <c r="I288" s="358">
        <f>J267</f>
        <v>0.88578742503988339</v>
      </c>
      <c r="J288" s="358">
        <f>L267</f>
        <v>0.8343902664856292</v>
      </c>
    </row>
    <row r="289" spans="1:12">
      <c r="A289" s="165"/>
      <c r="B289" s="165" t="str">
        <f t="shared" ref="B289:C291" si="100">B285</f>
        <v>RMEWELCSWH-E</v>
      </c>
      <c r="C289" s="165" t="str">
        <f t="shared" si="100"/>
        <v>LO</v>
      </c>
      <c r="D289" s="165" t="s">
        <v>65</v>
      </c>
      <c r="E289" s="165" t="str">
        <f>E285</f>
        <v>Low pressure</v>
      </c>
      <c r="F289" s="358">
        <f>MAX(F288-0.001,0)</f>
        <v>6.7475059934243659E-2</v>
      </c>
      <c r="G289" s="358">
        <f t="shared" ref="G289:J289" si="101">MAX(G288-0.001,0)</f>
        <v>0.42647805839189029</v>
      </c>
      <c r="H289" s="358">
        <f t="shared" si="101"/>
        <v>0.76079175419484257</v>
      </c>
      <c r="I289" s="358">
        <f t="shared" si="101"/>
        <v>0.88478742503988339</v>
      </c>
      <c r="J289" s="358">
        <f t="shared" si="101"/>
        <v>0.83339026648562919</v>
      </c>
    </row>
    <row r="290" spans="1:12">
      <c r="A290" s="165"/>
      <c r="B290" s="165" t="e">
        <f t="shared" si="100"/>
        <v>#REF!</v>
      </c>
      <c r="C290" s="165" t="str">
        <f t="shared" si="100"/>
        <v>UP</v>
      </c>
      <c r="D290" s="165" t="s">
        <v>65</v>
      </c>
      <c r="E290" s="165" t="str">
        <f>E286</f>
        <v>High pressusre</v>
      </c>
      <c r="F290" s="358">
        <f>D266</f>
        <v>0</v>
      </c>
      <c r="G290" s="358">
        <f>F266</f>
        <v>1.148832106026392E-2</v>
      </c>
      <c r="H290" s="358">
        <f>H266</f>
        <v>8.9605993608264642E-2</v>
      </c>
      <c r="I290" s="358">
        <f>J266</f>
        <v>0.10897181563504492</v>
      </c>
      <c r="J290" s="358">
        <f>L266</f>
        <v>0.10303689117887883</v>
      </c>
    </row>
    <row r="291" spans="1:12">
      <c r="A291" s="165"/>
      <c r="B291" s="165" t="e">
        <f t="shared" si="100"/>
        <v>#REF!</v>
      </c>
      <c r="C291" s="165" t="str">
        <f t="shared" si="100"/>
        <v>LO</v>
      </c>
      <c r="D291" s="165" t="s">
        <v>65</v>
      </c>
      <c r="E291" s="165" t="str">
        <f>E287</f>
        <v>High pressusre</v>
      </c>
      <c r="F291" s="358">
        <f>MAX(F290-0.001,0)</f>
        <v>0</v>
      </c>
      <c r="G291" s="358">
        <f t="shared" ref="G291:J291" si="102">MAX(G290-0.001,0)</f>
        <v>1.0488321060263921E-2</v>
      </c>
      <c r="H291" s="358">
        <f t="shared" si="102"/>
        <v>8.8605993608264641E-2</v>
      </c>
      <c r="I291" s="358">
        <f t="shared" si="102"/>
        <v>0.10797181563504492</v>
      </c>
      <c r="J291" s="358">
        <f t="shared" si="102"/>
        <v>0.10203689117887883</v>
      </c>
    </row>
    <row r="294" spans="1:12">
      <c r="A294" s="1" t="s">
        <v>59</v>
      </c>
      <c r="B294" s="1" t="s">
        <v>409</v>
      </c>
      <c r="C294" s="1" t="s">
        <v>1057</v>
      </c>
      <c r="D294">
        <v>2015</v>
      </c>
      <c r="E294">
        <v>2017</v>
      </c>
      <c r="F294">
        <f t="shared" ref="F294:L294" si="103">F280</f>
        <v>2020</v>
      </c>
      <c r="G294">
        <f t="shared" si="103"/>
        <v>2025</v>
      </c>
      <c r="H294">
        <f t="shared" si="103"/>
        <v>2030</v>
      </c>
      <c r="I294">
        <f t="shared" si="103"/>
        <v>2035</v>
      </c>
      <c r="J294">
        <f t="shared" si="103"/>
        <v>2040</v>
      </c>
      <c r="K294">
        <f t="shared" si="103"/>
        <v>2045</v>
      </c>
      <c r="L294">
        <f t="shared" si="103"/>
        <v>2050</v>
      </c>
    </row>
    <row r="295" spans="1:12">
      <c r="A295" s="1" t="s">
        <v>504</v>
      </c>
      <c r="B295" s="3">
        <f>RES!E132</f>
        <v>0.75</v>
      </c>
    </row>
    <row r="296" spans="1:12">
      <c r="A296" s="1" t="s">
        <v>1056</v>
      </c>
      <c r="B296" s="3">
        <f>RES!E133</f>
        <v>2.3199999999999998</v>
      </c>
    </row>
    <row r="297" spans="1:12">
      <c r="A297" s="1" t="s">
        <v>65</v>
      </c>
      <c r="B297" s="3">
        <f>RES!E134</f>
        <v>2.15</v>
      </c>
    </row>
    <row r="299" spans="1:12" ht="22.5">
      <c r="A299" s="303" t="s">
        <v>585</v>
      </c>
    </row>
    <row r="300" spans="1:12" ht="13">
      <c r="A300" s="5" t="s">
        <v>565</v>
      </c>
    </row>
    <row r="301" spans="1:12" ht="52">
      <c r="A301" s="294"/>
      <c r="B301" s="294"/>
      <c r="C301" s="299" t="s">
        <v>566</v>
      </c>
      <c r="D301" s="15"/>
      <c r="E301" s="295" t="s">
        <v>578</v>
      </c>
      <c r="F301" s="295" t="s">
        <v>579</v>
      </c>
    </row>
    <row r="302" spans="1:12">
      <c r="A302" s="248" t="s">
        <v>575</v>
      </c>
      <c r="B302" s="248"/>
      <c r="C302" s="298">
        <f>SUM(I131:O131)+SUM(W131:AC131)+SUM(AK131:AQ131)</f>
        <v>2556297.3557393001</v>
      </c>
      <c r="E302" s="248">
        <v>0.25</v>
      </c>
      <c r="F302" s="248">
        <f>E302*C302</f>
        <v>639074.33893482503</v>
      </c>
    </row>
    <row r="303" spans="1:12">
      <c r="A303" s="248" t="s">
        <v>576</v>
      </c>
      <c r="B303" s="248"/>
      <c r="C303" s="298">
        <f>SUM(I132:O132)+SUM(W132:AC132)+SUM(AK132:AQ132)</f>
        <v>317432.98297999997</v>
      </c>
      <c r="E303" s="248">
        <v>0.2</v>
      </c>
      <c r="F303" s="248">
        <f t="shared" ref="F303:F304" si="104">E303*C303</f>
        <v>63486.596595999996</v>
      </c>
    </row>
    <row r="304" spans="1:12">
      <c r="A304" s="248" t="s">
        <v>577</v>
      </c>
      <c r="B304" s="248"/>
      <c r="C304" s="298">
        <f>SUM(I133:O133)+SUM(W133:AC133)+SUM(AK133:AQ133)</f>
        <v>303646.52499999991</v>
      </c>
      <c r="E304" s="248">
        <v>0.5</v>
      </c>
      <c r="F304" s="248">
        <f t="shared" si="104"/>
        <v>151823.26249999995</v>
      </c>
    </row>
    <row r="305" spans="1:3">
      <c r="C305" s="8"/>
    </row>
    <row r="307" spans="1:3">
      <c r="A307" t="s">
        <v>567</v>
      </c>
    </row>
    <row r="310" spans="1:3">
      <c r="A310" t="s">
        <v>1067</v>
      </c>
      <c r="B310" t="s">
        <v>1068</v>
      </c>
      <c r="C310">
        <v>1.03</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53125" defaultRowHeight="12.5" outlineLevelRow="1"/>
  <cols>
    <col min="3" max="3" width="19.453125" customWidth="1"/>
    <col min="8" max="8" width="13" bestFit="1" customWidth="1"/>
  </cols>
  <sheetData>
    <row r="2" spans="1:15" s="9" customFormat="1" ht="15" thickBot="1">
      <c r="A2" s="81" t="s">
        <v>261</v>
      </c>
      <c r="B2" s="81" t="s">
        <v>262</v>
      </c>
      <c r="C2" s="76" t="s">
        <v>0</v>
      </c>
      <c r="D2" s="77"/>
      <c r="E2" s="77" t="s">
        <v>23</v>
      </c>
    </row>
    <row r="3" spans="1:15" s="9" customFormat="1" ht="15.5" thickTop="1" thickBot="1">
      <c r="A3" s="80" t="s">
        <v>229</v>
      </c>
      <c r="B3" s="80" t="s">
        <v>246</v>
      </c>
      <c r="C3" s="80" t="s">
        <v>42</v>
      </c>
      <c r="D3" s="78"/>
      <c r="E3" s="79">
        <f>Fridges!F17</f>
        <v>1.1879983500000002</v>
      </c>
    </row>
    <row r="4" spans="1:15" s="9" customFormat="1" ht="15.5" thickTop="1" thickBot="1">
      <c r="A4" s="80" t="s">
        <v>229</v>
      </c>
      <c r="B4" s="80" t="s">
        <v>252</v>
      </c>
      <c r="C4" s="80" t="s">
        <v>42</v>
      </c>
      <c r="D4" s="78"/>
      <c r="E4" s="79">
        <f>Fridges!F20</f>
        <v>1.6055999600000002</v>
      </c>
    </row>
    <row r="5" spans="1:15" s="9" customFormat="1" ht="15.5" thickTop="1" thickBot="1">
      <c r="A5" s="80" t="s">
        <v>229</v>
      </c>
      <c r="B5" s="80" t="s">
        <v>257</v>
      </c>
      <c r="C5" s="80" t="s">
        <v>42</v>
      </c>
      <c r="D5" s="78"/>
      <c r="E5" s="79">
        <f>Fridges!F23</f>
        <v>2.9051999999999998</v>
      </c>
    </row>
    <row r="6" spans="1:15" s="9" customFormat="1" ht="15.5" thickTop="1" thickBot="1">
      <c r="A6" s="80" t="s">
        <v>229</v>
      </c>
      <c r="B6" s="80" t="s">
        <v>247</v>
      </c>
      <c r="C6" s="80" t="s">
        <v>42</v>
      </c>
      <c r="D6" s="78"/>
      <c r="E6" s="79"/>
    </row>
    <row r="7" spans="1:15" s="9" customFormat="1" ht="15.5" thickTop="1" thickBot="1">
      <c r="A7" s="80" t="s">
        <v>229</v>
      </c>
      <c r="B7" s="80" t="s">
        <v>253</v>
      </c>
      <c r="C7" s="80" t="s">
        <v>42</v>
      </c>
      <c r="D7" s="78"/>
      <c r="E7" s="79"/>
    </row>
    <row r="8" spans="1:15" s="9" customFormat="1" ht="15.5" thickTop="1" thickBot="1">
      <c r="A8" s="80" t="s">
        <v>229</v>
      </c>
      <c r="B8" s="80" t="s">
        <v>258</v>
      </c>
      <c r="C8" s="80" t="s">
        <v>42</v>
      </c>
      <c r="D8" s="78"/>
      <c r="E8" s="79"/>
    </row>
    <row r="9" spans="1:15" s="9" customFormat="1" ht="15.5" thickTop="1" thickBot="1">
      <c r="A9" s="80" t="s">
        <v>231</v>
      </c>
      <c r="B9" s="80" t="s">
        <v>287</v>
      </c>
      <c r="C9" s="80" t="s">
        <v>17</v>
      </c>
      <c r="D9" s="78"/>
      <c r="E9" s="109"/>
    </row>
    <row r="10" spans="1:15" s="9" customFormat="1" ht="15.5" thickTop="1" thickBot="1">
      <c r="A10" s="80" t="s">
        <v>231</v>
      </c>
      <c r="B10" s="80" t="s">
        <v>288</v>
      </c>
      <c r="C10" s="80" t="s">
        <v>17</v>
      </c>
      <c r="D10" s="78"/>
      <c r="E10" s="79"/>
    </row>
    <row r="11" spans="1:15" s="9" customFormat="1" ht="15.5" thickTop="1" thickBot="1">
      <c r="A11" s="80" t="s">
        <v>231</v>
      </c>
      <c r="B11" s="80" t="s">
        <v>289</v>
      </c>
      <c r="C11" s="80" t="s">
        <v>17</v>
      </c>
      <c r="D11" s="78"/>
      <c r="E11" s="79"/>
    </row>
    <row r="12" spans="1:15" s="9" customFormat="1" ht="15.5" thickTop="1" thickBot="1">
      <c r="A12" s="80" t="s">
        <v>231</v>
      </c>
      <c r="B12" s="80" t="s">
        <v>291</v>
      </c>
      <c r="C12" s="80" t="s">
        <v>17</v>
      </c>
      <c r="D12" s="78"/>
      <c r="E12" s="109"/>
    </row>
    <row r="13" spans="1:15" s="9" customFormat="1" ht="15" thickTop="1">
      <c r="A13" s="80" t="s">
        <v>231</v>
      </c>
      <c r="B13" s="80" t="s">
        <v>290</v>
      </c>
      <c r="C13" s="80" t="s">
        <v>17</v>
      </c>
      <c r="D13" s="78"/>
      <c r="E13" s="79"/>
      <c r="F13" s="10"/>
      <c r="G13" s="10"/>
      <c r="H13" s="10"/>
      <c r="I13" s="10"/>
      <c r="J13" s="10"/>
      <c r="K13" s="10"/>
      <c r="L13" s="10"/>
      <c r="M13" s="10"/>
    </row>
    <row r="14" spans="1:15" s="9" customFormat="1" ht="14.5">
      <c r="A14" s="83"/>
      <c r="B14" s="83"/>
      <c r="C14" s="83"/>
      <c r="D14" s="83"/>
      <c r="E14" s="84"/>
      <c r="F14" s="10"/>
      <c r="G14" s="10"/>
      <c r="H14" s="10"/>
      <c r="I14" s="10"/>
      <c r="J14" s="10"/>
      <c r="K14" s="10"/>
      <c r="L14" s="10"/>
      <c r="M14" s="10"/>
    </row>
    <row r="15" spans="1:15" ht="13">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
      <c r="A27" s="322" t="s">
        <v>666</v>
      </c>
    </row>
    <row r="29" spans="1:16">
      <c r="F29" t="s">
        <v>654</v>
      </c>
    </row>
    <row r="30" spans="1:16">
      <c r="A30" t="s">
        <v>652</v>
      </c>
      <c r="F30" t="s">
        <v>653</v>
      </c>
    </row>
    <row r="31" spans="1:16" ht="13">
      <c r="A31" s="319" t="s">
        <v>50</v>
      </c>
      <c r="B31" s="318">
        <v>9886238</v>
      </c>
      <c r="F31" s="319" t="s">
        <v>50</v>
      </c>
      <c r="G31" s="318">
        <v>44170365</v>
      </c>
      <c r="H31" s="320">
        <f>G31/(51800000/'Census 2011_17'!$C$47)</f>
        <v>12321793.578458289</v>
      </c>
    </row>
    <row r="32" spans="1:16" ht="13">
      <c r="A32" s="319" t="s">
        <v>51</v>
      </c>
      <c r="B32" s="318">
        <v>4563924</v>
      </c>
      <c r="F32" s="319" t="s">
        <v>51</v>
      </c>
      <c r="G32" s="318">
        <v>7896323</v>
      </c>
      <c r="H32" s="320">
        <f>G32/(51800000/'Census 2011_17'!$C$47)</f>
        <v>2202763.3693955778</v>
      </c>
    </row>
    <row r="33" spans="1:8" ht="13">
      <c r="A33" s="319" t="s">
        <v>27</v>
      </c>
      <c r="B33" s="318">
        <v>14450161</v>
      </c>
      <c r="F33" s="319" t="s">
        <v>279</v>
      </c>
      <c r="G33" s="318">
        <v>3586966</v>
      </c>
      <c r="H33" s="320">
        <f>G33/(51800000/'Census 2011_17'!$C$47)</f>
        <v>1000622.3544892195</v>
      </c>
    </row>
    <row r="34" spans="1:8" ht="13">
      <c r="A34" s="319"/>
      <c r="B34" s="318"/>
      <c r="F34" s="319" t="s">
        <v>27</v>
      </c>
      <c r="G34" s="318">
        <v>55653654</v>
      </c>
      <c r="H34" s="320">
        <f>G34/(51800000/'Census 2011_17'!$C$47)</f>
        <v>15525179.302343085</v>
      </c>
    </row>
    <row r="35" spans="1:8" ht="13">
      <c r="A35" s="319"/>
      <c r="B35" s="318"/>
      <c r="F35" s="319"/>
      <c r="G35" s="318"/>
    </row>
    <row r="36" spans="1:8" ht="13">
      <c r="A36" s="319"/>
      <c r="B36" s="318"/>
      <c r="F36" s="319"/>
      <c r="G36" s="318"/>
    </row>
    <row r="37" spans="1:8" ht="13">
      <c r="A37" s="319"/>
      <c r="B37" s="318"/>
      <c r="F37" s="319"/>
      <c r="G37" s="318"/>
    </row>
    <row r="38" spans="1:8" s="179" customFormat="1" ht="23">
      <c r="A38" s="321" t="s">
        <v>665</v>
      </c>
    </row>
    <row r="40" spans="1:8" ht="20">
      <c r="A40" s="278" t="s">
        <v>655</v>
      </c>
      <c r="B40" s="274"/>
      <c r="C40" s="274"/>
    </row>
    <row r="41" spans="1:8" ht="20">
      <c r="A41" s="278" t="s">
        <v>656</v>
      </c>
      <c r="B41" s="274"/>
      <c r="C41" s="274"/>
    </row>
    <row r="42" spans="1:8" ht="20">
      <c r="A42" s="278" t="s">
        <v>657</v>
      </c>
      <c r="B42" s="274"/>
      <c r="C42" s="274"/>
    </row>
    <row r="43" spans="1:8">
      <c r="A43" s="274"/>
      <c r="B43" s="274"/>
      <c r="C43" s="274"/>
    </row>
    <row r="44" spans="1:8" ht="20">
      <c r="A44" s="278" t="s">
        <v>441</v>
      </c>
      <c r="B44" s="274"/>
      <c r="C44" s="274" t="s">
        <v>655</v>
      </c>
    </row>
    <row r="45" spans="1:8">
      <c r="A45" s="274" t="s">
        <v>442</v>
      </c>
      <c r="B45" s="274" t="s">
        <v>658</v>
      </c>
      <c r="C45" s="274"/>
    </row>
    <row r="46" spans="1:8">
      <c r="A46" s="274"/>
      <c r="B46" s="274"/>
      <c r="C46" s="274"/>
    </row>
    <row r="47" spans="1:8">
      <c r="A47" s="615" t="s">
        <v>659</v>
      </c>
      <c r="B47" s="614"/>
      <c r="C47" s="273" t="s">
        <v>658</v>
      </c>
    </row>
    <row r="48" spans="1:8" ht="65">
      <c r="A48" s="275" t="s">
        <v>660</v>
      </c>
      <c r="B48" s="275" t="s">
        <v>661</v>
      </c>
      <c r="C48" s="274"/>
    </row>
    <row r="49" spans="1:3">
      <c r="A49" s="619" t="s">
        <v>662</v>
      </c>
      <c r="B49" s="276" t="s">
        <v>662</v>
      </c>
      <c r="C49" s="277">
        <v>10346108.0580603</v>
      </c>
    </row>
    <row r="50" spans="1:3" ht="37.5">
      <c r="A50" s="614"/>
      <c r="B50" s="276" t="s">
        <v>663</v>
      </c>
      <c r="C50" s="277">
        <v>3346922.7480302001</v>
      </c>
    </row>
    <row r="51" spans="1:3" ht="37.5">
      <c r="A51" s="614"/>
      <c r="B51" s="276" t="s">
        <v>664</v>
      </c>
      <c r="C51" s="277">
        <v>26403112.9382765</v>
      </c>
    </row>
    <row r="52" spans="1:3">
      <c r="A52" s="614"/>
      <c r="B52" s="276" t="s">
        <v>279</v>
      </c>
      <c r="C52" s="277">
        <v>530920.0628971</v>
      </c>
    </row>
    <row r="53" spans="1:3">
      <c r="A53" s="614"/>
      <c r="B53" s="276" t="s">
        <v>27</v>
      </c>
      <c r="C53" s="277">
        <v>40627063.807263501</v>
      </c>
    </row>
    <row r="54" spans="1:3">
      <c r="A54" s="619" t="s">
        <v>663</v>
      </c>
      <c r="B54" s="276" t="s">
        <v>662</v>
      </c>
      <c r="C54" s="277">
        <v>318793.32804669999</v>
      </c>
    </row>
    <row r="55" spans="1:3" ht="37.5">
      <c r="A55" s="614"/>
      <c r="B55" s="276" t="s">
        <v>663</v>
      </c>
      <c r="C55" s="277">
        <v>975904.78942289995</v>
      </c>
    </row>
    <row r="56" spans="1:3" ht="37.5">
      <c r="A56" s="614"/>
      <c r="B56" s="276" t="s">
        <v>664</v>
      </c>
      <c r="C56" s="277">
        <v>836656.96756200003</v>
      </c>
    </row>
    <row r="57" spans="1:3">
      <c r="A57" s="614"/>
      <c r="B57" s="276" t="s">
        <v>279</v>
      </c>
      <c r="C57" s="277">
        <v>11121.95803</v>
      </c>
    </row>
    <row r="58" spans="1:3">
      <c r="A58" s="614"/>
      <c r="B58" s="276" t="s">
        <v>27</v>
      </c>
      <c r="C58" s="277">
        <v>2142477.0430616001</v>
      </c>
    </row>
    <row r="59" spans="1:3">
      <c r="A59" s="619" t="s">
        <v>664</v>
      </c>
      <c r="B59" s="276" t="s">
        <v>662</v>
      </c>
      <c r="C59" s="277">
        <v>3515718.7135239998</v>
      </c>
    </row>
    <row r="60" spans="1:3" ht="37.5">
      <c r="A60" s="614"/>
      <c r="B60" s="276" t="s">
        <v>663</v>
      </c>
      <c r="C60" s="277">
        <v>128364.63808030001</v>
      </c>
    </row>
    <row r="61" spans="1:3" ht="37.5">
      <c r="A61" s="614"/>
      <c r="B61" s="276" t="s">
        <v>664</v>
      </c>
      <c r="C61" s="277">
        <v>8042799.6635534</v>
      </c>
    </row>
    <row r="62" spans="1:3">
      <c r="A62" s="614"/>
      <c r="B62" s="276" t="s">
        <v>279</v>
      </c>
      <c r="C62" s="277">
        <v>6784.6686466000001</v>
      </c>
    </row>
    <row r="63" spans="1:3">
      <c r="A63" s="614"/>
      <c r="B63" s="276" t="s">
        <v>27</v>
      </c>
      <c r="C63" s="277">
        <v>11693667.6838043</v>
      </c>
    </row>
    <row r="64" spans="1:3">
      <c r="A64" s="619" t="s">
        <v>279</v>
      </c>
      <c r="B64" s="276" t="s">
        <v>662</v>
      </c>
      <c r="C64" s="277">
        <v>85636.514467800007</v>
      </c>
    </row>
    <row r="65" spans="1:7" ht="37.5">
      <c r="A65" s="614"/>
      <c r="B65" s="276" t="s">
        <v>663</v>
      </c>
      <c r="C65" s="277">
        <v>7633.0913972999997</v>
      </c>
    </row>
    <row r="66" spans="1:7" ht="37.5">
      <c r="A66" s="614"/>
      <c r="B66" s="276" t="s">
        <v>664</v>
      </c>
      <c r="C66" s="277">
        <v>26830.0804675</v>
      </c>
    </row>
    <row r="67" spans="1:7">
      <c r="A67" s="614"/>
      <c r="B67" s="276" t="s">
        <v>279</v>
      </c>
      <c r="C67" s="277">
        <v>184119.02966619999</v>
      </c>
    </row>
    <row r="68" spans="1:7">
      <c r="A68" s="614"/>
      <c r="B68" s="276" t="s">
        <v>27</v>
      </c>
      <c r="C68" s="277">
        <v>304218.71599880001</v>
      </c>
    </row>
    <row r="69" spans="1:7" ht="13">
      <c r="A69" s="319"/>
      <c r="B69" s="318"/>
      <c r="F69" s="319"/>
      <c r="G69" s="318"/>
    </row>
    <row r="70" spans="1:7" ht="13">
      <c r="A70" s="319"/>
      <c r="B70" s="318"/>
      <c r="F70" s="319"/>
      <c r="G70" s="318"/>
    </row>
    <row r="71" spans="1:7" ht="13">
      <c r="A71" s="319"/>
      <c r="B71" s="318"/>
      <c r="F71" s="319"/>
      <c r="G71" s="318"/>
    </row>
    <row r="72" spans="1:7" ht="13">
      <c r="A72" s="319"/>
      <c r="B72" s="318"/>
      <c r="F72" s="319"/>
      <c r="G72" s="318"/>
    </row>
    <row r="73" spans="1:7" s="179" customFormat="1" ht="21" customHeight="1">
      <c r="A73" s="616" t="s">
        <v>667</v>
      </c>
      <c r="B73" s="616"/>
      <c r="C73" s="616"/>
      <c r="D73" s="616"/>
      <c r="E73" s="616"/>
      <c r="F73" s="616"/>
      <c r="G73" s="616"/>
    </row>
    <row r="74" spans="1:7" ht="13">
      <c r="A74" s="319"/>
      <c r="B74" s="318"/>
      <c r="F74" s="319"/>
      <c r="G74" s="318"/>
    </row>
    <row r="75" spans="1:7" ht="13">
      <c r="A75" s="319"/>
      <c r="B75" s="318"/>
      <c r="F75" s="319"/>
      <c r="G75" s="318"/>
    </row>
    <row r="77" spans="1:7">
      <c r="A77" s="618" t="s">
        <v>631</v>
      </c>
      <c r="B77" s="618"/>
      <c r="C77" s="618"/>
      <c r="D77" s="313" t="s">
        <v>632</v>
      </c>
    </row>
    <row r="78" spans="1:7" ht="44.15" customHeight="1">
      <c r="A78" s="618"/>
      <c r="B78" s="618"/>
      <c r="C78" s="618"/>
      <c r="D78" s="313" t="s">
        <v>633</v>
      </c>
    </row>
    <row r="79" spans="1:7" ht="21">
      <c r="A79" s="617" t="s">
        <v>634</v>
      </c>
      <c r="B79" s="313" t="s">
        <v>635</v>
      </c>
      <c r="C79" s="314" t="s">
        <v>50</v>
      </c>
      <c r="D79" s="315">
        <v>8552460</v>
      </c>
    </row>
    <row r="80" spans="1:7" ht="31.5">
      <c r="A80" s="617"/>
      <c r="B80" s="313" t="s">
        <v>636</v>
      </c>
      <c r="C80" s="314" t="s">
        <v>50</v>
      </c>
      <c r="D80" s="315">
        <v>35278358</v>
      </c>
    </row>
    <row r="81" spans="1:12">
      <c r="A81" s="617" t="s">
        <v>632</v>
      </c>
      <c r="B81" s="617"/>
      <c r="C81" s="617"/>
      <c r="D81" s="315">
        <v>39777584</v>
      </c>
    </row>
    <row r="83" spans="1:12">
      <c r="A83" s="140" t="s">
        <v>637</v>
      </c>
    </row>
    <row r="84" spans="1:12">
      <c r="A84" s="316" t="s">
        <v>47</v>
      </c>
    </row>
    <row r="85" spans="1:12">
      <c r="A85" s="316" t="s">
        <v>47</v>
      </c>
    </row>
    <row r="88" spans="1:12">
      <c r="A88" s="618" t="s">
        <v>631</v>
      </c>
      <c r="B88" s="618"/>
      <c r="C88" s="618"/>
      <c r="D88" s="617" t="s">
        <v>638</v>
      </c>
      <c r="E88" s="617"/>
      <c r="F88" s="617"/>
      <c r="G88" s="617"/>
      <c r="H88" s="617"/>
      <c r="I88" s="617"/>
      <c r="J88" s="617"/>
      <c r="K88" s="617"/>
      <c r="L88" s="617" t="s">
        <v>632</v>
      </c>
    </row>
    <row r="89" spans="1:12">
      <c r="A89" s="618"/>
      <c r="B89" s="618"/>
      <c r="C89" s="618"/>
      <c r="D89" s="617" t="s">
        <v>639</v>
      </c>
      <c r="E89" s="617"/>
      <c r="F89" s="617"/>
      <c r="G89" s="617"/>
      <c r="H89" s="617"/>
      <c r="I89" s="617"/>
      <c r="J89" s="617"/>
      <c r="K89" s="617"/>
      <c r="L89" s="617"/>
    </row>
    <row r="90" spans="1:12" ht="33" customHeight="1">
      <c r="A90" s="618"/>
      <c r="B90" s="618"/>
      <c r="C90" s="618"/>
      <c r="D90" s="313" t="s">
        <v>640</v>
      </c>
      <c r="E90" s="313" t="s">
        <v>641</v>
      </c>
      <c r="F90" s="313" t="s">
        <v>642</v>
      </c>
      <c r="G90" s="313" t="s">
        <v>643</v>
      </c>
      <c r="H90" s="313" t="s">
        <v>644</v>
      </c>
      <c r="I90" s="313" t="s">
        <v>645</v>
      </c>
      <c r="J90" s="313" t="s">
        <v>646</v>
      </c>
      <c r="K90" s="313" t="s">
        <v>647</v>
      </c>
      <c r="L90" s="617"/>
    </row>
    <row r="91" spans="1:12" ht="37" customHeight="1">
      <c r="A91" s="618"/>
      <c r="B91" s="618"/>
      <c r="C91" s="618"/>
      <c r="D91" s="313" t="s">
        <v>633</v>
      </c>
      <c r="E91" s="313" t="s">
        <v>633</v>
      </c>
      <c r="F91" s="313" t="s">
        <v>633</v>
      </c>
      <c r="G91" s="313" t="s">
        <v>633</v>
      </c>
      <c r="H91" s="313" t="s">
        <v>633</v>
      </c>
      <c r="I91" s="313" t="s">
        <v>633</v>
      </c>
      <c r="J91" s="313" t="s">
        <v>633</v>
      </c>
      <c r="K91" s="313" t="s">
        <v>633</v>
      </c>
      <c r="L91" s="313" t="s">
        <v>633</v>
      </c>
    </row>
    <row r="92" spans="1:12" ht="21">
      <c r="A92" s="617"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1.5">
      <c r="A93" s="617"/>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7" t="s">
        <v>632</v>
      </c>
      <c r="B94" s="617"/>
      <c r="C94" s="617"/>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8" t="s">
        <v>649</v>
      </c>
      <c r="B101" s="618"/>
      <c r="C101" s="618"/>
      <c r="D101" s="617" t="s">
        <v>638</v>
      </c>
      <c r="E101" s="617"/>
      <c r="F101" s="617"/>
      <c r="G101" s="617"/>
      <c r="H101" s="617"/>
      <c r="I101" s="617"/>
      <c r="J101" s="617"/>
      <c r="K101" s="617"/>
      <c r="L101" s="617" t="s">
        <v>632</v>
      </c>
    </row>
    <row r="102" spans="1:12">
      <c r="A102" s="618"/>
      <c r="B102" s="618"/>
      <c r="C102" s="618"/>
      <c r="D102" s="617" t="s">
        <v>639</v>
      </c>
      <c r="E102" s="617"/>
      <c r="F102" s="617"/>
      <c r="G102" s="617"/>
      <c r="H102" s="617"/>
      <c r="I102" s="617"/>
      <c r="J102" s="617"/>
      <c r="K102" s="617"/>
      <c r="L102" s="617"/>
    </row>
    <row r="103" spans="1:12" ht="21">
      <c r="A103" s="618"/>
      <c r="B103" s="618"/>
      <c r="C103" s="618"/>
      <c r="D103" s="313" t="s">
        <v>640</v>
      </c>
      <c r="E103" s="313" t="s">
        <v>641</v>
      </c>
      <c r="F103" s="313" t="s">
        <v>642</v>
      </c>
      <c r="G103" s="313" t="s">
        <v>643</v>
      </c>
      <c r="H103" s="313" t="s">
        <v>644</v>
      </c>
      <c r="I103" s="313" t="s">
        <v>645</v>
      </c>
      <c r="J103" s="313" t="s">
        <v>646</v>
      </c>
      <c r="K103" s="313" t="s">
        <v>647</v>
      </c>
      <c r="L103" s="617"/>
    </row>
    <row r="104" spans="1:12" ht="34" customHeight="1">
      <c r="A104" s="618"/>
      <c r="B104" s="618"/>
      <c r="C104" s="618"/>
      <c r="D104" s="313" t="s">
        <v>650</v>
      </c>
      <c r="E104" s="313" t="s">
        <v>650</v>
      </c>
      <c r="F104" s="313" t="s">
        <v>650</v>
      </c>
      <c r="G104" s="313" t="s">
        <v>650</v>
      </c>
      <c r="H104" s="313" t="s">
        <v>650</v>
      </c>
      <c r="I104" s="313" t="s">
        <v>650</v>
      </c>
      <c r="J104" s="313" t="s">
        <v>650</v>
      </c>
      <c r="K104" s="313" t="s">
        <v>650</v>
      </c>
      <c r="L104" s="313" t="s">
        <v>650</v>
      </c>
    </row>
    <row r="105" spans="1:12" ht="21">
      <c r="A105" s="617"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1.5">
      <c r="A106" s="617"/>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7" t="s">
        <v>632</v>
      </c>
      <c r="B107" s="617"/>
      <c r="C107" s="617"/>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6" t="s">
        <v>712</v>
      </c>
      <c r="B119" s="616"/>
      <c r="C119" s="616"/>
      <c r="D119" s="616"/>
      <c r="E119" s="616"/>
      <c r="F119" s="616"/>
      <c r="G119" s="616"/>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1640625" defaultRowHeight="12.5" outlineLevelRow="1"/>
  <cols>
    <col min="2" max="2" width="15.453125" customWidth="1"/>
    <col min="3" max="3" width="24.453125" bestFit="1" customWidth="1"/>
    <col min="4" max="4" width="12.81640625" customWidth="1"/>
  </cols>
  <sheetData>
    <row r="1" spans="1:52" ht="14.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20">
        <v>2017</v>
      </c>
      <c r="H6" s="620"/>
      <c r="I6" s="620"/>
      <c r="J6" s="33" t="str">
        <f>IF(F6="","",INDEX(#REF!,MATCH(F6,#REF!,0),0))</f>
        <v/>
      </c>
      <c r="K6" s="33" t="str">
        <f>IF(I6=""," ",G6&amp;INDEX(#REF!,MATCH(I6,#REF!,0),0))</f>
        <v xml:space="preserve"> </v>
      </c>
      <c r="L6" s="132"/>
      <c r="M6" s="621">
        <v>2012</v>
      </c>
      <c r="N6" s="622"/>
      <c r="O6" s="623"/>
      <c r="P6" s="147"/>
      <c r="Q6" s="147"/>
      <c r="R6" s="147"/>
      <c r="S6" s="49"/>
      <c r="W6" s="148">
        <f>N6*S6</f>
        <v>0</v>
      </c>
      <c r="X6" s="149">
        <f>W6*8760*0.0036</f>
        <v>0</v>
      </c>
      <c r="Y6" s="150">
        <f>X6*(L6*365/8760)</f>
        <v>0</v>
      </c>
      <c r="Z6" s="33">
        <f>SUMIF(AFA!$B$3:$AJ$3,K6,AFA!$B$4:$AJ$4)</f>
        <v>0</v>
      </c>
      <c r="AA6" s="33"/>
      <c r="AB6" s="49" t="str">
        <f>IFERROR(AF6/Z6*(1+RES!$D$31),"")</f>
        <v/>
      </c>
      <c r="AC6" s="151" t="e">
        <f>AW6*((L6*365)/8760)*S6/#REF!*(SUMIF(Energy_Balance!$D$56:$D$160,K6,Energy_Balance!#REF!))/10^6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ht="13">
      <c r="B13" s="629" t="s">
        <v>213</v>
      </c>
      <c r="C13" s="630"/>
      <c r="D13" s="373"/>
      <c r="E13" s="373"/>
      <c r="F13" s="373"/>
      <c r="G13" s="374">
        <v>6</v>
      </c>
      <c r="H13" s="374">
        <v>6</v>
      </c>
      <c r="I13" s="374">
        <v>6</v>
      </c>
      <c r="J13" s="374"/>
      <c r="K13" s="374"/>
      <c r="L13">
        <v>0</v>
      </c>
      <c r="M13" s="427">
        <v>2.8</v>
      </c>
    </row>
    <row r="14" spans="1:52" ht="13">
      <c r="B14" s="629" t="s">
        <v>234</v>
      </c>
      <c r="C14" s="630"/>
      <c r="D14" s="373"/>
      <c r="E14" s="373"/>
      <c r="F14" s="373"/>
      <c r="G14" s="374">
        <v>1</v>
      </c>
      <c r="H14" s="374">
        <v>1</v>
      </c>
      <c r="I14" s="374">
        <v>1</v>
      </c>
      <c r="J14" s="374">
        <v>3</v>
      </c>
      <c r="K14" s="374">
        <v>4</v>
      </c>
      <c r="L14" s="374"/>
      <c r="M14" s="428">
        <v>3</v>
      </c>
    </row>
    <row r="15" spans="1:52" ht="13.5" customHeight="1">
      <c r="B15" s="625" t="s">
        <v>269</v>
      </c>
      <c r="C15" s="626"/>
      <c r="D15" s="373"/>
      <c r="E15" s="373"/>
      <c r="F15" s="373"/>
      <c r="G15" s="374">
        <v>4.5339999999999998</v>
      </c>
      <c r="H15" s="374">
        <v>5.6760000000000002</v>
      </c>
      <c r="I15" s="374">
        <v>8.6690000000000005</v>
      </c>
      <c r="J15" s="374"/>
      <c r="K15" s="374"/>
      <c r="L15" s="374"/>
      <c r="M15">
        <v>2</v>
      </c>
    </row>
    <row r="16" spans="1:52" ht="14.5">
      <c r="B16" s="627" t="s">
        <v>270</v>
      </c>
      <c r="C16" s="628"/>
      <c r="D16" s="373"/>
      <c r="E16" s="373"/>
      <c r="F16" s="373"/>
      <c r="G16" s="374">
        <f>G15*G14</f>
        <v>4.5339999999999998</v>
      </c>
      <c r="H16" s="374">
        <f t="shared" ref="H16:I16" si="2">H15*H14</f>
        <v>5.6760000000000002</v>
      </c>
      <c r="I16" s="374">
        <f t="shared" si="2"/>
        <v>8.6690000000000005</v>
      </c>
      <c r="J16" s="374"/>
      <c r="K16" s="374"/>
      <c r="L16" s="374"/>
    </row>
    <row r="17" spans="1:111" ht="14.5">
      <c r="B17" s="627" t="s">
        <v>215</v>
      </c>
      <c r="C17" s="628"/>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4.5">
      <c r="B18" s="624" t="s">
        <v>775</v>
      </c>
      <c r="C18" s="624"/>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42.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52.5"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5">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(SUMIFS(Energy_Balance!I$56:I$160,Energy_Balance!$C$56:$C$160,D25,Energy_Balance!$D$56:$D$160,E25))*K25</f>
        <v>0.98476356556203026</v>
      </c>
      <c r="M25" s="164">
        <f>F25*L25</f>
        <v>0.98476356556203026</v>
      </c>
      <c r="N25" s="186">
        <f>(SUMIFS(Energy_Balance!I$56:I$160,Energy_Balance!$C$56:$C$160,D25,Energy_Balance!$D$56:$D$160,E25))*SUM(K25:K27)</f>
        <v>4.9326966818374585</v>
      </c>
      <c r="O25" s="186">
        <f>($F25*K25+$F26*K26+$F27*K27)/SUM(K25:K27)</f>
        <v>3.2658054255294111</v>
      </c>
      <c r="P25" s="186">
        <f>N25*O25</f>
        <v>16.109227586035693</v>
      </c>
      <c r="Q25" s="187">
        <f>IFERROR((P25/$G25)," ")</f>
        <v>46.277585711105118</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5">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(SUMIFS(Energy_Balance!I$56:I$160,Energy_Balance!$C$56:$C$160,D26,Energy_Balance!$D$56:$D$160,E26))*K26</f>
        <v>3.7553113108496756</v>
      </c>
      <c r="M26" s="164">
        <f>F26*L26</f>
        <v>14.103196804939651</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5">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(SUMIFS(Energy_Balance!I$56:I$160,Energy_Balance!$C$56:$C$160,D27,Energy_Balance!$D$56:$D$160,E27))*K27</f>
        <v>0.19262180542575236</v>
      </c>
      <c r="M27" s="164">
        <f>F27*L27</f>
        <v>1.0212672155340148</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5">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(SUMIFS(Energy_Balance!I$56:I$160,Energy_Balance!$C$56:$C$160,D29,Energy_Balance!$D$56:$D$160,E29))*K29</f>
        <v>0.85166030961726213</v>
      </c>
      <c r="M29" s="164">
        <f>F29*L29</f>
        <v>0.85166030961726213</v>
      </c>
      <c r="N29" s="186">
        <f>(SUMIFS(Energy_Balance!I$56:I$160,Energy_Balance!$C$56:$C$160,D29,Energy_Balance!$D$56:$D$160,E29))*SUM(K29:K31)</f>
        <v>4.265980312649079</v>
      </c>
      <c r="O29" s="186">
        <f>($F29*K29+$F30*K30+$F31*K31)/SUM(K29:K31)</f>
        <v>3.3225736255686273</v>
      </c>
      <c r="P29" s="186">
        <f>N29*O29</f>
        <v>14.174033674002837</v>
      </c>
      <c r="Q29" s="187">
        <f>IFERROR((P29/$G29)," ")</f>
        <v>40.718281166339665</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5">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(SUMIFS(Energy_Balance!I$56:I$160,Energy_Balance!$C$56:$C$160,D30,Energy_Balance!$D$56:$D$160,E30))*K30</f>
        <v>3.0911293345455224</v>
      </c>
      <c r="M30" s="164">
        <f>F30*L30</f>
        <v>11.608839253530194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5">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(SUMIFS(Energy_Balance!I$56:I$160,Energy_Balance!$C$56:$C$160,D31,Energy_Balance!$D$56:$D$160,E31))*K31</f>
        <v>0.32319066848629441</v>
      </c>
      <c r="M31" s="164">
        <f>F31*L31</f>
        <v>1.7135341108553808</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5">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(SUMIFS(Energy_Balance!I$56:I$160,Energy_Balance!$C$56:$C$160,D33,Energy_Balance!$D$56:$D$160,E33))*K33</f>
        <v>1.1165545713454907</v>
      </c>
      <c r="M33" s="164">
        <f>F33*L33</f>
        <v>1.1165545713454907</v>
      </c>
      <c r="N33" s="186">
        <f>(SUMIFS(Energy_Balance!I$56:I$160,Energy_Balance!$C$56:$C$160,D33,Energy_Balance!$D$56:$D$160,E33))*SUM(K33:K35)</f>
        <v>5.5928399686710613</v>
      </c>
      <c r="O33" s="186">
        <f>($F33*K33+$F34*K34+$F35*K35)/SUM(K33:K35)</f>
        <v>3.3225736255686273</v>
      </c>
      <c r="P33" s="186">
        <f>N33*O33</f>
        <v>18.582622571932536</v>
      </c>
      <c r="Q33" s="187">
        <f>IFERROR((P33/$G33)," ")</f>
        <v>48.87591418183203</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5">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(SUMIFS(Energy_Balance!I$56:I$160,Energy_Balance!$C$56:$C$160,D34,Energy_Balance!$D$56:$D$160,E34))*K34</f>
        <v>4.0525718412990503</v>
      </c>
      <c r="M34" s="164">
        <f>F34*L34</f>
        <v>15.219568635726626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5">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(SUMIFS(Energy_Balance!I$56:I$160,Energy_Balance!$C$56:$C$160,D35,Energy_Balance!$D$56:$D$160,E35))*K35</f>
        <v>0.42371355602651989</v>
      </c>
      <c r="M35" s="164">
        <f>F35*L35</f>
        <v>2.2464993648604179</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5.5928399686710613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42.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52.5"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5">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(SUMIFS(Energy_Balance!I$56:I$160,Energy_Balance!$C$56:$C$160,D45,Energy_Balance!$D$56:$D$160,E45))*K45</f>
        <v>0.98476356556203026</v>
      </c>
      <c r="M45" s="164">
        <f>F45*L45</f>
        <v>0.98476356556203026</v>
      </c>
      <c r="N45" s="186">
        <f>(SUMIFS(Energy_Balance!I$56:I$160,Energy_Balance!$C$56:$C$160,D45,Energy_Balance!$D$56:$D$160,E45))*SUM(K45:K47)</f>
        <v>4.9326966818374585</v>
      </c>
      <c r="O45" s="186">
        <f>($F45*K45+$F46*K46+$F47*K47)/SUM(K45:K47)</f>
        <v>3.2658054255294111</v>
      </c>
      <c r="P45" s="186">
        <f>N45*O45</f>
        <v>16.109227586035693</v>
      </c>
      <c r="Q45" s="187">
        <f>IFERROR((P45/$G45)," ")</f>
        <v>46.277585711105118</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5">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(SUMIFS(Energy_Balance!I$56:I$160,Energy_Balance!$C$56:$C$160,D46,Energy_Balance!$D$56:$D$160,E46))*K46</f>
        <v>3.7553113108496756</v>
      </c>
      <c r="M46" s="164">
        <f>F46*L46</f>
        <v>14.103196804939651</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5">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(SUMIFS(Energy_Balance!I$56:I$160,Energy_Balance!$C$56:$C$160,D47,Energy_Balance!$D$56:$D$160,E47))*K47</f>
        <v>0.19262180542575236</v>
      </c>
      <c r="M47" s="164">
        <f>F47*L47</f>
        <v>1.0212672155340148</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5">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(SUMIFS(Energy_Balance!I$56:I$160,Energy_Balance!$C$56:$C$160,D49,Energy_Balance!$D$56:$D$160,E49))*K49</f>
        <v>0.85166030961726213</v>
      </c>
      <c r="M49" s="164">
        <f>F49*L49</f>
        <v>0.85166030961726213</v>
      </c>
      <c r="N49" s="186">
        <f>(SUMIFS(Energy_Balance!I$56:I$160,Energy_Balance!$C$56:$C$160,D49,Energy_Balance!$D$56:$D$160,E49))*SUM(K49:K51)</f>
        <v>4.265980312649079</v>
      </c>
      <c r="O49" s="186">
        <f>($F49*K49+$F50*K50+$F51*K51)/SUM(K49:K51)</f>
        <v>3.2658054255294111</v>
      </c>
      <c r="P49" s="186">
        <f>N49*O49</f>
        <v>13.931861650251015</v>
      </c>
      <c r="Q49" s="187">
        <f>IFERROR((P49/$G49)," ")</f>
        <v>40.022584459210037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5">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(SUMIFS(Energy_Balance!I$56:I$160,Energy_Balance!$C$56:$C$160,D50,Energy_Balance!$D$56:$D$160,E50))*K50</f>
        <v>3.2477334718228703</v>
      </c>
      <c r="M50" s="164">
        <f>F50*L50</f>
        <v>12.196971311213183</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5">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(SUMIFS(Energy_Balance!I$56:I$160,Energy_Balance!$C$56:$C$160,D51,Energy_Balance!$D$56:$D$160,E51))*K51</f>
        <v>0.16658653120894618</v>
      </c>
      <c r="M51" s="164">
        <f>F51*L51</f>
        <v>0.88323002942057072</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5">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(SUMIFS(Energy_Balance!I$56:I$160,Energy_Balance!$C$56:$C$160,D53,Energy_Balance!$D$56:$D$160,E53))*K53</f>
        <v>1.1165545713454907</v>
      </c>
      <c r="M53" s="164">
        <f>F53*L53</f>
        <v>1.1165545713454907</v>
      </c>
      <c r="N53" s="186">
        <f>(SUMIFS(Energy_Balance!I$56:I$160,Energy_Balance!$C$56:$C$160,D53,Energy_Balance!$D$56:$D$160,E53))*SUM(K53:K55)</f>
        <v>5.5928399686710613</v>
      </c>
      <c r="O53" s="186">
        <f>($F53*K53+$F54*K54+$F55*K55)/SUM(K53:K55)</f>
        <v>3.2658054255294111</v>
      </c>
      <c r="P53" s="186">
        <f>N53*O53</f>
        <v>18.265127113803693</v>
      </c>
      <c r="Q53" s="187">
        <f>IFERROR((P53/$G53)," ")</f>
        <v>48.04083933141424</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5">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(SUMIFS(Energy_Balance!I$56:I$160,Energy_Balance!$C$56:$C$160,D54,Energy_Balance!$D$56:$D$160,E54))*K54</f>
        <v>4.2578849965489658</v>
      </c>
      <c r="M54" s="164">
        <f>F54*L54</f>
        <v>15.990629034039525</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5">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(SUMIFS(Energy_Balance!I$56:I$160,Energy_Balance!$C$56:$C$160,D55,Energy_Balance!$D$56:$D$160,E55))*K55</f>
        <v>0.2184004007766045</v>
      </c>
      <c r="M55" s="164">
        <f>F55*L55</f>
        <v>1.1579435084186787</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1640625" defaultRowHeight="12.5"/>
  <sheetData>
    <row r="1" spans="1:18">
      <c r="A1">
        <v>1</v>
      </c>
      <c r="B1">
        <v>2</v>
      </c>
      <c r="C1">
        <v>3</v>
      </c>
      <c r="D1">
        <v>4</v>
      </c>
      <c r="E1">
        <v>5</v>
      </c>
      <c r="F1">
        <v>6</v>
      </c>
      <c r="G1">
        <v>7</v>
      </c>
      <c r="H1">
        <v>8</v>
      </c>
      <c r="I1">
        <v>9</v>
      </c>
      <c r="J1">
        <v>10</v>
      </c>
      <c r="K1">
        <v>11</v>
      </c>
      <c r="L1">
        <v>12</v>
      </c>
      <c r="M1">
        <v>13</v>
      </c>
      <c r="N1">
        <v>14</v>
      </c>
      <c r="O1">
        <v>15</v>
      </c>
      <c r="P1">
        <v>16</v>
      </c>
      <c r="Q1">
        <v>17</v>
      </c>
      <c r="R1">
        <v>1</v>
      </c>
    </row>
    <row r="2" spans="1:18" ht="13">
      <c r="A2" s="5" t="s">
        <v>93</v>
      </c>
      <c r="B2" s="1" t="s">
        <v>879</v>
      </c>
      <c r="R2">
        <v>2</v>
      </c>
    </row>
    <row r="3" spans="1:18">
      <c r="A3" s="1" t="s">
        <v>844</v>
      </c>
      <c r="R3">
        <v>3</v>
      </c>
    </row>
    <row r="4" spans="1:18">
      <c r="A4" s="1" t="s">
        <v>845</v>
      </c>
      <c r="I4" s="1" t="s">
        <v>880</v>
      </c>
      <c r="R4">
        <v>4</v>
      </c>
    </row>
    <row r="5" spans="1:18">
      <c r="R5">
        <v>5</v>
      </c>
    </row>
    <row r="6" spans="1:18" ht="16" thickBot="1">
      <c r="A6" s="433"/>
      <c r="B6" s="434">
        <v>2020</v>
      </c>
      <c r="C6" s="434">
        <v>2030</v>
      </c>
      <c r="D6" s="434">
        <v>2040</v>
      </c>
      <c r="E6" s="1" t="s">
        <v>854</v>
      </c>
      <c r="L6" s="1" t="s">
        <v>855</v>
      </c>
      <c r="R6">
        <v>6</v>
      </c>
    </row>
    <row r="7" spans="1:18" ht="16" thickBot="1">
      <c r="A7" s="435" t="s">
        <v>846</v>
      </c>
      <c r="B7" s="436"/>
      <c r="C7" s="436"/>
      <c r="D7" s="436"/>
      <c r="L7">
        <v>2017</v>
      </c>
      <c r="M7">
        <v>2020</v>
      </c>
      <c r="N7">
        <v>2030</v>
      </c>
      <c r="O7">
        <v>2040</v>
      </c>
      <c r="P7">
        <v>2050</v>
      </c>
      <c r="R7">
        <v>7</v>
      </c>
    </row>
    <row r="8" spans="1:18" ht="14.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4.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4.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4.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 thickBot="1">
      <c r="A12" s="435" t="s">
        <v>851</v>
      </c>
      <c r="B12" s="436"/>
      <c r="C12" s="436"/>
      <c r="D12" s="436"/>
      <c r="I12" s="1"/>
      <c r="R12">
        <v>12</v>
      </c>
    </row>
    <row r="13" spans="1:18" ht="14.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4.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4.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4.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4.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 thickBot="1">
      <c r="A18" s="439" t="s">
        <v>853</v>
      </c>
      <c r="B18" s="440"/>
      <c r="C18" s="440"/>
      <c r="D18" s="440"/>
      <c r="I18" s="1"/>
      <c r="R18">
        <v>18</v>
      </c>
    </row>
    <row r="19" spans="1:18" ht="14.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4.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4.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4.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4.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4.5">
      <c r="A25" s="437" t="s">
        <v>884</v>
      </c>
      <c r="R25">
        <v>25</v>
      </c>
    </row>
    <row r="26" spans="1:18" ht="16" thickBot="1">
      <c r="A26" s="433"/>
      <c r="B26" s="434">
        <v>2020</v>
      </c>
      <c r="C26" s="434">
        <v>2030</v>
      </c>
      <c r="D26" s="434">
        <v>2040</v>
      </c>
      <c r="E26" s="1" t="s">
        <v>854</v>
      </c>
      <c r="L26" s="1" t="s">
        <v>855</v>
      </c>
      <c r="R26">
        <v>26</v>
      </c>
    </row>
    <row r="27" spans="1:18" ht="16" thickBot="1">
      <c r="A27" s="435" t="s">
        <v>846</v>
      </c>
      <c r="B27" s="436"/>
      <c r="C27" s="436"/>
      <c r="D27" s="436"/>
      <c r="L27">
        <v>2017</v>
      </c>
      <c r="M27">
        <v>2020</v>
      </c>
      <c r="N27">
        <v>2030</v>
      </c>
      <c r="O27">
        <v>2040</v>
      </c>
      <c r="P27">
        <v>2050</v>
      </c>
      <c r="R27">
        <v>27</v>
      </c>
    </row>
    <row r="28" spans="1:18" ht="14.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4.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4.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4.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 thickBot="1">
      <c r="A32" s="435" t="s">
        <v>851</v>
      </c>
      <c r="B32" s="436"/>
      <c r="C32" s="436"/>
      <c r="D32" s="436"/>
      <c r="I32" s="1"/>
      <c r="R32">
        <v>32</v>
      </c>
    </row>
    <row r="33" spans="1:18" ht="14.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4.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4.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4.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4.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 thickBot="1">
      <c r="A38" s="439" t="s">
        <v>853</v>
      </c>
      <c r="B38" s="440"/>
      <c r="C38" s="440"/>
      <c r="D38" s="440"/>
      <c r="I38" s="1"/>
      <c r="R38">
        <v>38</v>
      </c>
    </row>
    <row r="39" spans="1:18" ht="14.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4.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4.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4.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4.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4.5">
      <c r="A45" s="437" t="s">
        <v>885</v>
      </c>
      <c r="R45">
        <v>45</v>
      </c>
    </row>
    <row r="46" spans="1:18" ht="16" thickBot="1">
      <c r="A46" s="433"/>
      <c r="B46" s="434">
        <v>2020</v>
      </c>
      <c r="C46" s="434">
        <v>2030</v>
      </c>
      <c r="D46" s="434">
        <v>2040</v>
      </c>
      <c r="E46" s="1" t="s">
        <v>854</v>
      </c>
      <c r="L46" s="1" t="s">
        <v>855</v>
      </c>
      <c r="R46">
        <v>46</v>
      </c>
    </row>
    <row r="47" spans="1:18" ht="16" thickBot="1">
      <c r="A47" s="435" t="s">
        <v>846</v>
      </c>
      <c r="B47" s="436"/>
      <c r="C47" s="436"/>
      <c r="D47" s="436"/>
      <c r="L47">
        <v>2017</v>
      </c>
      <c r="M47">
        <v>2020</v>
      </c>
      <c r="N47">
        <v>2030</v>
      </c>
      <c r="O47">
        <v>2040</v>
      </c>
      <c r="P47">
        <v>2050</v>
      </c>
      <c r="R47">
        <v>47</v>
      </c>
    </row>
    <row r="48" spans="1:18" ht="14.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4.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4.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4.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 thickBot="1">
      <c r="A52" s="435" t="s">
        <v>851</v>
      </c>
      <c r="B52" s="436"/>
      <c r="C52" s="436"/>
      <c r="D52" s="436"/>
      <c r="I52" s="1"/>
      <c r="R52">
        <v>52</v>
      </c>
    </row>
    <row r="53" spans="1:18" ht="14.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4.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4.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4.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4.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 thickBot="1">
      <c r="A58" s="439" t="s">
        <v>853</v>
      </c>
      <c r="B58" s="440"/>
      <c r="C58" s="440"/>
      <c r="D58" s="440"/>
      <c r="I58" s="1"/>
      <c r="R58">
        <v>58</v>
      </c>
    </row>
    <row r="59" spans="1:18" ht="14.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4.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4.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4.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4.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4.5">
      <c r="A65" s="437" t="s">
        <v>886</v>
      </c>
      <c r="R65">
        <v>65</v>
      </c>
    </row>
    <row r="66" spans="1:18" ht="16" thickBot="1">
      <c r="A66" s="433"/>
      <c r="B66" s="434">
        <v>2020</v>
      </c>
      <c r="C66" s="434">
        <v>2030</v>
      </c>
      <c r="D66" s="434">
        <v>2040</v>
      </c>
      <c r="E66" s="1" t="s">
        <v>854</v>
      </c>
      <c r="L66" s="1" t="s">
        <v>855</v>
      </c>
      <c r="R66">
        <v>66</v>
      </c>
    </row>
    <row r="67" spans="1:18" ht="16" thickBot="1">
      <c r="A67" s="435" t="s">
        <v>846</v>
      </c>
      <c r="B67" s="436"/>
      <c r="C67" s="436"/>
      <c r="D67" s="436"/>
      <c r="L67">
        <v>2017</v>
      </c>
      <c r="M67">
        <v>2020</v>
      </c>
      <c r="N67">
        <v>2030</v>
      </c>
      <c r="O67">
        <v>2040</v>
      </c>
      <c r="P67">
        <v>2050</v>
      </c>
      <c r="R67">
        <v>67</v>
      </c>
    </row>
    <row r="68" spans="1:18" ht="14.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4.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4.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4.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 thickBot="1">
      <c r="A72" s="435" t="s">
        <v>851</v>
      </c>
      <c r="B72" s="436"/>
      <c r="C72" s="436"/>
      <c r="D72" s="436"/>
      <c r="I72" s="1"/>
      <c r="R72">
        <v>72</v>
      </c>
    </row>
    <row r="73" spans="1:18" ht="14.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4.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4.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4.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4.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 thickBot="1">
      <c r="A78" s="439" t="s">
        <v>853</v>
      </c>
      <c r="B78" s="440"/>
      <c r="C78" s="440"/>
      <c r="D78" s="440"/>
      <c r="I78" s="1"/>
      <c r="R78">
        <v>78</v>
      </c>
    </row>
    <row r="79" spans="1:18" ht="14.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4.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4.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4.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4.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4.5">
      <c r="A85" s="437" t="s">
        <v>887</v>
      </c>
      <c r="R85">
        <v>85</v>
      </c>
    </row>
    <row r="86" spans="1:18" ht="16" thickBot="1">
      <c r="A86" s="433"/>
      <c r="B86" s="434">
        <v>2020</v>
      </c>
      <c r="C86" s="434">
        <v>2030</v>
      </c>
      <c r="D86" s="434">
        <v>2040</v>
      </c>
      <c r="E86" s="1" t="s">
        <v>854</v>
      </c>
      <c r="L86" s="1" t="s">
        <v>855</v>
      </c>
      <c r="R86">
        <v>86</v>
      </c>
    </row>
    <row r="87" spans="1:18" ht="16" thickBot="1">
      <c r="A87" s="435" t="s">
        <v>846</v>
      </c>
      <c r="B87" s="436"/>
      <c r="C87" s="436"/>
      <c r="D87" s="436"/>
      <c r="L87">
        <v>2017</v>
      </c>
      <c r="M87">
        <v>2020</v>
      </c>
      <c r="N87">
        <v>2030</v>
      </c>
      <c r="O87">
        <v>2040</v>
      </c>
      <c r="P87">
        <v>2050</v>
      </c>
      <c r="R87">
        <v>87</v>
      </c>
    </row>
    <row r="88" spans="1:18" ht="14.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4.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4.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4.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 thickBot="1">
      <c r="A92" s="435" t="s">
        <v>851</v>
      </c>
      <c r="B92" s="436"/>
      <c r="C92" s="436"/>
      <c r="D92" s="436"/>
      <c r="I92" s="1"/>
      <c r="R92">
        <v>92</v>
      </c>
    </row>
    <row r="93" spans="1:18" ht="14.5">
      <c r="A93" s="437" t="s">
        <v>852</v>
      </c>
      <c r="B93" s="438">
        <v>0.95</v>
      </c>
      <c r="C93" s="438">
        <v>0.88</v>
      </c>
      <c r="D93" s="438">
        <v>0.86</v>
      </c>
      <c r="I93" s="1" t="str">
        <f>A93</f>
        <v xml:space="preserve">    Hot water Geyser</v>
      </c>
      <c r="K93" t="str">
        <f>RES!D138</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4.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4.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4.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4.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 thickBot="1">
      <c r="A98" s="439" t="s">
        <v>853</v>
      </c>
      <c r="B98" s="440"/>
      <c r="C98" s="440"/>
      <c r="D98" s="440"/>
      <c r="I98" s="1"/>
      <c r="R98">
        <v>98</v>
      </c>
    </row>
    <row r="99" spans="1:18" ht="14.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4.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4.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4.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4.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A3" zoomScale="90" zoomScaleNormal="90" workbookViewId="0">
      <selection activeCell="F14" sqref="F14"/>
    </sheetView>
  </sheetViews>
  <sheetFormatPr defaultColWidth="9.1796875" defaultRowHeight="12.5"/>
  <cols>
    <col min="1" max="1" width="56.7265625" style="85" customWidth="1"/>
    <col min="2" max="2" width="21.7265625" style="85" customWidth="1"/>
    <col min="3" max="3" width="13.26953125" style="85" customWidth="1"/>
    <col min="4" max="4" width="14.7265625" style="85" customWidth="1"/>
    <col min="5" max="5" width="10.7265625" style="85" customWidth="1"/>
    <col min="6" max="16" width="29.453125" style="85" customWidth="1"/>
    <col min="17" max="17" width="15.453125" style="85" customWidth="1"/>
    <col min="18" max="46" width="9.1796875" style="85"/>
    <col min="47" max="47" width="13.7265625" style="85" customWidth="1"/>
    <col min="48" max="78" width="9.1796875" style="85"/>
    <col min="79" max="79" width="13.26953125" style="85" bestFit="1" customWidth="1"/>
    <col min="80" max="80" width="10.453125" style="85" bestFit="1" customWidth="1"/>
    <col min="81" max="82" width="11.453125" style="85" bestFit="1" customWidth="1"/>
    <col min="83" max="84" width="10.453125" style="85" bestFit="1" customWidth="1"/>
    <col min="85" max="85" width="9.453125" style="85" bestFit="1" customWidth="1"/>
    <col min="86" max="86" width="9.26953125" style="85" bestFit="1" customWidth="1"/>
    <col min="87" max="88" width="9.1796875" style="85"/>
    <col min="89" max="89" width="10.453125" style="85" bestFit="1" customWidth="1"/>
    <col min="90" max="91" width="9.1796875" style="85"/>
    <col min="92" max="92" width="10.453125" style="85" customWidth="1"/>
    <col min="93" max="16384" width="9.1796875" style="85"/>
  </cols>
  <sheetData>
    <row r="1" spans="1:16" s="442" customFormat="1" ht="22">
      <c r="A1" s="462" t="s">
        <v>865</v>
      </c>
      <c r="O1" s="85"/>
    </row>
    <row r="2" spans="1:16" s="397" customFormat="1" ht="38" thickBot="1">
      <c r="D2" s="429" t="s">
        <v>826</v>
      </c>
      <c r="E2" s="429" t="s">
        <v>825</v>
      </c>
      <c r="F2" s="429" t="s">
        <v>859</v>
      </c>
      <c r="G2" s="429" t="s">
        <v>861</v>
      </c>
      <c r="H2" s="429" t="s">
        <v>860</v>
      </c>
      <c r="I2" s="429"/>
      <c r="J2" s="429" t="s">
        <v>901</v>
      </c>
      <c r="K2" s="85"/>
    </row>
    <row r="3" spans="1:16" ht="75.5" thickBot="1">
      <c r="A3" s="457" t="s">
        <v>35</v>
      </c>
      <c r="B3" s="448" t="s">
        <v>824</v>
      </c>
      <c r="C3" s="449"/>
      <c r="D3" s="450">
        <f>F220/G8</f>
        <v>0.44069965049004917</v>
      </c>
      <c r="E3" s="587">
        <f t="shared" ref="E3:E5" si="0">D3</f>
        <v>0.44069965049004917</v>
      </c>
      <c r="F3" s="588">
        <f>[1]RES!$E17</f>
        <v>0.4556701030927835</v>
      </c>
      <c r="G3" s="466">
        <f>E3*G$8</f>
        <v>6368181.1185857709</v>
      </c>
      <c r="H3" s="506">
        <f>F3*H$9</f>
        <v>7942789.3354020612</v>
      </c>
      <c r="I3" s="507">
        <v>0.44932093804663059</v>
      </c>
      <c r="J3" s="508">
        <f>I3*$J$9</f>
        <v>8324913.0610766076</v>
      </c>
      <c r="O3" s="85" t="s">
        <v>1066</v>
      </c>
    </row>
    <row r="4" spans="1:16" ht="13" thickBot="1">
      <c r="A4" s="458" t="s">
        <v>434</v>
      </c>
      <c r="B4" s="451" t="s">
        <v>819</v>
      </c>
      <c r="C4" s="452"/>
      <c r="D4" s="453">
        <f>F229/G8</f>
        <v>0.31972350159976914</v>
      </c>
      <c r="E4" s="589">
        <f t="shared" si="0"/>
        <v>0.31972350159976914</v>
      </c>
      <c r="F4" s="588">
        <f>[1]RES!$E18</f>
        <v>0.30824742268041239</v>
      </c>
      <c r="G4" s="467">
        <f>E4*G$8</f>
        <v>4620056.2305681948</v>
      </c>
      <c r="H4" s="470">
        <f>F4*H$9</f>
        <v>5373063.3739484539</v>
      </c>
      <c r="I4" s="502">
        <v>0.30777027456338796</v>
      </c>
      <c r="J4" s="499">
        <f t="shared" ref="J4:J5" si="1">I4*$J$9</f>
        <v>5702295.5343736522</v>
      </c>
      <c r="M4" s="85" t="s">
        <v>899</v>
      </c>
      <c r="N4" s="85" t="s">
        <v>900</v>
      </c>
      <c r="O4" s="85">
        <v>7681839.2522781566</v>
      </c>
      <c r="P4" s="85">
        <f>O4-H3</f>
        <v>-260950.08312390465</v>
      </c>
    </row>
    <row r="5" spans="1:16" ht="13" thickBot="1">
      <c r="A5" s="459" t="s">
        <v>37</v>
      </c>
      <c r="B5" s="454" t="s">
        <v>819</v>
      </c>
      <c r="C5" s="455"/>
      <c r="D5" s="456">
        <f>F238/G8</f>
        <v>0.23957684791018166</v>
      </c>
      <c r="E5" s="590">
        <f t="shared" si="0"/>
        <v>0.23957684791018166</v>
      </c>
      <c r="F5" s="588">
        <f>[1]RES!$E19</f>
        <v>0.23608247422680412</v>
      </c>
      <c r="G5" s="468">
        <f>E5*G$8</f>
        <v>3461924.1417945321</v>
      </c>
      <c r="H5" s="503">
        <f>F5*H$9</f>
        <v>4115155.5606494844</v>
      </c>
      <c r="I5" s="504">
        <v>0.24290878738998153</v>
      </c>
      <c r="J5" s="505">
        <f t="shared" si="1"/>
        <v>4500557.0975267449</v>
      </c>
      <c r="K5" s="498">
        <f>H5/(H5+H6+H7)</f>
        <v>0.27625850678657976</v>
      </c>
      <c r="L5" s="85" t="s">
        <v>587</v>
      </c>
      <c r="M5" s="85">
        <v>14.406601969588325</v>
      </c>
      <c r="N5" s="85">
        <f>M5/SUM(M$5:M$7)</f>
        <v>0.27623399180360764</v>
      </c>
      <c r="O5" s="85">
        <v>5573103.0004989337</v>
      </c>
      <c r="P5" s="85">
        <f t="shared" ref="P5:P6" si="2">O5-H4</f>
        <v>200039.62655047979</v>
      </c>
    </row>
    <row r="6" spans="1:16">
      <c r="A6" s="460" t="s">
        <v>782</v>
      </c>
      <c r="B6" s="443"/>
      <c r="C6" s="443"/>
      <c r="D6" s="443"/>
      <c r="E6" s="444">
        <v>0.71</v>
      </c>
      <c r="F6" s="445">
        <v>0.76624999999999999</v>
      </c>
      <c r="G6" s="467">
        <f>G3*E6</f>
        <v>4521408.5941958968</v>
      </c>
      <c r="H6" s="469">
        <f>H3*F6</f>
        <v>6086162.3282518294</v>
      </c>
      <c r="I6" s="397">
        <v>0.8</v>
      </c>
      <c r="J6" s="469">
        <f>J3*I6</f>
        <v>6659930.448861286</v>
      </c>
      <c r="K6" s="85">
        <f>H6/(H6+H7+H5)</f>
        <v>0.40857607740063662</v>
      </c>
      <c r="L6" s="85" t="s">
        <v>58</v>
      </c>
      <c r="M6" s="85">
        <v>21.318908980093457</v>
      </c>
      <c r="N6" s="85">
        <f t="shared" ref="N6:N7" si="3">M6/SUM(M$5:M$7)</f>
        <v>0.40877143277092109</v>
      </c>
      <c r="O6" s="85">
        <v>4176066.0172229088</v>
      </c>
      <c r="P6" s="85">
        <f t="shared" si="2"/>
        <v>60910.456573424395</v>
      </c>
    </row>
    <row r="7" spans="1:16">
      <c r="A7" s="461" t="s">
        <v>783</v>
      </c>
      <c r="B7" s="446"/>
      <c r="C7" s="446"/>
      <c r="D7" s="446"/>
      <c r="E7" s="447">
        <v>0.83</v>
      </c>
      <c r="F7" s="447">
        <v>0.87375000000000003</v>
      </c>
      <c r="G7" s="467">
        <f>G4*E7</f>
        <v>3834646.6713716015</v>
      </c>
      <c r="H7" s="469">
        <f>H4*F7</f>
        <v>4694714.1229874622</v>
      </c>
      <c r="I7" s="397">
        <v>0.9</v>
      </c>
      <c r="J7" s="469">
        <f>J4*I7</f>
        <v>5132065.980936287</v>
      </c>
      <c r="K7" s="85">
        <f>H7/(H6+H7+H5)</f>
        <v>0.31516541581278362</v>
      </c>
      <c r="L7" s="85" t="s">
        <v>898</v>
      </c>
      <c r="M7" s="85">
        <v>16.428106624765377</v>
      </c>
      <c r="N7" s="85">
        <f t="shared" si="3"/>
        <v>0.31499457542547121</v>
      </c>
      <c r="O7" s="384">
        <v>5886209.3270581374</v>
      </c>
    </row>
    <row r="8" spans="1:16">
      <c r="A8" s="463" t="s">
        <v>858</v>
      </c>
      <c r="B8" s="464"/>
      <c r="C8" s="464"/>
      <c r="D8" s="464"/>
      <c r="E8" s="464"/>
      <c r="F8" s="464"/>
      <c r="G8" s="464">
        <f>F220+F229+F238</f>
        <v>14450161.490948498</v>
      </c>
      <c r="H8" s="470"/>
      <c r="I8" s="429"/>
      <c r="J8" s="499"/>
      <c r="O8" s="384">
        <v>4869498.7466859436</v>
      </c>
    </row>
    <row r="9" spans="1:16">
      <c r="A9" s="463" t="s">
        <v>857</v>
      </c>
      <c r="B9" s="464"/>
      <c r="C9" s="464"/>
      <c r="D9" s="464"/>
      <c r="E9" s="464"/>
      <c r="F9" s="464"/>
      <c r="G9" s="464"/>
      <c r="H9" s="471">
        <f>D47</f>
        <v>17431008.27</v>
      </c>
      <c r="I9" s="429"/>
      <c r="J9" s="500">
        <v>18527765.692977004</v>
      </c>
    </row>
    <row r="10" spans="1:16">
      <c r="A10" s="463" t="s">
        <v>862</v>
      </c>
      <c r="B10" s="464"/>
      <c r="C10" s="464"/>
      <c r="D10" s="464"/>
      <c r="E10" s="464"/>
      <c r="F10" s="464"/>
      <c r="G10" s="465">
        <f>(G5+G6+G7)/SUM(G3:G5)</f>
        <v>0.81784410608592495</v>
      </c>
      <c r="H10" s="470"/>
      <c r="I10" s="429"/>
      <c r="J10" s="499"/>
    </row>
    <row r="11" spans="1:16">
      <c r="A11" s="463" t="s">
        <v>863</v>
      </c>
      <c r="B11" s="464"/>
      <c r="C11" s="464"/>
      <c r="D11" s="464"/>
      <c r="E11" s="464"/>
      <c r="F11" s="464"/>
      <c r="G11" s="464"/>
      <c r="H11" s="472">
        <f>(H5+H6+H7)/SUM(H3:H5)</f>
        <v>0.8545708762886598</v>
      </c>
      <c r="I11" s="429"/>
      <c r="J11" s="501"/>
    </row>
    <row r="12" spans="1:16">
      <c r="A12" s="463" t="s">
        <v>864</v>
      </c>
      <c r="B12" s="464"/>
      <c r="C12" s="464"/>
      <c r="D12" s="464"/>
      <c r="E12" s="464"/>
      <c r="F12" s="464"/>
      <c r="G12" s="464"/>
      <c r="H12" s="470">
        <f>H11</f>
        <v>0.8545708762886598</v>
      </c>
      <c r="I12" s="429"/>
      <c r="J12" s="499"/>
    </row>
    <row r="13" spans="1:16">
      <c r="I13" s="85">
        <v>7942789.3354020612</v>
      </c>
    </row>
    <row r="14" spans="1:16">
      <c r="I14" s="85">
        <v>5573103.0004989337</v>
      </c>
    </row>
    <row r="15" spans="1:16" s="442" customFormat="1" ht="22">
      <c r="A15" s="474" t="s">
        <v>868</v>
      </c>
      <c r="I15" s="442">
        <v>4176066.0172229088</v>
      </c>
    </row>
    <row r="16" spans="1:16" ht="22">
      <c r="A16" s="475"/>
      <c r="I16" s="384">
        <v>6086162.3282518294</v>
      </c>
    </row>
    <row r="17" spans="1:43">
      <c r="A17" s="391" t="s">
        <v>867</v>
      </c>
      <c r="B17" s="85">
        <f>-($N111*B$20)*$N112/(100-$N111)</f>
        <v>-9.6579864335122143E-6</v>
      </c>
      <c r="I17" s="384">
        <v>4869498.7466859436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7">
        <f>'Census 2011_17'!G29</f>
        <v>4.4045676998368755E-2</v>
      </c>
      <c r="C20" s="598">
        <f>B20/2+D20/2</f>
        <v>7.6672104404567731E-2</v>
      </c>
      <c r="D20" s="597">
        <f>'Census 2011_17'!H29</f>
        <v>0.10929853181076671</v>
      </c>
      <c r="E20" s="598">
        <f>D20/2+F20/2</f>
        <v>0.14192495921696574</v>
      </c>
      <c r="F20" s="597">
        <f>'Census 2011_17'!I29</f>
        <v>0.1745513866231648</v>
      </c>
      <c r="G20" s="598">
        <f>F20</f>
        <v>0.1745513866231648</v>
      </c>
      <c r="H20" s="598">
        <f>G20</f>
        <v>0.1745513866231648</v>
      </c>
    </row>
    <row r="21" spans="1:43">
      <c r="A21" s="85" t="str">
        <f>A4</f>
        <v>middle income</v>
      </c>
      <c r="B21" s="597">
        <f>'Census 2011_17'!G30</f>
        <v>3.0042918454935615E-2</v>
      </c>
      <c r="C21" s="598">
        <f>B21/2+D21/2</f>
        <v>5.8655221745350455E-2</v>
      </c>
      <c r="D21" s="597">
        <f>'Census 2011_17'!H30</f>
        <v>8.7267525035765292E-2</v>
      </c>
      <c r="E21" s="598">
        <f>D21/2+F21/2</f>
        <v>8.7267525035765292E-2</v>
      </c>
      <c r="F21" s="597">
        <f>'Census 2011_17'!I30</f>
        <v>8.7267525035765292E-2</v>
      </c>
      <c r="G21" s="598">
        <f>F21</f>
        <v>8.7267525035765292E-2</v>
      </c>
      <c r="H21" s="598">
        <f>G21</f>
        <v>8.7267525035765292E-2</v>
      </c>
    </row>
    <row r="23" spans="1:43" customFormat="1">
      <c r="F23" s="14" t="s">
        <v>820</v>
      </c>
    </row>
    <row r="24" spans="1:43" customFormat="1">
      <c r="A24" t="s">
        <v>110</v>
      </c>
      <c r="B24">
        <v>0</v>
      </c>
      <c r="C24" t="s">
        <v>1022</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1023</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4">(G25-$F25)/$F25</f>
        <v>4.4045676998368755E-2</v>
      </c>
      <c r="H29" s="420">
        <f t="shared" si="4"/>
        <v>0.10929853181076671</v>
      </c>
      <c r="I29" s="420">
        <f t="shared" si="4"/>
        <v>0.1745513866231648</v>
      </c>
      <c r="J29" s="420">
        <f t="shared" si="4"/>
        <v>0.23980424143556278</v>
      </c>
    </row>
    <row r="30" spans="1:43" customFormat="1">
      <c r="C30" t="str">
        <f>C26</f>
        <v>Middle Income</v>
      </c>
      <c r="D30" t="s">
        <v>821</v>
      </c>
      <c r="G30" s="420">
        <f t="shared" si="4"/>
        <v>3.0042918454935615E-2</v>
      </c>
      <c r="H30" s="420">
        <f t="shared" si="4"/>
        <v>8.7267525035765292E-2</v>
      </c>
      <c r="I30" s="420">
        <f t="shared" si="4"/>
        <v>8.7267525035765292E-2</v>
      </c>
      <c r="J30" s="420">
        <f t="shared" si="4"/>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
      <c r="A43" s="462" t="s">
        <v>869</v>
      </c>
      <c r="O43" s="85"/>
    </row>
    <row r="46" spans="1:16" s="385" customFormat="1" ht="13">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5">SUMIFS($F$111:$F$238,$A$111:$A$238,"cooking",$C$111:$C$238,F$46)</f>
        <v>10611450.174568698</v>
      </c>
      <c r="G52" s="85">
        <f t="shared" si="5"/>
        <v>507615.68809000007</v>
      </c>
      <c r="H52" s="85">
        <f t="shared" si="5"/>
        <v>1227337.0415500002</v>
      </c>
      <c r="I52" s="85">
        <f t="shared" si="5"/>
        <v>1807605.5807998001</v>
      </c>
      <c r="J52" s="85">
        <f t="shared" si="5"/>
        <v>104171.32102999998</v>
      </c>
      <c r="K52" s="85">
        <f t="shared" si="5"/>
        <v>45349.345269999998</v>
      </c>
      <c r="L52" s="85">
        <f t="shared" si="5"/>
        <v>22255.225549999999</v>
      </c>
      <c r="M52" s="85">
        <f t="shared" si="5"/>
        <v>29343.566650000001</v>
      </c>
      <c r="N52" s="85">
        <f t="shared" si="5"/>
        <v>0</v>
      </c>
      <c r="O52" s="85">
        <f t="shared" si="5"/>
        <v>0</v>
      </c>
      <c r="P52" s="85">
        <f t="shared" si="5"/>
        <v>0</v>
      </c>
    </row>
    <row r="53" spans="1:17">
      <c r="A53" s="85">
        <v>2011</v>
      </c>
      <c r="B53" s="85" t="str">
        <f t="shared" ref="B53:B55" si="6">B49</f>
        <v>hhlds main fuel lighting</v>
      </c>
      <c r="F53" s="85">
        <f t="shared" ref="F53:P53" si="7">SUMIFS($F$111:$F$238,$A$111:$A$238,"lighting",$C$111:$C$238,F$46)</f>
        <v>12242401.477158496</v>
      </c>
      <c r="G53" s="85">
        <f t="shared" si="7"/>
        <v>34346.930179999996</v>
      </c>
      <c r="H53" s="85">
        <f t="shared" si="7"/>
        <v>426205.08948000002</v>
      </c>
      <c r="I53" s="85">
        <f t="shared" si="7"/>
        <v>0</v>
      </c>
      <c r="J53" s="85">
        <f t="shared" si="7"/>
        <v>0</v>
      </c>
      <c r="K53" s="85">
        <f t="shared" si="7"/>
        <v>0</v>
      </c>
      <c r="L53" s="85">
        <f t="shared" si="7"/>
        <v>51504.945399999997</v>
      </c>
      <c r="M53" s="85">
        <f t="shared" si="7"/>
        <v>0</v>
      </c>
      <c r="N53" s="85">
        <f t="shared" si="7"/>
        <v>1088744.5315500766</v>
      </c>
      <c r="O53" s="85">
        <f t="shared" si="7"/>
        <v>46620.920270000002</v>
      </c>
      <c r="P53" s="85">
        <f t="shared" si="7"/>
        <v>0</v>
      </c>
    </row>
    <row r="54" spans="1:17">
      <c r="A54" s="85">
        <v>2011</v>
      </c>
      <c r="B54" s="85" t="str">
        <f t="shared" si="6"/>
        <v>hhlds main fuel space heating</v>
      </c>
      <c r="F54" s="85">
        <f t="shared" ref="F54:P55" si="8">SUMIFS($F$111:$F$238,$A$111:$A$238,"space heating",$C$111:$C$238,F$46)</f>
        <v>8455182.7676991988</v>
      </c>
      <c r="G54" s="85">
        <f t="shared" si="8"/>
        <v>357062.20090999978</v>
      </c>
      <c r="H54" s="85">
        <f t="shared" si="8"/>
        <v>1230222.94405</v>
      </c>
      <c r="I54" s="85">
        <f t="shared" si="8"/>
        <v>2203382.3228998007</v>
      </c>
      <c r="J54" s="85">
        <f t="shared" si="8"/>
        <v>293948.68953000003</v>
      </c>
      <c r="K54" s="85">
        <f t="shared" si="8"/>
        <v>48250.529839999988</v>
      </c>
      <c r="L54" s="85">
        <f t="shared" si="8"/>
        <v>38370.28815</v>
      </c>
      <c r="M54" s="85">
        <f t="shared" si="8"/>
        <v>2442.4671099999996</v>
      </c>
      <c r="N54" s="85">
        <f t="shared" si="8"/>
        <v>0</v>
      </c>
      <c r="O54" s="85">
        <f t="shared" si="8"/>
        <v>0</v>
      </c>
      <c r="P54" s="85">
        <f t="shared" si="8"/>
        <v>0</v>
      </c>
    </row>
    <row r="55" spans="1:17">
      <c r="A55" s="85">
        <v>2011</v>
      </c>
      <c r="B55" s="85" t="str">
        <f t="shared" si="6"/>
        <v>hhlds main fuel water heating</v>
      </c>
      <c r="F55" s="85">
        <f t="shared" si="8"/>
        <v>8455182.7676991988</v>
      </c>
      <c r="G55" s="85">
        <f t="shared" si="8"/>
        <v>357062.20090999978</v>
      </c>
      <c r="H55" s="85">
        <f t="shared" si="8"/>
        <v>1230222.94405</v>
      </c>
      <c r="I55" s="85">
        <f t="shared" si="8"/>
        <v>2203382.3228998007</v>
      </c>
      <c r="J55" s="85">
        <f t="shared" si="8"/>
        <v>293948.68953000003</v>
      </c>
      <c r="K55" s="85">
        <f t="shared" si="8"/>
        <v>48250.529839999988</v>
      </c>
      <c r="L55" s="85">
        <f t="shared" si="8"/>
        <v>38370.28815</v>
      </c>
      <c r="M55" s="85">
        <f t="shared" si="8"/>
        <v>2442.4671099999996</v>
      </c>
      <c r="N55" s="85">
        <f t="shared" si="8"/>
        <v>0</v>
      </c>
      <c r="O55" s="85">
        <f t="shared" si="8"/>
        <v>0</v>
      </c>
      <c r="P55" s="85">
        <f t="shared" si="8"/>
        <v>0</v>
      </c>
    </row>
    <row r="57" spans="1:17" s="462" customFormat="1" ht="22">
      <c r="A57" s="462" t="s">
        <v>866</v>
      </c>
      <c r="O57" s="473"/>
    </row>
    <row r="58" spans="1:17" ht="13">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9">F48/SUM($F48:$P48)</f>
        <v>0.82820658224746435</v>
      </c>
      <c r="G59" s="382">
        <f t="shared" si="9"/>
        <v>2.9684390456113142E-2</v>
      </c>
      <c r="H59" s="382">
        <f t="shared" si="9"/>
        <v>5.3724708431051899E-2</v>
      </c>
      <c r="I59" s="382">
        <f t="shared" si="9"/>
        <v>8.0030046112225986E-2</v>
      </c>
      <c r="J59" s="382">
        <f t="shared" si="9"/>
        <v>2.8714377006420831E-3</v>
      </c>
      <c r="K59" s="382">
        <f t="shared" si="9"/>
        <v>5.0185216169186552E-4</v>
      </c>
      <c r="L59" s="382">
        <f t="shared" si="9"/>
        <v>7.1162809119750697E-4</v>
      </c>
      <c r="M59" s="402">
        <f t="shared" si="9"/>
        <v>1.1588655734317034E-3</v>
      </c>
      <c r="N59" s="382">
        <f t="shared" si="9"/>
        <v>0</v>
      </c>
      <c r="O59" s="402">
        <f t="shared" si="9"/>
        <v>3.1104892261816894E-3</v>
      </c>
      <c r="P59" s="382">
        <f t="shared" si="9"/>
        <v>0</v>
      </c>
      <c r="Q59" s="383">
        <f>SUM(F59:P59)</f>
        <v>1.0000000000000002</v>
      </c>
    </row>
    <row r="60" spans="1:17">
      <c r="A60" s="85">
        <v>2017</v>
      </c>
      <c r="B60" s="85" t="s">
        <v>779</v>
      </c>
      <c r="F60" s="382">
        <f t="shared" ref="F60:P60" si="10">F49/SUM($F49:$P49)</f>
        <v>0.96016977467505638</v>
      </c>
      <c r="G60" s="382">
        <f t="shared" si="10"/>
        <v>1.6168186839690176E-3</v>
      </c>
      <c r="H60" s="382">
        <f t="shared" si="10"/>
        <v>2.8410936538820753E-2</v>
      </c>
      <c r="I60" s="382">
        <f t="shared" si="10"/>
        <v>0</v>
      </c>
      <c r="J60" s="382">
        <f t="shared" si="10"/>
        <v>0</v>
      </c>
      <c r="K60" s="382">
        <f t="shared" si="10"/>
        <v>0</v>
      </c>
      <c r="L60" s="382">
        <f t="shared" si="10"/>
        <v>6.0729518852327049E-3</v>
      </c>
      <c r="M60" s="402">
        <f t="shared" si="10"/>
        <v>1.4962677105324893E-3</v>
      </c>
      <c r="N60" s="382">
        <f t="shared" si="10"/>
        <v>0</v>
      </c>
      <c r="O60" s="402">
        <f t="shared" si="10"/>
        <v>2.2332505063886389E-3</v>
      </c>
      <c r="P60" s="382">
        <f t="shared" si="10"/>
        <v>0</v>
      </c>
      <c r="Q60" s="383">
        <f t="shared" ref="Q60:Q66" si="11">SUM(F60:P60)</f>
        <v>1</v>
      </c>
    </row>
    <row r="61" spans="1:17">
      <c r="A61" s="85">
        <v>2017</v>
      </c>
      <c r="B61" s="85" t="s">
        <v>780</v>
      </c>
      <c r="F61" s="382">
        <f t="shared" ref="F61:P61" si="12">F50/SUM($F50:$P50)</f>
        <v>0.65981062903878263</v>
      </c>
      <c r="G61" s="382">
        <f t="shared" si="12"/>
        <v>1.3465914967561946E-2</v>
      </c>
      <c r="H61" s="382">
        <f t="shared" si="12"/>
        <v>5.4450499560376078E-2</v>
      </c>
      <c r="I61" s="382">
        <f t="shared" si="12"/>
        <v>9.2351356653972261E-2</v>
      </c>
      <c r="J61" s="382">
        <f t="shared" si="12"/>
        <v>9.6432214655605107E-3</v>
      </c>
      <c r="K61" s="382">
        <f t="shared" si="12"/>
        <v>8.4073852369876865E-4</v>
      </c>
      <c r="L61" s="382">
        <f t="shared" si="12"/>
        <v>1.1682955298884337E-3</v>
      </c>
      <c r="M61" s="402">
        <f t="shared" si="12"/>
        <v>1.4793915614854587E-2</v>
      </c>
      <c r="N61" s="382">
        <f t="shared" si="12"/>
        <v>0</v>
      </c>
      <c r="O61" s="402">
        <f t="shared" si="12"/>
        <v>0.15347542864530481</v>
      </c>
      <c r="P61" s="382">
        <f t="shared" si="12"/>
        <v>0</v>
      </c>
      <c r="Q61" s="383">
        <f t="shared" si="11"/>
        <v>1</v>
      </c>
    </row>
    <row r="62" spans="1:17">
      <c r="A62" s="85">
        <v>2017</v>
      </c>
      <c r="B62" s="85" t="s">
        <v>781</v>
      </c>
      <c r="F62" s="382">
        <f t="shared" ref="F62:P62" si="13">F51/SUM($F51:$P51)</f>
        <v>0.82485006432084829</v>
      </c>
      <c r="G62" s="382">
        <f t="shared" si="13"/>
        <v>1.1212052801585999E-2</v>
      </c>
      <c r="H62" s="382">
        <f t="shared" si="13"/>
        <v>5.1431347524714351E-2</v>
      </c>
      <c r="I62" s="382">
        <f t="shared" si="13"/>
        <v>8.4354354475006152E-2</v>
      </c>
      <c r="J62" s="382">
        <f t="shared" si="13"/>
        <v>3.3022810521219433E-3</v>
      </c>
      <c r="K62" s="382">
        <f t="shared" si="13"/>
        <v>6.9834097613383434E-4</v>
      </c>
      <c r="L62" s="382">
        <f t="shared" si="13"/>
        <v>6.3720559374074517E-3</v>
      </c>
      <c r="M62" s="402">
        <f t="shared" si="13"/>
        <v>2.8780019716811707E-3</v>
      </c>
      <c r="N62" s="382">
        <f t="shared" si="13"/>
        <v>0</v>
      </c>
      <c r="O62" s="402">
        <f t="shared" si="13"/>
        <v>1.4901500940500877E-2</v>
      </c>
      <c r="P62" s="382">
        <f t="shared" si="13"/>
        <v>0</v>
      </c>
      <c r="Q62" s="383">
        <f t="shared" si="11"/>
        <v>1</v>
      </c>
    </row>
    <row r="63" spans="1:17">
      <c r="A63" s="85">
        <v>2011</v>
      </c>
      <c r="B63" s="85" t="str">
        <f>B59</f>
        <v>hhhlds main fuel cooking</v>
      </c>
      <c r="F63" s="382">
        <f t="shared" ref="F63:P63" si="14">F52/SUM($F52:$P52)</f>
        <v>0.73920972465921353</v>
      </c>
      <c r="G63" s="382">
        <f t="shared" si="14"/>
        <v>3.5361279264637134E-2</v>
      </c>
      <c r="H63" s="382">
        <f t="shared" si="14"/>
        <v>8.5498161101727546E-2</v>
      </c>
      <c r="I63" s="382">
        <f t="shared" si="14"/>
        <v>0.12592054824681753</v>
      </c>
      <c r="J63" s="382">
        <f t="shared" si="14"/>
        <v>7.256732328680294E-3</v>
      </c>
      <c r="K63" s="382">
        <f t="shared" si="14"/>
        <v>3.1591042203498671E-3</v>
      </c>
      <c r="L63" s="382">
        <f t="shared" si="14"/>
        <v>1.550332789619196E-3</v>
      </c>
      <c r="M63" s="402">
        <f t="shared" si="14"/>
        <v>2.0441173889550316E-3</v>
      </c>
      <c r="N63" s="382">
        <f t="shared" si="14"/>
        <v>0</v>
      </c>
      <c r="O63" s="402">
        <f t="shared" si="14"/>
        <v>0</v>
      </c>
      <c r="P63" s="382">
        <f t="shared" si="14"/>
        <v>0</v>
      </c>
      <c r="Q63" s="383">
        <f t="shared" si="11"/>
        <v>1.0000000000000002</v>
      </c>
    </row>
    <row r="64" spans="1:17">
      <c r="A64" s="85">
        <v>2011</v>
      </c>
      <c r="B64" s="85" t="str">
        <f t="shared" ref="B64:B66" si="15">B60</f>
        <v>hhlds main fuel lighting</v>
      </c>
      <c r="F64" s="382">
        <f t="shared" ref="F64:P64" si="16">F53/SUM($F53:$P53)</f>
        <v>0.88139357061343748</v>
      </c>
      <c r="G64" s="382">
        <f t="shared" si="16"/>
        <v>2.4728125023054824E-3</v>
      </c>
      <c r="H64" s="382">
        <f t="shared" si="16"/>
        <v>3.0684700737129193E-2</v>
      </c>
      <c r="I64" s="382">
        <f t="shared" si="16"/>
        <v>0</v>
      </c>
      <c r="J64" s="382">
        <f t="shared" si="16"/>
        <v>0</v>
      </c>
      <c r="K64" s="382">
        <f t="shared" si="16"/>
        <v>0</v>
      </c>
      <c r="L64" s="382">
        <f t="shared" si="16"/>
        <v>3.7081064376997329E-3</v>
      </c>
      <c r="M64" s="402">
        <f t="shared" si="16"/>
        <v>0</v>
      </c>
      <c r="N64" s="382">
        <f t="shared" si="16"/>
        <v>7.8384329409486544E-2</v>
      </c>
      <c r="O64" s="402">
        <f t="shared" si="16"/>
        <v>3.3564802999417019E-3</v>
      </c>
      <c r="P64" s="382">
        <f t="shared" si="16"/>
        <v>0</v>
      </c>
      <c r="Q64" s="383">
        <f t="shared" si="11"/>
        <v>1</v>
      </c>
    </row>
    <row r="65" spans="1:17">
      <c r="A65" s="85">
        <v>2011</v>
      </c>
      <c r="B65" s="85" t="str">
        <f t="shared" si="15"/>
        <v>hhlds main fuel space heating</v>
      </c>
      <c r="F65" s="382">
        <f t="shared" ref="F65:P65" si="17">F54/SUM($F54:$P54)</f>
        <v>0.6695126312232258</v>
      </c>
      <c r="G65" s="382">
        <f t="shared" si="17"/>
        <v>2.8273505163586399E-2</v>
      </c>
      <c r="H65" s="382">
        <f t="shared" si="17"/>
        <v>9.741360097012168E-2</v>
      </c>
      <c r="I65" s="382">
        <f t="shared" si="17"/>
        <v>0.17447195845735861</v>
      </c>
      <c r="J65" s="382">
        <f t="shared" si="17"/>
        <v>2.3275943995401383E-2</v>
      </c>
      <c r="K65" s="382">
        <f t="shared" si="17"/>
        <v>3.8206553398825857E-3</v>
      </c>
      <c r="L65" s="382">
        <f t="shared" si="17"/>
        <v>3.0383012746027708E-3</v>
      </c>
      <c r="M65" s="402">
        <f t="shared" si="17"/>
        <v>1.9340357582090103E-4</v>
      </c>
      <c r="N65" s="382">
        <f t="shared" si="17"/>
        <v>0</v>
      </c>
      <c r="O65" s="402">
        <f t="shared" si="17"/>
        <v>0</v>
      </c>
      <c r="P65" s="382">
        <f t="shared" si="17"/>
        <v>0</v>
      </c>
      <c r="Q65" s="383">
        <f t="shared" si="11"/>
        <v>1.0000000000000002</v>
      </c>
    </row>
    <row r="66" spans="1:17">
      <c r="A66" s="85">
        <v>2011</v>
      </c>
      <c r="B66" s="85" t="str">
        <f t="shared" si="15"/>
        <v>hhlds main fuel water heating</v>
      </c>
      <c r="F66" s="382">
        <f t="shared" ref="F66:P66" si="18">F55/SUM($F55:$P55)</f>
        <v>0.6695126312232258</v>
      </c>
      <c r="G66" s="382">
        <f t="shared" si="18"/>
        <v>2.8273505163586399E-2</v>
      </c>
      <c r="H66" s="382">
        <f t="shared" si="18"/>
        <v>9.741360097012168E-2</v>
      </c>
      <c r="I66" s="382">
        <f t="shared" si="18"/>
        <v>0.17447195845735861</v>
      </c>
      <c r="J66" s="382">
        <f t="shared" si="18"/>
        <v>2.3275943995401383E-2</v>
      </c>
      <c r="K66" s="382">
        <f t="shared" si="18"/>
        <v>3.8206553398825857E-3</v>
      </c>
      <c r="L66" s="382">
        <f t="shared" si="18"/>
        <v>3.0383012746027708E-3</v>
      </c>
      <c r="M66" s="402">
        <f t="shared" si="18"/>
        <v>1.9340357582090103E-4</v>
      </c>
      <c r="N66" s="382">
        <f t="shared" si="18"/>
        <v>0</v>
      </c>
      <c r="O66" s="402">
        <f t="shared" si="18"/>
        <v>0</v>
      </c>
      <c r="P66" s="382">
        <f t="shared" si="18"/>
        <v>0</v>
      </c>
      <c r="Q66" s="383">
        <f t="shared" si="11"/>
        <v>1.0000000000000002</v>
      </c>
    </row>
    <row r="68" spans="1:17" s="442" customFormat="1" ht="22">
      <c r="A68" s="462" t="s">
        <v>870</v>
      </c>
    </row>
    <row r="69" spans="1:17" ht="13.5" thickBot="1">
      <c r="F69" s="390" t="s">
        <v>42</v>
      </c>
      <c r="G69" s="390" t="s">
        <v>43</v>
      </c>
      <c r="H69" s="390" t="s">
        <v>17</v>
      </c>
      <c r="I69" s="390" t="s">
        <v>7</v>
      </c>
      <c r="J69" s="390" t="s">
        <v>9</v>
      </c>
      <c r="K69" s="390" t="s">
        <v>46</v>
      </c>
      <c r="L69" s="390" t="s">
        <v>44</v>
      </c>
      <c r="M69" s="401" t="s">
        <v>41</v>
      </c>
      <c r="N69" s="389" t="s">
        <v>2</v>
      </c>
      <c r="O69" s="228" t="s">
        <v>47</v>
      </c>
      <c r="P69" s="389" t="s">
        <v>279</v>
      </c>
    </row>
    <row r="70" spans="1:17" ht="13" thickBot="1">
      <c r="A70" s="85">
        <v>2011</v>
      </c>
      <c r="B70" s="85" t="str">
        <f>B48</f>
        <v>hhhlds main fuel cooking</v>
      </c>
      <c r="C70" s="211" t="s">
        <v>22</v>
      </c>
      <c r="F70" s="381">
        <f t="shared" ref="F70:P72" si="19">SUMIFS($J$111:$J$238,$A$111:$A$238,"cooking",$C$111:$C$238,F$46,$B$111:$B$238,$C70)</f>
        <v>0.64725737253963511</v>
      </c>
      <c r="G70" s="381">
        <f t="shared" si="19"/>
        <v>2.5377349089885579E-2</v>
      </c>
      <c r="H70" s="381">
        <f t="shared" si="19"/>
        <v>0.12864666774407588</v>
      </c>
      <c r="I70" s="381">
        <f t="shared" si="19"/>
        <v>0.18270151694231798</v>
      </c>
      <c r="J70" s="381">
        <f t="shared" si="19"/>
        <v>8.5919069318078408E-3</v>
      </c>
      <c r="K70" s="381">
        <f t="shared" si="19"/>
        <v>4.4431459426914725E-3</v>
      </c>
      <c r="L70" s="381">
        <f t="shared" si="19"/>
        <v>1.4370955683405354E-3</v>
      </c>
      <c r="M70" s="403">
        <f t="shared" si="19"/>
        <v>1.5449452412456457E-3</v>
      </c>
      <c r="N70" s="381">
        <f t="shared" si="19"/>
        <v>0</v>
      </c>
      <c r="O70" s="381">
        <f t="shared" si="19"/>
        <v>0</v>
      </c>
      <c r="P70" s="381">
        <f t="shared" si="19"/>
        <v>0</v>
      </c>
      <c r="Q70" s="381">
        <f t="shared" ref="Q70:Q79" si="20">SUM(F70:P70)</f>
        <v>0.99999999999999989</v>
      </c>
    </row>
    <row r="71" spans="1:17" ht="13" thickBot="1">
      <c r="A71" s="85">
        <v>2011</v>
      </c>
      <c r="B71" s="85" t="str">
        <f>B70</f>
        <v>hhhlds main fuel cooking</v>
      </c>
      <c r="C71" s="95" t="s">
        <v>24</v>
      </c>
      <c r="F71" s="381">
        <f t="shared" si="19"/>
        <v>0.74792799749283057</v>
      </c>
      <c r="G71" s="381">
        <f t="shared" si="19"/>
        <v>2.8672170607556342E-2</v>
      </c>
      <c r="H71" s="381">
        <f t="shared" si="19"/>
        <v>8.0150980492202636E-2</v>
      </c>
      <c r="I71" s="381">
        <f t="shared" si="19"/>
        <v>0.12800224438750102</v>
      </c>
      <c r="J71" s="381">
        <f t="shared" si="19"/>
        <v>8.9970757469713461E-3</v>
      </c>
      <c r="K71" s="381">
        <f t="shared" si="19"/>
        <v>3.3039586966706696E-3</v>
      </c>
      <c r="L71" s="381">
        <f t="shared" si="19"/>
        <v>1.4741845065370323E-3</v>
      </c>
      <c r="M71" s="381">
        <f t="shared" si="19"/>
        <v>1.4713880697304761E-3</v>
      </c>
      <c r="N71" s="381">
        <f t="shared" si="19"/>
        <v>0</v>
      </c>
      <c r="O71" s="381">
        <f t="shared" si="19"/>
        <v>0</v>
      </c>
      <c r="P71" s="381">
        <f t="shared" si="19"/>
        <v>0</v>
      </c>
      <c r="Q71" s="381">
        <f t="shared" si="20"/>
        <v>1</v>
      </c>
    </row>
    <row r="72" spans="1:17" ht="13" thickBot="1">
      <c r="A72" s="85">
        <v>2011</v>
      </c>
      <c r="B72" s="85" t="str">
        <f>B71</f>
        <v>hhhlds main fuel cooking</v>
      </c>
      <c r="C72" s="98" t="s">
        <v>25</v>
      </c>
      <c r="F72" s="381">
        <f t="shared" si="19"/>
        <v>0.89612430369186447</v>
      </c>
      <c r="G72" s="381">
        <f t="shared" si="19"/>
        <v>6.2578465768623623E-2</v>
      </c>
      <c r="H72" s="381">
        <f t="shared" si="19"/>
        <v>1.354089978786447E-2</v>
      </c>
      <c r="I72" s="381">
        <f t="shared" si="19"/>
        <v>1.9072528030232076E-2</v>
      </c>
      <c r="J72" s="381">
        <f t="shared" si="19"/>
        <v>2.4893128386965545E-3</v>
      </c>
      <c r="K72" s="381">
        <f t="shared" si="19"/>
        <v>6.1249104332965361E-4</v>
      </c>
      <c r="L72" s="381">
        <f t="shared" si="19"/>
        <v>1.85940301813505E-3</v>
      </c>
      <c r="M72" s="381">
        <f t="shared" si="19"/>
        <v>3.7225958212540084E-3</v>
      </c>
      <c r="N72" s="381">
        <f t="shared" si="19"/>
        <v>0</v>
      </c>
      <c r="O72" s="381">
        <f t="shared" si="19"/>
        <v>0</v>
      </c>
      <c r="P72" s="381">
        <f t="shared" si="19"/>
        <v>0</v>
      </c>
      <c r="Q72" s="381">
        <f t="shared" si="20"/>
        <v>0.99999999999999978</v>
      </c>
    </row>
    <row r="73" spans="1:17" ht="13" thickBot="1">
      <c r="A73" s="85">
        <v>2011</v>
      </c>
      <c r="B73" s="85" t="str">
        <f>B53</f>
        <v>hhlds main fuel lighting</v>
      </c>
      <c r="C73" s="211" t="s">
        <v>22</v>
      </c>
      <c r="F73" s="381">
        <f t="shared" ref="F73:P75" si="21">SUMIFS($J$111:$J$238,$A$111:$A$238,"lighting",$C$111:$C$238,F$46,$B$111:$B$238,$C73)</f>
        <v>0.77484957211901018</v>
      </c>
      <c r="G73" s="381">
        <f t="shared" si="21"/>
        <v>2.8061115783667404E-3</v>
      </c>
      <c r="H73" s="381">
        <f t="shared" si="21"/>
        <v>4.3076876593414117E-2</v>
      </c>
      <c r="I73" s="381">
        <f t="shared" si="21"/>
        <v>0</v>
      </c>
      <c r="J73" s="381">
        <f t="shared" si="21"/>
        <v>0</v>
      </c>
      <c r="K73" s="381">
        <f t="shared" si="21"/>
        <v>0</v>
      </c>
      <c r="L73" s="381">
        <f t="shared" si="21"/>
        <v>3.7860879118140718E-3</v>
      </c>
      <c r="M73" s="381">
        <f t="shared" si="21"/>
        <v>0</v>
      </c>
      <c r="N73" s="381">
        <f t="shared" si="21"/>
        <v>0.17096632637732861</v>
      </c>
      <c r="O73" s="381">
        <f t="shared" si="21"/>
        <v>4.5150254200661431E-3</v>
      </c>
      <c r="P73" s="381">
        <f t="shared" si="21"/>
        <v>0</v>
      </c>
      <c r="Q73" s="381">
        <f t="shared" si="20"/>
        <v>0.99999999999999978</v>
      </c>
    </row>
    <row r="74" spans="1:17" ht="13" thickBot="1">
      <c r="A74" s="85">
        <v>2011</v>
      </c>
      <c r="B74" s="85" t="str">
        <f>B73</f>
        <v>hhlds main fuel lighting</v>
      </c>
      <c r="C74" s="95" t="s">
        <v>24</v>
      </c>
      <c r="F74" s="381">
        <f t="shared" si="21"/>
        <v>0.85487365806023408</v>
      </c>
      <c r="G74" s="381">
        <f t="shared" si="21"/>
        <v>2.2420792481839696E-3</v>
      </c>
      <c r="H74" s="381">
        <f t="shared" si="21"/>
        <v>2.8786049118303493E-2</v>
      </c>
      <c r="I74" s="381">
        <f t="shared" si="21"/>
        <v>0</v>
      </c>
      <c r="J74" s="381">
        <f t="shared" si="21"/>
        <v>0</v>
      </c>
      <c r="K74" s="381">
        <f t="shared" si="21"/>
        <v>0</v>
      </c>
      <c r="L74" s="381">
        <f t="shared" si="21"/>
        <v>3.5526237933260966E-3</v>
      </c>
      <c r="M74" s="381">
        <f t="shared" si="21"/>
        <v>0</v>
      </c>
      <c r="N74" s="381">
        <f t="shared" si="21"/>
        <v>0</v>
      </c>
      <c r="O74" s="381">
        <f t="shared" si="21"/>
        <v>2.8129586332765683E-3</v>
      </c>
      <c r="P74" s="381">
        <f t="shared" si="21"/>
        <v>0</v>
      </c>
      <c r="Q74" s="381">
        <f t="shared" si="20"/>
        <v>0.89226736885332425</v>
      </c>
    </row>
    <row r="75" spans="1:17" ht="13" thickBot="1">
      <c r="A75" s="85">
        <v>2011</v>
      </c>
      <c r="B75" s="85" t="str">
        <f>B74</f>
        <v>hhlds main fuel lighting</v>
      </c>
      <c r="C75" s="98" t="s">
        <v>25</v>
      </c>
      <c r="F75" s="381">
        <f t="shared" si="21"/>
        <v>0.97011215567399645</v>
      </c>
      <c r="G75" s="381">
        <f t="shared" si="21"/>
        <v>1.7673903180409844E-3</v>
      </c>
      <c r="H75" s="381">
        <f t="shared" si="21"/>
        <v>5.4566683017839152E-3</v>
      </c>
      <c r="I75" s="381">
        <f t="shared" si="21"/>
        <v>0</v>
      </c>
      <c r="J75" s="381">
        <f t="shared" si="21"/>
        <v>0</v>
      </c>
      <c r="K75" s="381">
        <f t="shared" si="21"/>
        <v>0</v>
      </c>
      <c r="L75" s="381">
        <f t="shared" si="21"/>
        <v>3.1719730721097039E-3</v>
      </c>
      <c r="M75" s="381">
        <f t="shared" si="21"/>
        <v>0</v>
      </c>
      <c r="N75" s="381">
        <f t="shared" si="21"/>
        <v>0</v>
      </c>
      <c r="O75" s="381">
        <f t="shared" si="21"/>
        <v>1.4074235541955964E-3</v>
      </c>
      <c r="P75" s="381">
        <f t="shared" si="21"/>
        <v>0</v>
      </c>
      <c r="Q75" s="381">
        <f t="shared" si="20"/>
        <v>0.98191561092012658</v>
      </c>
    </row>
    <row r="76" spans="1:17" ht="13" thickBot="1">
      <c r="A76" s="85">
        <v>2011</v>
      </c>
      <c r="B76" s="85" t="str">
        <f>B54</f>
        <v>hhlds main fuel space heating</v>
      </c>
      <c r="C76" s="211" t="s">
        <v>22</v>
      </c>
      <c r="F76" s="381">
        <f t="shared" ref="F76:P78" si="22">SUMIFS($J$111:$J$238,$A$111:$A$238,"space heating",$C$111:$C$238,F$46,$B$111:$B$238,$C76)</f>
        <v>0.56955674095683095</v>
      </c>
      <c r="G76" s="381">
        <f t="shared" si="22"/>
        <v>1.7396870682566554E-2</v>
      </c>
      <c r="H76" s="381">
        <f t="shared" si="22"/>
        <v>0.1267372500402611</v>
      </c>
      <c r="I76" s="381">
        <f t="shared" si="22"/>
        <v>0.25045675230582054</v>
      </c>
      <c r="J76" s="381">
        <f t="shared" si="22"/>
        <v>2.8034500257046523E-2</v>
      </c>
      <c r="K76" s="381">
        <f t="shared" si="22"/>
        <v>5.2878959919994452E-3</v>
      </c>
      <c r="L76" s="381">
        <f t="shared" si="22"/>
        <v>2.326566517021083E-3</v>
      </c>
      <c r="M76" s="381">
        <f t="shared" si="22"/>
        <v>2.0342324845412202E-4</v>
      </c>
      <c r="N76" s="381">
        <f t="shared" si="22"/>
        <v>0</v>
      </c>
      <c r="O76" s="381">
        <f t="shared" si="22"/>
        <v>0</v>
      </c>
      <c r="P76" s="381">
        <f t="shared" si="22"/>
        <v>0</v>
      </c>
      <c r="Q76" s="381">
        <f t="shared" si="20"/>
        <v>1.0000000000000004</v>
      </c>
    </row>
    <row r="77" spans="1:17" ht="13" thickBot="1">
      <c r="A77" s="85">
        <v>2011</v>
      </c>
      <c r="B77" s="85" t="str">
        <f>B76</f>
        <v>hhlds main fuel space heating</v>
      </c>
      <c r="C77" s="95" t="s">
        <v>24</v>
      </c>
      <c r="F77" s="381">
        <f t="shared" si="22"/>
        <v>0.66338957685980504</v>
      </c>
      <c r="G77" s="381">
        <f t="shared" si="22"/>
        <v>1.8205028374723757E-2</v>
      </c>
      <c r="H77" s="381">
        <f t="shared" si="22"/>
        <v>0.10360703735898198</v>
      </c>
      <c r="I77" s="381">
        <f t="shared" si="22"/>
        <v>0.18030049520658889</v>
      </c>
      <c r="J77" s="381">
        <f t="shared" si="22"/>
        <v>2.7899318127422169E-2</v>
      </c>
      <c r="K77" s="381">
        <f t="shared" si="22"/>
        <v>3.9354572116177726E-3</v>
      </c>
      <c r="L77" s="381">
        <f t="shared" si="22"/>
        <v>2.5003506636205358E-3</v>
      </c>
      <c r="M77" s="381">
        <f t="shared" si="22"/>
        <v>1.6273619723997722E-4</v>
      </c>
      <c r="N77" s="381">
        <f t="shared" si="22"/>
        <v>0</v>
      </c>
      <c r="O77" s="381">
        <f t="shared" si="22"/>
        <v>0</v>
      </c>
      <c r="P77" s="381">
        <f t="shared" si="22"/>
        <v>0</v>
      </c>
      <c r="Q77" s="381">
        <f t="shared" si="20"/>
        <v>1.0000000000000002</v>
      </c>
    </row>
    <row r="78" spans="1:17" ht="13" thickBot="1">
      <c r="A78" s="85">
        <v>2011</v>
      </c>
      <c r="B78" s="85" t="str">
        <f>B77</f>
        <v>hhlds main fuel space heating</v>
      </c>
      <c r="C78" s="98" t="s">
        <v>25</v>
      </c>
      <c r="F78" s="381">
        <f t="shared" si="22"/>
        <v>0.84544349791843898</v>
      </c>
      <c r="G78" s="381">
        <f t="shared" si="22"/>
        <v>5.9136516779077337E-2</v>
      </c>
      <c r="H78" s="381">
        <f t="shared" si="22"/>
        <v>4.0320744776784496E-2</v>
      </c>
      <c r="I78" s="381">
        <f t="shared" si="22"/>
        <v>3.9269080824373567E-2</v>
      </c>
      <c r="J78" s="381">
        <f t="shared" si="22"/>
        <v>9.5010878706932589E-3</v>
      </c>
      <c r="K78" s="381">
        <f t="shared" si="22"/>
        <v>1.2071230761812823E-3</v>
      </c>
      <c r="L78" s="381">
        <f t="shared" si="22"/>
        <v>4.9071907956934726E-3</v>
      </c>
      <c r="M78" s="381">
        <f t="shared" si="22"/>
        <v>2.1475795875767421E-4</v>
      </c>
      <c r="N78" s="381">
        <f t="shared" si="22"/>
        <v>0</v>
      </c>
      <c r="O78" s="381">
        <f t="shared" si="22"/>
        <v>0</v>
      </c>
      <c r="P78" s="381">
        <f t="shared" si="22"/>
        <v>0</v>
      </c>
      <c r="Q78" s="381">
        <f t="shared" si="20"/>
        <v>1</v>
      </c>
    </row>
    <row r="79" spans="1:17">
      <c r="Q79" s="381">
        <f t="shared" si="20"/>
        <v>0</v>
      </c>
    </row>
    <row r="80" spans="1:17" s="462" customFormat="1" ht="22">
      <c r="A80" s="462" t="s">
        <v>1065</v>
      </c>
    </row>
    <row r="81" spans="1:17">
      <c r="A81" s="391"/>
      <c r="C81" s="394">
        <v>2017</v>
      </c>
      <c r="F81" s="393">
        <f>F84*SUM('2017 end use splits'!$S$31:$S$33)</f>
        <v>2.211362750859684</v>
      </c>
      <c r="G81" s="393">
        <f>G84*SUM('2017 end use splits'!$S$31:$S$33)</f>
        <v>0.13626957503946976</v>
      </c>
      <c r="H81" s="393">
        <f>H84*SUM('2017 end use splits'!$S$31:$S$33)</f>
        <v>0.2466293925705717</v>
      </c>
      <c r="I81" s="393">
        <f>I84*SUM('2017 end use splits'!$S$31:$S$33)</f>
        <v>0.36738704101826403</v>
      </c>
      <c r="J81" s="393">
        <f>J84*SUM('2017 end use splits'!$S$31:$S$33)</f>
        <v>1.3181661782724176E-2</v>
      </c>
      <c r="K81" s="393">
        <f>K84*SUM('2017 end use splits'!$S$31:$S$33)</f>
        <v>2.3038095024217101E-3</v>
      </c>
      <c r="L81" s="393">
        <f>L84*SUM('2017 end use splits'!$S$31:$S$33)</f>
        <v>3.2668097974591507E-3</v>
      </c>
      <c r="M81" s="393">
        <f>M84*SUM('2017 end use splits'!$S$31:$S$33)</f>
        <v>5.3199043939569368E-3</v>
      </c>
      <c r="N81" s="393">
        <f>N84*SUM('2017 end use splits'!$S$31:$S$33)</f>
        <v>0</v>
      </c>
      <c r="O81" s="393">
        <f>O84*SUM('2017 end use splits'!$S$31:$S$33)</f>
        <v>1.4279055035450057E-2</v>
      </c>
      <c r="P81" s="393"/>
      <c r="Q81" s="381"/>
    </row>
    <row r="82" spans="1:17">
      <c r="A82" s="391"/>
      <c r="C82" s="394">
        <v>2011</v>
      </c>
      <c r="F82" s="393">
        <f t="shared" ref="F82:O82" si="23">F70*$G$3+F71*$G$4+F72*$G$5</f>
        <v>10679635.944505166</v>
      </c>
      <c r="G82" s="393">
        <f t="shared" si="23"/>
        <v>510716.49717418489</v>
      </c>
      <c r="H82" s="393">
        <f t="shared" si="23"/>
        <v>1236424.8851831802</v>
      </c>
      <c r="I82" s="393">
        <f t="shared" si="23"/>
        <v>1820881.5624711479</v>
      </c>
      <c r="J82" s="393">
        <f t="shared" si="23"/>
        <v>104899.62757023654</v>
      </c>
      <c r="K82" s="393">
        <f t="shared" si="23"/>
        <v>45679.630590997956</v>
      </c>
      <c r="L82" s="393">
        <f t="shared" si="23"/>
        <v>22399.612376150348</v>
      </c>
      <c r="M82" s="393">
        <f t="shared" si="23"/>
        <v>29523.731077434149</v>
      </c>
      <c r="N82" s="393">
        <f t="shared" si="23"/>
        <v>0</v>
      </c>
      <c r="O82" s="393">
        <f t="shared" si="23"/>
        <v>0</v>
      </c>
      <c r="P82" s="393"/>
      <c r="Q82" s="381"/>
    </row>
    <row r="83" spans="1:17" ht="13">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0.73712091695322779</v>
      </c>
      <c r="G84" s="382">
        <f t="shared" ref="G84:O84" si="24">G59+($F$59-$F$84)*G59/SUM($G59:$O59)</f>
        <v>4.5423191679823241E-2</v>
      </c>
      <c r="H84" s="382">
        <f t="shared" si="24"/>
        <v>8.2209797523523878E-2</v>
      </c>
      <c r="I84" s="382">
        <f t="shared" si="24"/>
        <v>0.12246234700608798</v>
      </c>
      <c r="J84" s="382">
        <f t="shared" si="24"/>
        <v>4.3938872609080573E-3</v>
      </c>
      <c r="K84" s="382">
        <f t="shared" si="24"/>
        <v>7.6793650080723649E-4</v>
      </c>
      <c r="L84" s="382">
        <f t="shared" si="24"/>
        <v>1.0889365991530499E-3</v>
      </c>
      <c r="M84" s="402">
        <f t="shared" si="24"/>
        <v>1.7733014646523118E-3</v>
      </c>
      <c r="N84" s="382">
        <f t="shared" si="24"/>
        <v>0</v>
      </c>
      <c r="O84" s="402">
        <f t="shared" si="24"/>
        <v>4.7596850118166844E-3</v>
      </c>
      <c r="P84" s="383">
        <f>SUM(F84:O84)</f>
        <v>1.0000000000000002</v>
      </c>
      <c r="Q84" s="381"/>
    </row>
    <row r="85" spans="1:17">
      <c r="A85" s="85">
        <v>2017</v>
      </c>
      <c r="B85" s="85" t="str">
        <f>B49</f>
        <v>hhlds main fuel lighting</v>
      </c>
      <c r="F85" s="382">
        <f>F60*$H$12/$F$60</f>
        <v>0.8545708762886598</v>
      </c>
      <c r="G85" s="382">
        <f t="shared" ref="G85:O85" si="25">G60+($F$59-$F$84)*G60/SUM($G60:$O60)</f>
        <v>5.3142370211242199E-3</v>
      </c>
      <c r="H85" s="382">
        <f t="shared" si="25"/>
        <v>9.3382425782448E-2</v>
      </c>
      <c r="I85" s="382">
        <f t="shared" si="25"/>
        <v>0</v>
      </c>
      <c r="J85" s="382">
        <f t="shared" si="25"/>
        <v>0</v>
      </c>
      <c r="K85" s="382">
        <f t="shared" si="25"/>
        <v>0</v>
      </c>
      <c r="L85" s="382">
        <f t="shared" si="25"/>
        <v>1.9960868869219599E-2</v>
      </c>
      <c r="M85" s="402">
        <f t="shared" si="25"/>
        <v>4.9180043128304813E-3</v>
      </c>
      <c r="N85" s="382">
        <f t="shared" si="25"/>
        <v>0</v>
      </c>
      <c r="O85" s="402">
        <f t="shared" si="25"/>
        <v>7.3403546335578697E-3</v>
      </c>
      <c r="P85" s="383">
        <f>SUM(F85:O85)</f>
        <v>0.98548676690783998</v>
      </c>
      <c r="Q85" s="381"/>
    </row>
    <row r="86" spans="1:17">
      <c r="A86" s="85">
        <v>2017</v>
      </c>
      <c r="B86" s="85" t="str">
        <f>B50</f>
        <v>hhlds main fuel space heating</v>
      </c>
      <c r="F86" s="382">
        <f>F61*$H$12/$F$60</f>
        <v>0.58724505010904537</v>
      </c>
      <c r="G86" s="382">
        <f t="shared" ref="G86:O86" si="26">G61+($F$59-$F$84)*G61/SUM($G61:$O61)</f>
        <v>1.7071412165050308E-2</v>
      </c>
      <c r="H86" s="382">
        <f t="shared" si="26"/>
        <v>6.9029614610463308E-2</v>
      </c>
      <c r="I86" s="382">
        <f t="shared" si="26"/>
        <v>0.11707842187027899</v>
      </c>
      <c r="J86" s="382">
        <f t="shared" si="26"/>
        <v>1.2225192913664272E-2</v>
      </c>
      <c r="K86" s="382">
        <f t="shared" si="26"/>
        <v>1.065846167577292E-3</v>
      </c>
      <c r="L86" s="382">
        <f t="shared" si="26"/>
        <v>1.4811065248336644E-3</v>
      </c>
      <c r="M86" s="402">
        <f t="shared" si="26"/>
        <v>1.8754984834267224E-2</v>
      </c>
      <c r="N86" s="382">
        <f t="shared" si="26"/>
        <v>0</v>
      </c>
      <c r="O86" s="402">
        <f t="shared" si="26"/>
        <v>0.19456845716931892</v>
      </c>
      <c r="P86" s="383">
        <f>SUM(F86:O86)</f>
        <v>1.0185200863644992</v>
      </c>
      <c r="Q86" s="381"/>
    </row>
    <row r="87" spans="1:17">
      <c r="A87" s="85">
        <v>2017</v>
      </c>
      <c r="B87" s="85" t="str">
        <f>B51</f>
        <v>hhlds main fuel water heating</v>
      </c>
      <c r="F87" s="382">
        <f>F62*$H$12/$F$60</f>
        <v>0.7341335468636021</v>
      </c>
      <c r="G87" s="382">
        <f t="shared" ref="G87:O87" si="27">G62+($F$59-$F$84)*G62/SUM($G62:$O62)</f>
        <v>1.7042813085833886E-2</v>
      </c>
      <c r="H87" s="382">
        <f t="shared" si="27"/>
        <v>7.817790890997961E-2</v>
      </c>
      <c r="I87" s="382">
        <f t="shared" si="27"/>
        <v>0.12822232661001598</v>
      </c>
      <c r="J87" s="382">
        <f t="shared" si="27"/>
        <v>5.019612351472697E-3</v>
      </c>
      <c r="K87" s="382">
        <f t="shared" si="27"/>
        <v>1.0615089794033228E-3</v>
      </c>
      <c r="L87" s="382">
        <f t="shared" si="27"/>
        <v>9.6858051095113952E-3</v>
      </c>
      <c r="M87" s="402">
        <f t="shared" si="27"/>
        <v>4.3746894999535969E-3</v>
      </c>
      <c r="N87" s="382">
        <f t="shared" si="27"/>
        <v>0</v>
      </c>
      <c r="O87" s="402">
        <f t="shared" si="27"/>
        <v>2.2650936427217851E-2</v>
      </c>
      <c r="P87" s="383">
        <f>SUM(F87:O87)</f>
        <v>1.0003691478369905</v>
      </c>
      <c r="Q87" s="381"/>
    </row>
    <row r="88" spans="1:17" ht="37.5">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5781854.2118392373</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4694714.1229874622</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411515556.06494844</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7942789.3354020603</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5373063.3739484539</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4115155.5606494844</v>
      </c>
      <c r="F97"/>
      <c r="G97" s="384"/>
      <c r="H97" s="384"/>
      <c r="I97" s="384"/>
      <c r="J97" s="384"/>
      <c r="K97" s="384"/>
      <c r="L97" s="384"/>
      <c r="M97" s="384"/>
      <c r="N97" s="384"/>
      <c r="O97" s="384"/>
      <c r="P97" s="384"/>
      <c r="Q97" s="384"/>
    </row>
    <row r="98" spans="1:19">
      <c r="A98" s="85">
        <v>2017</v>
      </c>
      <c r="B98" s="394" t="str">
        <f t="shared" ref="B98:B106" si="28">B95</f>
        <v>Low Income</v>
      </c>
      <c r="C98" t="str">
        <f>'2017 end use splits'!D37</f>
        <v>lighting</v>
      </c>
      <c r="D98">
        <v>100</v>
      </c>
      <c r="E98">
        <f>D98*SUMIF('Census 2011_17'!A$3:$A$5,B98,'Census 2011_17'!H$3:$H$5)/100</f>
        <v>7942789.3354020603</v>
      </c>
      <c r="F98"/>
      <c r="G98" s="384"/>
      <c r="H98" s="384"/>
      <c r="I98" s="384"/>
      <c r="J98" s="384"/>
      <c r="K98" s="384"/>
      <c r="L98" s="384"/>
      <c r="M98" s="384"/>
      <c r="N98" s="384"/>
      <c r="O98" s="384"/>
      <c r="P98" s="384"/>
      <c r="Q98" s="384"/>
    </row>
    <row r="99" spans="1:19">
      <c r="A99" s="85">
        <v>2017</v>
      </c>
      <c r="B99" s="394" t="str">
        <f t="shared" si="28"/>
        <v>Middle Income</v>
      </c>
      <c r="C99" t="str">
        <f>'2017 end use splits'!D38</f>
        <v>lighting</v>
      </c>
      <c r="D99">
        <v>100</v>
      </c>
      <c r="E99">
        <f>D99*SUMIF('Census 2011_17'!A$3:$A$5,B99,'Census 2011_17'!H$3:$H$5)/100</f>
        <v>5373063.3739484539</v>
      </c>
      <c r="F99"/>
      <c r="G99" s="384"/>
      <c r="H99" s="384"/>
      <c r="I99" s="384"/>
      <c r="J99" s="384"/>
      <c r="K99" s="384"/>
      <c r="L99" s="384"/>
      <c r="M99" s="384"/>
      <c r="N99" s="384"/>
      <c r="O99" s="384"/>
      <c r="P99" s="384"/>
      <c r="Q99" s="384"/>
    </row>
    <row r="100" spans="1:19">
      <c r="A100" s="85">
        <v>2017</v>
      </c>
      <c r="B100" s="394" t="str">
        <f t="shared" si="28"/>
        <v>High Income</v>
      </c>
      <c r="C100" t="str">
        <f>'2017 end use splits'!D39</f>
        <v>lighting</v>
      </c>
      <c r="D100">
        <v>100</v>
      </c>
      <c r="E100">
        <f>D100*SUMIF('Census 2011_17'!A$3:$A$5,B100,'Census 2011_17'!H$3:$H$5)/100</f>
        <v>4115155.5606494844</v>
      </c>
      <c r="F100"/>
      <c r="G100" s="384"/>
      <c r="H100" s="384"/>
      <c r="I100" s="384"/>
      <c r="J100" s="384"/>
      <c r="K100" s="384"/>
      <c r="L100" s="384"/>
      <c r="M100" s="384"/>
      <c r="N100" s="384"/>
      <c r="O100" s="384"/>
      <c r="P100" s="384"/>
      <c r="Q100" s="384"/>
    </row>
    <row r="101" spans="1:19">
      <c r="A101" s="85">
        <v>2017</v>
      </c>
      <c r="B101" s="394" t="str">
        <f t="shared" si="28"/>
        <v>Low Income</v>
      </c>
      <c r="C101" t="str">
        <f>'2017 end use splits'!D52</f>
        <v>water heating</v>
      </c>
      <c r="D101">
        <f>100-'Census 2011_17'!G287</f>
        <v>98.5</v>
      </c>
      <c r="E101">
        <f>D101*SUMIF('Census 2011_17'!A$3:$A$5,B101,'Census 2011_17'!H$3:$H$5)/100</f>
        <v>7823647.4953710306</v>
      </c>
      <c r="F101"/>
      <c r="G101" s="384"/>
      <c r="H101" s="384"/>
      <c r="I101" s="384"/>
      <c r="J101" s="384"/>
      <c r="K101" s="384"/>
      <c r="L101" s="384"/>
      <c r="M101" s="384"/>
      <c r="N101" s="384"/>
      <c r="O101" s="384"/>
      <c r="P101" s="384"/>
      <c r="Q101" s="384"/>
    </row>
    <row r="102" spans="1:19">
      <c r="A102" s="85">
        <v>2017</v>
      </c>
      <c r="B102" s="394" t="str">
        <f t="shared" si="28"/>
        <v>Middle Income</v>
      </c>
      <c r="C102" t="str">
        <f>'2017 end use splits'!D53</f>
        <v>water heating</v>
      </c>
      <c r="D102">
        <f>D101</f>
        <v>98.5</v>
      </c>
      <c r="E102">
        <f>D102*SUMIF('Census 2011_17'!A$3:$A$5,B102,'Census 2011_17'!H$3:$H$5)/100</f>
        <v>5292467.4233392272</v>
      </c>
      <c r="F102"/>
      <c r="G102" s="384"/>
      <c r="H102" s="384"/>
      <c r="I102" s="384"/>
      <c r="J102" s="384"/>
      <c r="K102" s="384"/>
      <c r="L102" s="384"/>
      <c r="M102" s="384"/>
      <c r="N102" s="384"/>
      <c r="O102" s="384"/>
      <c r="P102" s="384"/>
      <c r="Q102" s="384"/>
    </row>
    <row r="103" spans="1:19">
      <c r="A103" s="85">
        <v>2017</v>
      </c>
      <c r="B103" s="394" t="str">
        <f t="shared" si="28"/>
        <v>High Income</v>
      </c>
      <c r="C103" t="str">
        <f>'2017 end use splits'!D54</f>
        <v>water heating</v>
      </c>
      <c r="D103">
        <f>D102</f>
        <v>98.5</v>
      </c>
      <c r="E103">
        <f>D103*SUMIF('Census 2011_17'!A$3:$A$5,B103,'Census 2011_17'!H$3:$H$5)/100</f>
        <v>4053428.2272397424</v>
      </c>
      <c r="F103"/>
      <c r="G103" s="384"/>
      <c r="H103" s="384"/>
      <c r="I103" s="384"/>
      <c r="J103" s="384"/>
      <c r="K103" s="384"/>
      <c r="L103" s="384"/>
      <c r="M103" s="384"/>
      <c r="N103" s="384"/>
      <c r="O103" s="384"/>
      <c r="P103" s="384"/>
      <c r="Q103" s="384"/>
    </row>
    <row r="104" spans="1:19">
      <c r="A104" s="85">
        <v>2017</v>
      </c>
      <c r="B104" s="394" t="str">
        <f t="shared" si="28"/>
        <v>Low Income</v>
      </c>
      <c r="C104" t="str">
        <f>'2017 end use splits'!D67</f>
        <v>space heating</v>
      </c>
      <c r="D104">
        <f>100-'Census 2011_17'!G298</f>
        <v>84.7</v>
      </c>
      <c r="E104">
        <f>D104*SUMIF('Census 2011_17'!A$3:$A$5,B104,'Census 2011_17'!H$3:$H$5)/100</f>
        <v>6727542.5670855464</v>
      </c>
      <c r="F104" s="14" t="s">
        <v>796</v>
      </c>
      <c r="G104" s="384"/>
      <c r="H104" s="384"/>
      <c r="I104" s="384"/>
      <c r="J104" s="384"/>
      <c r="K104" s="384"/>
      <c r="L104" s="384"/>
      <c r="M104" s="384"/>
      <c r="N104" s="384"/>
      <c r="O104" s="384"/>
      <c r="P104" s="384"/>
      <c r="Q104" s="384"/>
    </row>
    <row r="105" spans="1:19">
      <c r="A105" s="85">
        <v>2017</v>
      </c>
      <c r="B105" s="394" t="str">
        <f t="shared" si="28"/>
        <v>Middle Income</v>
      </c>
      <c r="C105" t="str">
        <f>'2017 end use splits'!D68</f>
        <v>space heating</v>
      </c>
      <c r="D105">
        <f>D104</f>
        <v>84.7</v>
      </c>
      <c r="E105">
        <f>D105*SUMIF('Census 2011_17'!A$3:$A$5,B105,'Census 2011_17'!H$3:$H$5)/100</f>
        <v>4550984.6777343405</v>
      </c>
      <c r="F105"/>
      <c r="G105" s="384"/>
      <c r="H105" s="384"/>
      <c r="I105" s="384"/>
      <c r="J105" s="384"/>
      <c r="K105" s="384"/>
      <c r="L105" s="384"/>
      <c r="M105" s="384"/>
      <c r="N105" s="384"/>
      <c r="O105" s="384"/>
      <c r="P105" s="384"/>
      <c r="Q105" s="384"/>
    </row>
    <row r="106" spans="1:19">
      <c r="A106" s="85">
        <v>2017</v>
      </c>
      <c r="B106" s="394" t="str">
        <f t="shared" si="28"/>
        <v>High Income</v>
      </c>
      <c r="C106" t="str">
        <f>'2017 end use splits'!D69</f>
        <v>space heating</v>
      </c>
      <c r="D106">
        <f>D105</f>
        <v>84.7</v>
      </c>
      <c r="E106">
        <f>D106*SUMIF('Census 2011_17'!A$3:$A$5,B106,'Census 2011_17'!H$3:$H$5)/100</f>
        <v>3485536.7598701133</v>
      </c>
      <c r="F106"/>
    </row>
    <row r="107" spans="1:19">
      <c r="A107" s="394"/>
      <c r="B107"/>
      <c r="C107"/>
      <c r="D107"/>
      <c r="E107"/>
      <c r="F107"/>
    </row>
    <row r="108" spans="1:19">
      <c r="A108" s="237" t="s">
        <v>417</v>
      </c>
      <c r="C108" s="87"/>
      <c r="D108" s="88"/>
      <c r="E108" s="87"/>
      <c r="F108" s="87"/>
      <c r="G108" s="87"/>
    </row>
    <row r="109" spans="1:19" ht="13" thickBot="1">
      <c r="B109" s="212" t="s">
        <v>38</v>
      </c>
      <c r="C109" s="213"/>
      <c r="D109" s="213"/>
      <c r="E109" s="213"/>
      <c r="F109" s="213"/>
      <c r="G109" s="213"/>
      <c r="H109" s="214" t="s">
        <v>281</v>
      </c>
      <c r="I109" s="215"/>
      <c r="J109" s="215"/>
    </row>
    <row r="110" spans="1:19" s="397" customFormat="1" ht="25.5"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 thickBot="1">
      <c r="A111" s="85" t="s">
        <v>12</v>
      </c>
      <c r="B111" s="211" t="s">
        <v>22</v>
      </c>
      <c r="C111" s="91" t="s">
        <v>42</v>
      </c>
      <c r="D111" s="242">
        <v>4087821.0046737627</v>
      </c>
      <c r="E111" s="243"/>
      <c r="F111" s="93">
        <v>4087821.0046737627</v>
      </c>
      <c r="G111" s="387"/>
      <c r="H111" s="92">
        <f>D111/D$119</f>
        <v>0.8299427713132439</v>
      </c>
      <c r="I111" s="92">
        <f t="shared" ref="I111:I119" si="29">E111/E$119</f>
        <v>0</v>
      </c>
      <c r="J111" s="92">
        <f t="shared" ref="J111:J119" si="30">F111/F$119</f>
        <v>0.64725737253963511</v>
      </c>
      <c r="L111" s="85">
        <f>SUMIFS('Census 2011_17'!$E$258:$E$299,'Census 2011_17'!$A$258:$A$299,'Census 2011_17'!$B$48,'Census 2011_17'!$C$258:$C$299,'Census 2011_17'!$C111)</f>
        <v>14012036.5</v>
      </c>
      <c r="M111" s="393">
        <f t="shared" ref="M111:M118" si="31">SUMIFS($E$95:$E$106,$C$95:$C$106,A111,$B$95:$B$106,B111)</f>
        <v>7942789.3354020603</v>
      </c>
      <c r="N111" s="409">
        <f>SUMPRODUCT('2017 end use splits'!$F$31:$M$33*('2017 end use splits'!$C$31:$C$33='Census 2011_17'!B111)*('2017 end use splits'!$F$19:$M$19='Census 2011_17'!C111))</f>
        <v>0.65596777328748979</v>
      </c>
      <c r="O111" s="85">
        <f>N111*M111</f>
        <v>5210213.83403531</v>
      </c>
      <c r="P111" s="409">
        <f>$N111*(1+B$20)</f>
        <v>0.68486031795104974</v>
      </c>
      <c r="Q111" s="409">
        <f>$N111*(1+D$20)</f>
        <v>0.7276640878229903</v>
      </c>
      <c r="R111" s="409">
        <f>$N111*(1+F$20)</f>
        <v>0.77046785769493087</v>
      </c>
      <c r="S111" s="409" t="e">
        <f>$N111*(1+#REF!)</f>
        <v>#REF!</v>
      </c>
    </row>
    <row r="112" spans="1:19" ht="13" thickBot="1">
      <c r="A112" s="85" t="s">
        <v>12</v>
      </c>
      <c r="B112" s="211" t="s">
        <v>22</v>
      </c>
      <c r="C112" s="216" t="s">
        <v>43</v>
      </c>
      <c r="D112" s="242">
        <v>77439.929723772482</v>
      </c>
      <c r="E112" s="242">
        <v>82833.348038267111</v>
      </c>
      <c r="F112" s="93">
        <v>160273.27776203959</v>
      </c>
      <c r="G112" s="387"/>
      <c r="H112" s="92">
        <f t="shared" ref="H112:H118" si="32">D112/D$119</f>
        <v>1.5722486334838883E-2</v>
      </c>
      <c r="I112" s="92">
        <f t="shared" si="29"/>
        <v>5.9584686627608255E-2</v>
      </c>
      <c r="J112" s="92">
        <f t="shared" si="30"/>
        <v>2.5377349089885579E-2</v>
      </c>
      <c r="L112" s="85">
        <f>SUMIFS('Census 2011_17'!$E$258:$E$299,'Census 2011_17'!$A$258:$A$299,'Census 2011_17'!$B$48,'Census 2011_17'!$C$258:$C$299,'Census 2011_17'!$C112)</f>
        <v>502216.2</v>
      </c>
      <c r="M112" s="393">
        <f t="shared" si="31"/>
        <v>7942789.3354020603</v>
      </c>
      <c r="N112" s="424">
        <f>SUMPRODUCT('2017 end use splits'!$F$31:$M$33*('2017 end use splits'!$C$31:$C$33='Census 2011_17'!B112)*('2017 end use splits'!$F$19:$M$19='Census 2011_17'!C112))</f>
        <v>3.3207989350487709E-2</v>
      </c>
      <c r="O112" s="85">
        <f t="shared" ref="O112:O118" si="33">N112*M112</f>
        <v>263764.06366319896</v>
      </c>
      <c r="P112" s="424">
        <f>$N112-($N111*B$20)*$N112/(1-$N111)</f>
        <v>3.0419113073795866E-2</v>
      </c>
      <c r="Q112" s="424">
        <f>$N112-($N111*D$20)*$N112/(1-$N111)</f>
        <v>2.6287444515733886E-2</v>
      </c>
      <c r="R112" s="424">
        <f>$N112-($N111*F$20)*$N112/(1-$N111)</f>
        <v>2.2155775957671903E-2</v>
      </c>
      <c r="S112" s="424" t="e">
        <f>$N112-($N111*#REF!)*$N112/(1-$N111)</f>
        <v>#REF!</v>
      </c>
    </row>
    <row r="113" spans="1:19" ht="13" thickBot="1">
      <c r="A113" s="85" t="s">
        <v>12</v>
      </c>
      <c r="B113" s="211" t="s">
        <v>22</v>
      </c>
      <c r="C113" s="91" t="s">
        <v>17</v>
      </c>
      <c r="D113" s="242">
        <v>109920.38909999996</v>
      </c>
      <c r="E113" s="242">
        <v>702560.97132408281</v>
      </c>
      <c r="F113" s="93">
        <v>812481.36042408273</v>
      </c>
      <c r="G113" s="387"/>
      <c r="H113" s="92">
        <f t="shared" si="32"/>
        <v>2.2316934192857268E-2</v>
      </c>
      <c r="I113" s="92">
        <f t="shared" si="29"/>
        <v>0.5053746625549207</v>
      </c>
      <c r="J113" s="92">
        <f t="shared" si="30"/>
        <v>0.12864666774407588</v>
      </c>
      <c r="L113" s="85">
        <f>SUMIFS('Census 2011_17'!$E$258:$E$299,'Census 2011_17'!$A$258:$A$299,'Census 2011_17'!$B$48,'Census 2011_17'!$C$258:$C$299,'Census 2011_17'!$C113)</f>
        <v>908943</v>
      </c>
      <c r="M113" s="393">
        <f t="shared" si="31"/>
        <v>7942789.3354020603</v>
      </c>
      <c r="N113" s="424">
        <f>SUMPRODUCT('2017 end use splits'!$F$31:$M$33*('2017 end use splits'!$C$31:$C$33='Census 2011_17'!B113)*('2017 end use splits'!$F$19:$M$19='Census 2011_17'!C113))</f>
        <v>0.12386448439133212</v>
      </c>
      <c r="O113" s="85">
        <f t="shared" si="33"/>
        <v>983829.50565854774</v>
      </c>
      <c r="P113" s="424">
        <f>$N113-($N111*B$20)*$N113/(1-$N111)</f>
        <v>0.11346208639012402</v>
      </c>
      <c r="Q113" s="424">
        <f>$N113-($N111*D$20)*$N113/(1-$N111)</f>
        <v>9.8051126388334284E-2</v>
      </c>
      <c r="R113" s="424">
        <f>$N113-($N111*F$20)*$N113/(1-$N111)</f>
        <v>8.264016638654452E-2</v>
      </c>
      <c r="S113" s="424" t="e">
        <f>$N113-($N111*#REF!)*$N113/(1-$N111)</f>
        <v>#REF!</v>
      </c>
    </row>
    <row r="114" spans="1:19" ht="13" thickBot="1">
      <c r="A114" s="85" t="s">
        <v>12</v>
      </c>
      <c r="B114" s="211" t="s">
        <v>22</v>
      </c>
      <c r="C114" s="91" t="s">
        <v>7</v>
      </c>
      <c r="D114" s="242">
        <v>591195.92535502801</v>
      </c>
      <c r="E114" s="242">
        <v>562674.43630984903</v>
      </c>
      <c r="F114" s="93">
        <v>1153870.361664877</v>
      </c>
      <c r="G114" s="387"/>
      <c r="H114" s="92">
        <f t="shared" si="32"/>
        <v>0.12002942010358589</v>
      </c>
      <c r="I114" s="92">
        <f t="shared" si="29"/>
        <v>0.40474978682981483</v>
      </c>
      <c r="J114" s="92">
        <f t="shared" si="30"/>
        <v>0.18270151694231798</v>
      </c>
      <c r="L114" s="85">
        <f>SUMIFS('Census 2011_17'!$E$258:$E$299,'Census 2011_17'!$A$258:$A$299,'Census 2011_17'!$B$48,'Census 2011_17'!$C$258:$C$299,'Census 2011_17'!$C114)</f>
        <v>1353990.6</v>
      </c>
      <c r="M114" s="393">
        <f t="shared" si="31"/>
        <v>7942789.3354020603</v>
      </c>
      <c r="N114" s="424">
        <f>SUMPRODUCT('2017 end use splits'!$F$31:$M$33*('2017 end use splits'!$C$31:$C$33='Census 2011_17'!B114)*('2017 end use splits'!$F$19:$M$19='Census 2011_17'!C114))</f>
        <v>0.17822973519981258</v>
      </c>
      <c r="O114" s="85">
        <f t="shared" si="33"/>
        <v>1415641.2399966046</v>
      </c>
      <c r="P114" s="424">
        <f>$N114-($N111*B$20)*$N114/(1-$N111)</f>
        <v>0.16326162993292365</v>
      </c>
      <c r="Q114" s="424">
        <f>$N114-($N111*D$20)*$N114/(1-$N111)</f>
        <v>0.14108665916716234</v>
      </c>
      <c r="R114" s="424">
        <f>$N114-($N111*F$20)*$N114/(1-$N111)</f>
        <v>0.11891168840140101</v>
      </c>
      <c r="S114" s="424" t="e">
        <f>$N114-($N111*#REF!)*$N114/(1-$N111)</f>
        <v>#REF!</v>
      </c>
    </row>
    <row r="115" spans="1:19" ht="13" thickBot="1">
      <c r="A115" s="85" t="s">
        <v>12</v>
      </c>
      <c r="B115" s="211" t="s">
        <v>22</v>
      </c>
      <c r="C115" s="91" t="s">
        <v>9</v>
      </c>
      <c r="D115" s="242">
        <v>33255.340029135783</v>
      </c>
      <c r="E115" s="242">
        <v>21007.738486660455</v>
      </c>
      <c r="F115" s="93">
        <v>54263.078515796238</v>
      </c>
      <c r="G115" s="387"/>
      <c r="H115" s="92">
        <f t="shared" si="32"/>
        <v>6.7517704501222119E-3</v>
      </c>
      <c r="I115" s="92">
        <f t="shared" si="29"/>
        <v>1.5111540751728802E-2</v>
      </c>
      <c r="J115" s="92">
        <f t="shared" si="30"/>
        <v>8.5919069318078408E-3</v>
      </c>
      <c r="L115" s="85">
        <f>SUMIFS('Census 2011_17'!$E$258:$E$299,'Census 2011_17'!$A$258:$A$299,'Census 2011_17'!$B$48,'Census 2011_17'!$C$258:$C$299,'Census 2011_17'!$C115)</f>
        <v>48580.5</v>
      </c>
      <c r="M115" s="393">
        <f t="shared" si="31"/>
        <v>7942789.3354020603</v>
      </c>
      <c r="N115" s="424">
        <f>SUMPRODUCT('2017 end use splits'!$F$31:$M$33*('2017 end use splits'!$C$31:$C$33='Census 2011_17'!B115)*('2017 end use splits'!$F$19:$M$19='Census 2011_17'!C115))</f>
        <v>5.2577479376812661E-3</v>
      </c>
      <c r="O115" s="85">
        <f t="shared" si="33"/>
        <v>41761.184247646939</v>
      </c>
      <c r="P115" s="424">
        <f>$N115-($N111*B$20)*$N115/(1-$N111)</f>
        <v>4.8161912888440069E-3</v>
      </c>
      <c r="Q115" s="424">
        <f>$N115-($N111*D$20)*$N115/(1-$N111)</f>
        <v>4.162033290566588E-3</v>
      </c>
      <c r="R115" s="424">
        <f>$N115-($N111*F$20)*$N115/(1-$N111)</f>
        <v>3.5078752922891674E-3</v>
      </c>
      <c r="S115" s="424" t="e">
        <f>$N115-($N111*#REF!)*$N115/(1-$N111)</f>
        <v>#REF!</v>
      </c>
    </row>
    <row r="116" spans="1:19" ht="13" thickBot="1">
      <c r="A116" s="85" t="s">
        <v>12</v>
      </c>
      <c r="B116" s="211" t="s">
        <v>22</v>
      </c>
      <c r="C116" s="91" t="s">
        <v>46</v>
      </c>
      <c r="D116" s="242">
        <v>10995.987289999995</v>
      </c>
      <c r="E116" s="242">
        <v>17065.161307041286</v>
      </c>
      <c r="F116" s="93">
        <v>28061.148597041283</v>
      </c>
      <c r="G116" s="387"/>
      <c r="H116" s="92">
        <f t="shared" si="32"/>
        <v>2.2324950516066262E-3</v>
      </c>
      <c r="I116" s="92">
        <f t="shared" si="29"/>
        <v>1.2275518409081957E-2</v>
      </c>
      <c r="J116" s="92">
        <f t="shared" si="30"/>
        <v>4.4431459426914725E-3</v>
      </c>
      <c r="L116" s="85">
        <f>SUMIFS('Census 2011_17'!$E$258:$E$299,'Census 2011_17'!$A$258:$A$299,'Census 2011_17'!$B$48,'Census 2011_17'!$C$258:$C$299,'Census 2011_17'!$C116)</f>
        <v>8490.6</v>
      </c>
      <c r="M116" s="393">
        <f t="shared" si="31"/>
        <v>7942789.3354020603</v>
      </c>
      <c r="N116" s="424">
        <f>SUMPRODUCT('2017 end use splits'!$F$31:$M$33*('2017 end use splits'!$C$31:$C$33='Census 2011_17'!B116)*('2017 end use splits'!$F$19:$M$19='Census 2011_17'!C116))</f>
        <v>1.0846885576597839E-3</v>
      </c>
      <c r="O116" s="85">
        <f t="shared" si="33"/>
        <v>8615.4527080127737</v>
      </c>
      <c r="P116" s="424">
        <f>$N116-($N111*B$20)*$N116/(1-$N111)</f>
        <v>9.9359414799441706E-4</v>
      </c>
      <c r="Q116" s="424">
        <f>$N116-($N111*D$20)*$N116/(1-$N111)</f>
        <v>8.5863946700868901E-4</v>
      </c>
      <c r="R116" s="424">
        <f>$N116-($N111*F$20)*$N116/(1-$N111)</f>
        <v>7.2368478602296074E-4</v>
      </c>
      <c r="S116" s="424" t="e">
        <f>$N116-($N111*#REF!)*$N116/(1-$N111)</f>
        <v>#REF!</v>
      </c>
    </row>
    <row r="117" spans="1:19" ht="13" thickBot="1">
      <c r="A117" s="85" t="s">
        <v>12</v>
      </c>
      <c r="B117" s="211" t="s">
        <v>22</v>
      </c>
      <c r="C117" s="91" t="s">
        <v>44</v>
      </c>
      <c r="D117" s="242">
        <v>6544.7041300000001</v>
      </c>
      <c r="E117" s="242">
        <v>2531.4218427888027</v>
      </c>
      <c r="F117" s="93">
        <v>9076.1259727888028</v>
      </c>
      <c r="G117" s="387"/>
      <c r="H117" s="92">
        <f t="shared" si="32"/>
        <v>1.3287592281724487E-3</v>
      </c>
      <c r="I117" s="92">
        <f t="shared" si="29"/>
        <v>1.8209330033982396E-3</v>
      </c>
      <c r="J117" s="92">
        <f t="shared" si="30"/>
        <v>1.4370955683405354E-3</v>
      </c>
      <c r="L117" s="85">
        <f>SUMIFS('Census 2011_17'!$E$258:$E$299,'Census 2011_17'!$A$258:$A$299,'Census 2011_17'!$B$48,'Census 2011_17'!$C$258:$C$299,'Census 2011_17'!$C117)</f>
        <v>12039.7</v>
      </c>
      <c r="M117" s="393">
        <f t="shared" si="31"/>
        <v>7942789.3354020603</v>
      </c>
      <c r="N117" s="424">
        <f>SUMPRODUCT('2017 end use splits'!$F$31:$M$33*('2017 end use splits'!$C$31:$C$33='Census 2011_17'!B117)*('2017 end use splits'!$F$19:$M$19='Census 2011_17'!C117))</f>
        <v>1.0242652353524987E-3</v>
      </c>
      <c r="O117" s="85">
        <f t="shared" si="33"/>
        <v>8135.5229879809076</v>
      </c>
      <c r="P117" s="424">
        <f>$N117-($N111*B$20)*$N117/(1-$N111)</f>
        <v>9.3824530244521415E-4</v>
      </c>
      <c r="Q117" s="424">
        <f>$N117-($N111*D$20)*$N117/(1-$N111)</f>
        <v>8.1080836480479303E-4</v>
      </c>
      <c r="R117" s="424">
        <f>$N117-($N111*F$20)*$N117/(1-$N111)</f>
        <v>6.8337142716437169E-4</v>
      </c>
      <c r="S117" s="424" t="e">
        <f>$N117-($N111*#REF!)*$N117/(1-$N111)</f>
        <v>#REF!</v>
      </c>
    </row>
    <row r="118" spans="1:19" ht="13" thickBot="1">
      <c r="A118" s="85" t="s">
        <v>12</v>
      </c>
      <c r="B118" s="211" t="s">
        <v>22</v>
      </c>
      <c r="C118" s="91" t="s">
        <v>41</v>
      </c>
      <c r="D118" s="242">
        <v>8251.8766708449293</v>
      </c>
      <c r="E118" s="242">
        <v>1505.3850864910128</v>
      </c>
      <c r="F118" s="93">
        <v>9757.2617573359421</v>
      </c>
      <c r="G118" s="387"/>
      <c r="H118" s="92">
        <f t="shared" si="32"/>
        <v>1.6753633255726938E-3</v>
      </c>
      <c r="I118" s="92">
        <f t="shared" si="29"/>
        <v>1.0828718234472856E-3</v>
      </c>
      <c r="J118" s="92">
        <f t="shared" si="30"/>
        <v>1.5449452412456457E-3</v>
      </c>
      <c r="L118" s="85">
        <f>SUMIFS('Census 2011_17'!$E$258:$E$299,'Census 2011_17'!$A$258:$A$299,'Census 2011_17'!$B$48,'Census 2011_17'!$C$258:$C$299,'Census 2011_17'!$C118)</f>
        <v>19606.3</v>
      </c>
      <c r="M118" s="393">
        <f t="shared" si="31"/>
        <v>7942789.3354020603</v>
      </c>
      <c r="N118" s="424">
        <f>SUMPRODUCT('2017 end use splits'!$F$31:$M$33*('2017 end use splits'!$C$31:$C$33='Census 2011_17'!B118)*('2017 end use splits'!$F$19:$M$19='Census 2011_17'!C118))</f>
        <v>1.3633160401844162E-3</v>
      </c>
      <c r="O118" s="85">
        <f t="shared" si="33"/>
        <v>10828.532104759348</v>
      </c>
      <c r="P118" s="424">
        <f>$N118-($N111*B$20)*$N118/(1-$N111)</f>
        <v>1.2488219128232261E-3</v>
      </c>
      <c r="Q118" s="424">
        <f>$N118-($N111*D$20)*$N118/(1-$N111)</f>
        <v>1.0792009833992414E-3</v>
      </c>
      <c r="R118" s="424">
        <f>$N118-($N111*F$20)*$N118/(1-$N111)</f>
        <v>9.0958005397525645E-4</v>
      </c>
      <c r="S118" s="424" t="e">
        <f>$N118-($N111*#REF!)*$N118/(1-$N111)</f>
        <v>#REF!</v>
      </c>
    </row>
    <row r="119" spans="1:19" ht="13" thickBot="1">
      <c r="A119" s="85" t="s">
        <v>12</v>
      </c>
      <c r="B119" s="211" t="s">
        <v>22</v>
      </c>
      <c r="C119" s="211" t="s">
        <v>410</v>
      </c>
      <c r="D119" s="93">
        <v>4925425.1569725443</v>
      </c>
      <c r="E119" s="93">
        <v>1390178.4623951805</v>
      </c>
      <c r="F119" s="93">
        <v>6315603.6193677243</v>
      </c>
      <c r="G119" s="387"/>
      <c r="H119" s="94">
        <f t="shared" ref="H119" si="34">D119/D$119</f>
        <v>1</v>
      </c>
      <c r="I119" s="94">
        <f t="shared" si="29"/>
        <v>1</v>
      </c>
      <c r="J119" s="94">
        <f t="shared" si="30"/>
        <v>1</v>
      </c>
      <c r="L119">
        <f>SUM(L111:L118)</f>
        <v>16865903.399999999</v>
      </c>
      <c r="N119" s="409"/>
      <c r="O119" s="85">
        <f>SUM(O111:O118)</f>
        <v>7942789.3354020603</v>
      </c>
      <c r="P119" s="423">
        <f>SUM(P111:P118)</f>
        <v>1</v>
      </c>
      <c r="Q119" s="423">
        <f t="shared" ref="Q119:S119" si="35">SUM(Q111:Q118)</f>
        <v>1</v>
      </c>
      <c r="R119" s="423">
        <f t="shared" si="35"/>
        <v>0.99999999999999989</v>
      </c>
      <c r="S119" s="423" t="e">
        <f t="shared" si="35"/>
        <v>#REF!</v>
      </c>
    </row>
    <row r="120" spans="1:19" ht="13" thickBot="1">
      <c r="A120" s="85" t="s">
        <v>12</v>
      </c>
      <c r="B120" s="250" t="s">
        <v>283</v>
      </c>
      <c r="C120" s="96"/>
      <c r="D120" s="89" t="s">
        <v>34</v>
      </c>
      <c r="E120" s="89" t="s">
        <v>33</v>
      </c>
      <c r="F120" s="89" t="s">
        <v>27</v>
      </c>
      <c r="G120" s="387"/>
      <c r="H120" s="89" t="s">
        <v>34</v>
      </c>
      <c r="I120" s="90" t="s">
        <v>33</v>
      </c>
      <c r="J120" s="89" t="s">
        <v>27</v>
      </c>
      <c r="L120"/>
      <c r="N120" s="409"/>
    </row>
    <row r="121" spans="1:19" ht="13"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6">F121/F$129</f>
        <v>0.74792799749283057</v>
      </c>
      <c r="L121" s="85">
        <f>SUMIFS('Census 2011_17'!$E$258:$E$299,'Census 2011_17'!$A$258:$A$299,'Census 2011_17'!$B$48,'Census 2011_17'!$C$258:$C$299,'Census 2011_17'!$C121)</f>
        <v>14012036.5</v>
      </c>
      <c r="M121" s="393">
        <f t="shared" ref="M121:M128" si="37">SUMIFS($E$95:$E$106,$C$95:$C$106,A121,$B$95:$B$106,B121)</f>
        <v>5373063.3739484539</v>
      </c>
      <c r="N121" s="409">
        <f>SUMPRODUCT('2017 end use splits'!$F$31:$M$33*('2017 end use splits'!$C$31:$C$33='Census 2011_17'!B121)*('2017 end use splits'!$F$19:$M$19='Census 2011_17'!C121))</f>
        <v>0.75331145946508005</v>
      </c>
      <c r="O121" s="85">
        <f>N121*M121</f>
        <v>4047590.2120274771</v>
      </c>
      <c r="P121" s="409">
        <f>$N121*(1+B$21)</f>
        <v>0.77594313421295791</v>
      </c>
      <c r="Q121" s="409">
        <f>$N121*(1+D$21)</f>
        <v>0.81905108611367783</v>
      </c>
      <c r="R121" s="409">
        <f>$N121*(1+F$21)</f>
        <v>0.81905108611367783</v>
      </c>
      <c r="S121" s="409" t="e">
        <f>$N121*(1+#REF!)</f>
        <v>#REF!</v>
      </c>
    </row>
    <row r="122" spans="1:19" ht="13" thickBot="1">
      <c r="A122" s="85" t="s">
        <v>12</v>
      </c>
      <c r="B122" s="95" t="s">
        <v>24</v>
      </c>
      <c r="C122" s="216" t="s">
        <v>43</v>
      </c>
      <c r="D122" s="242">
        <v>73962.121062686681</v>
      </c>
      <c r="E122" s="242">
        <v>57752.052872689572</v>
      </c>
      <c r="F122" s="93">
        <v>131714.17393537625</v>
      </c>
      <c r="G122" s="387"/>
      <c r="H122" s="92">
        <f t="shared" ref="H122:H128" si="38">D122/D$129</f>
        <v>1.87428033375233E-2</v>
      </c>
      <c r="I122" s="92">
        <f t="shared" ref="I122:I128" si="39">E122/E$129</f>
        <v>8.9173436127073388E-2</v>
      </c>
      <c r="J122" s="92">
        <f t="shared" si="36"/>
        <v>2.8672170607556342E-2</v>
      </c>
      <c r="L122" s="85">
        <f>SUMIFS('Census 2011_17'!$E$258:$E$299,'Census 2011_17'!$A$258:$A$299,'Census 2011_17'!$B$48,'Census 2011_17'!$C$258:$C$299,'Census 2011_17'!$C122)</f>
        <v>502216.2</v>
      </c>
      <c r="M122" s="393">
        <f t="shared" si="37"/>
        <v>5373063.3739484539</v>
      </c>
      <c r="N122" s="409">
        <f>SUMPRODUCT('2017 end use splits'!$F$31:$M$33*('2017 end use splits'!$C$31:$C$33='Census 2011_17'!B122)*('2017 end use splits'!$F$19:$M$19='Census 2011_17'!C122))</f>
        <v>3.7287750591611137E-2</v>
      </c>
      <c r="O122" s="85">
        <f t="shared" ref="O122:O128" si="40">N122*M122</f>
        <v>200349.44700071058</v>
      </c>
      <c r="P122" s="424">
        <f>$N122-($N121*B$21)*$N122/(1-$N121)</f>
        <v>3.3866901606735486E-2</v>
      </c>
      <c r="Q122" s="424">
        <f>$N122-($N121*D$21)*$N122/(1-$N121)</f>
        <v>2.7350998778400925E-2</v>
      </c>
      <c r="R122" s="424">
        <f>$N122-($N121*F$21)*$N122/(1-$N121)</f>
        <v>2.7350998778400925E-2</v>
      </c>
      <c r="S122" s="424" t="e">
        <f>$N122-($N121*#REF!)*$N122/(1-$N121)</f>
        <v>#REF!</v>
      </c>
    </row>
    <row r="123" spans="1:19" ht="13" thickBot="1">
      <c r="A123" s="85" t="s">
        <v>12</v>
      </c>
      <c r="B123" s="95" t="s">
        <v>24</v>
      </c>
      <c r="C123" s="97" t="s">
        <v>17</v>
      </c>
      <c r="D123" s="242">
        <v>50478.666830000009</v>
      </c>
      <c r="E123" s="242">
        <v>317718.78602899984</v>
      </c>
      <c r="F123" s="93">
        <v>368197.45285899984</v>
      </c>
      <c r="G123" s="387"/>
      <c r="H123" s="92">
        <f t="shared" si="38"/>
        <v>1.2791841439122233E-2</v>
      </c>
      <c r="I123" s="92">
        <f t="shared" si="39"/>
        <v>0.49058127742721852</v>
      </c>
      <c r="J123" s="92">
        <f t="shared" si="36"/>
        <v>8.0150980492202636E-2</v>
      </c>
      <c r="L123" s="85">
        <f>SUMIFS('Census 2011_17'!$E$258:$E$299,'Census 2011_17'!$A$258:$A$299,'Census 2011_17'!$B$48,'Census 2011_17'!$C$258:$C$299,'Census 2011_17'!$C123)</f>
        <v>908943</v>
      </c>
      <c r="M123" s="393">
        <f t="shared" si="37"/>
        <v>5373063.3739484539</v>
      </c>
      <c r="N123" s="409">
        <f>SUMPRODUCT('2017 end use splits'!$F$31:$M$33*('2017 end use splits'!$C$31:$C$33='Census 2011_17'!B123)*('2017 end use splits'!$F$19:$M$19='Census 2011_17'!C123))</f>
        <v>7.6694881869631804E-2</v>
      </c>
      <c r="O123" s="85">
        <f t="shared" si="40"/>
        <v>412086.46074302198</v>
      </c>
      <c r="P123" s="424">
        <f>$N123-($N121*B$21)*$N123/(1-$N121)</f>
        <v>6.9658747894633777E-2</v>
      </c>
      <c r="Q123" s="424">
        <f>$N123-($N121*D$21)*$N123/(1-$N121)</f>
        <v>5.6256587942256603E-2</v>
      </c>
      <c r="R123" s="424">
        <f>$N123-($N121*F$21)*$N123/(1-$N121)</f>
        <v>5.6256587942256603E-2</v>
      </c>
      <c r="S123" s="424" t="e">
        <f>$N123-($N121*#REF!)*$N123/(1-$N121)</f>
        <v>#REF!</v>
      </c>
    </row>
    <row r="124" spans="1:19" ht="13" thickBot="1">
      <c r="A124" s="85" t="s">
        <v>12</v>
      </c>
      <c r="B124" s="95" t="s">
        <v>24</v>
      </c>
      <c r="C124" s="97" t="s">
        <v>7</v>
      </c>
      <c r="D124" s="242">
        <v>338359.32668999332</v>
      </c>
      <c r="E124" s="242">
        <v>249657.18981784984</v>
      </c>
      <c r="F124" s="93">
        <v>588016.51650784316</v>
      </c>
      <c r="G124" s="387"/>
      <c r="H124" s="92">
        <f t="shared" si="38"/>
        <v>8.5743921705440845E-2</v>
      </c>
      <c r="I124" s="92">
        <f t="shared" si="39"/>
        <v>0.38548914475756313</v>
      </c>
      <c r="J124" s="92">
        <f t="shared" si="36"/>
        <v>0.12800224438750102</v>
      </c>
      <c r="L124" s="85">
        <f>SUMIFS('Census 2011_17'!$E$258:$E$299,'Census 2011_17'!$A$258:$A$299,'Census 2011_17'!$B$48,'Census 2011_17'!$C$258:$C$299,'Census 2011_17'!$C124)</f>
        <v>1353990.6</v>
      </c>
      <c r="M124" s="393">
        <f t="shared" si="37"/>
        <v>5373063.3739484539</v>
      </c>
      <c r="N124" s="409">
        <f>SUMPRODUCT('2017 end use splits'!$F$31:$M$33*('2017 end use splits'!$C$31:$C$33='Census 2011_17'!B124)*('2017 end use splits'!$F$19:$M$19='Census 2011_17'!C124))</f>
        <v>0.12409802758529562</v>
      </c>
      <c r="O124" s="85">
        <f t="shared" si="40"/>
        <v>666786.56679779675</v>
      </c>
      <c r="P124" s="424">
        <f>$N124-($N121*B$21)*$N124/(1-$N121)</f>
        <v>0.11271303908492371</v>
      </c>
      <c r="Q124" s="424">
        <f>$N124-($N121*D$21)*$N124/(1-$N121)</f>
        <v>9.1027346703262929E-2</v>
      </c>
      <c r="R124" s="424">
        <f>$N124-($N121*F$21)*$N124/(1-$N121)</f>
        <v>9.1027346703262929E-2</v>
      </c>
      <c r="S124" s="424" t="e">
        <f>$N124-($N121*#REF!)*$N124/(1-$N121)</f>
        <v>#REF!</v>
      </c>
    </row>
    <row r="125" spans="1:19" ht="13" thickBot="1">
      <c r="A125" s="85" t="s">
        <v>12</v>
      </c>
      <c r="B125" s="95" t="s">
        <v>24</v>
      </c>
      <c r="C125" s="97" t="s">
        <v>9</v>
      </c>
      <c r="D125" s="242">
        <v>29014.308878413671</v>
      </c>
      <c r="E125" s="242">
        <v>12316.444068976714</v>
      </c>
      <c r="F125" s="93">
        <v>41330.752947390385</v>
      </c>
      <c r="G125" s="387"/>
      <c r="H125" s="92">
        <f t="shared" si="38"/>
        <v>7.3525404283816759E-3</v>
      </c>
      <c r="I125" s="92">
        <f t="shared" si="39"/>
        <v>1.9017499532331655E-2</v>
      </c>
      <c r="J125" s="92">
        <f t="shared" si="36"/>
        <v>8.9970757469713461E-3</v>
      </c>
      <c r="L125" s="85">
        <f>SUMIFS('Census 2011_17'!$E$258:$E$299,'Census 2011_17'!$A$258:$A$299,'Census 2011_17'!$B$48,'Census 2011_17'!$C$258:$C$299,'Census 2011_17'!$C125)</f>
        <v>48580.5</v>
      </c>
      <c r="M125" s="393">
        <f t="shared" si="37"/>
        <v>5373063.3739484539</v>
      </c>
      <c r="N125" s="409">
        <f>SUMPRODUCT('2017 end use splits'!$F$31:$M$33*('2017 end use splits'!$C$31:$C$33='Census 2011_17'!B125)*('2017 end use splits'!$F$19:$M$19='Census 2011_17'!C125))</f>
        <v>5.4716821355190312E-3</v>
      </c>
      <c r="O125" s="85">
        <f t="shared" si="40"/>
        <v>29399.694876245369</v>
      </c>
      <c r="P125" s="424">
        <f>$N125-($N121*B$21)*$N125/(1-$N121)</f>
        <v>4.9696996350497335E-3</v>
      </c>
      <c r="Q125" s="424">
        <f>$N125-($N121*D$21)*$N125/(1-$N121)</f>
        <v>4.0135424912986911E-3</v>
      </c>
      <c r="R125" s="424">
        <f>$N125-($N121*F$21)*$N125/(1-$N121)</f>
        <v>4.0135424912986911E-3</v>
      </c>
      <c r="S125" s="424" t="e">
        <f>$N125-($N121*#REF!)*$N125/(1-$N121)</f>
        <v>#REF!</v>
      </c>
    </row>
    <row r="126" spans="1:19" ht="13" thickBot="1">
      <c r="A126" s="85" t="s">
        <v>12</v>
      </c>
      <c r="B126" s="95" t="s">
        <v>24</v>
      </c>
      <c r="C126" s="97" t="s">
        <v>46</v>
      </c>
      <c r="D126" s="242">
        <v>7237.2359700000006</v>
      </c>
      <c r="E126" s="242">
        <v>7940.4844894999014</v>
      </c>
      <c r="F126" s="93">
        <v>15177.720459499902</v>
      </c>
      <c r="G126" s="387"/>
      <c r="H126" s="92">
        <f t="shared" si="38"/>
        <v>1.8339940572822768E-3</v>
      </c>
      <c r="I126" s="92">
        <f t="shared" si="39"/>
        <v>1.2260694663155105E-2</v>
      </c>
      <c r="J126" s="92">
        <f t="shared" si="36"/>
        <v>3.3039586966706696E-3</v>
      </c>
      <c r="L126" s="85">
        <f>SUMIFS('Census 2011_17'!$E$258:$E$299,'Census 2011_17'!$A$258:$A$299,'Census 2011_17'!$B$48,'Census 2011_17'!$C$258:$C$299,'Census 2011_17'!$C126)</f>
        <v>8490.6</v>
      </c>
      <c r="M126" s="393">
        <f t="shared" si="37"/>
        <v>5373063.3739484539</v>
      </c>
      <c r="N126" s="409">
        <f>SUMPRODUCT('2017 end use splits'!$F$31:$M$33*('2017 end use splits'!$C$31:$C$33='Census 2011_17'!B126)*('2017 end use splits'!$F$19:$M$19='Census 2011_17'!C126))</f>
        <v>8.016012307964993E-4</v>
      </c>
      <c r="O126" s="85">
        <f t="shared" si="40"/>
        <v>4307.0542137046723</v>
      </c>
      <c r="P126" s="424">
        <f>$N126-($N121*B$21)*$N126/(1-$N121)</f>
        <v>7.2806081301484327E-4</v>
      </c>
      <c r="Q126" s="424">
        <f>$N126-($N121*D$21)*$N126/(1-$N121)</f>
        <v>5.8798382676407E-4</v>
      </c>
      <c r="R126" s="424">
        <f>$N126-($N121*F$21)*$N126/(1-$N121)</f>
        <v>5.8798382676407E-4</v>
      </c>
      <c r="S126" s="424" t="e">
        <f>$N126-($N121*#REF!)*$N126/(1-$N121)</f>
        <v>#REF!</v>
      </c>
    </row>
    <row r="127" spans="1:19" ht="13" thickBot="1">
      <c r="A127" s="85" t="s">
        <v>12</v>
      </c>
      <c r="B127" s="95" t="s">
        <v>24</v>
      </c>
      <c r="C127" s="97" t="s">
        <v>44</v>
      </c>
      <c r="D127" s="242">
        <v>5182.070999999999</v>
      </c>
      <c r="E127" s="242">
        <v>1590.0355546283809</v>
      </c>
      <c r="F127" s="93">
        <v>6772.1065546283799</v>
      </c>
      <c r="G127" s="387"/>
      <c r="H127" s="92">
        <f t="shared" si="38"/>
        <v>1.3131929728159497E-3</v>
      </c>
      <c r="I127" s="92">
        <f t="shared" si="39"/>
        <v>2.4551323618399088E-3</v>
      </c>
      <c r="J127" s="92">
        <f t="shared" si="36"/>
        <v>1.4741845065370323E-3</v>
      </c>
      <c r="L127" s="85">
        <f>SUMIFS('Census 2011_17'!$E$258:$E$299,'Census 2011_17'!$A$258:$A$299,'Census 2011_17'!$B$48,'Census 2011_17'!$C$258:$C$299,'Census 2011_17'!$C127)</f>
        <v>12039.7</v>
      </c>
      <c r="M127" s="393">
        <f t="shared" si="37"/>
        <v>5373063.3739484539</v>
      </c>
      <c r="N127" s="409">
        <f>SUMPRODUCT('2017 end use splits'!$F$31:$M$33*('2017 end use splits'!$C$31:$C$33='Census 2011_17'!B127)*('2017 end use splits'!$F$19:$M$19='Census 2011_17'!C127))</f>
        <v>1.0442101505652218E-3</v>
      </c>
      <c r="O127" s="85">
        <f t="shared" si="40"/>
        <v>5610.6073147071938</v>
      </c>
      <c r="P127" s="424">
        <f>$N127-($N121*B$21)*$N127/(1-$N121)</f>
        <v>9.4841233018499419E-4</v>
      </c>
      <c r="Q127" s="424">
        <f>$N127-($N121*D$21)*$N127/(1-$N121)</f>
        <v>7.6594029136551342E-4</v>
      </c>
      <c r="R127" s="424">
        <f>$N127-($N121*F$21)*$N127/(1-$N121)</f>
        <v>7.6594029136551342E-4</v>
      </c>
      <c r="S127" s="424" t="e">
        <f>$N127-($N121*#REF!)*$N127/(1-$N121)</f>
        <v>#REF!</v>
      </c>
    </row>
    <row r="128" spans="1:19" ht="13" thickBot="1">
      <c r="A128" s="85" t="s">
        <v>12</v>
      </c>
      <c r="B128" s="95" t="s">
        <v>24</v>
      </c>
      <c r="C128" s="97" t="s">
        <v>41</v>
      </c>
      <c r="D128" s="242">
        <v>6096.8469491438664</v>
      </c>
      <c r="E128" s="242">
        <v>662.41333831557586</v>
      </c>
      <c r="F128" s="93">
        <v>6759.2602874594422</v>
      </c>
      <c r="G128" s="387"/>
      <c r="H128" s="92">
        <f t="shared" si="38"/>
        <v>1.5450071158712585E-3</v>
      </c>
      <c r="I128" s="92">
        <f t="shared" si="39"/>
        <v>1.0228151308183018E-3</v>
      </c>
      <c r="J128" s="92">
        <f t="shared" si="36"/>
        <v>1.4713880697304761E-3</v>
      </c>
      <c r="L128" s="85">
        <f>SUMIFS('Census 2011_17'!$E$258:$E$299,'Census 2011_17'!$A$258:$A$299,'Census 2011_17'!$B$48,'Census 2011_17'!$C$258:$C$299,'Census 2011_17'!$C128)</f>
        <v>19606.3</v>
      </c>
      <c r="M128" s="393">
        <f t="shared" si="37"/>
        <v>5373063.3739484539</v>
      </c>
      <c r="N128" s="409">
        <f>SUMPRODUCT('2017 end use splits'!$F$31:$M$33*('2017 end use splits'!$C$31:$C$33='Census 2011_17'!B128)*('2017 end use splits'!$F$19:$M$19='Census 2011_17'!C128))</f>
        <v>1.2903869715008036E-3</v>
      </c>
      <c r="O128" s="85">
        <f t="shared" si="40"/>
        <v>6933.3309747912353</v>
      </c>
      <c r="P128" s="424">
        <f>$N128-($N121*B$21)*$N128/(1-$N121)</f>
        <v>1.1720044224996207E-3</v>
      </c>
      <c r="Q128" s="424">
        <f>$N128-($N121*D$21)*$N128/(1-$N121)</f>
        <v>9.465138529735586E-4</v>
      </c>
      <c r="R128" s="424">
        <f>$N128-($N121*F$21)*$N128/(1-$N121)</f>
        <v>9.465138529735586E-4</v>
      </c>
      <c r="S128" s="424" t="e">
        <f>$N128-($N121*#REF!)*$N128/(1-$N121)</f>
        <v>#REF!</v>
      </c>
    </row>
    <row r="129" spans="1:19" ht="13" thickBot="1">
      <c r="A129" s="85" t="s">
        <v>12</v>
      </c>
      <c r="B129" s="95" t="s">
        <v>24</v>
      </c>
      <c r="C129" s="251" t="s">
        <v>410</v>
      </c>
      <c r="D129" s="93">
        <v>3946161.0801098091</v>
      </c>
      <c r="E129" s="93">
        <v>647637.40617095982</v>
      </c>
      <c r="F129" s="93">
        <v>4593798.4862807682</v>
      </c>
      <c r="G129" s="387"/>
      <c r="H129" s="94">
        <f t="shared" ref="H129" si="41">D129/D$129</f>
        <v>1</v>
      </c>
      <c r="I129" s="94">
        <f t="shared" ref="I129" si="42">E129/E$129</f>
        <v>1</v>
      </c>
      <c r="J129" s="94">
        <f t="shared" si="36"/>
        <v>1</v>
      </c>
      <c r="L129">
        <f>SUM(L121:L128)</f>
        <v>16865903.399999999</v>
      </c>
      <c r="N129" s="409"/>
      <c r="P129" s="423">
        <f>SUM(P121:P128)</f>
        <v>1</v>
      </c>
      <c r="Q129" s="423">
        <f t="shared" ref="Q129" si="43">SUM(Q121:Q128)</f>
        <v>1.0000000000000002</v>
      </c>
      <c r="R129" s="423">
        <f t="shared" ref="R129" si="44">SUM(R121:R128)</f>
        <v>1.0000000000000002</v>
      </c>
      <c r="S129" s="423" t="e">
        <f t="shared" ref="S129" si="45">SUM(S121:S128)</f>
        <v>#REF!</v>
      </c>
    </row>
    <row r="130" spans="1:19" ht="13" thickBot="1">
      <c r="A130" s="85" t="s">
        <v>12</v>
      </c>
      <c r="B130" s="252" t="s">
        <v>284</v>
      </c>
      <c r="C130" s="96"/>
      <c r="D130" s="89" t="s">
        <v>34</v>
      </c>
      <c r="E130" s="89" t="s">
        <v>33</v>
      </c>
      <c r="F130" s="89" t="s">
        <v>27</v>
      </c>
      <c r="G130" s="387"/>
      <c r="H130" s="89" t="s">
        <v>34</v>
      </c>
      <c r="I130" s="90" t="s">
        <v>33</v>
      </c>
      <c r="J130" s="89" t="s">
        <v>27</v>
      </c>
      <c r="L130"/>
      <c r="N130" s="409"/>
    </row>
    <row r="131" spans="1:19" ht="13" thickBot="1">
      <c r="A131" s="85" t="s">
        <v>12</v>
      </c>
      <c r="B131" s="98" t="s">
        <v>25</v>
      </c>
      <c r="C131" s="253" t="s">
        <v>42</v>
      </c>
      <c r="D131" s="242">
        <v>3087798.6671653627</v>
      </c>
      <c r="E131" s="243"/>
      <c r="F131" s="93">
        <v>3087798.6671653627</v>
      </c>
      <c r="G131" s="387"/>
      <c r="H131" s="92">
        <f t="shared" ref="H131:H139" si="46">D131/D$139</f>
        <v>0.91979349224126783</v>
      </c>
      <c r="I131" s="92">
        <f t="shared" ref="I131:I139" si="47">E131/E$139</f>
        <v>0</v>
      </c>
      <c r="J131" s="92">
        <f t="shared" ref="J131:J139" si="48">F131/F$139</f>
        <v>0.89612430369186447</v>
      </c>
      <c r="L131" s="85">
        <f>SUMIFS('Census 2011_17'!$E$258:$E$299,'Census 2011_17'!$A$258:$A$299,'Census 2011_17'!$B$48,'Census 2011_17'!$C$258:$C$299,'Census 2011_17'!$C131)</f>
        <v>14012036.5</v>
      </c>
      <c r="M131" s="393">
        <f t="shared" ref="M131:M138" si="49">SUMIFS($E$95:$E$106,$C$95:$C$106,A131,$B$95:$B$106,B131)</f>
        <v>4115155.5606494844</v>
      </c>
      <c r="N131" s="409">
        <f>SUMPRODUCT('2017 end use splits'!$F$31:$M$33*('2017 end use splits'!$C$31:$C$33='Census 2011_17'!B131)*('2017 end use splits'!$F$19:$M$19='Census 2011_17'!C131))</f>
        <v>0.88344874604468449</v>
      </c>
      <c r="O131" s="85">
        <f>N131*M131</f>
        <v>3635529.0198345976</v>
      </c>
    </row>
    <row r="132" spans="1:19" ht="13" thickBot="1">
      <c r="A132" s="85" t="s">
        <v>12</v>
      </c>
      <c r="B132" s="98" t="s">
        <v>25</v>
      </c>
      <c r="C132" s="216" t="s">
        <v>43</v>
      </c>
      <c r="D132" s="242">
        <v>194467.00273354075</v>
      </c>
      <c r="E132" s="242">
        <v>21161.233659043472</v>
      </c>
      <c r="F132" s="93">
        <v>215628.23639258422</v>
      </c>
      <c r="G132" s="387"/>
      <c r="H132" s="92">
        <f t="shared" si="46"/>
        <v>5.7927832365501995E-2</v>
      </c>
      <c r="I132" s="92">
        <f t="shared" si="47"/>
        <v>0.23865318042983244</v>
      </c>
      <c r="J132" s="92">
        <f t="shared" si="48"/>
        <v>6.2578465768623623E-2</v>
      </c>
      <c r="L132" s="85">
        <f>SUMIFS('Census 2011_17'!$E$258:$E$299,'Census 2011_17'!$A$258:$A$299,'Census 2011_17'!$B$48,'Census 2011_17'!$C$258:$C$299,'Census 2011_17'!$C132)</f>
        <v>502216.2</v>
      </c>
      <c r="M132" s="393">
        <f t="shared" si="49"/>
        <v>4115155.5606494844</v>
      </c>
      <c r="N132" s="409">
        <f>SUMPRODUCT('2017 end use splits'!$F$31:$M$33*('2017 end use splits'!$C$31:$C$33='Census 2011_17'!B132)*('2017 end use splits'!$F$19:$M$19='Census 2011_17'!C132))</f>
        <v>7.9657898268542068E-2</v>
      </c>
      <c r="O132" s="85">
        <f t="shared" ref="O132:O138" si="50">N132*M132</f>
        <v>327804.64300944185</v>
      </c>
    </row>
    <row r="133" spans="1:19" ht="13" thickBot="1">
      <c r="A133" s="85" t="s">
        <v>12</v>
      </c>
      <c r="B133" s="98" t="s">
        <v>25</v>
      </c>
      <c r="C133" s="254" t="s">
        <v>17</v>
      </c>
      <c r="D133" s="242">
        <v>7763.0314699999999</v>
      </c>
      <c r="E133" s="242">
        <v>38895.196796917655</v>
      </c>
      <c r="F133" s="93">
        <v>46658.228266917657</v>
      </c>
      <c r="G133" s="387"/>
      <c r="H133" s="92">
        <f t="shared" si="46"/>
        <v>2.312451877804949E-3</v>
      </c>
      <c r="I133" s="92">
        <f t="shared" si="47"/>
        <v>0.4386541242628203</v>
      </c>
      <c r="J133" s="92">
        <f t="shared" si="48"/>
        <v>1.354089978786447E-2</v>
      </c>
      <c r="L133" s="85">
        <f>SUMIFS('Census 2011_17'!$E$258:$E$299,'Census 2011_17'!$A$258:$A$299,'Census 2011_17'!$B$48,'Census 2011_17'!$C$258:$C$299,'Census 2011_17'!$C133)</f>
        <v>908943</v>
      </c>
      <c r="M133" s="393">
        <f t="shared" si="49"/>
        <v>4115155.5606494844</v>
      </c>
      <c r="N133" s="409">
        <f>SUMPRODUCT('2017 end use splits'!$F$31:$M$33*('2017 end use splits'!$C$31:$C$33='Census 2011_17'!B133)*('2017 end use splits'!$F$19:$M$19='Census 2011_17'!C133))</f>
        <v>1.268245665601642E-2</v>
      </c>
      <c r="O133" s="85">
        <f t="shared" si="50"/>
        <v>52190.282030702037</v>
      </c>
    </row>
    <row r="134" spans="1:19" ht="13" thickBot="1">
      <c r="A134" s="85" t="s">
        <v>12</v>
      </c>
      <c r="B134" s="98" t="s">
        <v>25</v>
      </c>
      <c r="C134" s="254" t="s">
        <v>7</v>
      </c>
      <c r="D134" s="242">
        <v>41227.469364778561</v>
      </c>
      <c r="E134" s="242">
        <v>24491.233262301277</v>
      </c>
      <c r="F134" s="93">
        <v>65718.702627079838</v>
      </c>
      <c r="G134" s="387"/>
      <c r="H134" s="92">
        <f t="shared" si="46"/>
        <v>1.2280838911725834E-2</v>
      </c>
      <c r="I134" s="92">
        <f t="shared" si="47"/>
        <v>0.27620841038250232</v>
      </c>
      <c r="J134" s="92">
        <f t="shared" si="48"/>
        <v>1.9072528030232076E-2</v>
      </c>
      <c r="L134" s="85">
        <f>SUMIFS('Census 2011_17'!$E$258:$E$299,'Census 2011_17'!$A$258:$A$299,'Census 2011_17'!$B$48,'Census 2011_17'!$C$258:$C$299,'Census 2011_17'!$C134)</f>
        <v>1353990.6</v>
      </c>
      <c r="M134" s="393">
        <f t="shared" si="49"/>
        <v>4115155.5606494844</v>
      </c>
      <c r="N134" s="409">
        <f>SUMPRODUCT('2017 end use splits'!$F$31:$M$33*('2017 end use splits'!$C$31:$C$33='Census 2011_17'!B134)*('2017 end use splits'!$F$19:$M$19='Census 2011_17'!C134))</f>
        <v>1.8098970635704082E-2</v>
      </c>
      <c r="O134" s="85">
        <f t="shared" si="50"/>
        <v>74480.079653549386</v>
      </c>
    </row>
    <row r="135" spans="1:19" ht="13" thickBot="1">
      <c r="A135" s="85" t="s">
        <v>12</v>
      </c>
      <c r="B135" s="98" t="s">
        <v>25</v>
      </c>
      <c r="C135" s="254" t="s">
        <v>9</v>
      </c>
      <c r="D135" s="242">
        <v>6714.5568024505455</v>
      </c>
      <c r="E135" s="242">
        <v>1862.9327643628067</v>
      </c>
      <c r="F135" s="93">
        <v>8577.4895668133522</v>
      </c>
      <c r="G135" s="387"/>
      <c r="H135" s="92">
        <f t="shared" si="46"/>
        <v>2.0001322352561275E-3</v>
      </c>
      <c r="I135" s="92">
        <f t="shared" si="47"/>
        <v>2.1009872879132509E-2</v>
      </c>
      <c r="J135" s="92">
        <f t="shared" si="48"/>
        <v>2.4893128386965545E-3</v>
      </c>
      <c r="L135" s="85">
        <f>SUMIFS('Census 2011_17'!$E$258:$E$299,'Census 2011_17'!$A$258:$A$299,'Census 2011_17'!$B$48,'Census 2011_17'!$C$258:$C$299,'Census 2011_17'!$C135)</f>
        <v>48580.5</v>
      </c>
      <c r="M135" s="393">
        <f t="shared" si="49"/>
        <v>4115155.5606494844</v>
      </c>
      <c r="N135" s="409">
        <f>SUMPRODUCT('2017 end use splits'!$F$31:$M$33*('2017 end use splits'!$C$31:$C$33='Census 2011_17'!B135)*('2017 end use splits'!$F$19:$M$19='Census 2011_17'!C135))</f>
        <v>1.4818262422950381E-3</v>
      </c>
      <c r="O135" s="85">
        <f t="shared" si="50"/>
        <v>6097.9455008967561</v>
      </c>
    </row>
    <row r="136" spans="1:19" ht="13" thickBot="1">
      <c r="A136" s="85" t="s">
        <v>12</v>
      </c>
      <c r="B136" s="98" t="s">
        <v>25</v>
      </c>
      <c r="C136" s="254" t="s">
        <v>46</v>
      </c>
      <c r="D136" s="242">
        <v>1386.1529300000007</v>
      </c>
      <c r="E136" s="242">
        <v>724.32328345881842</v>
      </c>
      <c r="F136" s="93">
        <v>2110.4762134588191</v>
      </c>
      <c r="G136" s="387"/>
      <c r="H136" s="92">
        <f t="shared" si="46"/>
        <v>4.1290724613065802E-4</v>
      </c>
      <c r="I136" s="92">
        <f t="shared" si="47"/>
        <v>8.1688080214052973E-3</v>
      </c>
      <c r="J136" s="92">
        <f t="shared" si="48"/>
        <v>6.1249104332965361E-4</v>
      </c>
      <c r="L136" s="85">
        <f>SUMIFS('Census 2011_17'!$E$258:$E$299,'Census 2011_17'!$A$258:$A$299,'Census 2011_17'!$B$48,'Census 2011_17'!$C$258:$C$299,'Census 2011_17'!$C136)</f>
        <v>8490.6</v>
      </c>
      <c r="M136" s="393">
        <f t="shared" si="49"/>
        <v>4115155.5606494844</v>
      </c>
      <c r="N136" s="409">
        <f>SUMPRODUCT('2017 end use splits'!$F$31:$M$33*('2017 end use splits'!$C$31:$C$33='Census 2011_17'!B136)*('2017 end use splits'!$F$19:$M$19='Census 2011_17'!C136))</f>
        <v>1.4545271342366418E-4</v>
      </c>
      <c r="O136" s="85">
        <f t="shared" si="50"/>
        <v>598.56054245694759</v>
      </c>
    </row>
    <row r="137" spans="1:19" ht="13" thickBot="1">
      <c r="A137" s="85" t="s">
        <v>12</v>
      </c>
      <c r="B137" s="98" t="s">
        <v>25</v>
      </c>
      <c r="C137" s="254" t="s">
        <v>44</v>
      </c>
      <c r="D137" s="242">
        <v>5205.0879999999961</v>
      </c>
      <c r="E137" s="242">
        <v>1201.9050225828205</v>
      </c>
      <c r="F137" s="93">
        <v>6406.9930225828166</v>
      </c>
      <c r="G137" s="387"/>
      <c r="H137" s="92">
        <f t="shared" si="46"/>
        <v>1.5504916560308622E-3</v>
      </c>
      <c r="I137" s="92">
        <f t="shared" si="47"/>
        <v>1.3554902367017545E-2</v>
      </c>
      <c r="J137" s="92">
        <f t="shared" si="48"/>
        <v>1.85940301813505E-3</v>
      </c>
      <c r="L137" s="85">
        <f>SUMIFS('Census 2011_17'!$E$258:$E$299,'Census 2011_17'!$A$258:$A$299,'Census 2011_17'!$B$48,'Census 2011_17'!$C$258:$C$299,'Census 2011_17'!$C137)</f>
        <v>12039.7</v>
      </c>
      <c r="M137" s="393">
        <f t="shared" si="49"/>
        <v>4115155.5606494844</v>
      </c>
      <c r="N137" s="409">
        <f>SUMPRODUCT('2017 end use splits'!$F$31:$M$33*('2017 end use splits'!$C$31:$C$33='Census 2011_17'!B137)*('2017 end use splits'!$F$19:$M$19='Census 2011_17'!C137))</f>
        <v>1.2891632568946196E-3</v>
      </c>
      <c r="O137" s="85">
        <f t="shared" si="50"/>
        <v>5305.1073451948932</v>
      </c>
    </row>
    <row r="138" spans="1:19" ht="13" thickBot="1">
      <c r="A138" s="85" t="s">
        <v>12</v>
      </c>
      <c r="B138" s="98" t="s">
        <v>25</v>
      </c>
      <c r="C138" s="254" t="s">
        <v>41</v>
      </c>
      <c r="D138" s="242">
        <v>12494.472150011201</v>
      </c>
      <c r="E138" s="242">
        <v>332.57245519341814</v>
      </c>
      <c r="F138" s="93">
        <v>12827.044605204619</v>
      </c>
      <c r="G138" s="387"/>
      <c r="H138" s="92">
        <f t="shared" si="46"/>
        <v>3.7218534662819091E-3</v>
      </c>
      <c r="I138" s="92">
        <f t="shared" si="47"/>
        <v>3.7507016572896176E-3</v>
      </c>
      <c r="J138" s="92">
        <f t="shared" si="48"/>
        <v>3.7225958212540084E-3</v>
      </c>
      <c r="L138" s="85">
        <f>SUMIFS('Census 2011_17'!$E$258:$E$299,'Census 2011_17'!$A$258:$A$299,'Census 2011_17'!$B$48,'Census 2011_17'!$C$258:$C$299,'Census 2011_17'!$C138)</f>
        <v>19606.3</v>
      </c>
      <c r="M138" s="393">
        <f t="shared" si="49"/>
        <v>4115155.5606494844</v>
      </c>
      <c r="N138" s="409">
        <f>SUMPRODUCT('2017 end use splits'!$F$31:$M$33*('2017 end use splits'!$C$31:$C$33='Census 2011_17'!B138)*('2017 end use splits'!$F$19:$M$19='Census 2011_17'!C138))</f>
        <v>3.1954861824395947E-3</v>
      </c>
      <c r="O138" s="85">
        <f t="shared" si="50"/>
        <v>13149.922732644891</v>
      </c>
    </row>
    <row r="139" spans="1:19" ht="13" thickBot="1">
      <c r="A139" s="85" t="s">
        <v>12</v>
      </c>
      <c r="B139" s="98" t="s">
        <v>25</v>
      </c>
      <c r="C139" s="251" t="s">
        <v>410</v>
      </c>
      <c r="D139" s="93">
        <v>3357056.4406161434</v>
      </c>
      <c r="E139" s="93">
        <v>88669.397243860265</v>
      </c>
      <c r="F139" s="93">
        <v>3445725.8378600045</v>
      </c>
      <c r="G139" s="387"/>
      <c r="H139" s="94">
        <f t="shared" si="46"/>
        <v>1</v>
      </c>
      <c r="I139" s="94">
        <f t="shared" si="47"/>
        <v>1</v>
      </c>
      <c r="J139" s="94">
        <f t="shared" si="48"/>
        <v>1</v>
      </c>
      <c r="L139">
        <f>SUM(L131:L138)</f>
        <v>16865903.399999999</v>
      </c>
    </row>
    <row r="140" spans="1:19" ht="13" thickBot="1">
      <c r="A140" s="85" t="s">
        <v>310</v>
      </c>
      <c r="B140" s="99" t="s">
        <v>40</v>
      </c>
      <c r="C140" s="100"/>
      <c r="D140" s="101"/>
      <c r="E140" s="101"/>
      <c r="F140" s="103"/>
      <c r="G140" s="387"/>
      <c r="H140" s="101"/>
      <c r="I140" s="102"/>
      <c r="J140" s="103"/>
      <c r="L140"/>
    </row>
    <row r="141" spans="1:19" ht="13"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1">Q110</f>
        <v>2030</v>
      </c>
      <c r="R141" s="422">
        <f t="shared" si="51"/>
        <v>2040</v>
      </c>
      <c r="S141" s="422" t="e">
        <f t="shared" si="51"/>
        <v>#REF!</v>
      </c>
    </row>
    <row r="142" spans="1:19" ht="13" thickBot="1">
      <c r="A142" s="85" t="s">
        <v>13</v>
      </c>
      <c r="B142" s="211" t="s">
        <v>22</v>
      </c>
      <c r="C142" s="253" t="s">
        <v>42</v>
      </c>
      <c r="D142" s="242">
        <v>3081508.5867071724</v>
      </c>
      <c r="E142" s="243"/>
      <c r="F142" s="93">
        <v>3081508.5867071724</v>
      </c>
      <c r="G142" s="387"/>
      <c r="H142" s="92">
        <f t="shared" ref="H142:H150" si="52">D142/D$150</f>
        <v>0.72030293086478603</v>
      </c>
      <c r="I142" s="92">
        <f t="shared" ref="I142:I150" si="53">E142/E$150</f>
        <v>0</v>
      </c>
      <c r="J142" s="92">
        <f t="shared" ref="J142:J150" si="54">F142/F$150</f>
        <v>0.56955674095683095</v>
      </c>
      <c r="L142"/>
      <c r="M142" s="393">
        <f t="shared" ref="M142:M149" si="55">SUMIFS($E$95:$E$106,$C$95:$C$106,A142,$B$95:$B$106,B142)</f>
        <v>6727542.5670855464</v>
      </c>
      <c r="N142" s="409">
        <f>SUMPRODUCT('2017 end use splits'!$F$78:$M$80*('2017 end use splits'!$C$78:$C$80='Census 2011_17'!B142)*('2017 end use splits'!$F$19:$M$19='Census 2011_17'!C142))</f>
        <v>0.66556017381737187</v>
      </c>
      <c r="O142" s="85">
        <f>N142*M142</f>
        <v>4477584.4003132246</v>
      </c>
      <c r="P142" s="409">
        <f>$N142*(1+B$20)</f>
        <v>0.69487522225631004</v>
      </c>
      <c r="Q142" s="409">
        <f>$N142*(1+D$20)</f>
        <v>0.73830492364732925</v>
      </c>
      <c r="R142" s="409">
        <f>$N142*(1+F$20)</f>
        <v>0.78173462503834867</v>
      </c>
      <c r="S142" s="409" t="e">
        <f>$N142*(1+#REF!)</f>
        <v>#REF!</v>
      </c>
    </row>
    <row r="143" spans="1:19" ht="13" thickBot="1">
      <c r="A143" s="85" t="s">
        <v>13</v>
      </c>
      <c r="B143" s="211" t="s">
        <v>22</v>
      </c>
      <c r="C143" s="216" t="s">
        <v>43</v>
      </c>
      <c r="D143" s="242">
        <v>62628.608320861553</v>
      </c>
      <c r="E143" s="242">
        <v>31494.773135572344</v>
      </c>
      <c r="F143" s="93">
        <v>94123.381456433897</v>
      </c>
      <c r="G143" s="387"/>
      <c r="H143" s="92">
        <f t="shared" si="52"/>
        <v>1.4639443266229695E-2</v>
      </c>
      <c r="I143" s="92">
        <f t="shared" si="53"/>
        <v>2.7815119884306103E-2</v>
      </c>
      <c r="J143" s="92">
        <f t="shared" si="54"/>
        <v>1.7396870682566554E-2</v>
      </c>
      <c r="L143"/>
      <c r="M143" s="393">
        <f t="shared" si="55"/>
        <v>6727542.5670855464</v>
      </c>
      <c r="N143" s="409">
        <f>SUMPRODUCT('2017 end use splits'!$F$78:$M$80*('2017 end use splits'!$C$78:$C$80='Census 2011_17'!B143)*('2017 end use splits'!$F$19:$M$19='Census 2011_17'!C143))</f>
        <v>9.4841987391360467E-3</v>
      </c>
      <c r="O143" s="85">
        <f t="shared" ref="O143:O149" si="56">N143*M143</f>
        <v>63805.350732236824</v>
      </c>
      <c r="P143" s="424">
        <f>$N143-($N142*B$20)*$N143/(1-$N142)</f>
        <v>8.6528690837663989E-3</v>
      </c>
      <c r="Q143" s="424">
        <f>$N143-($N142*D$20)*$N143/(1-$N142)</f>
        <v>7.4212695943298886E-3</v>
      </c>
      <c r="R143" s="424">
        <f>$N143-($N142*F$20)*$N143/(1-$N142)</f>
        <v>6.1896701048933739E-3</v>
      </c>
      <c r="S143" s="424" t="e">
        <f>$N143-($N142*#REF!)*$N143/(1-$N142)</f>
        <v>#REF!</v>
      </c>
    </row>
    <row r="144" spans="1:19" ht="13" thickBot="1">
      <c r="A144" s="85" t="s">
        <v>13</v>
      </c>
      <c r="B144" s="211" t="s">
        <v>22</v>
      </c>
      <c r="C144" s="254" t="s">
        <v>17</v>
      </c>
      <c r="D144" s="242">
        <v>317013.56851814012</v>
      </c>
      <c r="E144" s="242">
        <v>368680.93067894573</v>
      </c>
      <c r="F144" s="93">
        <v>685694.49919708585</v>
      </c>
      <c r="G144" s="387"/>
      <c r="H144" s="92">
        <f t="shared" si="52"/>
        <v>7.4101952372466348E-2</v>
      </c>
      <c r="I144" s="92">
        <f t="shared" si="53"/>
        <v>0.32560654562422725</v>
      </c>
      <c r="J144" s="92">
        <f t="shared" si="54"/>
        <v>0.1267372500402611</v>
      </c>
      <c r="L144"/>
      <c r="M144" s="393">
        <f t="shared" si="55"/>
        <v>6727542.5670855464</v>
      </c>
      <c r="N144" s="409">
        <f>SUMPRODUCT('2017 end use splits'!$F$78:$M$80*('2017 end use splits'!$C$78:$C$80='Census 2011_17'!B144)*('2017 end use splits'!$F$19:$M$19='Census 2011_17'!C144))</f>
        <v>9.7789844966394687E-2</v>
      </c>
      <c r="O144" s="85">
        <f t="shared" si="56"/>
        <v>657885.34464011656</v>
      </c>
      <c r="P144" s="424">
        <f>$N144-($N142*B$20)*$N144/(1-$N142)</f>
        <v>8.9218156376708962E-2</v>
      </c>
      <c r="Q144" s="424">
        <f>$N144-($N142*D$20)*$N144/(1-$N142)</f>
        <v>7.6519358466063489E-2</v>
      </c>
      <c r="R144" s="424">
        <f>$N144-($N142*F$20)*$N144/(1-$N142)</f>
        <v>6.3820560555417988E-2</v>
      </c>
      <c r="S144" s="424" t="e">
        <f>$N144-($N142*#REF!)*$N144/(1-$N142)</f>
        <v>#REF!</v>
      </c>
    </row>
    <row r="145" spans="1:19" ht="13" thickBot="1">
      <c r="A145" s="85" t="s">
        <v>13</v>
      </c>
      <c r="B145" s="211" t="s">
        <v>22</v>
      </c>
      <c r="C145" s="254" t="s">
        <v>7</v>
      </c>
      <c r="D145" s="242">
        <v>707418.62578458106</v>
      </c>
      <c r="E145" s="242">
        <v>647643.26239992585</v>
      </c>
      <c r="F145" s="93">
        <v>1355061.8881845069</v>
      </c>
      <c r="G145" s="387"/>
      <c r="H145" s="92">
        <f t="shared" si="52"/>
        <v>0.16535917235443184</v>
      </c>
      <c r="I145" s="92">
        <f t="shared" si="53"/>
        <v>0.57197665493168781</v>
      </c>
      <c r="J145" s="92">
        <f t="shared" si="54"/>
        <v>0.25045675230582054</v>
      </c>
      <c r="L145">
        <f>O145/M111</f>
        <v>0.1598663320643357</v>
      </c>
      <c r="M145" s="393">
        <f t="shared" si="55"/>
        <v>6727542.5670855464</v>
      </c>
      <c r="N145" s="409">
        <f>SUMPRODUCT('2017 end use splits'!$F$78:$M$80*('2017 end use splits'!$C$78:$C$80='Census 2011_17'!B145)*('2017 end use splits'!$F$19:$M$19='Census 2011_17'!C145))</f>
        <v>0.18874419370051437</v>
      </c>
      <c r="O145" s="85">
        <f t="shared" si="56"/>
        <v>1269784.59741045</v>
      </c>
      <c r="P145" s="424">
        <f>$N145-($N142*B$20)*$N145/(1-$N142)</f>
        <v>0.17219997633246245</v>
      </c>
      <c r="Q145" s="424">
        <f>$N145-($N142*D$20)*$N145/(1-$N142)</f>
        <v>0.14769002467608933</v>
      </c>
      <c r="R145" s="424">
        <f>$N145-($N142*F$20)*$N145/(1-$N142)</f>
        <v>0.12318007301971615</v>
      </c>
      <c r="S145" s="424" t="e">
        <f>$N145-($N142*#REF!)*$N145/(1-$N142)</f>
        <v>#REF!</v>
      </c>
    </row>
    <row r="146" spans="1:19" ht="13" thickBot="1">
      <c r="A146" s="85" t="s">
        <v>13</v>
      </c>
      <c r="B146" s="211" t="s">
        <v>22</v>
      </c>
      <c r="C146" s="254" t="s">
        <v>9</v>
      </c>
      <c r="D146" s="242">
        <v>85193.125128337517</v>
      </c>
      <c r="E146" s="242">
        <v>66483.691339507684</v>
      </c>
      <c r="F146" s="93">
        <v>151676.8164678452</v>
      </c>
      <c r="G146" s="387"/>
      <c r="H146" s="92">
        <f t="shared" si="52"/>
        <v>1.991390125738543E-2</v>
      </c>
      <c r="I146" s="92">
        <f t="shared" si="53"/>
        <v>5.8716150676790833E-2</v>
      </c>
      <c r="J146" s="92">
        <f t="shared" si="54"/>
        <v>2.8034500257046523E-2</v>
      </c>
      <c r="L146"/>
      <c r="M146" s="393">
        <f t="shared" si="55"/>
        <v>6727542.5670855464</v>
      </c>
      <c r="N146" s="409">
        <f>SUMPRODUCT('2017 end use splits'!$F$78:$M$80*('2017 end use splits'!$C$78:$C$80='Census 2011_17'!B146)*('2017 end use splits'!$F$19:$M$19='Census 2011_17'!C146))</f>
        <v>1.5846203776191368E-2</v>
      </c>
      <c r="O146" s="85">
        <f t="shared" si="56"/>
        <v>106606.01043103916</v>
      </c>
      <c r="P146" s="424">
        <f>$N146-($N142*B$20)*$N146/(1-$N142)</f>
        <v>1.4457217791553682E-2</v>
      </c>
      <c r="Q146" s="424">
        <f>$N146-($N142*D$20)*$N146/(1-$N142)</f>
        <v>1.2399460777275636E-2</v>
      </c>
      <c r="R146" s="424">
        <f>$N146-($N142*F$20)*$N146/(1-$N142)</f>
        <v>1.0341703762997584E-2</v>
      </c>
      <c r="S146" s="424" t="e">
        <f>$N146-($N142*#REF!)*$N146/(1-$N142)</f>
        <v>#REF!</v>
      </c>
    </row>
    <row r="147" spans="1:19" ht="13" thickBot="1">
      <c r="A147" s="85" t="s">
        <v>13</v>
      </c>
      <c r="B147" s="211" t="s">
        <v>22</v>
      </c>
      <c r="C147" s="254" t="s">
        <v>46</v>
      </c>
      <c r="D147" s="242">
        <v>14645.409400000008</v>
      </c>
      <c r="E147" s="242">
        <v>13964.02620704125</v>
      </c>
      <c r="F147" s="93">
        <v>28609.435607041258</v>
      </c>
      <c r="G147" s="387"/>
      <c r="H147" s="92">
        <f t="shared" si="52"/>
        <v>3.4233658669785652E-3</v>
      </c>
      <c r="I147" s="92">
        <f t="shared" si="53"/>
        <v>1.2332556305279326E-2</v>
      </c>
      <c r="J147" s="92">
        <f t="shared" si="54"/>
        <v>5.2878959919994452E-3</v>
      </c>
      <c r="L147"/>
      <c r="M147" s="393">
        <f t="shared" si="55"/>
        <v>6727542.5670855464</v>
      </c>
      <c r="N147" s="409">
        <f>SUMPRODUCT('2017 end use splits'!$F$78:$M$80*('2017 end use splits'!$C$78:$C$80='Census 2011_17'!B147)*('2017 end use splits'!$F$19:$M$19='Census 2011_17'!C147))</f>
        <v>1.6347805945605598E-3</v>
      </c>
      <c r="O147" s="85">
        <f t="shared" si="56"/>
        <v>10998.056037751585</v>
      </c>
      <c r="P147" s="424">
        <f>$N147-($N142*B$20)*$N147/(1-$N142)</f>
        <v>1.4914852434548302E-3</v>
      </c>
      <c r="Q147" s="424">
        <f>$N147-($N142*D$20)*$N147/(1-$N142)</f>
        <v>1.2791958344093054E-3</v>
      </c>
      <c r="R147" s="424">
        <f>$N147-($N142*F$20)*$N147/(1-$N142)</f>
        <v>1.0669064253637803E-3</v>
      </c>
      <c r="S147" s="424" t="e">
        <f>$N147-($N142*#REF!)*$N147/(1-$N142)</f>
        <v>#REF!</v>
      </c>
    </row>
    <row r="148" spans="1:19" ht="13" thickBot="1">
      <c r="A148" s="85" t="s">
        <v>13</v>
      </c>
      <c r="B148" s="211" t="s">
        <v>22</v>
      </c>
      <c r="C148" s="254" t="s">
        <v>44</v>
      </c>
      <c r="D148" s="242">
        <v>9013.8614900172215</v>
      </c>
      <c r="E148" s="242">
        <v>3573.7073757321177</v>
      </c>
      <c r="F148" s="93">
        <v>12587.568865749339</v>
      </c>
      <c r="G148" s="387"/>
      <c r="H148" s="92">
        <f t="shared" si="52"/>
        <v>2.1069909970968439E-3</v>
      </c>
      <c r="I148" s="92">
        <f t="shared" si="53"/>
        <v>3.1561776507970834E-3</v>
      </c>
      <c r="J148" s="92">
        <f t="shared" si="54"/>
        <v>2.326566517021083E-3</v>
      </c>
      <c r="L148"/>
      <c r="M148" s="393">
        <f t="shared" si="55"/>
        <v>6727542.5670855464</v>
      </c>
      <c r="N148" s="409">
        <f>SUMPRODUCT('2017 end use splits'!$F$78:$M$80*('2017 end use splits'!$C$78:$C$80='Census 2011_17'!B148)*('2017 end use splits'!$F$19:$M$19='Census 2011_17'!C148))</f>
        <v>1.0710057208957518E-3</v>
      </c>
      <c r="O148" s="85">
        <f t="shared" si="56"/>
        <v>7205.2365769183125</v>
      </c>
      <c r="P148" s="424">
        <f>$N148-($N142*B$20)*$N148/(1-$N142)</f>
        <v>9.7712759356622129E-4</v>
      </c>
      <c r="Q148" s="424">
        <f>$N148-($N142*D$20)*$N148/(1-$N142)</f>
        <v>8.3804888641136172E-4</v>
      </c>
      <c r="R148" s="424">
        <f>$N148-($N142*F$20)*$N148/(1-$N142)</f>
        <v>6.9897017925650182E-4</v>
      </c>
      <c r="S148" s="424" t="e">
        <f>$N148-($N142*#REF!)*$N148/(1-$N142)</f>
        <v>#REF!</v>
      </c>
    </row>
    <row r="149" spans="1:19" ht="13" thickBot="1">
      <c r="A149" s="85" t="s">
        <v>13</v>
      </c>
      <c r="B149" s="211" t="s">
        <v>22</v>
      </c>
      <c r="C149" s="254" t="s">
        <v>41</v>
      </c>
      <c r="D149" s="242">
        <v>651.30676999999969</v>
      </c>
      <c r="E149" s="242">
        <v>449.28679999999986</v>
      </c>
      <c r="F149" s="93">
        <v>1100.5935699999995</v>
      </c>
      <c r="G149" s="387"/>
      <c r="H149" s="92">
        <f t="shared" si="52"/>
        <v>1.5224302062529277E-4</v>
      </c>
      <c r="I149" s="92">
        <f t="shared" si="53"/>
        <v>3.9679492691189859E-4</v>
      </c>
      <c r="J149" s="92">
        <f t="shared" si="54"/>
        <v>2.0342324845412202E-4</v>
      </c>
      <c r="L149"/>
      <c r="M149" s="393">
        <f t="shared" si="55"/>
        <v>6727542.5670855464</v>
      </c>
      <c r="N149" s="409">
        <f>SUMPRODUCT('2017 end use splits'!$F$78:$M$80*('2017 end use splits'!$C$78:$C$80='Census 2011_17'!B149)*('2017 end use splits'!$F$19:$M$19='Census 2011_17'!C149))</f>
        <v>1.9869598684935322E-2</v>
      </c>
      <c r="O149" s="85">
        <f t="shared" si="56"/>
        <v>133673.57094380938</v>
      </c>
      <c r="P149" s="424">
        <f>$N149-($N142*B$20)*$N149/(1-$N142)</f>
        <v>1.8127945322177427E-2</v>
      </c>
      <c r="Q149" s="424">
        <f>$N149-($N142*D$20)*$N149/(1-$N142)</f>
        <v>1.5547718118091663E-2</v>
      </c>
      <c r="R149" s="424">
        <f>$N149-($N142*F$20)*$N149/(1-$N142)</f>
        <v>1.2967490914005897E-2</v>
      </c>
      <c r="S149" s="424" t="e">
        <f>$N149-($N142*#REF!)*$N149/(1-$N142)</f>
        <v>#REF!</v>
      </c>
    </row>
    <row r="150" spans="1:19" ht="13" thickBot="1">
      <c r="A150" s="85" t="s">
        <v>13</v>
      </c>
      <c r="B150" s="211" t="s">
        <v>22</v>
      </c>
      <c r="C150" s="251" t="s">
        <v>410</v>
      </c>
      <c r="D150" s="93">
        <v>4278073.0921191098</v>
      </c>
      <c r="E150" s="93">
        <v>1132289.6779367246</v>
      </c>
      <c r="F150" s="105">
        <v>5410362.7700558333</v>
      </c>
      <c r="G150" s="387"/>
      <c r="H150" s="94">
        <f t="shared" si="52"/>
        <v>1</v>
      </c>
      <c r="I150" s="94">
        <f t="shared" si="53"/>
        <v>1</v>
      </c>
      <c r="J150" s="94">
        <f t="shared" si="54"/>
        <v>1</v>
      </c>
      <c r="K150" s="85">
        <f>F150/F119</f>
        <v>0.85666598097831259</v>
      </c>
      <c r="L150"/>
      <c r="O150" s="85">
        <f>SUM(O142:O149)</f>
        <v>6727542.5670855464</v>
      </c>
      <c r="P150" s="423">
        <f>SUM(P142:P149)</f>
        <v>1</v>
      </c>
      <c r="Q150" s="423">
        <f t="shared" ref="Q150" si="57">SUM(Q142:Q149)</f>
        <v>0.99999999999999989</v>
      </c>
      <c r="R150" s="423">
        <f t="shared" ref="R150" si="58">SUM(R142:R149)</f>
        <v>0.99999999999999978</v>
      </c>
      <c r="S150" s="423" t="e">
        <f t="shared" ref="S150" si="59">SUM(S142:S149)</f>
        <v>#REF!</v>
      </c>
    </row>
    <row r="151" spans="1:19" ht="13" thickBot="1">
      <c r="A151" s="85" t="s">
        <v>13</v>
      </c>
      <c r="B151" s="250" t="s">
        <v>283</v>
      </c>
      <c r="C151" s="255"/>
      <c r="D151" s="89" t="s">
        <v>34</v>
      </c>
      <c r="E151" s="89" t="s">
        <v>33</v>
      </c>
      <c r="F151" s="89" t="s">
        <v>27</v>
      </c>
      <c r="G151" s="387"/>
      <c r="H151" s="89" t="s">
        <v>34</v>
      </c>
      <c r="I151" s="90" t="s">
        <v>33</v>
      </c>
      <c r="J151" s="89" t="s">
        <v>27</v>
      </c>
      <c r="L151"/>
    </row>
    <row r="152" spans="1:19" ht="13" thickBot="1">
      <c r="A152" s="85" t="s">
        <v>13</v>
      </c>
      <c r="B152" s="95" t="s">
        <v>24</v>
      </c>
      <c r="C152" s="253" t="s">
        <v>42</v>
      </c>
      <c r="D152" s="242">
        <v>2656996.5305898534</v>
      </c>
      <c r="E152" s="243"/>
      <c r="F152" s="93">
        <v>2656996.5305898534</v>
      </c>
      <c r="G152" s="387"/>
      <c r="H152" s="92">
        <f t="shared" ref="H152:H160" si="60">D152/D$160</f>
        <v>0.76412176254575648</v>
      </c>
      <c r="I152" s="92">
        <f t="shared" ref="I152:I160" si="61">E152/E$160</f>
        <v>0</v>
      </c>
      <c r="J152" s="92">
        <f t="shared" ref="J152:J160" si="62">F152/F$160</f>
        <v>0.66338957685980504</v>
      </c>
      <c r="L152"/>
      <c r="M152" s="393">
        <f t="shared" ref="M152:M159" si="63">SUMIFS($E$95:$E$106,$C$95:$C$106,A152,$B$95:$B$106,B152)</f>
        <v>4550984.6777343405</v>
      </c>
      <c r="N152" s="409">
        <f>SUMPRODUCT('2017 end use splits'!$F$78:$M$80*('2017 end use splits'!$C$78:$C$80='Census 2011_17'!B152)*('2017 end use splits'!$F$19:$M$19='Census 2011_17'!C152))</f>
        <v>0.74900598627878789</v>
      </c>
      <c r="O152" s="85">
        <f>N152*M152</f>
        <v>3408714.7670860616</v>
      </c>
      <c r="P152" s="409">
        <f>$N152*(1+B$21)</f>
        <v>0.77150831204682013</v>
      </c>
      <c r="Q152" s="409">
        <f>$N152*(1+D$21)</f>
        <v>0.81436988493831008</v>
      </c>
      <c r="R152" s="409">
        <f>$N152*(1+F$21)</f>
        <v>0.81436988493831008</v>
      </c>
      <c r="S152" s="409" t="e">
        <f>$N152*(1+#REF!)</f>
        <v>#REF!</v>
      </c>
    </row>
    <row r="153" spans="1:19" ht="13" thickBot="1">
      <c r="A153" s="85" t="s">
        <v>13</v>
      </c>
      <c r="B153" s="95" t="s">
        <v>24</v>
      </c>
      <c r="C153" s="216" t="s">
        <v>43</v>
      </c>
      <c r="D153" s="242">
        <v>53331.24894901544</v>
      </c>
      <c r="E153" s="242">
        <v>19583.217780920982</v>
      </c>
      <c r="F153" s="93">
        <v>72914.466729936423</v>
      </c>
      <c r="G153" s="387"/>
      <c r="H153" s="92">
        <f t="shared" si="60"/>
        <v>1.5337456212877083E-2</v>
      </c>
      <c r="I153" s="92">
        <f t="shared" si="61"/>
        <v>3.708993065405277E-2</v>
      </c>
      <c r="J153" s="92">
        <f t="shared" si="62"/>
        <v>1.8205028374723757E-2</v>
      </c>
      <c r="L153"/>
      <c r="M153" s="393">
        <f t="shared" si="63"/>
        <v>4550984.6777343405</v>
      </c>
      <c r="N153" s="409">
        <f>SUMPRODUCT('2017 end use splits'!$F$78:$M$80*('2017 end use splits'!$C$78:$C$80='Census 2011_17'!B153)*('2017 end use splits'!$F$19:$M$19='Census 2011_17'!C153))</f>
        <v>9.5893061850520281E-3</v>
      </c>
      <c r="O153" s="85">
        <f t="shared" ref="O153:O159" si="64">N153*M153</f>
        <v>43640.785518274919</v>
      </c>
      <c r="P153" s="424">
        <f>$N153-($N152*B$21)*$N153/(1-$N152)</f>
        <v>8.7295976666443998E-3</v>
      </c>
      <c r="Q153" s="424">
        <f>$N153-($N152*D$21)*$N153/(1-$N152)</f>
        <v>7.0920576315822523E-3</v>
      </c>
      <c r="R153" s="424">
        <f>$N153-($N152*F$21)*$N153/(1-$N152)</f>
        <v>7.0920576315822523E-3</v>
      </c>
      <c r="S153" s="424" t="e">
        <f>$N153-($N152*#REF!)*$N153/(1-$N152)</f>
        <v>#REF!</v>
      </c>
    </row>
    <row r="154" spans="1:19" ht="13" thickBot="1">
      <c r="A154" s="85" t="s">
        <v>13</v>
      </c>
      <c r="B154" s="95" t="s">
        <v>24</v>
      </c>
      <c r="C154" s="254" t="s">
        <v>17</v>
      </c>
      <c r="D154" s="242">
        <v>247371.6675775809</v>
      </c>
      <c r="E154" s="242">
        <v>167593.45760659792</v>
      </c>
      <c r="F154" s="93">
        <v>414965.12518417882</v>
      </c>
      <c r="G154" s="387"/>
      <c r="H154" s="92">
        <f t="shared" si="60"/>
        <v>7.1141257603110672E-2</v>
      </c>
      <c r="I154" s="92">
        <f t="shared" si="61"/>
        <v>0.31741615653979188</v>
      </c>
      <c r="J154" s="92">
        <f t="shared" si="62"/>
        <v>0.10360703735898198</v>
      </c>
      <c r="L154"/>
      <c r="M154" s="393">
        <f t="shared" si="63"/>
        <v>4550984.6777343405</v>
      </c>
      <c r="N154" s="409">
        <f>SUMPRODUCT('2017 end use splits'!$F$78:$M$80*('2017 end use splits'!$C$78:$C$80='Census 2011_17'!B154)*('2017 end use splits'!$F$19:$M$19='Census 2011_17'!C154))</f>
        <v>7.7240494984722227E-2</v>
      </c>
      <c r="O154" s="85">
        <f t="shared" si="64"/>
        <v>351520.30917608703</v>
      </c>
      <c r="P154" s="424">
        <f>$N154-($N152*B$21)*$N154/(1-$N152)</f>
        <v>7.0315665364837993E-2</v>
      </c>
      <c r="Q154" s="424">
        <f>$N154-($N152*D$21)*$N154/(1-$N152)</f>
        <v>5.7125513707915646E-2</v>
      </c>
      <c r="R154" s="424">
        <f>$N154-($N152*F$21)*$N154/(1-$N152)</f>
        <v>5.7125513707915646E-2</v>
      </c>
      <c r="S154" s="424" t="e">
        <f>$N154-($N152*#REF!)*$N154/(1-$N152)</f>
        <v>#REF!</v>
      </c>
    </row>
    <row r="155" spans="1:19" ht="13" thickBot="1">
      <c r="A155" s="85" t="s">
        <v>13</v>
      </c>
      <c r="B155" s="95" t="s">
        <v>24</v>
      </c>
      <c r="C155" s="254" t="s">
        <v>7</v>
      </c>
      <c r="D155" s="242">
        <v>428214.74790157954</v>
      </c>
      <c r="E155" s="242">
        <v>293921.69641095906</v>
      </c>
      <c r="F155" s="93">
        <v>722136.4443125386</v>
      </c>
      <c r="G155" s="387"/>
      <c r="H155" s="92">
        <f t="shared" si="60"/>
        <v>0.12314965569112034</v>
      </c>
      <c r="I155" s="92">
        <f t="shared" si="61"/>
        <v>0.55667742960122124</v>
      </c>
      <c r="J155" s="92">
        <f t="shared" si="62"/>
        <v>0.18030049520658889</v>
      </c>
      <c r="L155">
        <f>O155/M121</f>
        <v>0.11119557383959731</v>
      </c>
      <c r="M155" s="393">
        <f t="shared" si="63"/>
        <v>4550984.6777343405</v>
      </c>
      <c r="N155" s="409">
        <f>SUMPRODUCT('2017 end use splits'!$F$78:$M$80*('2017 end use splits'!$C$78:$C$80='Census 2011_17'!B155)*('2017 end use splits'!$F$19:$M$19='Census 2011_17'!C155))</f>
        <v>0.13128166923211018</v>
      </c>
      <c r="O155" s="85">
        <f t="shared" si="64"/>
        <v>597460.86514272122</v>
      </c>
      <c r="P155" s="424">
        <f>$N155-($N152*B$21)*$N155/(1-$N152)</f>
        <v>0.11951189494692237</v>
      </c>
      <c r="Q155" s="424">
        <f>$N155-($N152*D$21)*$N155/(1-$N152)</f>
        <v>9.7093277260850375E-2</v>
      </c>
      <c r="R155" s="424">
        <f>$N155-($N152*F$21)*$N155/(1-$N152)</f>
        <v>9.7093277260850375E-2</v>
      </c>
      <c r="S155" s="424" t="e">
        <f>$N155-($N152*#REF!)*$N155/(1-$N152)</f>
        <v>#REF!</v>
      </c>
    </row>
    <row r="156" spans="1:19" ht="13" thickBot="1">
      <c r="A156" s="85" t="s">
        <v>13</v>
      </c>
      <c r="B156" s="95" t="s">
        <v>24</v>
      </c>
      <c r="C156" s="254" t="s">
        <v>9</v>
      </c>
      <c r="D156" s="242">
        <v>73701.271611120595</v>
      </c>
      <c r="E156" s="242">
        <v>38040.597806355872</v>
      </c>
      <c r="F156" s="93">
        <v>111741.86941747647</v>
      </c>
      <c r="G156" s="387"/>
      <c r="H156" s="92">
        <f t="shared" si="60"/>
        <v>2.1195641363088522E-2</v>
      </c>
      <c r="I156" s="92">
        <f t="shared" si="61"/>
        <v>7.2047563912149726E-2</v>
      </c>
      <c r="J156" s="92">
        <f t="shared" si="62"/>
        <v>2.7899318127422169E-2</v>
      </c>
      <c r="L156"/>
      <c r="M156" s="393">
        <f t="shared" si="63"/>
        <v>4550984.6777343405</v>
      </c>
      <c r="N156" s="409">
        <f>SUMPRODUCT('2017 end use splits'!$F$78:$M$80*('2017 end use splits'!$C$78:$C$80='Census 2011_17'!B156)*('2017 end use splits'!$F$19:$M$19='Census 2011_17'!C156))</f>
        <v>1.5236749292213343E-2</v>
      </c>
      <c r="O156" s="85">
        <f t="shared" si="64"/>
        <v>69342.212567342474</v>
      </c>
      <c r="P156" s="424">
        <f>$N156-($N152*B$21)*$N156/(1-$N152)</f>
        <v>1.3870731469174549E-2</v>
      </c>
      <c r="Q156" s="424">
        <f>$N156-($N152*D$21)*$N156/(1-$N152)</f>
        <v>1.1268792758624467E-2</v>
      </c>
      <c r="R156" s="424">
        <f>$N156-($N152*F$21)*$N156/(1-$N152)</f>
        <v>1.1268792758624467E-2</v>
      </c>
      <c r="S156" s="424" t="e">
        <f>$N156-($N152*#REF!)*$N156/(1-$N152)</f>
        <v>#REF!</v>
      </c>
    </row>
    <row r="157" spans="1:19" ht="13" thickBot="1">
      <c r="A157" s="85" t="s">
        <v>13</v>
      </c>
      <c r="B157" s="95" t="s">
        <v>24</v>
      </c>
      <c r="C157" s="254" t="s">
        <v>46</v>
      </c>
      <c r="D157" s="242">
        <v>9339.2435200000036</v>
      </c>
      <c r="E157" s="242">
        <v>6422.9820594999037</v>
      </c>
      <c r="F157" s="93">
        <v>15762.225579499907</v>
      </c>
      <c r="G157" s="387"/>
      <c r="H157" s="92">
        <f t="shared" si="60"/>
        <v>2.6858594421130745E-3</v>
      </c>
      <c r="I157" s="92">
        <f t="shared" si="61"/>
        <v>1.2164903737687629E-2</v>
      </c>
      <c r="J157" s="92">
        <f t="shared" si="62"/>
        <v>3.9354572116177726E-3</v>
      </c>
      <c r="L157"/>
      <c r="M157" s="393">
        <f t="shared" si="63"/>
        <v>4550984.6777343405</v>
      </c>
      <c r="N157" s="409">
        <f>SUMPRODUCT('2017 end use splits'!$F$78:$M$80*('2017 end use splits'!$C$78:$C$80='Census 2011_17'!B157)*('2017 end use splits'!$F$19:$M$19='Census 2011_17'!C157))</f>
        <v>1.1755418076138282E-3</v>
      </c>
      <c r="O157" s="85">
        <f t="shared" si="64"/>
        <v>5349.8727544866624</v>
      </c>
      <c r="P157" s="424">
        <f>$N157-($N152*B$21)*$N157/(1-$N152)</f>
        <v>1.0701511478260234E-3</v>
      </c>
      <c r="Q157" s="424">
        <f>$N157-($N152*D$21)*$N157/(1-$N152)</f>
        <v>8.6940703394449098E-4</v>
      </c>
      <c r="R157" s="424">
        <f>$N157-($N152*F$21)*$N157/(1-$N152)</f>
        <v>8.6940703394449098E-4</v>
      </c>
      <c r="S157" s="424" t="e">
        <f>$N157-($N152*#REF!)*$N157/(1-$N152)</f>
        <v>#REF!</v>
      </c>
    </row>
    <row r="158" spans="1:19" ht="13" thickBot="1">
      <c r="A158" s="85" t="s">
        <v>13</v>
      </c>
      <c r="B158" s="95" t="s">
        <v>24</v>
      </c>
      <c r="C158" s="254" t="s">
        <v>44</v>
      </c>
      <c r="D158" s="242">
        <v>7773.7888474305737</v>
      </c>
      <c r="E158" s="242">
        <v>2240.5726533105872</v>
      </c>
      <c r="F158" s="93">
        <v>10014.361500741161</v>
      </c>
      <c r="G158" s="387"/>
      <c r="H158" s="92">
        <f t="shared" si="60"/>
        <v>2.2356526127787183E-3</v>
      </c>
      <c r="I158" s="92">
        <f t="shared" si="61"/>
        <v>4.2435663671993567E-3</v>
      </c>
      <c r="J158" s="92">
        <f t="shared" si="62"/>
        <v>2.5003506636205358E-3</v>
      </c>
      <c r="L158"/>
      <c r="M158" s="393">
        <f t="shared" si="63"/>
        <v>4550984.6777343405</v>
      </c>
      <c r="N158" s="409">
        <f>SUMPRODUCT('2017 end use splits'!$F$78:$M$80*('2017 end use splits'!$C$78:$C$80='Census 2011_17'!B158)*('2017 end use splits'!$F$19:$M$19='Census 2011_17'!C158))</f>
        <v>1.1120992628142184E-3</v>
      </c>
      <c r="O158" s="85">
        <f t="shared" si="64"/>
        <v>5061.1467051871632</v>
      </c>
      <c r="P158" s="424">
        <f>$N158-($N152*B$21)*$N158/(1-$N152)</f>
        <v>1.0123964072471928E-3</v>
      </c>
      <c r="Q158" s="424">
        <f>$N158-($N152*D$21)*$N158/(1-$N152)</f>
        <v>8.2248620616714421E-4</v>
      </c>
      <c r="R158" s="424">
        <f>$N158-($N152*F$21)*$N158/(1-$N152)</f>
        <v>8.2248620616714421E-4</v>
      </c>
      <c r="S158" s="424" t="e">
        <f>$N158-($N152*#REF!)*$N158/(1-$N152)</f>
        <v>#REF!</v>
      </c>
    </row>
    <row r="159" spans="1:19" ht="13" thickBot="1">
      <c r="A159" s="85" t="s">
        <v>13</v>
      </c>
      <c r="B159" s="95" t="s">
        <v>24</v>
      </c>
      <c r="C159" s="254" t="s">
        <v>41</v>
      </c>
      <c r="D159" s="242">
        <v>461.47362999999984</v>
      </c>
      <c r="E159" s="242">
        <v>190.31459000000018</v>
      </c>
      <c r="F159" s="93">
        <v>651.78822000000002</v>
      </c>
      <c r="G159" s="387"/>
      <c r="H159" s="92">
        <f t="shared" si="60"/>
        <v>1.3271452915510811E-4</v>
      </c>
      <c r="I159" s="92">
        <f t="shared" si="61"/>
        <v>3.6044918789758382E-4</v>
      </c>
      <c r="J159" s="92">
        <f t="shared" si="62"/>
        <v>1.6273619723997722E-4</v>
      </c>
      <c r="L159"/>
      <c r="M159" s="393">
        <f t="shared" si="63"/>
        <v>4550984.6777343405</v>
      </c>
      <c r="N159" s="409">
        <f>SUMPRODUCT('2017 end use splits'!$F$78:$M$80*('2017 end use splits'!$C$78:$C$80='Census 2011_17'!B159)*('2017 end use splits'!$F$19:$M$19='Census 2011_17'!C159))</f>
        <v>1.5358152956686117E-2</v>
      </c>
      <c r="O159" s="85">
        <f t="shared" si="64"/>
        <v>69894.718784178884</v>
      </c>
      <c r="P159" s="424">
        <f>$N159-($N152*B$21)*$N159/(1-$N152)</f>
        <v>1.3981250950527189E-2</v>
      </c>
      <c r="Q159" s="424">
        <f>$N159-($N152*D$21)*$N159/(1-$N152)</f>
        <v>1.1358580462605423E-2</v>
      </c>
      <c r="R159" s="424">
        <f>$N159-($N152*F$21)*$N159/(1-$N152)</f>
        <v>1.1358580462605423E-2</v>
      </c>
      <c r="S159" s="424" t="e">
        <f>$N159-($N152*#REF!)*$N159/(1-$N152)</f>
        <v>#REF!</v>
      </c>
    </row>
    <row r="160" spans="1:19" ht="13" thickBot="1">
      <c r="A160" s="85" t="s">
        <v>13</v>
      </c>
      <c r="B160" s="95" t="s">
        <v>24</v>
      </c>
      <c r="C160" s="251" t="s">
        <v>410</v>
      </c>
      <c r="D160" s="93">
        <v>3477189.9726265804</v>
      </c>
      <c r="E160" s="93">
        <v>527992.83890764427</v>
      </c>
      <c r="F160" s="105">
        <v>4005182.8115342241</v>
      </c>
      <c r="G160" s="387"/>
      <c r="H160" s="94">
        <f t="shared" si="60"/>
        <v>1</v>
      </c>
      <c r="I160" s="94">
        <f t="shared" si="61"/>
        <v>1</v>
      </c>
      <c r="J160" s="94">
        <f t="shared" si="62"/>
        <v>1</v>
      </c>
      <c r="K160" s="85">
        <f>F160/F129</f>
        <v>0.87186732798479827</v>
      </c>
      <c r="L160"/>
      <c r="P160" s="423">
        <f>SUM(P152:P159)</f>
        <v>0.99999999999999978</v>
      </c>
      <c r="Q160" s="423">
        <f t="shared" ref="Q160" si="65">SUM(Q152:Q159)</f>
        <v>0.99999999999999978</v>
      </c>
      <c r="R160" s="423">
        <f t="shared" ref="R160" si="66">SUM(R152:R159)</f>
        <v>0.99999999999999978</v>
      </c>
      <c r="S160" s="423" t="e">
        <f t="shared" ref="S160" si="67">SUM(S152:S159)</f>
        <v>#REF!</v>
      </c>
    </row>
    <row r="161" spans="1:19" ht="13" thickBot="1">
      <c r="A161" s="85" t="s">
        <v>13</v>
      </c>
      <c r="B161" s="252" t="s">
        <v>284</v>
      </c>
      <c r="C161" s="256"/>
      <c r="D161" s="89" t="s">
        <v>34</v>
      </c>
      <c r="E161" s="89" t="s">
        <v>33</v>
      </c>
      <c r="F161" s="89" t="s">
        <v>27</v>
      </c>
      <c r="G161" s="387"/>
      <c r="H161" s="89" t="s">
        <v>34</v>
      </c>
      <c r="I161" s="90" t="s">
        <v>33</v>
      </c>
      <c r="J161" s="89" t="s">
        <v>27</v>
      </c>
      <c r="L161"/>
    </row>
    <row r="162" spans="1:19" ht="13" thickBot="1">
      <c r="A162" s="85" t="s">
        <v>13</v>
      </c>
      <c r="B162" s="98" t="s">
        <v>25</v>
      </c>
      <c r="C162" s="253" t="s">
        <v>42</v>
      </c>
      <c r="D162" s="242">
        <v>2716677.6504021734</v>
      </c>
      <c r="E162" s="243"/>
      <c r="F162" s="93">
        <v>2716677.6504021734</v>
      </c>
      <c r="G162" s="387"/>
      <c r="H162" s="92">
        <f t="shared" ref="H162:H170" si="68">D162/D$170</f>
        <v>0.86520085934346214</v>
      </c>
      <c r="I162" s="92">
        <f t="shared" ref="I162:I170" si="69">E162/E$170</f>
        <v>0</v>
      </c>
      <c r="J162" s="92">
        <f t="shared" ref="J162:J170" si="70">F162/F$170</f>
        <v>0.84544349791843898</v>
      </c>
      <c r="L162"/>
      <c r="M162" s="393">
        <f t="shared" ref="M162:M169" si="71">SUMIFS($E$95:$E$106,$C$95:$C$106,A162,$B$95:$B$106,B162)</f>
        <v>3485536.7598701133</v>
      </c>
      <c r="N162" s="409">
        <f>SUMPRODUCT('2017 end use splits'!$F$78:$M$80*('2017 end use splits'!$C$78:$C$80='Census 2011_17'!B162)*('2017 end use splits'!$F$19:$M$19='Census 2011_17'!C162))</f>
        <v>0.8901468705982688</v>
      </c>
      <c r="O162" s="85">
        <f>N162*M162</f>
        <v>3102639.6391536109</v>
      </c>
    </row>
    <row r="163" spans="1:19" ht="13" thickBot="1">
      <c r="A163" s="85" t="s">
        <v>13</v>
      </c>
      <c r="B163" s="98" t="s">
        <v>25</v>
      </c>
      <c r="C163" s="216" t="s">
        <v>43</v>
      </c>
      <c r="D163" s="242">
        <v>181127.04626012294</v>
      </c>
      <c r="E163" s="242">
        <v>8897.3064635065093</v>
      </c>
      <c r="F163" s="93">
        <v>190024.35272362945</v>
      </c>
      <c r="G163" s="387"/>
      <c r="H163" s="92">
        <f t="shared" si="68"/>
        <v>5.768489907199776E-2</v>
      </c>
      <c r="I163" s="92">
        <f t="shared" si="69"/>
        <v>0.12125314893013638</v>
      </c>
      <c r="J163" s="92">
        <f t="shared" si="70"/>
        <v>5.9136516779077337E-2</v>
      </c>
      <c r="L163"/>
      <c r="M163" s="393">
        <f t="shared" si="71"/>
        <v>3485536.7598701133</v>
      </c>
      <c r="N163" s="409">
        <f>SUMPRODUCT('2017 end use splits'!$F$78:$M$80*('2017 end use splits'!$C$78:$C$80='Census 2011_17'!B163)*('2017 end use splits'!$F$19:$M$19='Census 2011_17'!C163))</f>
        <v>2.9047716806345141E-2</v>
      </c>
      <c r="O163" s="85">
        <f t="shared" ref="O163:O169" si="72">N163*M163</f>
        <v>101246.88471881289</v>
      </c>
    </row>
    <row r="164" spans="1:19" ht="13" thickBot="1">
      <c r="A164" s="85" t="s">
        <v>13</v>
      </c>
      <c r="B164" s="98" t="s">
        <v>25</v>
      </c>
      <c r="C164" s="254" t="s">
        <v>17</v>
      </c>
      <c r="D164" s="242">
        <v>104617.97237427889</v>
      </c>
      <c r="E164" s="242">
        <v>24945.347294456587</v>
      </c>
      <c r="F164" s="93">
        <v>129563.31966873548</v>
      </c>
      <c r="G164" s="387"/>
      <c r="H164" s="92">
        <f t="shared" si="68"/>
        <v>3.3318476186380404E-2</v>
      </c>
      <c r="I164" s="92">
        <f t="shared" si="69"/>
        <v>0.33995703340274253</v>
      </c>
      <c r="J164" s="92">
        <f t="shared" si="70"/>
        <v>4.0320744776784496E-2</v>
      </c>
      <c r="L164"/>
      <c r="M164" s="393">
        <f t="shared" si="71"/>
        <v>3485536.7598701133</v>
      </c>
      <c r="N164" s="409">
        <f>SUMPRODUCT('2017 end use splits'!$F$78:$M$80*('2017 end use splits'!$C$78:$C$80='Census 2011_17'!B164)*('2017 end use splits'!$F$19:$M$19='Census 2011_17'!C164))</f>
        <v>2.8031399071866404E-2</v>
      </c>
      <c r="O164" s="85">
        <f t="shared" si="72"/>
        <v>97704.471895579321</v>
      </c>
    </row>
    <row r="165" spans="1:19" ht="13" thickBot="1">
      <c r="A165" s="85" t="s">
        <v>13</v>
      </c>
      <c r="B165" s="98" t="s">
        <v>25</v>
      </c>
      <c r="C165" s="254" t="s">
        <v>7</v>
      </c>
      <c r="D165" s="242">
        <v>94991.018443639536</v>
      </c>
      <c r="E165" s="242">
        <v>31192.971959115821</v>
      </c>
      <c r="F165" s="93">
        <v>126183.99040275536</v>
      </c>
      <c r="G165" s="387"/>
      <c r="H165" s="92">
        <f t="shared" si="68"/>
        <v>3.0252507423978271E-2</v>
      </c>
      <c r="I165" s="92">
        <f t="shared" si="69"/>
        <v>0.42510012328401026</v>
      </c>
      <c r="J165" s="92">
        <f t="shared" si="70"/>
        <v>3.9269080824373567E-2</v>
      </c>
      <c r="L165">
        <f>O165/M138</f>
        <v>2.2584046145336573E-2</v>
      </c>
      <c r="M165" s="393">
        <f t="shared" si="71"/>
        <v>3485536.7598701133</v>
      </c>
      <c r="N165" s="409">
        <f>SUMPRODUCT('2017 end use splits'!$F$78:$M$80*('2017 end use splits'!$C$78:$C$80='Census 2011_17'!B165)*('2017 end use splits'!$F$19:$M$19='Census 2011_17'!C165))</f>
        <v>2.6663572780798787E-2</v>
      </c>
      <c r="O165" s="85">
        <f t="shared" si="72"/>
        <v>92936.863076946349</v>
      </c>
    </row>
    <row r="166" spans="1:19" ht="13" thickBot="1">
      <c r="A166" s="85" t="s">
        <v>13</v>
      </c>
      <c r="B166" s="98" t="s">
        <v>25</v>
      </c>
      <c r="C166" s="254" t="s">
        <v>9</v>
      </c>
      <c r="D166" s="242">
        <v>24780.785080541897</v>
      </c>
      <c r="E166" s="242">
        <v>5749.2185641364485</v>
      </c>
      <c r="F166" s="93">
        <v>30530.003644678345</v>
      </c>
      <c r="G166" s="387"/>
      <c r="H166" s="92">
        <f t="shared" si="68"/>
        <v>7.8921238755420581E-3</v>
      </c>
      <c r="I166" s="92">
        <f t="shared" si="69"/>
        <v>7.8350774770817991E-2</v>
      </c>
      <c r="J166" s="92">
        <f t="shared" si="70"/>
        <v>9.5010878706932589E-3</v>
      </c>
      <c r="L166"/>
      <c r="M166" s="393">
        <f t="shared" si="71"/>
        <v>3485536.7598701133</v>
      </c>
      <c r="N166" s="409">
        <f>SUMPRODUCT('2017 end use splits'!$F$78:$M$80*('2017 end use splits'!$C$78:$C$80='Census 2011_17'!B166)*('2017 end use splits'!$F$19:$M$19='Census 2011_17'!C166))</f>
        <v>4.8387424103580115E-3</v>
      </c>
      <c r="O166" s="85">
        <f t="shared" si="72"/>
        <v>16865.614542845367</v>
      </c>
    </row>
    <row r="167" spans="1:19" ht="13" thickBot="1">
      <c r="A167" s="85" t="s">
        <v>13</v>
      </c>
      <c r="B167" s="98" t="s">
        <v>25</v>
      </c>
      <c r="C167" s="254" t="s">
        <v>46</v>
      </c>
      <c r="D167" s="242">
        <v>3189.05645</v>
      </c>
      <c r="E167" s="242">
        <v>689.81220345881911</v>
      </c>
      <c r="F167" s="93">
        <v>3878.8686534588192</v>
      </c>
      <c r="G167" s="387"/>
      <c r="H167" s="92">
        <f t="shared" si="68"/>
        <v>1.0156429050853148E-3</v>
      </c>
      <c r="I167" s="92">
        <f t="shared" si="69"/>
        <v>9.4008116032516312E-3</v>
      </c>
      <c r="J167" s="92">
        <f t="shared" si="70"/>
        <v>1.2071230761812823E-3</v>
      </c>
      <c r="L167"/>
      <c r="M167" s="393">
        <f t="shared" si="71"/>
        <v>3485536.7598701133</v>
      </c>
      <c r="N167" s="409">
        <f>SUMPRODUCT('2017 end use splits'!$F$78:$M$80*('2017 end use splits'!$C$78:$C$80='Census 2011_17'!B167)*('2017 end use splits'!$F$19:$M$19='Census 2011_17'!C167))</f>
        <v>3.362442547209992E-4</v>
      </c>
      <c r="O167" s="85">
        <f t="shared" si="72"/>
        <v>1171.9917101251726</v>
      </c>
    </row>
    <row r="168" spans="1:19" ht="13" thickBot="1">
      <c r="A168" s="85" t="s">
        <v>13</v>
      </c>
      <c r="B168" s="98" t="s">
        <v>25</v>
      </c>
      <c r="C168" s="254" t="s">
        <v>44</v>
      </c>
      <c r="D168" s="242">
        <v>13916.041072552209</v>
      </c>
      <c r="E168" s="242">
        <v>1852.3167109572896</v>
      </c>
      <c r="F168" s="93">
        <v>15768.357783509498</v>
      </c>
      <c r="G168" s="387"/>
      <c r="H168" s="92">
        <f t="shared" si="68"/>
        <v>4.4319467540982179E-3</v>
      </c>
      <c r="I168" s="92">
        <f t="shared" si="69"/>
        <v>2.5243508801310641E-2</v>
      </c>
      <c r="J168" s="92">
        <f t="shared" si="70"/>
        <v>4.9071907956934726E-3</v>
      </c>
      <c r="L168"/>
      <c r="M168" s="393">
        <f t="shared" si="71"/>
        <v>3485536.7598701133</v>
      </c>
      <c r="N168" s="409">
        <f>SUMPRODUCT('2017 end use splits'!$F$78:$M$80*('2017 end use splits'!$C$78:$C$80='Census 2011_17'!B168)*('2017 end use splits'!$F$19:$M$19='Census 2011_17'!C168))</f>
        <v>2.0353355200111172E-3</v>
      </c>
      <c r="O168" s="85">
        <f t="shared" si="72"/>
        <v>7094.2367736681017</v>
      </c>
    </row>
    <row r="169" spans="1:19" ht="13" thickBot="1">
      <c r="A169" s="85" t="s">
        <v>13</v>
      </c>
      <c r="B169" s="98" t="s">
        <v>25</v>
      </c>
      <c r="C169" s="254" t="s">
        <v>41</v>
      </c>
      <c r="D169" s="242">
        <v>639.11705999999981</v>
      </c>
      <c r="E169" s="242">
        <v>50.9682600000001</v>
      </c>
      <c r="F169" s="93">
        <v>690.08531999999991</v>
      </c>
      <c r="G169" s="387"/>
      <c r="H169" s="92">
        <f t="shared" si="68"/>
        <v>2.0354443945574727E-4</v>
      </c>
      <c r="I169" s="92">
        <f t="shared" si="69"/>
        <v>6.9459920773081991E-4</v>
      </c>
      <c r="J169" s="92">
        <f t="shared" si="70"/>
        <v>2.1475795875767421E-4</v>
      </c>
      <c r="L169"/>
      <c r="M169" s="393">
        <f t="shared" si="71"/>
        <v>3485536.7598701133</v>
      </c>
      <c r="N169" s="409">
        <f>SUMPRODUCT('2017 end use splits'!$F$78:$M$80*('2017 end use splits'!$C$78:$C$80='Census 2011_17'!B169)*('2017 end use splits'!$F$19:$M$19='Census 2011_17'!C169))</f>
        <v>1.8900118557630886E-2</v>
      </c>
      <c r="O169" s="85">
        <f t="shared" si="72"/>
        <v>65877.057998525765</v>
      </c>
    </row>
    <row r="170" spans="1:19" ht="13" thickBot="1">
      <c r="A170" s="85" t="s">
        <v>13</v>
      </c>
      <c r="B170" s="98" t="s">
        <v>25</v>
      </c>
      <c r="C170" s="251" t="s">
        <v>410</v>
      </c>
      <c r="D170" s="93">
        <v>3139938.687143309</v>
      </c>
      <c r="E170" s="93">
        <v>73377.941455631459</v>
      </c>
      <c r="F170" s="105">
        <v>3213316.6285989401</v>
      </c>
      <c r="G170" s="388"/>
      <c r="H170" s="94">
        <f t="shared" si="68"/>
        <v>1</v>
      </c>
      <c r="I170" s="94">
        <f t="shared" si="69"/>
        <v>1</v>
      </c>
      <c r="J170" s="94">
        <f t="shared" si="70"/>
        <v>1</v>
      </c>
      <c r="K170" s="85">
        <f>F170/F139</f>
        <v>0.9325514506385093</v>
      </c>
      <c r="L170"/>
    </row>
    <row r="172" spans="1:19" ht="13" thickBot="1">
      <c r="C172" s="85" t="s">
        <v>414</v>
      </c>
      <c r="D172" s="219">
        <f>D150+D160+D170</f>
        <v>10895201.751889</v>
      </c>
      <c r="E172" s="219">
        <f>E150+E160+E170</f>
        <v>1733660.4583000005</v>
      </c>
    </row>
    <row r="173" spans="1:19" ht="13" thickBot="1">
      <c r="A173" s="85" t="s">
        <v>14</v>
      </c>
      <c r="B173" s="99" t="s">
        <v>856</v>
      </c>
      <c r="C173" s="100"/>
      <c r="D173" s="101"/>
      <c r="E173" s="101"/>
      <c r="F173" s="103"/>
    </row>
    <row r="174" spans="1:19" ht="13" thickBot="1">
      <c r="A174" s="85" t="s">
        <v>14</v>
      </c>
      <c r="B174" s="250" t="s">
        <v>282</v>
      </c>
      <c r="C174" s="104"/>
      <c r="D174" s="89" t="s">
        <v>34</v>
      </c>
      <c r="E174" s="89" t="s">
        <v>33</v>
      </c>
      <c r="F174" s="89" t="s">
        <v>27</v>
      </c>
      <c r="P174" s="422">
        <f>P141</f>
        <v>2020</v>
      </c>
      <c r="Q174" s="422">
        <f t="shared" ref="Q174:S174" si="73">Q141</f>
        <v>2030</v>
      </c>
      <c r="R174" s="422">
        <f t="shared" si="73"/>
        <v>2040</v>
      </c>
      <c r="S174" s="422" t="e">
        <f t="shared" si="73"/>
        <v>#REF!</v>
      </c>
    </row>
    <row r="175" spans="1:19" ht="13" thickBot="1">
      <c r="A175" s="85" t="s">
        <v>14</v>
      </c>
      <c r="B175" s="211" t="s">
        <v>22</v>
      </c>
      <c r="C175" s="253" t="s">
        <v>42</v>
      </c>
      <c r="D175" s="242">
        <v>3081508.5867071724</v>
      </c>
      <c r="E175" s="243"/>
      <c r="F175" s="93">
        <v>3081508.5867071724</v>
      </c>
      <c r="M175" s="393">
        <f t="shared" ref="M175:M182" si="74">SUMIFS($E$95:$E$106,$C$95:$C$106,A175,$B$95:$B$106,B175)</f>
        <v>7823647.4953710306</v>
      </c>
      <c r="N175" s="409">
        <f>SUMPRODUCT('2017 end use splits'!$F$63:$M$65*('2017 end use splits'!$C$63:$C$65='Census 2011_17'!B175)*('2017 end use splits'!$F$19:$M$19='Census 2011_17'!C175))</f>
        <v>0.67544928769343704</v>
      </c>
      <c r="O175" s="85">
        <f>N175*M175</f>
        <v>5284477.1279129051</v>
      </c>
      <c r="P175" s="409">
        <f>$N175*(1+B$20)</f>
        <v>0.70519990884796047</v>
      </c>
      <c r="Q175" s="409">
        <f>$N175*(1+D$20)</f>
        <v>0.74927490315095779</v>
      </c>
      <c r="R175" s="409">
        <f>$N175*(1+F$20)</f>
        <v>0.79334989745395534</v>
      </c>
      <c r="S175" s="409" t="e">
        <f>$N175*(1+#REF!)</f>
        <v>#REF!</v>
      </c>
    </row>
    <row r="176" spans="1:19" ht="13" thickBot="1">
      <c r="A176" s="85" t="s">
        <v>14</v>
      </c>
      <c r="B176" s="211" t="s">
        <v>22</v>
      </c>
      <c r="C176" s="216" t="s">
        <v>43</v>
      </c>
      <c r="D176" s="242">
        <v>62628.608320861553</v>
      </c>
      <c r="E176" s="242">
        <v>31494.773135572344</v>
      </c>
      <c r="F176" s="93">
        <v>94123.381456433897</v>
      </c>
      <c r="M176" s="393">
        <f t="shared" si="74"/>
        <v>7823647.4953710306</v>
      </c>
      <c r="N176" s="409">
        <f>SUMPRODUCT('2017 end use splits'!$F$63:$M$65*('2017 end use splits'!$C$63:$C$65='Census 2011_17'!B176)*('2017 end use splits'!$F$19:$M$19='Census 2011_17'!C176))</f>
        <v>2.9691392927339452E-2</v>
      </c>
      <c r="O176" s="85">
        <f t="shared" ref="O176:O182" si="75">N176*M176</f>
        <v>232294.99191005644</v>
      </c>
      <c r="P176" s="424">
        <f>$N176-($N175*B$20)*$N176/(1-$N175)</f>
        <v>2.6969669174975626E-2</v>
      </c>
      <c r="Q176" s="424">
        <f>$N176-($N175*D$20)*$N176/(1-$N175)</f>
        <v>2.2937485838140342E-2</v>
      </c>
      <c r="R176" s="424">
        <f>$N176-($N175*F$20)*$N176/(1-$N175)</f>
        <v>1.8905302501305048E-2</v>
      </c>
      <c r="S176" s="424" t="e">
        <f>$N176-($N175*#REF!)*$N176/(1-$N175)</f>
        <v>#REF!</v>
      </c>
    </row>
    <row r="177" spans="1:19" ht="13" thickBot="1">
      <c r="A177" s="85" t="s">
        <v>14</v>
      </c>
      <c r="B177" s="211" t="s">
        <v>22</v>
      </c>
      <c r="C177" s="254" t="s">
        <v>17</v>
      </c>
      <c r="D177" s="242">
        <v>317013.56851814012</v>
      </c>
      <c r="E177" s="242">
        <v>368680.93067894573</v>
      </c>
      <c r="F177" s="93">
        <v>685694.49919708585</v>
      </c>
      <c r="M177" s="393">
        <f t="shared" si="74"/>
        <v>7823647.4953710306</v>
      </c>
      <c r="N177" s="409">
        <f>SUMPRODUCT('2017 end use splits'!$F$63:$M$65*('2017 end use splits'!$C$63:$C$65='Census 2011_17'!B177)*('2017 end use splits'!$F$19:$M$19='Census 2011_17'!C177))</f>
        <v>0.10851858550916842</v>
      </c>
      <c r="O177" s="85">
        <f t="shared" si="75"/>
        <v>849011.15972001245</v>
      </c>
      <c r="P177" s="424">
        <f>$N177-($N175*B$20)*$N177/(1-$N175)</f>
        <v>9.8571001962784274E-2</v>
      </c>
      <c r="Q177" s="424">
        <f>$N177-($N175*D$20)*$N177/(1-$N175)</f>
        <v>8.3833841153326316E-2</v>
      </c>
      <c r="R177" s="424">
        <f>$N177-($N175*F$20)*$N177/(1-$N175)</f>
        <v>6.9096680343868344E-2</v>
      </c>
      <c r="S177" s="424" t="e">
        <f>$N177-($N175*#REF!)*$N177/(1-$N175)</f>
        <v>#REF!</v>
      </c>
    </row>
    <row r="178" spans="1:19" ht="13" thickBot="1">
      <c r="A178" s="85" t="s">
        <v>14</v>
      </c>
      <c r="B178" s="211" t="s">
        <v>22</v>
      </c>
      <c r="C178" s="254" t="s">
        <v>7</v>
      </c>
      <c r="D178" s="242">
        <v>707418.62578458106</v>
      </c>
      <c r="E178" s="242">
        <v>647643.26239992585</v>
      </c>
      <c r="F178" s="93">
        <v>1355061.8881845069</v>
      </c>
      <c r="L178" s="85">
        <f>O178/M111</f>
        <v>0.17442024075945192</v>
      </c>
      <c r="M178" s="393">
        <f t="shared" si="74"/>
        <v>7823647.4953710306</v>
      </c>
      <c r="N178" s="409">
        <f>SUMPRODUCT('2017 end use splits'!$F$63:$M$65*('2017 end use splits'!$C$63:$C$65='Census 2011_17'!B178)*('2017 end use splits'!$F$19:$M$19='Census 2011_17'!C178))</f>
        <v>0.17707638655781918</v>
      </c>
      <c r="O178" s="85">
        <f t="shared" si="75"/>
        <v>1385383.2281824346</v>
      </c>
      <c r="P178" s="424">
        <f>$N178-($N175*B$20)*$N178/(1-$N175)</f>
        <v>0.16084430851228571</v>
      </c>
      <c r="Q178" s="424">
        <f>$N178-($N175*D$20)*$N178/(1-$N175)</f>
        <v>0.1367967854818658</v>
      </c>
      <c r="R178" s="424">
        <f>$N178-($N175*F$20)*$N178/(1-$N175)</f>
        <v>0.11274926245144584</v>
      </c>
      <c r="S178" s="424" t="e">
        <f>$N178-($N175*#REF!)*$N178/(1-$N175)</f>
        <v>#REF!</v>
      </c>
    </row>
    <row r="179" spans="1:19" ht="13" thickBot="1">
      <c r="A179" s="85" t="s">
        <v>14</v>
      </c>
      <c r="B179" s="211" t="s">
        <v>22</v>
      </c>
      <c r="C179" s="254" t="s">
        <v>9</v>
      </c>
      <c r="D179" s="242">
        <v>85193.125128337517</v>
      </c>
      <c r="E179" s="242">
        <v>66483.691339507684</v>
      </c>
      <c r="F179" s="93">
        <v>151676.8164678452</v>
      </c>
      <c r="M179" s="393">
        <f t="shared" si="74"/>
        <v>7823647.4953710306</v>
      </c>
      <c r="N179" s="409">
        <f>SUMPRODUCT('2017 end use splits'!$F$63:$M$65*('2017 end use splits'!$C$63:$C$65='Census 2011_17'!B179)*('2017 end use splits'!$F$19:$M$19='Census 2011_17'!C179))</f>
        <v>5.3891904935701347E-3</v>
      </c>
      <c r="O179" s="85">
        <f t="shared" si="75"/>
        <v>42163.126707097355</v>
      </c>
      <c r="P179" s="424">
        <f>$N179-($N175*B$20)*$N179/(1-$N175)</f>
        <v>4.8951790536805239E-3</v>
      </c>
      <c r="Q179" s="424">
        <f>$N179-($N175*D$20)*$N179/(1-$N175)</f>
        <v>4.1633102538440664E-3</v>
      </c>
      <c r="R179" s="424">
        <f>$N179-($N175*F$20)*$N179/(1-$N175)</f>
        <v>3.4314414540076066E-3</v>
      </c>
      <c r="S179" s="424" t="e">
        <f>$N179-($N175*#REF!)*$N179/(1-$N175)</f>
        <v>#REF!</v>
      </c>
    </row>
    <row r="180" spans="1:19" ht="13" thickBot="1">
      <c r="A180" s="85" t="s">
        <v>14</v>
      </c>
      <c r="B180" s="211" t="s">
        <v>22</v>
      </c>
      <c r="C180" s="254" t="s">
        <v>46</v>
      </c>
      <c r="D180" s="242">
        <v>14645.409400000008</v>
      </c>
      <c r="E180" s="242">
        <v>13964.02620704125</v>
      </c>
      <c r="F180" s="93">
        <v>28609.435607041258</v>
      </c>
      <c r="M180" s="393">
        <f t="shared" si="74"/>
        <v>7823647.4953710306</v>
      </c>
      <c r="N180" s="409">
        <f>SUMPRODUCT('2017 end use splits'!$F$63:$M$65*('2017 end use splits'!$C$63:$C$65='Census 2011_17'!B180)*('2017 end use splits'!$F$19:$M$19='Census 2011_17'!C180))</f>
        <v>1.073769502513379E-3</v>
      </c>
      <c r="O180" s="85">
        <f t="shared" si="75"/>
        <v>8400.7940789445947</v>
      </c>
      <c r="P180" s="424">
        <f>$N180-($N175*B$20)*$N180/(1-$N175)</f>
        <v>9.7534017093211969E-4</v>
      </c>
      <c r="Q180" s="424">
        <f>$N180-($N175*D$20)*$N180/(1-$N175)</f>
        <v>8.2951893895988425E-4</v>
      </c>
      <c r="R180" s="424">
        <f>$N180-($N175*F$20)*$N180/(1-$N175)</f>
        <v>6.8369770698764826E-4</v>
      </c>
      <c r="S180" s="424" t="e">
        <f>$N180-($N175*#REF!)*$N180/(1-$N175)</f>
        <v>#REF!</v>
      </c>
    </row>
    <row r="181" spans="1:19" ht="13" thickBot="1">
      <c r="A181" s="85" t="s">
        <v>14</v>
      </c>
      <c r="B181" s="211" t="s">
        <v>22</v>
      </c>
      <c r="C181" s="254" t="s">
        <v>44</v>
      </c>
      <c r="D181" s="242">
        <v>9013.8614900172215</v>
      </c>
      <c r="E181" s="242">
        <v>3573.7073757321177</v>
      </c>
      <c r="F181" s="93">
        <v>12587.568865749339</v>
      </c>
      <c r="M181" s="393">
        <f t="shared" si="74"/>
        <v>7823647.4953710306</v>
      </c>
      <c r="N181" s="409">
        <f>SUMPRODUCT('2017 end use splits'!$F$63:$M$65*('2017 end use splits'!$C$63:$C$65='Census 2011_17'!B181)*('2017 end use splits'!$F$19:$M$19='Census 2011_17'!C181))</f>
        <v>8.7569293002261487E-4</v>
      </c>
      <c r="O181" s="85">
        <f t="shared" si="75"/>
        <v>6851.1127986855499</v>
      </c>
      <c r="P181" s="424">
        <f>$N181-($N175*B$20)*$N181/(1-$N175)</f>
        <v>7.9542070253728781E-4</v>
      </c>
      <c r="Q181" s="424">
        <f>$N181-($N175*D$20)*$N181/(1-$N175)</f>
        <v>6.7649888404050723E-4</v>
      </c>
      <c r="R181" s="424">
        <f>$N181-($N175*F$20)*$N181/(1-$N175)</f>
        <v>5.5757706554372655E-4</v>
      </c>
      <c r="S181" s="424" t="e">
        <f>$N181-($N175*#REF!)*$N181/(1-$N175)</f>
        <v>#REF!</v>
      </c>
    </row>
    <row r="182" spans="1:19" ht="13" thickBot="1">
      <c r="A182" s="85" t="s">
        <v>14</v>
      </c>
      <c r="B182" s="211" t="s">
        <v>22</v>
      </c>
      <c r="C182" s="254" t="s">
        <v>41</v>
      </c>
      <c r="D182" s="242">
        <v>651.30676999999969</v>
      </c>
      <c r="E182" s="242">
        <v>449.28679999999986</v>
      </c>
      <c r="F182" s="93">
        <v>1100.5935699999995</v>
      </c>
      <c r="M182" s="393">
        <f t="shared" si="74"/>
        <v>7823647.4953710306</v>
      </c>
      <c r="N182" s="409">
        <f>SUMPRODUCT('2017 end use splits'!$F$63:$M$65*('2017 end use splits'!$C$63:$C$65='Census 2011_17'!B182)*('2017 end use splits'!$F$19:$M$19='Census 2011_17'!C182))</f>
        <v>1.9256943861296625E-3</v>
      </c>
      <c r="O182" s="85">
        <f t="shared" si="75"/>
        <v>15065.954060893388</v>
      </c>
      <c r="P182" s="424">
        <f>$N182-($N175*B$20)*$N182/(1-$N175)</f>
        <v>1.7491715748439466E-3</v>
      </c>
      <c r="Q182" s="424">
        <f>$N182-($N175*D$20)*$N182/(1-$N175)</f>
        <v>1.4876562988651093E-3</v>
      </c>
      <c r="R182" s="424">
        <f>$N182-($N175*F$20)*$N182/(1-$N175)</f>
        <v>1.2261410228862715E-3</v>
      </c>
      <c r="S182" s="424" t="e">
        <f>$N182-($N175*#REF!)*$N182/(1-$N175)</f>
        <v>#REF!</v>
      </c>
    </row>
    <row r="183" spans="1:19" ht="13" thickBot="1">
      <c r="A183" s="85" t="s">
        <v>14</v>
      </c>
      <c r="B183" s="211" t="s">
        <v>22</v>
      </c>
      <c r="C183" s="251" t="s">
        <v>410</v>
      </c>
      <c r="D183" s="93">
        <v>4278073.0921191098</v>
      </c>
      <c r="E183" s="93">
        <v>1132289.6779367246</v>
      </c>
      <c r="F183" s="105">
        <v>5410362.7700558333</v>
      </c>
      <c r="P183" s="423">
        <f>SUM(P175:P182)</f>
        <v>1</v>
      </c>
      <c r="Q183" s="423">
        <f t="shared" ref="Q183" si="76">SUM(Q175:Q182)</f>
        <v>1</v>
      </c>
      <c r="R183" s="423">
        <f t="shared" ref="R183" si="77">SUM(R175:R182)</f>
        <v>0.99999999999999989</v>
      </c>
      <c r="S183" s="423" t="e">
        <f t="shared" ref="S183" si="78">SUM(S175:S182)</f>
        <v>#REF!</v>
      </c>
    </row>
    <row r="184" spans="1:19" ht="13" thickBot="1">
      <c r="A184" s="85" t="s">
        <v>14</v>
      </c>
      <c r="B184" s="250" t="s">
        <v>283</v>
      </c>
      <c r="C184" s="255"/>
      <c r="D184" s="89" t="s">
        <v>34</v>
      </c>
      <c r="E184" s="89" t="s">
        <v>33</v>
      </c>
      <c r="F184" s="89" t="s">
        <v>27</v>
      </c>
    </row>
    <row r="185" spans="1:19" ht="13" thickBot="1">
      <c r="A185" s="85" t="s">
        <v>14</v>
      </c>
      <c r="B185" s="95" t="s">
        <v>24</v>
      </c>
      <c r="C185" s="253" t="s">
        <v>42</v>
      </c>
      <c r="D185" s="242">
        <v>2656996.5305898534</v>
      </c>
      <c r="E185" s="243"/>
      <c r="F185" s="93">
        <v>2656996.5305898534</v>
      </c>
      <c r="M185" s="393">
        <f t="shared" ref="M185:M192" si="79">SUMIFS($E$95:$E$106,$C$95:$C$106,A185,$B$95:$B$106,B185)</f>
        <v>5292467.4233392272</v>
      </c>
      <c r="N185" s="409">
        <f>SUMPRODUCT('2017 end use splits'!$F$63:$M$65*('2017 end use splits'!$C$63:$C$65='Census 2011_17'!B185)*('2017 end use splits'!$F$19:$M$19='Census 2011_17'!C185))</f>
        <v>0.75193270909178012</v>
      </c>
      <c r="O185" s="85">
        <f>N185*M185</f>
        <v>3979579.3674114584</v>
      </c>
      <c r="P185" s="409">
        <f>$N185*(1+B$21)</f>
        <v>0.77452296215462324</v>
      </c>
      <c r="Q185" s="409">
        <f>$N185*(1+D$21)</f>
        <v>0.81755201560765789</v>
      </c>
      <c r="R185" s="409">
        <f>$N185*(1+F$21)</f>
        <v>0.81755201560765789</v>
      </c>
      <c r="S185" s="409" t="e">
        <f>$N185*(1+#REF!)</f>
        <v>#REF!</v>
      </c>
    </row>
    <row r="186" spans="1:19" ht="13" thickBot="1">
      <c r="A186" s="85" t="s">
        <v>14</v>
      </c>
      <c r="B186" s="95" t="s">
        <v>24</v>
      </c>
      <c r="C186" s="216" t="s">
        <v>43</v>
      </c>
      <c r="D186" s="242">
        <v>53331.24894901544</v>
      </c>
      <c r="E186" s="242">
        <v>19583.217780920982</v>
      </c>
      <c r="F186" s="93">
        <v>72914.466729936423</v>
      </c>
      <c r="M186" s="393">
        <f t="shared" si="79"/>
        <v>5292467.4233392272</v>
      </c>
      <c r="N186" s="409">
        <f>SUMPRODUCT('2017 end use splits'!$F$63:$M$65*('2017 end use splits'!$C$63:$C$65='Census 2011_17'!B186)*('2017 end use splits'!$F$19:$M$19='Census 2011_17'!C186))</f>
        <v>3.0119305668852608E-2</v>
      </c>
      <c r="O186" s="85">
        <f t="shared" ref="O186:O192" si="80">N186*M186</f>
        <v>159405.44406599895</v>
      </c>
      <c r="P186" s="424">
        <f>$N186-($N185*B$21)*$N186/(1-$N185)</f>
        <v>2.7376490464778632E-2</v>
      </c>
      <c r="Q186" s="424">
        <f>$N186-($N185*D$21)*$N186/(1-$N185)</f>
        <v>2.215208055225678E-2</v>
      </c>
      <c r="R186" s="424">
        <f>$N186-($N185*F$21)*$N186/(1-$N185)</f>
        <v>2.215208055225678E-2</v>
      </c>
      <c r="S186" s="424" t="e">
        <f>$N186-($N185*#REF!)*$N186/(1-$N185)</f>
        <v>#REF!</v>
      </c>
    </row>
    <row r="187" spans="1:19" ht="13" thickBot="1">
      <c r="A187" s="85" t="s">
        <v>14</v>
      </c>
      <c r="B187" s="95" t="s">
        <v>24</v>
      </c>
      <c r="C187" s="254" t="s">
        <v>17</v>
      </c>
      <c r="D187" s="242">
        <v>247371.6675775809</v>
      </c>
      <c r="E187" s="242">
        <v>167593.45760659792</v>
      </c>
      <c r="F187" s="93">
        <v>414965.12518417882</v>
      </c>
      <c r="M187" s="393">
        <f t="shared" si="79"/>
        <v>5292467.4233392272</v>
      </c>
      <c r="N187" s="409">
        <f>SUMPRODUCT('2017 end use splits'!$F$63:$M$65*('2017 end use splits'!$C$63:$C$65='Census 2011_17'!B187)*('2017 end use splits'!$F$19:$M$19='Census 2011_17'!C187))</f>
        <v>8.5996991587085028E-2</v>
      </c>
      <c r="O187" s="85">
        <f t="shared" si="80"/>
        <v>455136.27647982509</v>
      </c>
      <c r="P187" s="424">
        <f>$N187-($N185*B$21)*$N187/(1-$N185)</f>
        <v>7.8165673739887656E-2</v>
      </c>
      <c r="Q187" s="424">
        <f>$N187-($N185*D$21)*$N187/(1-$N185)</f>
        <v>6.3248877840464096E-2</v>
      </c>
      <c r="R187" s="424">
        <f>$N187-($N185*F$21)*$N187/(1-$N185)</f>
        <v>6.3248877840464096E-2</v>
      </c>
      <c r="S187" s="424" t="e">
        <f>$N187-($N185*#REF!)*$N187/(1-$N185)</f>
        <v>#REF!</v>
      </c>
    </row>
    <row r="188" spans="1:19" ht="13" thickBot="1">
      <c r="A188" s="85" t="s">
        <v>14</v>
      </c>
      <c r="B188" s="95" t="s">
        <v>24</v>
      </c>
      <c r="C188" s="254" t="s">
        <v>7</v>
      </c>
      <c r="D188" s="242">
        <v>428214.74790157954</v>
      </c>
      <c r="E188" s="242">
        <v>293921.69641095906</v>
      </c>
      <c r="F188" s="93">
        <v>722136.4443125386</v>
      </c>
      <c r="L188" s="85">
        <f>O188/M121</f>
        <v>0.12171811418749143</v>
      </c>
      <c r="M188" s="393">
        <f t="shared" si="79"/>
        <v>5292467.4233392272</v>
      </c>
      <c r="N188" s="409">
        <f>SUMPRODUCT('2017 end use splits'!$F$63:$M$65*('2017 end use splits'!$C$63:$C$65='Census 2011_17'!B188)*('2017 end use splits'!$F$19:$M$19='Census 2011_17'!C188))</f>
        <v>0.12357168953044814</v>
      </c>
      <c r="O188" s="85">
        <f t="shared" si="80"/>
        <v>653999.14128688583</v>
      </c>
      <c r="P188" s="424">
        <f>$N188-($N185*B$21)*$N188/(1-$N185)</f>
        <v>0.11231863102492869</v>
      </c>
      <c r="Q188" s="424">
        <f>$N188-($N185*D$21)*$N188/(1-$N185)</f>
        <v>9.0884233871558334E-2</v>
      </c>
      <c r="R188" s="424">
        <f>$N188-($N185*F$21)*$N188/(1-$N185)</f>
        <v>9.0884233871558334E-2</v>
      </c>
      <c r="S188" s="424" t="e">
        <f>$N188-($N185*#REF!)*$N188/(1-$N185)</f>
        <v>#REF!</v>
      </c>
    </row>
    <row r="189" spans="1:19" ht="13" thickBot="1">
      <c r="A189" s="85" t="s">
        <v>14</v>
      </c>
      <c r="B189" s="95" t="s">
        <v>24</v>
      </c>
      <c r="C189" s="254" t="s">
        <v>9</v>
      </c>
      <c r="D189" s="242">
        <v>73701.271611120595</v>
      </c>
      <c r="E189" s="242">
        <v>38040.597806355872</v>
      </c>
      <c r="F189" s="93">
        <v>111741.86941747647</v>
      </c>
      <c r="M189" s="393">
        <f t="shared" si="79"/>
        <v>5292467.4233392272</v>
      </c>
      <c r="N189" s="409">
        <f>SUMPRODUCT('2017 end use splits'!$F$63:$M$65*('2017 end use splits'!$C$63:$C$65='Census 2011_17'!B189)*('2017 end use splits'!$F$19:$M$19='Census 2011_17'!C189))</f>
        <v>5.1989837974589937E-3</v>
      </c>
      <c r="O189" s="85">
        <f t="shared" si="80"/>
        <v>27515.45238252019</v>
      </c>
      <c r="P189" s="424">
        <f>$N189-($N185*B$21)*$N189/(1-$N185)</f>
        <v>4.7255382286206862E-3</v>
      </c>
      <c r="Q189" s="424">
        <f>$N189-($N185*D$21)*$N189/(1-$N185)</f>
        <v>3.8237371451191491E-3</v>
      </c>
      <c r="R189" s="424">
        <f>$N189-($N185*F$21)*$N189/(1-$N185)</f>
        <v>3.8237371451191491E-3</v>
      </c>
      <c r="S189" s="424" t="e">
        <f>$N189-($N185*#REF!)*$N189/(1-$N185)</f>
        <v>#REF!</v>
      </c>
    </row>
    <row r="190" spans="1:19" ht="13" thickBot="1">
      <c r="A190" s="85" t="s">
        <v>14</v>
      </c>
      <c r="B190" s="95" t="s">
        <v>24</v>
      </c>
      <c r="C190" s="254" t="s">
        <v>46</v>
      </c>
      <c r="D190" s="242">
        <v>9339.2435200000036</v>
      </c>
      <c r="E190" s="242">
        <v>6422.9820594999037</v>
      </c>
      <c r="F190" s="93">
        <v>15762.225579499907</v>
      </c>
      <c r="M190" s="393">
        <f t="shared" si="79"/>
        <v>5292467.4233392272</v>
      </c>
      <c r="N190" s="409">
        <f>SUMPRODUCT('2017 end use splits'!$F$63:$M$65*('2017 end use splits'!$C$63:$C$65='Census 2011_17'!B190)*('2017 end use splits'!$F$19:$M$19='Census 2011_17'!C190))</f>
        <v>7.7467138468570679E-4</v>
      </c>
      <c r="O190" s="85">
        <f t="shared" si="80"/>
        <v>4099.9230672421936</v>
      </c>
      <c r="P190" s="424">
        <f>$N190-($N185*B$21)*$N190/(1-$N185)</f>
        <v>7.0412591874974056E-4</v>
      </c>
      <c r="Q190" s="424">
        <f>$N190-($N185*D$21)*$N190/(1-$N185)</f>
        <v>5.6975360268123358E-4</v>
      </c>
      <c r="R190" s="424">
        <f>$N190-($N185*F$21)*$N190/(1-$N185)</f>
        <v>5.6975360268123358E-4</v>
      </c>
      <c r="S190" s="424" t="e">
        <f>$N190-($N185*#REF!)*$N190/(1-$N185)</f>
        <v>#REF!</v>
      </c>
    </row>
    <row r="191" spans="1:19" ht="13" thickBot="1">
      <c r="A191" s="85" t="s">
        <v>14</v>
      </c>
      <c r="B191" s="95" t="s">
        <v>24</v>
      </c>
      <c r="C191" s="254" t="s">
        <v>44</v>
      </c>
      <c r="D191" s="242">
        <v>7773.7888474305737</v>
      </c>
      <c r="E191" s="242">
        <v>2240.5726533105872</v>
      </c>
      <c r="F191" s="93">
        <v>10014.361500741161</v>
      </c>
      <c r="M191" s="393">
        <f t="shared" si="79"/>
        <v>5292467.4233392272</v>
      </c>
      <c r="N191" s="409">
        <f>SUMPRODUCT('2017 end use splits'!$F$63:$M$65*('2017 end use splits'!$C$63:$C$65='Census 2011_17'!B191)*('2017 end use splits'!$F$19:$M$19='Census 2011_17'!C191))</f>
        <v>9.1228692253270908E-4</v>
      </c>
      <c r="O191" s="85">
        <f t="shared" si="80"/>
        <v>4828.2488182427596</v>
      </c>
      <c r="P191" s="424">
        <f>$N191-($N185*B$21)*$N191/(1-$N185)</f>
        <v>8.2920949474896643E-4</v>
      </c>
      <c r="Q191" s="424">
        <f>$N191-($N185*D$21)*$N191/(1-$N185)</f>
        <v>6.7096677516088551E-4</v>
      </c>
      <c r="R191" s="424">
        <f>$N191-($N185*F$21)*$N191/(1-$N185)</f>
        <v>6.7096677516088551E-4</v>
      </c>
      <c r="S191" s="424" t="e">
        <f>$N191-($N185*#REF!)*$N191/(1-$N185)</f>
        <v>#REF!</v>
      </c>
    </row>
    <row r="192" spans="1:19" ht="13" thickBot="1">
      <c r="A192" s="85" t="s">
        <v>14</v>
      </c>
      <c r="B192" s="95" t="s">
        <v>24</v>
      </c>
      <c r="C192" s="254" t="s">
        <v>41</v>
      </c>
      <c r="D192" s="242">
        <v>461.47362999999984</v>
      </c>
      <c r="E192" s="242">
        <v>190.31459000000018</v>
      </c>
      <c r="F192" s="93">
        <v>651.78822000000002</v>
      </c>
      <c r="M192" s="393">
        <f t="shared" si="79"/>
        <v>5292467.4233392272</v>
      </c>
      <c r="N192" s="409">
        <f>SUMPRODUCT('2017 end use splits'!$F$63:$M$65*('2017 end use splits'!$C$63:$C$65='Census 2011_17'!B192)*('2017 end use splits'!$F$19:$M$19='Census 2011_17'!C192))</f>
        <v>1.493362017156639E-3</v>
      </c>
      <c r="O192" s="85">
        <f t="shared" si="80"/>
        <v>7903.5698270536677</v>
      </c>
      <c r="P192" s="424">
        <f>$N192-($N185*B$21)*$N192/(1-$N185)</f>
        <v>1.3573689736622917E-3</v>
      </c>
      <c r="Q192" s="424">
        <f>$N192-($N185*D$21)*$N192/(1-$N185)</f>
        <v>1.0983346051016308E-3</v>
      </c>
      <c r="R192" s="424">
        <f>$N192-($N185*F$21)*$N192/(1-$N185)</f>
        <v>1.0983346051016308E-3</v>
      </c>
      <c r="S192" s="424" t="e">
        <f>$N192-($N185*#REF!)*$N192/(1-$N185)</f>
        <v>#REF!</v>
      </c>
    </row>
    <row r="193" spans="1:19" ht="13" thickBot="1">
      <c r="A193" s="85" t="s">
        <v>14</v>
      </c>
      <c r="B193" s="95" t="s">
        <v>24</v>
      </c>
      <c r="C193" s="251" t="s">
        <v>410</v>
      </c>
      <c r="D193" s="93">
        <v>3477189.9726265804</v>
      </c>
      <c r="E193" s="93">
        <v>527992.83890764427</v>
      </c>
      <c r="F193" s="105">
        <v>4005182.8115342241</v>
      </c>
      <c r="P193" s="423">
        <f>SUM(P185:P192)</f>
        <v>0.99999999999999989</v>
      </c>
      <c r="Q193" s="423">
        <f t="shared" ref="Q193" si="81">SUM(Q185:Q192)</f>
        <v>1</v>
      </c>
      <c r="R193" s="423">
        <f t="shared" ref="R193" si="82">SUM(R185:R192)</f>
        <v>1</v>
      </c>
      <c r="S193" s="423" t="e">
        <f t="shared" ref="S193" si="83">SUM(S185:S192)</f>
        <v>#REF!</v>
      </c>
    </row>
    <row r="194" spans="1:19" ht="13" thickBot="1">
      <c r="A194" s="85" t="s">
        <v>14</v>
      </c>
      <c r="B194" s="252" t="s">
        <v>284</v>
      </c>
      <c r="C194" s="256"/>
      <c r="D194" s="89" t="s">
        <v>34</v>
      </c>
      <c r="E194" s="89" t="s">
        <v>33</v>
      </c>
      <c r="F194" s="89" t="s">
        <v>27</v>
      </c>
    </row>
    <row r="195" spans="1:19" ht="13" thickBot="1">
      <c r="A195" s="85" t="s">
        <v>14</v>
      </c>
      <c r="B195" s="98" t="s">
        <v>25</v>
      </c>
      <c r="C195" s="253" t="s">
        <v>42</v>
      </c>
      <c r="D195" s="242">
        <v>2716677.6504021734</v>
      </c>
      <c r="E195" s="243"/>
      <c r="F195" s="93">
        <v>2716677.6504021734</v>
      </c>
      <c r="M195" s="393">
        <f t="shared" ref="M195:M202" si="84">SUMIFS($E$95:$E$106,$C$95:$C$106,A195,$B$95:$B$106,B195)</f>
        <v>4053428.2272397424</v>
      </c>
      <c r="N195" s="409">
        <f>SUMPRODUCT('2017 end use splits'!$F$63:$M$65*('2017 end use splits'!$C$63:$C$65='Census 2011_17'!B195)*('2017 end use splits'!$F$19:$M$19='Census 2011_17'!C195))</f>
        <v>0.8431960294087939</v>
      </c>
      <c r="O195" s="85">
        <f>N195*M195</f>
        <v>3417834.5867020772</v>
      </c>
    </row>
    <row r="196" spans="1:19" ht="13" thickBot="1">
      <c r="A196" s="85" t="s">
        <v>14</v>
      </c>
      <c r="B196" s="98" t="s">
        <v>25</v>
      </c>
      <c r="C196" s="216" t="s">
        <v>43</v>
      </c>
      <c r="D196" s="242">
        <v>181127.04626012294</v>
      </c>
      <c r="E196" s="242">
        <v>8897.3064635065093</v>
      </c>
      <c r="F196" s="93">
        <v>190024.35272362945</v>
      </c>
      <c r="G196" s="85">
        <f>F196/F203</f>
        <v>5.9136516779077337E-2</v>
      </c>
      <c r="M196" s="393">
        <f t="shared" si="84"/>
        <v>4053428.2272397424</v>
      </c>
      <c r="N196" s="409">
        <f>SUMPRODUCT('2017 end use splits'!$F$63:$M$65*('2017 end use splits'!$C$63:$C$65='Census 2011_17'!B196)*('2017 end use splits'!$F$19:$M$19='Census 2011_17'!C196))</f>
        <v>9.3551795540671639E-2</v>
      </c>
      <c r="O196" s="85">
        <f t="shared" ref="O196:O202" si="85">N196*M196</f>
        <v>379205.48875351949</v>
      </c>
    </row>
    <row r="197" spans="1:19" ht="13" thickBot="1">
      <c r="A197" s="85" t="s">
        <v>14</v>
      </c>
      <c r="B197" s="98" t="s">
        <v>25</v>
      </c>
      <c r="C197" s="254" t="s">
        <v>17</v>
      </c>
      <c r="D197" s="242">
        <v>104617.97237427889</v>
      </c>
      <c r="E197" s="242">
        <v>24945.347294456587</v>
      </c>
      <c r="F197" s="93">
        <v>129563.31966873548</v>
      </c>
      <c r="M197" s="393">
        <f t="shared" si="84"/>
        <v>4053428.2272397424</v>
      </c>
      <c r="N197" s="409">
        <f>SUMPRODUCT('2017 end use splits'!$F$63:$M$65*('2017 end use splits'!$C$63:$C$65='Census 2011_17'!B197)*('2017 end use splits'!$F$19:$M$19='Census 2011_17'!C197))</f>
        <v>3.2001131914356565E-2</v>
      </c>
      <c r="O197" s="85">
        <f t="shared" si="85"/>
        <v>129714.29140527548</v>
      </c>
    </row>
    <row r="198" spans="1:19" ht="13" thickBot="1">
      <c r="A198" s="85" t="s">
        <v>14</v>
      </c>
      <c r="B198" s="98" t="s">
        <v>25</v>
      </c>
      <c r="C198" s="254" t="s">
        <v>7</v>
      </c>
      <c r="D198" s="242">
        <v>94991.018443639536</v>
      </c>
      <c r="E198" s="242">
        <v>31192.971959115821</v>
      </c>
      <c r="F198" s="93">
        <v>126183.99040275536</v>
      </c>
      <c r="L198" s="85">
        <f>O198/M131</f>
        <v>2.5348474170376001E-2</v>
      </c>
      <c r="M198" s="393">
        <f t="shared" si="84"/>
        <v>4053428.2272397424</v>
      </c>
      <c r="N198" s="409">
        <f>SUMPRODUCT('2017 end use splits'!$F$63:$M$65*('2017 end use splits'!$C$63:$C$65='Census 2011_17'!B198)*('2017 end use splits'!$F$19:$M$19='Census 2011_17'!C198))</f>
        <v>2.5734491543528932E-2</v>
      </c>
      <c r="O198" s="85">
        <f t="shared" si="85"/>
        <v>104312.91443620263</v>
      </c>
    </row>
    <row r="199" spans="1:19" ht="13" thickBot="1">
      <c r="A199" s="85" t="s">
        <v>14</v>
      </c>
      <c r="B199" s="98" t="s">
        <v>25</v>
      </c>
      <c r="C199" s="254" t="s">
        <v>9</v>
      </c>
      <c r="D199" s="242">
        <v>24780.785080541897</v>
      </c>
      <c r="E199" s="242">
        <v>5749.2185641364485</v>
      </c>
      <c r="F199" s="93">
        <v>30530.003644678345</v>
      </c>
      <c r="M199" s="393">
        <f t="shared" si="84"/>
        <v>4053428.2272397424</v>
      </c>
      <c r="N199" s="409">
        <f>SUMPRODUCT('2017 end use splits'!$F$63:$M$65*('2017 end use splits'!$C$63:$C$65='Census 2011_17'!B199)*('2017 end use splits'!$F$19:$M$19='Census 2011_17'!C199))</f>
        <v>1.6929377947924036E-3</v>
      </c>
      <c r="O199" s="85">
        <f t="shared" si="85"/>
        <v>6862.201844372531</v>
      </c>
    </row>
    <row r="200" spans="1:19" ht="13" thickBot="1">
      <c r="A200" s="85" t="s">
        <v>14</v>
      </c>
      <c r="B200" s="98" t="s">
        <v>25</v>
      </c>
      <c r="C200" s="254" t="s">
        <v>46</v>
      </c>
      <c r="D200" s="242">
        <v>3189.05645</v>
      </c>
      <c r="E200" s="242">
        <v>689.81220345881911</v>
      </c>
      <c r="F200" s="93">
        <v>3878.8686534588192</v>
      </c>
      <c r="M200" s="393">
        <f t="shared" si="84"/>
        <v>4053428.2272397424</v>
      </c>
      <c r="N200" s="409">
        <f>SUMPRODUCT('2017 end use splits'!$F$63:$M$65*('2017 end use splits'!$C$63:$C$65='Census 2011_17'!B200)*('2017 end use splits'!$F$19:$M$19='Census 2011_17'!C200))</f>
        <v>2.2720436072253634E-4</v>
      </c>
      <c r="O200" s="85">
        <f t="shared" si="85"/>
        <v>920.95656910468949</v>
      </c>
    </row>
    <row r="201" spans="1:19" ht="13" thickBot="1">
      <c r="A201" s="85" t="s">
        <v>14</v>
      </c>
      <c r="B201" s="98" t="s">
        <v>25</v>
      </c>
      <c r="C201" s="254" t="s">
        <v>44</v>
      </c>
      <c r="D201" s="242">
        <v>13916.041072552209</v>
      </c>
      <c r="E201" s="242">
        <v>1852.3167109572896</v>
      </c>
      <c r="F201" s="93">
        <v>15768.357783509498</v>
      </c>
      <c r="M201" s="393">
        <f t="shared" si="84"/>
        <v>4053428.2272397424</v>
      </c>
      <c r="N201" s="409">
        <f>SUMPRODUCT('2017 end use splits'!$F$63:$M$65*('2017 end use splits'!$C$63:$C$65='Census 2011_17'!B201)*('2017 end use splits'!$F$19:$M$19='Census 2011_17'!C201))</f>
        <v>1.7120098680083093E-3</v>
      </c>
      <c r="O201" s="85">
        <f t="shared" si="85"/>
        <v>6939.5091242978669</v>
      </c>
    </row>
    <row r="202" spans="1:19" ht="13" thickBot="1">
      <c r="A202" s="85" t="s">
        <v>14</v>
      </c>
      <c r="B202" s="98" t="s">
        <v>25</v>
      </c>
      <c r="C202" s="254" t="s">
        <v>41</v>
      </c>
      <c r="D202" s="242">
        <v>639.11705999999981</v>
      </c>
      <c r="E202" s="242">
        <v>50.9682600000001</v>
      </c>
      <c r="F202" s="93">
        <v>690.08531999999991</v>
      </c>
      <c r="M202" s="393">
        <f t="shared" si="84"/>
        <v>4053428.2272397424</v>
      </c>
      <c r="N202" s="409">
        <f>SUMPRODUCT('2017 end use splits'!$F$63:$M$65*('2017 end use splits'!$C$63:$C$65='Census 2011_17'!B202)*('2017 end use splits'!$F$19:$M$19='Census 2011_17'!C202))</f>
        <v>1.8843995691257163E-3</v>
      </c>
      <c r="O202" s="85">
        <f t="shared" si="85"/>
        <v>7638.2784048925869</v>
      </c>
    </row>
    <row r="203" spans="1:19" ht="13"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ht="13">
      <c r="C210" t="s">
        <v>413</v>
      </c>
      <c r="D210" s="218">
        <f>D172+D205+D206+D207</f>
        <v>12242396.545568999</v>
      </c>
      <c r="E210" s="218">
        <f>E172+E205+E206+E207</f>
        <v>2159837.5965</v>
      </c>
    </row>
    <row r="211" spans="1:19" customFormat="1" ht="13" thickBot="1"/>
    <row r="212" spans="1:19" customFormat="1" ht="13.5"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6">Q174</f>
        <v>2030</v>
      </c>
      <c r="R212" s="422">
        <f t="shared" si="86"/>
        <v>2040</v>
      </c>
      <c r="S212" s="422" t="e">
        <f t="shared" si="86"/>
        <v>#REF!</v>
      </c>
    </row>
    <row r="213" spans="1:19" customFormat="1">
      <c r="A213" s="18" t="s">
        <v>11</v>
      </c>
      <c r="B213" s="221" t="s">
        <v>22</v>
      </c>
      <c r="C213" s="222" t="s">
        <v>42</v>
      </c>
      <c r="D213" s="223">
        <v>4934382.4149125442</v>
      </c>
      <c r="E213" s="18"/>
      <c r="F213" s="224">
        <f t="shared" ref="F213:F237" si="87">SUM(D213:E213)</f>
        <v>4934382.4149125442</v>
      </c>
      <c r="H213" s="92">
        <f>D213/D$220</f>
        <v>1</v>
      </c>
      <c r="I213" s="92">
        <f>E213/E$220</f>
        <v>0</v>
      </c>
      <c r="J213" s="92">
        <f>F213/F$220</f>
        <v>0.77484957211901018</v>
      </c>
      <c r="M213" s="393">
        <f t="shared" ref="M213:M220" si="88">SUMIFS($E$95:$E$106,$C$95:$C$106,A213,$B$95:$B$106,B213)</f>
        <v>7942789.3354020603</v>
      </c>
      <c r="N213" s="409">
        <f>SUMPRODUCT('2017 end use splits'!$F$48:$O$50*('2017 end use splits'!$C$48:$C$50='Census 2011_17'!B213)*('2017 end use splits'!$F$19:$O$19='Census 2011_17'!C213))</f>
        <v>0.77484957211901029</v>
      </c>
      <c r="O213">
        <f>N213*M213</f>
        <v>6154466.9179677246</v>
      </c>
      <c r="P213" s="409">
        <f>$N213*(1+B$20)</f>
        <v>0.8089783460948885</v>
      </c>
      <c r="Q213" s="409">
        <f>$N213*(1+D$20)</f>
        <v>0.85953949272581887</v>
      </c>
      <c r="R213" s="409">
        <f>$N213*(1+F$20)</f>
        <v>0.91010063935674945</v>
      </c>
      <c r="S213" s="409" t="e">
        <f>$N213*(1+#REF!)</f>
        <v>#REF!</v>
      </c>
    </row>
    <row r="214" spans="1:19" customFormat="1">
      <c r="A214" s="18" t="s">
        <v>11</v>
      </c>
      <c r="B214" s="221" t="s">
        <v>18</v>
      </c>
      <c r="C214" s="222" t="s">
        <v>43</v>
      </c>
      <c r="D214" s="18"/>
      <c r="E214" s="18">
        <v>17869.826769999992</v>
      </c>
      <c r="F214" s="224">
        <f t="shared" si="87"/>
        <v>17869.826769999992</v>
      </c>
      <c r="H214" s="92">
        <f t="shared" ref="H214:H219" si="89">D214/D$220</f>
        <v>0</v>
      </c>
      <c r="I214" s="92">
        <f t="shared" ref="I214:J219" si="90">E214/E$220</f>
        <v>1.246327446399524E-2</v>
      </c>
      <c r="J214" s="92">
        <f t="shared" si="90"/>
        <v>2.8061115783667404E-3</v>
      </c>
      <c r="M214" s="393">
        <f t="shared" si="88"/>
        <v>7942789.3354020603</v>
      </c>
      <c r="N214" s="409">
        <f>SUMPRODUCT('2017 end use splits'!$F$48:$O$50*('2017 end use splits'!$C$48:$C$50='Census 2011_17'!B214)*('2017 end use splits'!$F$19:$O$19='Census 2011_17'!C214))</f>
        <v>2.8061115783667408E-3</v>
      </c>
      <c r="O214">
        <f t="shared" ref="O214:O220" si="91">N214*M214</f>
        <v>22288.353118599593</v>
      </c>
      <c r="P214" s="424">
        <f>$N214-($N213*B$20)*$N214/(1-$N213)</f>
        <v>2.3807553011857131E-3</v>
      </c>
      <c r="Q214" s="424">
        <f>$N214-($N213*D$20)*$N214/(1-$N213)</f>
        <v>1.7505978535101187E-3</v>
      </c>
      <c r="R214" s="424">
        <f>$N214-($N213*F$20)*$N214/(1-$N213)</f>
        <v>1.1204404058345228E-3</v>
      </c>
      <c r="S214" s="424" t="e">
        <f>$N214-($N213*#REF!)*$N214/(1-$N213)</f>
        <v>#REF!</v>
      </c>
    </row>
    <row r="215" spans="1:19" customFormat="1">
      <c r="A215" s="18" t="s">
        <v>11</v>
      </c>
      <c r="B215" s="221" t="s">
        <v>18</v>
      </c>
      <c r="C215" s="222" t="s">
        <v>17</v>
      </c>
      <c r="D215" s="18"/>
      <c r="E215" s="18">
        <v>274321.35216982913</v>
      </c>
      <c r="F215" s="224">
        <f t="shared" si="87"/>
        <v>274321.35216982913</v>
      </c>
      <c r="H215" s="92">
        <f t="shared" si="89"/>
        <v>0</v>
      </c>
      <c r="I215" s="92">
        <f t="shared" si="90"/>
        <v>0.19132487110432564</v>
      </c>
      <c r="J215" s="92">
        <f t="shared" si="90"/>
        <v>4.3076876593414117E-2</v>
      </c>
      <c r="L215">
        <f>E214+E216+E217+E218</f>
        <v>1159477.3515033966</v>
      </c>
      <c r="M215" s="393">
        <f t="shared" si="88"/>
        <v>7942789.3354020603</v>
      </c>
      <c r="N215" s="409">
        <f>SUMPRODUCT('2017 end use splits'!$F$48:$O$50*('2017 end use splits'!$C$48:$C$50='Census 2011_17'!B215)*('2017 end use splits'!$F$19:$O$19='Census 2011_17'!C215))</f>
        <v>4.3076876593414123E-2</v>
      </c>
      <c r="O215">
        <f t="shared" si="91"/>
        <v>342150.55600860034</v>
      </c>
      <c r="P215" s="424">
        <f>$N215-($N213*B$20)*$N215/(1-$N213)</f>
        <v>3.6547193311530571E-2</v>
      </c>
      <c r="Q215" s="424">
        <f>$N215-($N213*D$20)*$N215/(1-$N213)</f>
        <v>2.6873588449480894E-2</v>
      </c>
      <c r="R215" s="424">
        <f>$N215-($N213*F$20)*$N215/(1-$N213)</f>
        <v>1.7199983587431193E-2</v>
      </c>
      <c r="S215" s="424" t="e">
        <f>$N215-($N213*#REF!)*$N215/(1-$N213)</f>
        <v>#REF!</v>
      </c>
    </row>
    <row r="216" spans="1:19" customFormat="1">
      <c r="A216" s="18" t="s">
        <v>11</v>
      </c>
      <c r="B216" s="221" t="s">
        <v>18</v>
      </c>
      <c r="C216" s="410" t="s">
        <v>2</v>
      </c>
      <c r="D216" s="18"/>
      <c r="E216" s="18">
        <v>1088744.5315500766</v>
      </c>
      <c r="F216" s="224">
        <f t="shared" si="87"/>
        <v>1088744.5315500766</v>
      </c>
      <c r="H216" s="92">
        <f t="shared" si="89"/>
        <v>0</v>
      </c>
      <c r="I216" s="92">
        <f t="shared" si="90"/>
        <v>0.75934266697329234</v>
      </c>
      <c r="J216" s="92">
        <f t="shared" si="90"/>
        <v>0.17096632637732861</v>
      </c>
      <c r="M216" s="393">
        <f t="shared" si="88"/>
        <v>7942789.3354020603</v>
      </c>
      <c r="N216" s="409">
        <f>SUMPRODUCT('2017 end use splits'!$F$48:$O$50*('2017 end use splits'!$C$48:$C$50='Census 2011_17'!B216)*('2017 end use splits'!$F$19:$O$19='Census 2011_17'!C216))</f>
        <v>0.17096632637732867</v>
      </c>
      <c r="O216">
        <f t="shared" si="91"/>
        <v>1357949.5138627142</v>
      </c>
      <c r="P216" s="424">
        <f>$N216-($N213*B$20)*$N216/(1-$N213)</f>
        <v>0.14505089212595665</v>
      </c>
      <c r="Q216" s="424">
        <f>$N216-($N213*D$20)*$N216/(1-$N213)</f>
        <v>0.10665765619799822</v>
      </c>
      <c r="R216" s="424">
        <f>$N216-($N213*F$20)*$N216/(1-$N213)</f>
        <v>6.8264420270039691E-2</v>
      </c>
      <c r="S216" s="424" t="e">
        <f>$N216-($N213*#REF!)*$N216/(1-$N213)</f>
        <v>#REF!</v>
      </c>
    </row>
    <row r="217" spans="1:19" customFormat="1">
      <c r="A217" s="18" t="s">
        <v>11</v>
      </c>
      <c r="B217" s="221" t="s">
        <v>18</v>
      </c>
      <c r="C217" s="222" t="s">
        <v>44</v>
      </c>
      <c r="D217" s="18"/>
      <c r="E217" s="18">
        <v>24110.493553320201</v>
      </c>
      <c r="F217" s="224">
        <f t="shared" si="87"/>
        <v>24110.493553320201</v>
      </c>
      <c r="H217" s="92">
        <f t="shared" si="89"/>
        <v>0</v>
      </c>
      <c r="I217" s="92">
        <f t="shared" si="90"/>
        <v>1.6815814864075351E-2</v>
      </c>
      <c r="J217" s="92">
        <f t="shared" si="90"/>
        <v>3.7860879118140718E-3</v>
      </c>
      <c r="M217" s="393">
        <f t="shared" si="88"/>
        <v>7942789.3354020603</v>
      </c>
      <c r="N217" s="409">
        <f>SUMPRODUCT('2017 end use splits'!$F$48:$O$50*('2017 end use splits'!$C$48:$C$50='Census 2011_17'!B217)*('2017 end use splits'!$F$19:$O$19='Census 2011_17'!C217))</f>
        <v>3.7860879118140722E-3</v>
      </c>
      <c r="O217">
        <f t="shared" si="91"/>
        <v>30072.098688851467</v>
      </c>
      <c r="P217" s="424">
        <f>$N217-($N213*B$20)*$N217/(1-$N213)</f>
        <v>3.2121847670978322E-3</v>
      </c>
      <c r="Q217" s="424">
        <f>$N217-($N213*D$20)*$N217/(1-$N213)</f>
        <v>2.3619578860367384E-3</v>
      </c>
      <c r="R217" s="424">
        <f>$N217-($N213*F$20)*$N217/(1-$N213)</f>
        <v>1.5117310049756428E-3</v>
      </c>
      <c r="S217" s="424" t="e">
        <f>$N217-($N213*#REF!)*$N217/(1-$N213)</f>
        <v>#REF!</v>
      </c>
    </row>
    <row r="218" spans="1:19" customFormat="1">
      <c r="A218" s="18" t="s">
        <v>11</v>
      </c>
      <c r="B218" s="221" t="s">
        <v>18</v>
      </c>
      <c r="C218" s="222" t="s">
        <v>47</v>
      </c>
      <c r="D218" s="18"/>
      <c r="E218" s="18">
        <v>28752.499630000002</v>
      </c>
      <c r="F218" s="224">
        <f t="shared" si="87"/>
        <v>28752.499630000002</v>
      </c>
      <c r="H218" s="92">
        <f t="shared" si="89"/>
        <v>0</v>
      </c>
      <c r="I218" s="92">
        <f t="shared" si="90"/>
        <v>2.0053372594311485E-2</v>
      </c>
      <c r="J218" s="92">
        <f t="shared" si="90"/>
        <v>4.5150254200661431E-3</v>
      </c>
      <c r="M218" s="393">
        <f t="shared" si="88"/>
        <v>7942789.3354020603</v>
      </c>
      <c r="N218" s="409">
        <f>SUMPRODUCT('2017 end use splits'!$F$48:$O$50*('2017 end use splits'!$C$48:$C$50='Census 2011_17'!B218)*('2017 end use splits'!$F$19:$O$19='Census 2011_17'!C218))</f>
        <v>4.5150254200661431E-3</v>
      </c>
      <c r="O218">
        <f t="shared" si="91"/>
        <v>35861.895755570571</v>
      </c>
      <c r="P218" s="424">
        <f>$N218-($N213*B$20)*$N218/(1-$N213)</f>
        <v>3.8306283993408169E-3</v>
      </c>
      <c r="Q218" s="424">
        <f>$N218-($N213*D$20)*$N218/(1-$N213)</f>
        <v>2.8167068871551518E-3</v>
      </c>
      <c r="R218" s="424">
        <f>$N218-($N213*F$20)*$N218/(1-$N213)</f>
        <v>1.8027853749694842E-3</v>
      </c>
      <c r="S218" s="424" t="e">
        <f>$N218-($N213*#REF!)*$N218/(1-$N213)</f>
        <v>#REF!</v>
      </c>
    </row>
    <row r="219" spans="1:19" customFormat="1">
      <c r="A219" s="18" t="s">
        <v>11</v>
      </c>
      <c r="B219" s="221" t="s">
        <v>18</v>
      </c>
      <c r="C219" s="222" t="s">
        <v>279</v>
      </c>
      <c r="D219" s="18"/>
      <c r="E219" s="18">
        <v>0</v>
      </c>
      <c r="F219" s="224">
        <f t="shared" si="87"/>
        <v>0</v>
      </c>
      <c r="H219" s="92">
        <f t="shared" si="89"/>
        <v>0</v>
      </c>
      <c r="I219" s="92">
        <f t="shared" si="90"/>
        <v>0</v>
      </c>
      <c r="J219" s="92">
        <f t="shared" si="90"/>
        <v>0</v>
      </c>
      <c r="M219" s="393">
        <f t="shared" si="88"/>
        <v>7942789.3354020603</v>
      </c>
      <c r="N219" s="409">
        <f>SUMPRODUCT('2017 end use splits'!$F$48:$O$50*('2017 end use splits'!$C$48:$C$50='Census 2011_17'!B219)*('2017 end use splits'!$F$19:$O$19='Census 2011_17'!C219))</f>
        <v>0</v>
      </c>
      <c r="O219">
        <f t="shared" si="91"/>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8"/>
        <v>7942789.3354020603</v>
      </c>
      <c r="N220" s="409">
        <f>SUMPRODUCT('2017 end use splits'!$F$48:$O$50*('2017 end use splits'!$C$48:$C$50='Census 2011_17'!B220)*('2017 end use splits'!$F$19:$O$19='Census 2011_17'!C220))</f>
        <v>0</v>
      </c>
      <c r="O220">
        <f t="shared" si="91"/>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1.0000000000000002</v>
      </c>
      <c r="Q221" s="423">
        <f t="shared" ref="Q221" si="92">SUM(Q213:Q220)</f>
        <v>1</v>
      </c>
      <c r="R221" s="423">
        <f t="shared" ref="R221" si="93">SUM(R213:R220)</f>
        <v>0.99999999999999989</v>
      </c>
      <c r="S221" s="423" t="e">
        <f t="shared" ref="S221" si="94">SUM(S213:S220)</f>
        <v>#REF!</v>
      </c>
    </row>
    <row r="222" spans="1:19" customFormat="1">
      <c r="A222" s="18" t="s">
        <v>11</v>
      </c>
      <c r="B222" s="221" t="s">
        <v>24</v>
      </c>
      <c r="C222" s="222" t="s">
        <v>42</v>
      </c>
      <c r="D222" s="18">
        <v>3949564.3702698089</v>
      </c>
      <c r="E222" s="18"/>
      <c r="F222" s="224">
        <f t="shared" si="87"/>
        <v>3949564.3702698089</v>
      </c>
      <c r="H222" s="92">
        <f>D222/D$229</f>
        <v>1</v>
      </c>
      <c r="I222" s="92">
        <f>E222/E$229</f>
        <v>0</v>
      </c>
      <c r="J222" s="92">
        <f>F222/F$229</f>
        <v>0.85487365806023408</v>
      </c>
      <c r="M222" s="393">
        <f t="shared" ref="M222:M229" si="95">SUMIFS($E$95:$E$106,$C$95:$C$106,A222,$B$95:$B$106,B222)</f>
        <v>5373063.3739484539</v>
      </c>
      <c r="N222" s="409">
        <f>SUMPRODUCT('2017 end use splits'!$F$48:$O$50*('2017 end use splits'!$C$48:$C$50='Census 2011_17'!B222)*('2017 end use splits'!$F$19:$O$19='Census 2011_17'!C222))</f>
        <v>0.87676142637164911</v>
      </c>
      <c r="O222">
        <f>N222*M222</f>
        <v>4710894.7077283124</v>
      </c>
      <c r="P222" s="409">
        <f>$N222*(1+B$21)</f>
        <v>0.90310189840856558</v>
      </c>
      <c r="Q222" s="409">
        <f>$N222*(1+D$21)</f>
        <v>0.95327422609793033</v>
      </c>
      <c r="R222" s="409">
        <f>$N222*(1+F$21)</f>
        <v>0.95327422609793033</v>
      </c>
      <c r="S222" s="409">
        <v>1</v>
      </c>
    </row>
    <row r="223" spans="1:19" customFormat="1">
      <c r="A223" s="18" t="s">
        <v>11</v>
      </c>
      <c r="B223" s="221" t="s">
        <v>24</v>
      </c>
      <c r="C223" s="222" t="s">
        <v>43</v>
      </c>
      <c r="D223" s="18"/>
      <c r="E223" s="18">
        <v>10358.532200000003</v>
      </c>
      <c r="F223" s="224">
        <f t="shared" si="87"/>
        <v>10358.532200000003</v>
      </c>
      <c r="H223" s="92">
        <f t="shared" ref="H223:H229" si="96">D223/D$229</f>
        <v>0</v>
      </c>
      <c r="I223" s="92">
        <f t="shared" ref="I223:I229" si="97">E223/E$229</f>
        <v>1.5449154290091152E-2</v>
      </c>
      <c r="J223" s="92">
        <f t="shared" ref="J223:J229" si="98">F223/F$229</f>
        <v>2.2420792481839696E-3</v>
      </c>
      <c r="M223" s="393">
        <f t="shared" si="95"/>
        <v>5373063.3739484539</v>
      </c>
      <c r="N223" s="409">
        <f>SUMPRODUCT('2017 end use splits'!$F$48:$O$50*('2017 end use splits'!$C$48:$C$50='Census 2011_17'!B223)*('2017 end use splits'!$F$19:$O$19='Census 2011_17'!C223))</f>
        <v>5.0656912583776767E-3</v>
      </c>
      <c r="O223">
        <f t="shared" ref="O223:O229" si="99">N223*M223</f>
        <v>27218.280164119948</v>
      </c>
      <c r="P223" s="424">
        <f>$N223-($N222*B$21)*$N223/(1-$N222)</f>
        <v>3.9829726337582382E-3</v>
      </c>
      <c r="Q223" s="424">
        <f>$N223-($N222*D$21)*$N223/(1-$N222)</f>
        <v>1.9206514440069287E-3</v>
      </c>
      <c r="R223" s="424">
        <f>$N223-($N222*F$21)*$N223/(1-$N222)</f>
        <v>1.9206514440069287E-3</v>
      </c>
      <c r="S223" s="424">
        <v>0</v>
      </c>
    </row>
    <row r="224" spans="1:19" customFormat="1">
      <c r="A224" s="18" t="s">
        <v>11</v>
      </c>
      <c r="B224" s="221" t="s">
        <v>24</v>
      </c>
      <c r="C224" s="222" t="s">
        <v>17</v>
      </c>
      <c r="D224" s="18"/>
      <c r="E224" s="18">
        <v>132993.16558246015</v>
      </c>
      <c r="F224" s="224">
        <f t="shared" si="87"/>
        <v>132993.16558246015</v>
      </c>
      <c r="H224" s="92">
        <f t="shared" si="96"/>
        <v>0</v>
      </c>
      <c r="I224" s="92">
        <f t="shared" si="97"/>
        <v>0.19835164818149298</v>
      </c>
      <c r="J224" s="92">
        <f t="shared" si="98"/>
        <v>2.8786049118303493E-2</v>
      </c>
      <c r="M224" s="393">
        <f t="shared" si="95"/>
        <v>5373063.3739484539</v>
      </c>
      <c r="N224" s="409">
        <f>SUMPRODUCT('2017 end use splits'!$F$48:$O$50*('2017 end use splits'!$C$48:$C$50='Census 2011_17'!B224)*('2017 end use splits'!$F$19:$O$19='Census 2011_17'!C224))</f>
        <v>9.157489809292392E-2</v>
      </c>
      <c r="O224">
        <f t="shared" si="99"/>
        <v>492037.73091615166</v>
      </c>
      <c r="P224" s="424">
        <f>$N224-($N222*B$21)*$N224/(1-$N222)</f>
        <v>7.2002081145412344E-2</v>
      </c>
      <c r="Q224" s="424">
        <f>$N224-($N222*D$21)*$N224/(1-$N222)</f>
        <v>3.4720525054914131E-2</v>
      </c>
      <c r="R224" s="424">
        <f>$N224-($N222*F$21)*$N224/(1-$N222)</f>
        <v>3.4720525054914131E-2</v>
      </c>
      <c r="S224" s="424">
        <v>0</v>
      </c>
    </row>
    <row r="225" spans="1:19" customFormat="1">
      <c r="A225" s="18" t="s">
        <v>11</v>
      </c>
      <c r="B225" s="221" t="s">
        <v>24</v>
      </c>
      <c r="C225" s="222" t="s">
        <v>280</v>
      </c>
      <c r="D225" s="18"/>
      <c r="E225" s="18">
        <v>497730.81376470451</v>
      </c>
      <c r="F225" s="224">
        <f t="shared" si="87"/>
        <v>497730.81376470451</v>
      </c>
      <c r="H225" s="92">
        <f t="shared" si="96"/>
        <v>0</v>
      </c>
      <c r="I225" s="92">
        <f t="shared" si="97"/>
        <v>0.74233684737530115</v>
      </c>
      <c r="J225" s="92">
        <f t="shared" si="98"/>
        <v>0.10773263114667576</v>
      </c>
      <c r="M225" s="393">
        <f t="shared" si="95"/>
        <v>5373063.3739484539</v>
      </c>
      <c r="N225" s="409">
        <f>SUMPRODUCT('2017 end use splits'!$F$48:$O$50*('2017 end use splits'!$C$48:$C$50='Census 2011_17'!B225)*('2017 end use splits'!$F$19:$O$19='Census 2011_17'!C225))</f>
        <v>0</v>
      </c>
      <c r="O225">
        <f t="shared" si="99"/>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7"/>
        <v>16413.321691221048</v>
      </c>
      <c r="H226" s="92">
        <f t="shared" si="96"/>
        <v>0</v>
      </c>
      <c r="I226" s="92">
        <f t="shared" si="97"/>
        <v>2.4479524156962484E-2</v>
      </c>
      <c r="J226" s="92">
        <f t="shared" si="98"/>
        <v>3.5526237933260966E-3</v>
      </c>
      <c r="M226" s="393">
        <f t="shared" si="95"/>
        <v>5373063.3739484539</v>
      </c>
      <c r="N226" s="409">
        <f>SUMPRODUCT('2017 end use splits'!$F$48:$O$50*('2017 end use splits'!$C$48:$C$50='Census 2011_17'!B226)*('2017 end use splits'!$F$19:$O$19='Census 2011_17'!C226))</f>
        <v>2.016363939076609E-2</v>
      </c>
      <c r="O226">
        <f t="shared" si="99"/>
        <v>108340.5122960296</v>
      </c>
      <c r="P226" s="424">
        <f>$N226-($N222*B$21)*$N226/(1-$N222)</f>
        <v>1.5853951572269962E-2</v>
      </c>
      <c r="Q226" s="424">
        <f>$N226-($N222*D$21)*$N226/(1-$N222)</f>
        <v>7.6450223941821067E-3</v>
      </c>
      <c r="R226" s="424">
        <f>$N226-($N222*F$21)*$N226/(1-$N222)</f>
        <v>7.6450223941821067E-3</v>
      </c>
      <c r="S226" s="424">
        <v>0</v>
      </c>
    </row>
    <row r="227" spans="1:19" customFormat="1">
      <c r="A227" s="18" t="s">
        <v>11</v>
      </c>
      <c r="B227" s="221" t="s">
        <v>24</v>
      </c>
      <c r="C227" s="222" t="s">
        <v>47</v>
      </c>
      <c r="D227" s="18"/>
      <c r="E227" s="18">
        <v>12996.027060000002</v>
      </c>
      <c r="F227" s="224">
        <f t="shared" si="87"/>
        <v>12996.027060000002</v>
      </c>
      <c r="H227" s="92">
        <f t="shared" si="96"/>
        <v>0</v>
      </c>
      <c r="I227" s="92">
        <f t="shared" si="97"/>
        <v>1.9382825996152202E-2</v>
      </c>
      <c r="J227" s="92">
        <f t="shared" si="98"/>
        <v>2.8129586332765683E-3</v>
      </c>
      <c r="M227" s="393">
        <f t="shared" si="95"/>
        <v>5373063.3739484539</v>
      </c>
      <c r="N227" s="409">
        <f>SUMPRODUCT('2017 end use splits'!$F$48:$O$50*('2017 end use splits'!$C$48:$C$50='Census 2011_17'!B227)*('2017 end use splits'!$F$19:$O$19='Census 2011_17'!C227))</f>
        <v>6.4343448862831604E-3</v>
      </c>
      <c r="O227">
        <f t="shared" si="99"/>
        <v>34572.142843840578</v>
      </c>
      <c r="P227" s="424">
        <f>$N227-($N222*B$21)*$N227/(1-$N222)</f>
        <v>5.0590962399938242E-3</v>
      </c>
      <c r="Q227" s="424">
        <f>$N227-($N222*D$21)*$N227/(1-$N222)</f>
        <v>2.4395750089665205E-3</v>
      </c>
      <c r="R227" s="424">
        <f>$N227-($N222*F$21)*$N227/(1-$N222)</f>
        <v>2.4395750089665205E-3</v>
      </c>
      <c r="S227" s="424">
        <v>0</v>
      </c>
    </row>
    <row r="228" spans="1:19" customFormat="1">
      <c r="A228" s="18" t="s">
        <v>11</v>
      </c>
      <c r="B228" s="221" t="s">
        <v>24</v>
      </c>
      <c r="C228" s="222" t="s">
        <v>279</v>
      </c>
      <c r="D228" s="18"/>
      <c r="E228" s="18">
        <v>0</v>
      </c>
      <c r="F228" s="224">
        <f t="shared" si="87"/>
        <v>0</v>
      </c>
      <c r="H228" s="92">
        <f t="shared" si="96"/>
        <v>0</v>
      </c>
      <c r="I228" s="92">
        <f t="shared" si="97"/>
        <v>0</v>
      </c>
      <c r="J228" s="92">
        <f t="shared" si="98"/>
        <v>0</v>
      </c>
      <c r="M228" s="393">
        <f t="shared" si="95"/>
        <v>5373063.3739484539</v>
      </c>
      <c r="N228" s="409">
        <f>SUMPRODUCT('2017 end use splits'!$F$48:$O$50*('2017 end use splits'!$C$48:$C$50='Census 2011_17'!B228)*('2017 end use splits'!$F$19:$O$19='Census 2011_17'!C228))</f>
        <v>0</v>
      </c>
      <c r="O228">
        <f t="shared" si="99"/>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6"/>
        <v>1</v>
      </c>
      <c r="I229" s="92">
        <f t="shared" si="97"/>
        <v>1</v>
      </c>
      <c r="J229" s="92">
        <f t="shared" si="98"/>
        <v>1</v>
      </c>
      <c r="M229" s="393">
        <f t="shared" si="95"/>
        <v>5373063.3739484539</v>
      </c>
      <c r="N229" s="409">
        <f>SUMPRODUCT('2017 end use splits'!$F$48:$O$50*('2017 end use splits'!$C$48:$C$50='Census 2011_17'!B229)*('2017 end use splits'!$F$19:$O$19='Census 2011_17'!C229))</f>
        <v>0</v>
      </c>
      <c r="O229">
        <f t="shared" si="99"/>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100">SUM(Q222:Q229)</f>
        <v>0.99999999999999989</v>
      </c>
      <c r="R230" s="423">
        <f t="shared" si="100"/>
        <v>0.99999999999999989</v>
      </c>
      <c r="S230" s="423">
        <f t="shared" si="100"/>
        <v>1</v>
      </c>
    </row>
    <row r="231" spans="1:19" customFormat="1">
      <c r="A231" s="18" t="s">
        <v>11</v>
      </c>
      <c r="B231" s="221" t="s">
        <v>25</v>
      </c>
      <c r="C231" s="222" t="s">
        <v>42</v>
      </c>
      <c r="D231" s="18">
        <v>3358454.6919761435</v>
      </c>
      <c r="E231" s="18"/>
      <c r="F231" s="224">
        <f t="shared" si="87"/>
        <v>3358454.6919761435</v>
      </c>
      <c r="H231" s="92">
        <f>D231/D$238</f>
        <v>1</v>
      </c>
      <c r="I231" s="92">
        <f>E231/E$238</f>
        <v>0</v>
      </c>
      <c r="J231" s="92">
        <f>F231/F$238</f>
        <v>0.97011215567399645</v>
      </c>
      <c r="M231" s="393">
        <f t="shared" ref="M231:M238" si="101">SUMIFS($E$95:$E$106,$C$95:$C$106,A231,$B$95:$B$106,B231)</f>
        <v>4115155.5606494844</v>
      </c>
      <c r="N231" s="409">
        <f>SUMPRODUCT('2017 end use splits'!$F$48:$O$50*('2017 end use splits'!$C$48:$C$50='Census 2011_17'!B231)*('2017 end use splits'!$F$19:$O$19='Census 2011_17'!C231))</f>
        <v>0.95896523775985199</v>
      </c>
      <c r="O231">
        <f>N231*M231</f>
        <v>3946291.1306370096</v>
      </c>
    </row>
    <row r="232" spans="1:19" customFormat="1">
      <c r="A232" s="18" t="s">
        <v>11</v>
      </c>
      <c r="B232" s="221" t="s">
        <v>25</v>
      </c>
      <c r="C232" s="222" t="s">
        <v>43</v>
      </c>
      <c r="D232" s="85"/>
      <c r="E232" s="18">
        <v>6118.5712100000001</v>
      </c>
      <c r="F232" s="224">
        <f>SUM(E232:E232)</f>
        <v>6118.5712100000001</v>
      </c>
      <c r="H232" s="92">
        <f t="shared" ref="H232:H237" si="102">D232/D$238</f>
        <v>0</v>
      </c>
      <c r="I232" s="92">
        <f t="shared" ref="I232:I237" si="103">E232/E$238</f>
        <v>5.9134084705576753E-2</v>
      </c>
      <c r="J232" s="92">
        <f t="shared" ref="J232:J237" si="104">F232/F$238</f>
        <v>1.7673903180409844E-3</v>
      </c>
      <c r="M232" s="393">
        <f t="shared" si="101"/>
        <v>4115155.5606494844</v>
      </c>
      <c r="N232" s="409">
        <f>SUMPRODUCT('2017 end use splits'!$F$48:$O$50*('2017 end use splits'!$C$48:$C$50='Census 2011_17'!B232)*('2017 end use splits'!$F$19:$O$19='Census 2011_17'!C232))</f>
        <v>3.8487672468875975E-3</v>
      </c>
      <c r="O232">
        <f t="shared" ref="O232:O238" si="105">N232*M232</f>
        <v>15838.275937675104</v>
      </c>
    </row>
    <row r="233" spans="1:19" customFormat="1">
      <c r="A233" s="18" t="s">
        <v>11</v>
      </c>
      <c r="B233" s="221" t="s">
        <v>25</v>
      </c>
      <c r="C233" s="222" t="s">
        <v>17</v>
      </c>
      <c r="D233" s="85"/>
      <c r="E233" s="18">
        <v>18890.571727710707</v>
      </c>
      <c r="F233" s="224">
        <f>SUM(E233:E233)</f>
        <v>18890.571727710707</v>
      </c>
      <c r="H233" s="92">
        <f t="shared" si="102"/>
        <v>0</v>
      </c>
      <c r="I233" s="92">
        <f t="shared" si="103"/>
        <v>0.18257149101370324</v>
      </c>
      <c r="J233" s="92">
        <f t="shared" si="104"/>
        <v>5.4566683017839152E-3</v>
      </c>
      <c r="M233" s="393">
        <f t="shared" si="101"/>
        <v>4115155.5606494844</v>
      </c>
      <c r="N233" s="409">
        <f>SUMPRODUCT('2017 end use splits'!$F$48:$O$50*('2017 end use splits'!$C$48:$C$50='Census 2011_17'!B233)*('2017 end use splits'!$F$19:$O$19='Census 2011_17'!C233))</f>
        <v>1.6731056093031896E-2</v>
      </c>
      <c r="O233">
        <f t="shared" si="105"/>
        <v>68850.898516778645</v>
      </c>
    </row>
    <row r="234" spans="1:19" customFormat="1">
      <c r="A234" s="18" t="s">
        <v>11</v>
      </c>
      <c r="B234" s="221" t="s">
        <v>25</v>
      </c>
      <c r="C234" s="222" t="s">
        <v>280</v>
      </c>
      <c r="D234" s="85"/>
      <c r="E234" s="18">
        <v>62606.783145218884</v>
      </c>
      <c r="F234" s="224">
        <f>SUM(E234:E234)</f>
        <v>62606.783145218884</v>
      </c>
      <c r="H234" s="92">
        <f t="shared" si="102"/>
        <v>0</v>
      </c>
      <c r="I234" s="92">
        <f t="shared" si="103"/>
        <v>0.60507505601999001</v>
      </c>
      <c r="J234" s="92">
        <f t="shared" si="104"/>
        <v>1.8084389079873329E-2</v>
      </c>
      <c r="M234" s="393">
        <f t="shared" si="101"/>
        <v>4115155.5606494844</v>
      </c>
      <c r="N234" s="409">
        <f>SUMPRODUCT('2017 end use splits'!$F$48:$O$50*('2017 end use splits'!$C$48:$C$50='Census 2011_17'!B234)*('2017 end use splits'!$F$19:$O$19='Census 2011_17'!C234))</f>
        <v>0</v>
      </c>
      <c r="O234">
        <f t="shared" si="105"/>
        <v>0</v>
      </c>
    </row>
    <row r="235" spans="1:19" customFormat="1">
      <c r="A235" s="18" t="s">
        <v>11</v>
      </c>
      <c r="B235" s="221" t="s">
        <v>25</v>
      </c>
      <c r="C235" s="222" t="s">
        <v>44</v>
      </c>
      <c r="D235" s="85"/>
      <c r="E235" s="18">
        <v>10981.130155458752</v>
      </c>
      <c r="F235" s="224">
        <f>SUM(E235:E235)</f>
        <v>10981.130155458752</v>
      </c>
      <c r="H235" s="92">
        <f t="shared" si="102"/>
        <v>0</v>
      </c>
      <c r="I235" s="92">
        <f t="shared" si="103"/>
        <v>0.10612920214356074</v>
      </c>
      <c r="J235" s="92">
        <f t="shared" si="104"/>
        <v>3.1719730721097039E-3</v>
      </c>
      <c r="M235" s="393">
        <f t="shared" si="101"/>
        <v>4115155.5606494844</v>
      </c>
      <c r="N235" s="409">
        <f>SUMPRODUCT('2017 end use splits'!$F$48:$O$50*('2017 end use splits'!$C$48:$C$50='Census 2011_17'!B235)*('2017 end use splits'!$F$19:$O$19='Census 2011_17'!C235))</f>
        <v>1.7352042871257998E-2</v>
      </c>
      <c r="O235">
        <f t="shared" si="105"/>
        <v>71406.355710285599</v>
      </c>
    </row>
    <row r="236" spans="1:19" customFormat="1">
      <c r="A236" s="18" t="s">
        <v>11</v>
      </c>
      <c r="B236" s="221" t="s">
        <v>25</v>
      </c>
      <c r="C236" s="222" t="s">
        <v>47</v>
      </c>
      <c r="D236" s="85"/>
      <c r="E236" s="18">
        <v>4872.3935799999999</v>
      </c>
      <c r="F236" s="224">
        <f>SUM(E236:E236)</f>
        <v>4872.3935799999999</v>
      </c>
      <c r="H236" s="92">
        <f t="shared" si="102"/>
        <v>0</v>
      </c>
      <c r="I236" s="92">
        <f t="shared" si="103"/>
        <v>4.7090166117169104E-2</v>
      </c>
      <c r="J236" s="92">
        <f t="shared" si="104"/>
        <v>1.4074235541955964E-3</v>
      </c>
      <c r="M236" s="393">
        <f t="shared" si="101"/>
        <v>4115155.5606494844</v>
      </c>
      <c r="N236" s="409">
        <f>SUMPRODUCT('2017 end use splits'!$F$48:$O$50*('2017 end use splits'!$C$48:$C$50='Census 2011_17'!B236)*('2017 end use splits'!$F$19:$O$19='Census 2011_17'!C236))</f>
        <v>3.1028960289704597E-3</v>
      </c>
      <c r="O236">
        <f t="shared" si="105"/>
        <v>12768.899847734991</v>
      </c>
    </row>
    <row r="237" spans="1:19" customFormat="1">
      <c r="A237" s="18" t="s">
        <v>11</v>
      </c>
      <c r="B237" s="221" t="s">
        <v>25</v>
      </c>
      <c r="C237" s="222" t="s">
        <v>279</v>
      </c>
      <c r="D237" s="18">
        <v>0</v>
      </c>
      <c r="E237" s="18"/>
      <c r="F237" s="224">
        <f t="shared" si="87"/>
        <v>0</v>
      </c>
      <c r="H237" s="92">
        <f t="shared" si="102"/>
        <v>0</v>
      </c>
      <c r="I237" s="92">
        <f t="shared" si="103"/>
        <v>0</v>
      </c>
      <c r="J237" s="92">
        <f t="shared" si="104"/>
        <v>0</v>
      </c>
      <c r="M237" s="393">
        <f t="shared" si="101"/>
        <v>4115155.5606494844</v>
      </c>
      <c r="N237" s="409">
        <f>SUMPRODUCT('2017 end use splits'!$F$48:$O$50*('2017 end use splits'!$C$48:$C$50='Census 2011_17'!B237)*('2017 end use splits'!$F$19:$O$19='Census 2011_17'!C237))</f>
        <v>0</v>
      </c>
      <c r="O237">
        <f t="shared" si="105"/>
        <v>0</v>
      </c>
    </row>
    <row r="238" spans="1:19" customFormat="1" ht="13">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1"/>
        <v>4115155.5606494844</v>
      </c>
      <c r="N238" s="409">
        <f>SUMPRODUCT('2017 end use splits'!$F$48:$O$50*('2017 end use splits'!$C$48:$C$50='Census 2011_17'!B238)*('2017 end use splits'!$F$19:$O$19='Census 2011_17'!C238))</f>
        <v>0</v>
      </c>
      <c r="O238">
        <f t="shared" si="105"/>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ht="13">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ht="13">
      <c r="A254" s="5" t="s">
        <v>510</v>
      </c>
    </row>
    <row r="255" spans="1:7" customFormat="1"/>
    <row r="256" spans="1:7" customFormat="1">
      <c r="A256" s="631" t="s">
        <v>788</v>
      </c>
      <c r="B256" s="632"/>
      <c r="C256" s="632"/>
      <c r="D256" s="632"/>
      <c r="E256" s="632"/>
      <c r="F256" s="632"/>
      <c r="G256" s="632"/>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ignoredErrors>
    <ignoredError sqref="D20:D21 B73 B76 D104" formula="1"/>
    <ignoredError sqref="S110:S114" evalError="1"/>
    <ignoredError sqref="H111:J114" unlockedFormula="1"/>
  </ignoredErrors>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selection activeCell="G49" sqref="G49"/>
    </sheetView>
  </sheetViews>
  <sheetFormatPr defaultColWidth="8.81640625" defaultRowHeight="12.5"/>
  <cols>
    <col min="1" max="1" width="19.453125" customWidth="1"/>
    <col min="2" max="2" width="30" customWidth="1"/>
    <col min="3" max="3" width="14" customWidth="1"/>
    <col min="6" max="6" width="13.7265625" customWidth="1"/>
    <col min="7" max="8" width="11.453125" customWidth="1"/>
    <col min="9" max="9" width="13.7265625" customWidth="1"/>
    <col min="14" max="15" width="12.453125" customWidth="1"/>
    <col min="16" max="16" width="14.81640625" customWidth="1"/>
    <col min="19" max="19" width="15.26953125" customWidth="1"/>
  </cols>
  <sheetData>
    <row r="1" spans="1:1" s="15" customFormat="1">
      <c r="A1" s="15" t="s">
        <v>410</v>
      </c>
    </row>
    <row r="18" spans="1:22">
      <c r="A18" s="391" t="s">
        <v>789</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5141028.9558681725</v>
      </c>
      <c r="G20" s="393">
        <f>'Census 2011_17'!G70*'Census 2011_17'!$H$3</f>
        <v>201566.93771191838</v>
      </c>
      <c r="H20" s="393">
        <f>'Census 2011_17'!H70*'Census 2011_17'!$H$3</f>
        <v>1021813.3805926582</v>
      </c>
      <c r="I20" s="393">
        <f>'Census 2011_17'!I70*'Census 2011_17'!$H$3</f>
        <v>1451159.6603312222</v>
      </c>
      <c r="J20" s="393">
        <f>'Census 2011_17'!J70*'Census 2011_17'!$H$3</f>
        <v>68243.706748730358</v>
      </c>
      <c r="K20" s="393">
        <f>'Census 2011_17'!K70*'Census 2011_17'!$H$3</f>
        <v>35290.972209244763</v>
      </c>
      <c r="L20" s="393">
        <f>'Census 2011_17'!L70*'Census 2011_17'!$H$3</f>
        <v>11414.54735416877</v>
      </c>
      <c r="M20" s="393">
        <f>'Census 2011_17'!M70*'Census 2011_17'!$H$3</f>
        <v>12271.174585946079</v>
      </c>
      <c r="N20" s="393"/>
      <c r="O20" s="393"/>
      <c r="P20" s="393"/>
      <c r="Q20" s="393"/>
      <c r="R20" s="393"/>
      <c r="S20" s="381">
        <f>SUM(F20:P20)</f>
        <v>7942789.3354020622</v>
      </c>
      <c r="T20" s="383">
        <f>'Census 2011_17'!F6</f>
        <v>0.76624999999999999</v>
      </c>
      <c r="U20" s="85"/>
    </row>
    <row r="21" spans="1:22">
      <c r="A21" s="391">
        <v>2017</v>
      </c>
      <c r="B21" s="85" t="s">
        <v>780</v>
      </c>
      <c r="C21" s="394" t="s">
        <v>24</v>
      </c>
      <c r="D21" s="85" t="s">
        <v>61</v>
      </c>
      <c r="E21" s="85"/>
      <c r="F21" s="393">
        <f>'Census 2011_17'!F71*'Census 2011_17'!$H$4</f>
        <v>4018664.5296793389</v>
      </c>
      <c r="G21" s="393">
        <f>'Census 2011_17'!G71*'Census 2011_17'!$H$4</f>
        <v>154057.38974306238</v>
      </c>
      <c r="H21" s="393">
        <f>'Census 2011_17'!H71*'Census 2011_17'!$H$4</f>
        <v>430656.29766871099</v>
      </c>
      <c r="I21" s="393">
        <f>'Census 2011_17'!I71*'Census 2011_17'!$H$4</f>
        <v>687764.17110168072</v>
      </c>
      <c r="J21" s="393">
        <f>'Census 2011_17'!J71*'Census 2011_17'!$H$4</f>
        <v>48341.858168691666</v>
      </c>
      <c r="K21" s="393">
        <f>'Census 2011_17'!K71*'Census 2011_17'!$H$4</f>
        <v>17752.379462119643</v>
      </c>
      <c r="L21" s="393">
        <f>'Census 2011_17'!L71*'Census 2011_17'!$H$4</f>
        <v>7920.886778516403</v>
      </c>
      <c r="M21" s="393">
        <f>'Census 2011_17'!M71*'Census 2011_17'!$H$4</f>
        <v>7905.861346333535</v>
      </c>
      <c r="N21" s="393"/>
      <c r="O21" s="393"/>
      <c r="P21" s="393"/>
      <c r="Q21" s="393"/>
      <c r="R21" s="393"/>
      <c r="S21" s="381">
        <f>SUM(F21:P21)</f>
        <v>5373063.3739484539</v>
      </c>
      <c r="T21" s="383">
        <f>'Census 2011_17'!F7</f>
        <v>0.87375000000000003</v>
      </c>
      <c r="U21" s="85"/>
    </row>
    <row r="22" spans="1:22">
      <c r="A22" s="391">
        <v>2017</v>
      </c>
      <c r="B22" s="85" t="s">
        <v>780</v>
      </c>
      <c r="C22" s="394" t="s">
        <v>25</v>
      </c>
      <c r="D22" s="85" t="s">
        <v>61</v>
      </c>
      <c r="E22" s="85"/>
      <c r="F22" s="393">
        <f>'Census 2011_17'!F72*'Census 2011_17'!$H$5</f>
        <v>3687690.9113707235</v>
      </c>
      <c r="G22" s="393">
        <f>'Census 2011_17'!G72*'Census 2011_17'!$H$5</f>
        <v>257520.1213846649</v>
      </c>
      <c r="H22" s="393">
        <f>'Census 2011_17'!H72*'Census 2011_17'!$H$5</f>
        <v>55722.909058227895</v>
      </c>
      <c r="I22" s="393">
        <f>'Census 2011_17'!I72*'Census 2011_17'!$H$5</f>
        <v>78486.419779252683</v>
      </c>
      <c r="J22" s="393">
        <f>'Census 2011_17'!J72*'Census 2011_17'!$H$5</f>
        <v>10243.909570358279</v>
      </c>
      <c r="K22" s="393">
        <f>'Census 2011_17'!K72*'Census 2011_17'!$H$5</f>
        <v>2520.4959228060284</v>
      </c>
      <c r="L22" s="393">
        <f>'Census 2011_17'!L72*'Census 2011_17'!$H$5</f>
        <v>7651.7326695668853</v>
      </c>
      <c r="M22" s="393">
        <f>'Census 2011_17'!M72*'Census 2011_17'!$H$5</f>
        <v>15319.060893883967</v>
      </c>
      <c r="N22" s="393"/>
      <c r="O22" s="393"/>
      <c r="P22" s="393"/>
      <c r="Q22" s="393"/>
      <c r="R22" s="393"/>
      <c r="S22" s="381">
        <f>SUM(F22:P22)</f>
        <v>4115155.5606494839</v>
      </c>
      <c r="T22" s="382">
        <v>1</v>
      </c>
      <c r="U22" s="85"/>
    </row>
    <row r="23" spans="1:22">
      <c r="A23" s="391">
        <v>2017</v>
      </c>
      <c r="B23" s="85" t="s">
        <v>780</v>
      </c>
      <c r="C23" s="394"/>
      <c r="D23" s="85" t="s">
        <v>61</v>
      </c>
      <c r="E23" s="85"/>
      <c r="F23" s="382">
        <f t="shared" ref="F23:M23" si="0">SUM(F20:F22)/SUM($F$20:$M$22)</f>
        <v>0.73704195408073381</v>
      </c>
      <c r="G23" s="382">
        <f t="shared" si="0"/>
        <v>3.5175501000416054E-2</v>
      </c>
      <c r="H23" s="382">
        <f t="shared" si="0"/>
        <v>8.6523542640691828E-2</v>
      </c>
      <c r="I23" s="382">
        <f t="shared" si="0"/>
        <v>0.12721067059720667</v>
      </c>
      <c r="J23" s="382">
        <f t="shared" si="0"/>
        <v>7.2760836621288735E-3</v>
      </c>
      <c r="K23" s="382">
        <f t="shared" si="0"/>
        <v>3.1876439236047946E-3</v>
      </c>
      <c r="L23" s="382">
        <f t="shared" si="0"/>
        <v>1.5482275255814591E-3</v>
      </c>
      <c r="M23" s="382">
        <f t="shared" si="0"/>
        <v>2.0363765696362426E-3</v>
      </c>
      <c r="N23" s="393"/>
      <c r="O23" s="393"/>
      <c r="P23" s="393"/>
      <c r="Q23" s="393"/>
      <c r="R23" s="393"/>
      <c r="S23" s="381"/>
      <c r="T23" s="85"/>
      <c r="U23" s="85"/>
    </row>
    <row r="24" spans="1:22">
      <c r="A24" s="391">
        <v>2017</v>
      </c>
      <c r="B24" s="85" t="s">
        <v>780</v>
      </c>
      <c r="C24" s="394" t="s">
        <v>22</v>
      </c>
      <c r="D24" s="85" t="s">
        <v>61</v>
      </c>
      <c r="E24" s="85"/>
      <c r="F24" s="395">
        <f>F20*'Census 2011_17'!F$84/F$23</f>
        <v>5141579.7391874697</v>
      </c>
      <c r="G24" s="395">
        <f>G20*'Census 2011_17'!G$84/G$23</f>
        <v>260289.50228442138</v>
      </c>
      <c r="H24" s="395">
        <f>H20*'Census 2011_17'!H$84/H$23</f>
        <v>970869.52939723269</v>
      </c>
      <c r="I24" s="395">
        <f>I20*'Census 2011_17'!I$84/I$23</f>
        <v>1396993.0120675047</v>
      </c>
      <c r="J24" s="395">
        <f>J20*'Census 2011_17'!J$84/J$23</f>
        <v>41211.064584248932</v>
      </c>
      <c r="K24" s="395">
        <f>K20*'Census 2011_17'!K$84/K$23</f>
        <v>8501.9614354557598</v>
      </c>
      <c r="L24" s="395">
        <f>L20*'Census 2011_17'!L$84/L$23</f>
        <v>8028.3538248370978</v>
      </c>
      <c r="M24" s="395">
        <f>M20*'Census 2011_17'!M$84/M$23</f>
        <v>10685.887959391262</v>
      </c>
      <c r="N24" s="393"/>
      <c r="O24" s="393"/>
      <c r="P24" s="393"/>
      <c r="Q24" s="393"/>
      <c r="R24" s="393"/>
      <c r="S24" s="381">
        <f>SUM(F24:P24)</f>
        <v>7838159.0507405614</v>
      </c>
      <c r="T24" s="85"/>
      <c r="U24" s="85"/>
    </row>
    <row r="25" spans="1:22">
      <c r="A25" s="391">
        <v>2017</v>
      </c>
      <c r="B25" s="85" t="s">
        <v>780</v>
      </c>
      <c r="C25" s="394" t="s">
        <v>24</v>
      </c>
      <c r="D25" s="85" t="s">
        <v>61</v>
      </c>
      <c r="E25" s="85"/>
      <c r="F25" s="395">
        <f>F21*'Census 2011_17'!F$84/F$23</f>
        <v>4019095.0686643948</v>
      </c>
      <c r="G25" s="395">
        <f>G21*'Census 2011_17'!G$84/G$23</f>
        <v>198938.98153460806</v>
      </c>
      <c r="H25" s="395">
        <f>H21*'Census 2011_17'!H$84/H$23</f>
        <v>409185.361036346</v>
      </c>
      <c r="I25" s="395">
        <f>I21*'Census 2011_17'!I$84/I$23</f>
        <v>662092.37153143284</v>
      </c>
      <c r="J25" s="395">
        <f>J21*'Census 2011_17'!J$84/J$23</f>
        <v>29192.72023789386</v>
      </c>
      <c r="K25" s="395">
        <f>K21*'Census 2011_17'!K$84/K$23</f>
        <v>4276.7324368292893</v>
      </c>
      <c r="L25" s="395">
        <f>L21*'Census 2011_17'!L$84/L$23</f>
        <v>5571.108489131555</v>
      </c>
      <c r="M25" s="395">
        <f>M21*'Census 2011_17'!M$84/M$23</f>
        <v>6884.5201392666049</v>
      </c>
      <c r="N25" s="393"/>
      <c r="O25" s="393"/>
      <c r="P25" s="393"/>
      <c r="Q25" s="393"/>
      <c r="R25" s="393"/>
      <c r="S25" s="381">
        <f>SUM(F25:P25)</f>
        <v>5335236.8640699033</v>
      </c>
      <c r="T25" s="85"/>
      <c r="U25" s="85"/>
    </row>
    <row r="26" spans="1:22">
      <c r="A26" s="391">
        <v>2017</v>
      </c>
      <c r="B26" s="85" t="s">
        <v>780</v>
      </c>
      <c r="C26" s="394" t="s">
        <v>25</v>
      </c>
      <c r="D26" s="85" t="s">
        <v>61</v>
      </c>
      <c r="E26" s="85"/>
      <c r="F26" s="395">
        <f>F22*'Census 2011_17'!F$84/F$23</f>
        <v>3688085.9915498365</v>
      </c>
      <c r="G26" s="395">
        <f>G22*'Census 2011_17'!G$84/G$23</f>
        <v>332543.54600176483</v>
      </c>
      <c r="H26" s="395">
        <f>H22*'Census 2011_17'!H$84/H$23</f>
        <v>52944.770073991749</v>
      </c>
      <c r="I26" s="395">
        <f>I22*'Census 2011_17'!I$84/I$23</f>
        <v>75556.799827791983</v>
      </c>
      <c r="J26" s="395">
        <f>J22*'Census 2011_17'!J$84/J$23</f>
        <v>6186.1003601932116</v>
      </c>
      <c r="K26" s="395">
        <f>K22*'Census 2011_17'!K$84/K$23</f>
        <v>607.21362412075428</v>
      </c>
      <c r="L26" s="395">
        <f>L22*'Census 2011_17'!L$84/L$23</f>
        <v>5381.800551373839</v>
      </c>
      <c r="M26" s="395">
        <f>M22*'Census 2011_17'!M$84/M$23</f>
        <v>13340.024396899697</v>
      </c>
      <c r="N26" s="393"/>
      <c r="O26" s="393"/>
      <c r="P26" s="393"/>
      <c r="Q26" s="393"/>
      <c r="R26" s="393"/>
      <c r="S26" s="381">
        <f>SUM(F26:P26)</f>
        <v>4174646.2463859729</v>
      </c>
      <c r="T26" s="85"/>
      <c r="U26" s="85"/>
    </row>
    <row r="27" spans="1:22">
      <c r="A27" s="391">
        <v>2017</v>
      </c>
      <c r="B27" s="85" t="s">
        <v>780</v>
      </c>
      <c r="C27" s="394" t="s">
        <v>22</v>
      </c>
      <c r="D27" s="85" t="s">
        <v>61</v>
      </c>
      <c r="E27" s="85"/>
      <c r="F27" s="393">
        <f>F24*'Census 2011_17'!$H3/$S24</f>
        <v>5210213.83403531</v>
      </c>
      <c r="G27" s="393">
        <f>G24*'Census 2011_17'!$H3/$S24</f>
        <v>263764.06366319896</v>
      </c>
      <c r="H27" s="393">
        <f>H24*'Census 2011_17'!$H3/$S24</f>
        <v>983829.50565854774</v>
      </c>
      <c r="I27" s="393">
        <f>I24*'Census 2011_17'!$H3/$S24</f>
        <v>1415641.2399966046</v>
      </c>
      <c r="J27" s="393">
        <f>J24*'Census 2011_17'!$H3/$S24</f>
        <v>41761.184247646939</v>
      </c>
      <c r="K27" s="393">
        <f>K24*'Census 2011_17'!$H3/$S24</f>
        <v>8615.4527080127737</v>
      </c>
      <c r="L27" s="393">
        <f>L24*'Census 2011_17'!$H3/$S24</f>
        <v>8135.5229879809076</v>
      </c>
      <c r="M27" s="393">
        <f>M24*'Census 2011_17'!$H3/$S24</f>
        <v>10828.532104759348</v>
      </c>
      <c r="N27" s="393"/>
      <c r="O27" s="393"/>
      <c r="P27" s="393"/>
      <c r="Q27" s="393"/>
      <c r="R27" s="393"/>
      <c r="S27" s="381">
        <f>SUM(F27:M27)</f>
        <v>7942789.3354020603</v>
      </c>
      <c r="T27" s="85"/>
      <c r="U27" s="85"/>
    </row>
    <row r="28" spans="1:22">
      <c r="A28" s="391">
        <v>2017</v>
      </c>
      <c r="B28" s="85" t="s">
        <v>780</v>
      </c>
      <c r="C28" s="394" t="s">
        <v>24</v>
      </c>
      <c r="D28" s="85" t="s">
        <v>61</v>
      </c>
      <c r="E28" s="85"/>
      <c r="F28" s="393">
        <f>F25*'Census 2011_17'!$H4/$S25</f>
        <v>4047590.2120274762</v>
      </c>
      <c r="G28" s="393">
        <f>G25*'Census 2011_17'!$H4/$S25</f>
        <v>200349.44700071056</v>
      </c>
      <c r="H28" s="393">
        <f>H25*'Census 2011_17'!$H4/$S25</f>
        <v>412086.46074302186</v>
      </c>
      <c r="I28" s="393">
        <f>I25*'Census 2011_17'!$H4/$S25</f>
        <v>666786.56679779664</v>
      </c>
      <c r="J28" s="393">
        <f>J25*'Census 2011_17'!$H4/$S25</f>
        <v>29399.694876245361</v>
      </c>
      <c r="K28" s="393">
        <f>K25*'Census 2011_17'!$H4/$S25</f>
        <v>4307.0542137046714</v>
      </c>
      <c r="L28" s="393">
        <f>L25*'Census 2011_17'!$H4/$S25</f>
        <v>5610.6073147071929</v>
      </c>
      <c r="M28" s="393">
        <f>M25*'Census 2011_17'!$H4/$S25</f>
        <v>6933.3309747912335</v>
      </c>
      <c r="N28" s="393"/>
      <c r="O28" s="393"/>
      <c r="P28" s="393"/>
      <c r="Q28" s="393"/>
      <c r="R28" s="393"/>
      <c r="S28" s="381">
        <f>SUM(F28:M28)</f>
        <v>5373063.373948453</v>
      </c>
      <c r="T28" s="85"/>
      <c r="U28" s="85"/>
    </row>
    <row r="29" spans="1:22">
      <c r="A29" s="391">
        <v>2017</v>
      </c>
      <c r="B29" s="85" t="s">
        <v>780</v>
      </c>
      <c r="C29" s="394" t="s">
        <v>25</v>
      </c>
      <c r="D29" s="85" t="s">
        <v>61</v>
      </c>
      <c r="E29" s="85"/>
      <c r="F29" s="393">
        <f>F26*'Census 2011_17'!$H5/$S26</f>
        <v>3635529.0198345976</v>
      </c>
      <c r="G29" s="393">
        <f>G26*'Census 2011_17'!$H5/$S26</f>
        <v>327804.64300944185</v>
      </c>
      <c r="H29" s="393">
        <f>H26*'Census 2011_17'!$H5/$S26</f>
        <v>52190.282030702037</v>
      </c>
      <c r="I29" s="393">
        <f>I26*'Census 2011_17'!$H5/$S26</f>
        <v>74480.079653549386</v>
      </c>
      <c r="J29" s="393">
        <f>J26*'Census 2011_17'!$H5/$S26</f>
        <v>6097.9455008967561</v>
      </c>
      <c r="K29" s="393">
        <f>K26*'Census 2011_17'!$H5/$S26</f>
        <v>598.56054245694759</v>
      </c>
      <c r="L29" s="393">
        <f>L26*'Census 2011_17'!$H5/$S26</f>
        <v>5305.1073451948932</v>
      </c>
      <c r="M29" s="393">
        <f>M26*'Census 2011_17'!$H5/$S26</f>
        <v>13149.922732644891</v>
      </c>
      <c r="N29" s="393"/>
      <c r="O29" s="393"/>
      <c r="P29" s="393"/>
      <c r="Q29" s="393"/>
      <c r="R29" s="393"/>
      <c r="S29" s="381">
        <f>SUM(F29:M29)</f>
        <v>4115155.5606494844</v>
      </c>
      <c r="T29" s="85"/>
      <c r="U29" s="85"/>
    </row>
    <row r="30" spans="1:22" ht="13" thickBot="1">
      <c r="A30" s="391">
        <v>2017</v>
      </c>
      <c r="B30" s="85" t="s">
        <v>780</v>
      </c>
      <c r="C30" s="394"/>
      <c r="D30" s="85" t="s">
        <v>61</v>
      </c>
      <c r="E30" s="85"/>
      <c r="F30" s="382">
        <f t="shared" ref="F30:M30" si="1">SUM(F27:F29)/SUM($F$27:$M$29)</f>
        <v>0.73967798455398159</v>
      </c>
      <c r="G30" s="382">
        <f t="shared" si="1"/>
        <v>4.5431574663199414E-2</v>
      </c>
      <c r="H30" s="382">
        <f t="shared" si="1"/>
        <v>8.3076447787852031E-2</v>
      </c>
      <c r="I30" s="382">
        <f t="shared" si="1"/>
        <v>0.12373970874422351</v>
      </c>
      <c r="J30" s="382">
        <f t="shared" si="1"/>
        <v>4.4322636664545102E-3</v>
      </c>
      <c r="K30" s="382">
        <f t="shared" si="1"/>
        <v>7.7569049677092474E-4</v>
      </c>
      <c r="L30" s="382">
        <f t="shared" si="1"/>
        <v>1.0929509844058492E-3</v>
      </c>
      <c r="M30" s="382">
        <f t="shared" si="1"/>
        <v>1.7733791031122881E-3</v>
      </c>
      <c r="N30" s="393"/>
      <c r="O30" s="393"/>
      <c r="P30" s="393"/>
      <c r="Q30" s="393"/>
      <c r="R30" s="393"/>
      <c r="S30" s="381"/>
      <c r="T30" s="85"/>
      <c r="U30" s="85"/>
    </row>
    <row r="31" spans="1:22" ht="13" thickBot="1">
      <c r="A31" s="391" t="s">
        <v>793</v>
      </c>
      <c r="B31" s="85" t="s">
        <v>778</v>
      </c>
      <c r="C31" s="211" t="s">
        <v>22</v>
      </c>
      <c r="D31" s="85" t="s">
        <v>61</v>
      </c>
      <c r="E31" s="85"/>
      <c r="F31" s="408">
        <f t="shared" ref="F31:M33" si="2">F27/SUM($F27:$M27)</f>
        <v>0.65596777328748979</v>
      </c>
      <c r="G31" s="408">
        <f t="shared" si="2"/>
        <v>3.3207989350487709E-2</v>
      </c>
      <c r="H31" s="408">
        <f t="shared" si="2"/>
        <v>0.12386448439133212</v>
      </c>
      <c r="I31" s="408">
        <f t="shared" si="2"/>
        <v>0.17822973519981258</v>
      </c>
      <c r="J31" s="408">
        <f t="shared" si="2"/>
        <v>5.2577479376812661E-3</v>
      </c>
      <c r="K31" s="408">
        <f t="shared" si="2"/>
        <v>1.0846885576597839E-3</v>
      </c>
      <c r="L31" s="408">
        <f t="shared" si="2"/>
        <v>1.0242652353524987E-3</v>
      </c>
      <c r="M31" s="408">
        <f t="shared" si="2"/>
        <v>1.3633160401844162E-3</v>
      </c>
      <c r="N31" s="393"/>
      <c r="O31" s="393"/>
      <c r="P31" s="393"/>
      <c r="Q31" s="393"/>
      <c r="R31" s="393"/>
      <c r="S31" s="383">
        <f>SUM(F31:O31)</f>
        <v>1.0000000000000002</v>
      </c>
      <c r="T31" s="85"/>
      <c r="U31" s="85"/>
    </row>
    <row r="32" spans="1:22">
      <c r="A32" s="391" t="s">
        <v>793</v>
      </c>
      <c r="B32" s="85" t="s">
        <v>778</v>
      </c>
      <c r="C32" s="394" t="s">
        <v>24</v>
      </c>
      <c r="D32" s="85" t="s">
        <v>61</v>
      </c>
      <c r="E32" s="85"/>
      <c r="F32" s="408">
        <f t="shared" si="2"/>
        <v>0.75331145946508005</v>
      </c>
      <c r="G32" s="408">
        <f t="shared" si="2"/>
        <v>3.7287750591611137E-2</v>
      </c>
      <c r="H32" s="408">
        <f t="shared" si="2"/>
        <v>7.6694881869631804E-2</v>
      </c>
      <c r="I32" s="408">
        <f t="shared" si="2"/>
        <v>0.12409802758529562</v>
      </c>
      <c r="J32" s="408">
        <f t="shared" si="2"/>
        <v>5.4716821355190312E-3</v>
      </c>
      <c r="K32" s="408">
        <f t="shared" si="2"/>
        <v>8.016012307964993E-4</v>
      </c>
      <c r="L32" s="408">
        <f t="shared" si="2"/>
        <v>1.0442101505652218E-3</v>
      </c>
      <c r="M32" s="408">
        <f t="shared" si="2"/>
        <v>1.2903869715008036E-3</v>
      </c>
      <c r="N32" s="393"/>
      <c r="O32" s="393"/>
      <c r="P32" s="393"/>
      <c r="Q32" s="393"/>
      <c r="R32" s="393"/>
      <c r="S32" s="383">
        <f t="shared" ref="S32:S33" si="3">SUM(F31:O31)</f>
        <v>1.0000000000000002</v>
      </c>
      <c r="T32" s="85"/>
      <c r="U32" s="85"/>
    </row>
    <row r="33" spans="1:21">
      <c r="A33" s="391" t="s">
        <v>793</v>
      </c>
      <c r="B33" s="85" t="s">
        <v>778</v>
      </c>
      <c r="C33" s="394" t="s">
        <v>25</v>
      </c>
      <c r="D33" s="85" t="s">
        <v>61</v>
      </c>
      <c r="E33" s="85"/>
      <c r="F33" s="408">
        <f t="shared" si="2"/>
        <v>0.88344874604468449</v>
      </c>
      <c r="G33" s="408">
        <f t="shared" si="2"/>
        <v>7.9657898268542068E-2</v>
      </c>
      <c r="H33" s="408">
        <f t="shared" si="2"/>
        <v>1.268245665601642E-2</v>
      </c>
      <c r="I33" s="408">
        <f t="shared" si="2"/>
        <v>1.8098970635704082E-2</v>
      </c>
      <c r="J33" s="408">
        <f t="shared" si="2"/>
        <v>1.4818262422950381E-3</v>
      </c>
      <c r="K33" s="408">
        <f t="shared" si="2"/>
        <v>1.4545271342366418E-4</v>
      </c>
      <c r="L33" s="408">
        <f t="shared" si="2"/>
        <v>1.2891632568946196E-3</v>
      </c>
      <c r="M33" s="408">
        <f t="shared" si="2"/>
        <v>3.1954861824395947E-3</v>
      </c>
      <c r="N33" s="393"/>
      <c r="O33" s="393"/>
      <c r="P33" s="393"/>
      <c r="Q33" s="393"/>
      <c r="R33" s="393"/>
      <c r="S33" s="383">
        <f t="shared" si="3"/>
        <v>1.0000000000000002</v>
      </c>
      <c r="T33" s="85"/>
      <c r="U33" s="85"/>
    </row>
    <row r="34" spans="1:21">
      <c r="A34">
        <v>2017</v>
      </c>
      <c r="D34" s="85" t="s">
        <v>430</v>
      </c>
    </row>
    <row r="37" spans="1:21">
      <c r="A37" s="391">
        <v>2017</v>
      </c>
      <c r="B37" s="85" t="s">
        <v>779</v>
      </c>
      <c r="C37" s="394" t="s">
        <v>22</v>
      </c>
      <c r="D37" s="85" t="s">
        <v>430</v>
      </c>
      <c r="E37" s="85"/>
      <c r="F37" s="393">
        <f>'Census 2011_17'!F73*'Census 2011_17'!$H$3</f>
        <v>6154466.9179677246</v>
      </c>
      <c r="G37" s="393">
        <f>'Census 2011_17'!G73*'Census 2011_17'!$H$3</f>
        <v>22288.353118599593</v>
      </c>
      <c r="H37" s="393">
        <f>'Census 2011_17'!H73*'Census 2011_17'!$H$3</f>
        <v>342150.55600860034</v>
      </c>
      <c r="I37" s="393"/>
      <c r="J37" s="393"/>
      <c r="K37" s="393"/>
      <c r="L37" s="393">
        <f>'Census 2011_17'!L73*'Census 2011_17'!$H$3</f>
        <v>30072.098688851467</v>
      </c>
      <c r="M37" s="393"/>
      <c r="N37" s="393">
        <f>'Census 2011_17'!N73*'Census 2011_17'!$H$3</f>
        <v>1357949.5138627139</v>
      </c>
      <c r="O37" s="393">
        <f>'Census 2011_17'!O73*'Census 2011_17'!$H$3</f>
        <v>35861.895755570571</v>
      </c>
      <c r="P37" s="393"/>
      <c r="Q37" s="393"/>
      <c r="R37" s="393"/>
      <c r="S37" s="381">
        <f>SUM(F37:P37)</f>
        <v>7942789.3354020603</v>
      </c>
      <c r="T37" s="85"/>
      <c r="U37" s="85"/>
    </row>
    <row r="38" spans="1:21">
      <c r="A38" s="391">
        <v>2017</v>
      </c>
      <c r="B38" s="85" t="s">
        <v>779</v>
      </c>
      <c r="C38" s="394" t="s">
        <v>24</v>
      </c>
      <c r="D38" s="85" t="s">
        <v>430</v>
      </c>
      <c r="E38" s="85"/>
      <c r="F38" s="393">
        <f>'Census 2011_17'!F74*'Census 2011_17'!$H$4</f>
        <v>4593290.3414767785</v>
      </c>
      <c r="G38" s="393">
        <f>'Census 2011_17'!G74*'Census 2011_17'!$H$4</f>
        <v>12046.833889907173</v>
      </c>
      <c r="H38" s="393">
        <f>'Census 2011_17'!H74*'Census 2011_17'!$H$4</f>
        <v>154669.26619823769</v>
      </c>
      <c r="I38" s="393"/>
      <c r="J38" s="393"/>
      <c r="K38" s="393"/>
      <c r="L38" s="393">
        <f>'Census 2011_17'!L74*'Census 2011_17'!$H$4</f>
        <v>19088.472785338272</v>
      </c>
      <c r="M38" s="393"/>
      <c r="N38" s="393">
        <f>'Census 2011_17'!N74*'Census 2011_17'!$H$4</f>
        <v>0</v>
      </c>
      <c r="O38" s="393">
        <f>'Census 2011_17'!O74*'Census 2011_17'!$H$4</f>
        <v>15114.205004890429</v>
      </c>
      <c r="P38" s="393"/>
      <c r="Q38" s="393"/>
      <c r="R38" s="393"/>
      <c r="S38" s="381">
        <f>SUM(F38:P38)</f>
        <v>4794209.1193551514</v>
      </c>
      <c r="T38" s="85"/>
      <c r="U38" s="85"/>
    </row>
    <row r="39" spans="1:21">
      <c r="A39" s="391">
        <v>2017</v>
      </c>
      <c r="B39" s="85" t="s">
        <v>779</v>
      </c>
      <c r="C39" s="394" t="s">
        <v>25</v>
      </c>
      <c r="D39" s="85" t="s">
        <v>430</v>
      </c>
      <c r="E39" s="85"/>
      <c r="F39" s="393">
        <f>'Census 2011_17'!F75*'Census 2011_17'!$H$5</f>
        <v>3992162.4318755046</v>
      </c>
      <c r="G39" s="393">
        <f>'Census 2011_17'!G75*'Census 2011_17'!$H$5</f>
        <v>7273.0860951244176</v>
      </c>
      <c r="H39" s="393">
        <f>'Census 2011_17'!H75*'Census 2011_17'!$H$5</f>
        <v>22455.038904705856</v>
      </c>
      <c r="I39" s="393"/>
      <c r="J39" s="393"/>
      <c r="K39" s="393"/>
      <c r="L39" s="393">
        <f>'Census 2011_17'!L75*'Census 2011_17'!$H$5</f>
        <v>13053.162625922676</v>
      </c>
      <c r="M39" s="393"/>
      <c r="N39" s="393">
        <f>'Census 2011_17'!N75*'Census 2011_17'!$H$5</f>
        <v>0</v>
      </c>
      <c r="O39" s="393">
        <f>'Census 2011_17'!O75*'Census 2011_17'!$H$5</f>
        <v>5791.7668652370694</v>
      </c>
      <c r="P39" s="393"/>
      <c r="Q39" s="393"/>
      <c r="R39" s="393"/>
      <c r="S39" s="381">
        <f>SUM(F39:P39)</f>
        <v>4040735.486366495</v>
      </c>
      <c r="T39" s="85"/>
      <c r="U39" s="85"/>
    </row>
    <row r="40" spans="1:21">
      <c r="A40" s="391">
        <v>2017</v>
      </c>
      <c r="B40" s="85" t="s">
        <v>779</v>
      </c>
      <c r="C40" s="394"/>
      <c r="D40" s="85" t="s">
        <v>430</v>
      </c>
      <c r="E40" s="85"/>
      <c r="F40" s="382">
        <f t="shared" ref="F40:M40" si="4">SUM(F37:F39)/SUM($F$20:$M$22)</f>
        <v>0.84561486421232734</v>
      </c>
      <c r="G40" s="382">
        <f t="shared" si="4"/>
        <v>2.3870261811097847E-3</v>
      </c>
      <c r="H40" s="382">
        <f t="shared" si="4"/>
        <v>2.9790294001825049E-2</v>
      </c>
      <c r="I40" s="382">
        <f t="shared" si="4"/>
        <v>0</v>
      </c>
      <c r="J40" s="382">
        <f t="shared" si="4"/>
        <v>0</v>
      </c>
      <c r="K40" s="382">
        <f t="shared" si="4"/>
        <v>0</v>
      </c>
      <c r="L40" s="382">
        <f t="shared" si="4"/>
        <v>3.569141448184994E-3</v>
      </c>
      <c r="M40" s="382">
        <f t="shared" si="4"/>
        <v>0</v>
      </c>
      <c r="N40" s="382">
        <f t="shared" ref="N40:P40" si="5">SUM(N37:N39)/SUM($F$20:$M$22)</f>
        <v>7.7904243565751791E-2</v>
      </c>
      <c r="O40" s="382">
        <f t="shared" si="5"/>
        <v>3.2567173824017731E-3</v>
      </c>
      <c r="P40" s="382">
        <f t="shared" si="5"/>
        <v>0</v>
      </c>
      <c r="Q40" s="382"/>
      <c r="R40" s="382"/>
      <c r="S40" s="381"/>
      <c r="T40" s="85"/>
      <c r="U40" s="85"/>
    </row>
    <row r="41" spans="1:21">
      <c r="A41" s="391">
        <v>2017</v>
      </c>
      <c r="B41" s="85" t="s">
        <v>779</v>
      </c>
      <c r="C41" s="394" t="s">
        <v>22</v>
      </c>
      <c r="D41" s="85" t="s">
        <v>430</v>
      </c>
      <c r="E41" s="85"/>
      <c r="F41" s="395">
        <f>F37</f>
        <v>6154466.9179677246</v>
      </c>
      <c r="G41" s="395">
        <f t="shared" ref="G41:P41" si="6">G37</f>
        <v>22288.353118599593</v>
      </c>
      <c r="H41" s="395">
        <f t="shared" si="6"/>
        <v>342150.55600860034</v>
      </c>
      <c r="I41" s="395">
        <f t="shared" si="6"/>
        <v>0</v>
      </c>
      <c r="J41" s="395">
        <f t="shared" si="6"/>
        <v>0</v>
      </c>
      <c r="K41" s="395">
        <f t="shared" si="6"/>
        <v>0</v>
      </c>
      <c r="L41" s="395">
        <f t="shared" si="6"/>
        <v>30072.098688851467</v>
      </c>
      <c r="M41" s="395">
        <f t="shared" si="6"/>
        <v>0</v>
      </c>
      <c r="N41" s="395">
        <f t="shared" si="6"/>
        <v>1357949.5138627139</v>
      </c>
      <c r="O41" s="395">
        <f t="shared" si="6"/>
        <v>35861.895755570571</v>
      </c>
      <c r="P41" s="395">
        <f t="shared" si="6"/>
        <v>0</v>
      </c>
      <c r="Q41" s="395"/>
      <c r="R41" s="395"/>
      <c r="S41" s="381">
        <f>SUM(F41:P41)</f>
        <v>7942789.3354020603</v>
      </c>
      <c r="T41" s="85"/>
      <c r="U41" s="85"/>
    </row>
    <row r="42" spans="1:21">
      <c r="A42" s="391">
        <v>2017</v>
      </c>
      <c r="B42" s="85" t="s">
        <v>779</v>
      </c>
      <c r="C42" s="394" t="s">
        <v>24</v>
      </c>
      <c r="D42" s="85" t="s">
        <v>430</v>
      </c>
      <c r="E42" s="85"/>
      <c r="F42" s="395">
        <f>IFERROR(F38*'Census 2011_17'!F$85/F$40,"")</f>
        <v>4641938.4501008932</v>
      </c>
      <c r="G42" s="395">
        <f>IFERROR(G38*'Census 2011_17'!G$85/G$40,"")</f>
        <v>26819.869489372049</v>
      </c>
      <c r="H42" s="395">
        <f>IFERROR(H38*'Census 2011_17'!H$85/H$40,"")</f>
        <v>484835.47261056828</v>
      </c>
      <c r="I42" s="395" t="str">
        <f>IFERROR(I38*'Census 2011_17'!I$85/I$40,"")</f>
        <v/>
      </c>
      <c r="J42" s="395" t="str">
        <f>IFERROR(J38*'Census 2011_17'!J$85/J$40,"")</f>
        <v/>
      </c>
      <c r="K42" s="395" t="str">
        <f>IFERROR(K38*'Census 2011_17'!K$85/K$40,"")</f>
        <v/>
      </c>
      <c r="L42" s="395">
        <f>IFERROR(L38*'Census 2011_17'!L$85/L$40,"")</f>
        <v>106754.66571255241</v>
      </c>
      <c r="M42" s="395" t="str">
        <f>IFERROR(M38*'Census 2011_17'!M$85/M$40,"")</f>
        <v/>
      </c>
      <c r="N42" s="395">
        <f>IFERROR(N38*'Census 2011_17'!N$85/N$40,"")</f>
        <v>0</v>
      </c>
      <c r="O42" s="395">
        <f>IFERROR(O38*'Census 2011_17'!O$85/O$40,"")</f>
        <v>34066.089166869002</v>
      </c>
      <c r="P42" s="395" t="str">
        <f>IFERROR(P38*'Census 2011_17'!P$85/P$40,"")</f>
        <v/>
      </c>
      <c r="Q42" s="395"/>
      <c r="R42" s="395"/>
      <c r="S42" s="381">
        <f>SUM(F42:P42)</f>
        <v>5294414.5470802551</v>
      </c>
      <c r="T42" s="85"/>
      <c r="U42" s="85"/>
    </row>
    <row r="43" spans="1:21">
      <c r="A43" s="391">
        <v>2017</v>
      </c>
      <c r="B43" s="85" t="s">
        <v>779</v>
      </c>
      <c r="C43" s="394" t="s">
        <v>25</v>
      </c>
      <c r="D43" s="85" t="s">
        <v>430</v>
      </c>
      <c r="E43" s="85"/>
      <c r="F43" s="395">
        <f>IFERROR(F39*'Census 2011_17'!F$85/F$40,"")</f>
        <v>4034443.9201318179</v>
      </c>
      <c r="G43" s="395">
        <f>IFERROR(G39*'Census 2011_17'!G$85/G$40,"")</f>
        <v>16192.073505689097</v>
      </c>
      <c r="H43" s="395">
        <f>IFERROR(H39*'Census 2011_17'!H$85/H$40,"")</f>
        <v>70388.899278141194</v>
      </c>
      <c r="I43" s="395" t="str">
        <f>IFERROR(I39*'Census 2011_17'!I$85/I$40,"")</f>
        <v/>
      </c>
      <c r="J43" s="395" t="str">
        <f>IFERROR(J39*'Census 2011_17'!J$85/J$40,"")</f>
        <v/>
      </c>
      <c r="K43" s="395" t="str">
        <f>IFERROR(K39*'Census 2011_17'!K$85/K$40,"")</f>
        <v/>
      </c>
      <c r="L43" s="395">
        <f>IFERROR(L39*'Census 2011_17'!L$85/L$40,"")</f>
        <v>73001.44062296515</v>
      </c>
      <c r="M43" s="395" t="str">
        <f>IFERROR(M39*'Census 2011_17'!M$85/M$40,"")</f>
        <v/>
      </c>
      <c r="N43" s="395">
        <f>IFERROR(N39*'Census 2011_17'!N$85/N$40,"")</f>
        <v>0</v>
      </c>
      <c r="O43" s="395">
        <f>IFERROR(O39*'Census 2011_17'!O$85/O$40,"")</f>
        <v>13054.133274032147</v>
      </c>
      <c r="P43" s="395" t="str">
        <f>IFERROR(P39*'Census 2011_17'!P$85/P$40,"")</f>
        <v/>
      </c>
      <c r="Q43" s="395"/>
      <c r="R43" s="395"/>
      <c r="S43" s="381">
        <f>SUM(F43:P43)</f>
        <v>4207080.4668126451</v>
      </c>
      <c r="T43" s="85"/>
      <c r="U43" s="85"/>
    </row>
    <row r="44" spans="1:21">
      <c r="A44" s="391">
        <v>2017</v>
      </c>
      <c r="B44" s="85" t="s">
        <v>779</v>
      </c>
      <c r="C44" s="394" t="s">
        <v>22</v>
      </c>
      <c r="D44" s="85" t="s">
        <v>430</v>
      </c>
      <c r="E44" s="85"/>
      <c r="F44" s="393">
        <f>IFERROR(F41*'Census 2011_17'!$H3/$S41,"")</f>
        <v>6154466.9179677255</v>
      </c>
      <c r="G44" s="393">
        <f>IFERROR(G41*'Census 2011_17'!$H3/$S41,"")</f>
        <v>22288.353118599593</v>
      </c>
      <c r="H44" s="393">
        <f>IFERROR(H41*'Census 2011_17'!$H3/$S41,"")</f>
        <v>342150.5560086004</v>
      </c>
      <c r="I44" s="393">
        <f>IFERROR(I41*'Census 2011_17'!$H3/$S41,"")</f>
        <v>0</v>
      </c>
      <c r="J44" s="393">
        <f>IFERROR(J41*'Census 2011_17'!$H3/$S41,"")</f>
        <v>0</v>
      </c>
      <c r="K44" s="393">
        <f>IFERROR(K41*'Census 2011_17'!$H3/$S41,"")</f>
        <v>0</v>
      </c>
      <c r="L44" s="393">
        <f>IFERROR(L41*'Census 2011_17'!$H3/$S41,"")</f>
        <v>30072.098688851471</v>
      </c>
      <c r="M44" s="393">
        <f>IFERROR(M41*'Census 2011_17'!$H3/$S41,"")</f>
        <v>0</v>
      </c>
      <c r="N44" s="393">
        <f>IFERROR(N41*'Census 2011_17'!$H3/$S41,"")</f>
        <v>1357949.5138627142</v>
      </c>
      <c r="O44" s="393">
        <f>IFERROR(O41*'Census 2011_17'!$H3/$S41,"")</f>
        <v>35861.895755570571</v>
      </c>
      <c r="P44" s="393">
        <f>IFERROR(P41*'Census 2011_17'!$H3/$S41,"")</f>
        <v>0</v>
      </c>
      <c r="Q44" s="393"/>
      <c r="R44" s="393"/>
      <c r="S44" s="381">
        <f>SUM(F44:P44)</f>
        <v>7942789.3354020612</v>
      </c>
      <c r="T44" s="85"/>
      <c r="U44" s="85"/>
    </row>
    <row r="45" spans="1:21">
      <c r="A45" s="391">
        <v>2017</v>
      </c>
      <c r="B45" s="85" t="s">
        <v>779</v>
      </c>
      <c r="C45" s="394" t="s">
        <v>24</v>
      </c>
      <c r="D45" s="85" t="s">
        <v>430</v>
      </c>
      <c r="E45" s="85"/>
      <c r="F45" s="393">
        <f>IFERROR(F42*'Census 2011_17'!$H4/$S42,"")</f>
        <v>4710894.7077283114</v>
      </c>
      <c r="G45" s="393">
        <f>IFERROR(G42*'Census 2011_17'!$H4/$S42,"")</f>
        <v>27218.280164119944</v>
      </c>
      <c r="H45" s="393">
        <f>IFERROR(H42*'Census 2011_17'!$H4/$S42,"")</f>
        <v>492037.73091615154</v>
      </c>
      <c r="I45" s="393" t="str">
        <f>IFERROR(I42*'Census 2011_17'!$H4/$S42,"")</f>
        <v/>
      </c>
      <c r="J45" s="393" t="str">
        <f>IFERROR(J42*'Census 2011_17'!$H4/$S42,"")</f>
        <v/>
      </c>
      <c r="K45" s="393" t="str">
        <f>IFERROR(K42*'Census 2011_17'!$H4/$S42,"")</f>
        <v/>
      </c>
      <c r="L45" s="393">
        <f>IFERROR(L42*'Census 2011_17'!$H4/$S42,"")</f>
        <v>108340.51229602957</v>
      </c>
      <c r="M45" s="393" t="str">
        <f>IFERROR(M42*'Census 2011_17'!$H4/$S42,"")</f>
        <v/>
      </c>
      <c r="N45" s="393">
        <f>IFERROR(N42*'Census 2011_17'!$H4/$S42,"")</f>
        <v>0</v>
      </c>
      <c r="O45" s="393">
        <f>IFERROR(O42*'Census 2011_17'!$H4/$S42,"")</f>
        <v>34572.142843840571</v>
      </c>
      <c r="P45" s="393" t="str">
        <f>IFERROR(P42*'Census 2011_17'!$H4/$S42,"")</f>
        <v/>
      </c>
      <c r="Q45" s="393"/>
      <c r="R45" s="393"/>
      <c r="S45" s="381">
        <f t="shared" ref="S45:S46" si="7">SUM(F45:P45)</f>
        <v>5373063.373948453</v>
      </c>
      <c r="T45" s="85"/>
      <c r="U45" s="85"/>
    </row>
    <row r="46" spans="1:21">
      <c r="A46" s="391">
        <v>2017</v>
      </c>
      <c r="B46" s="85" t="s">
        <v>779</v>
      </c>
      <c r="C46" s="394" t="s">
        <v>25</v>
      </c>
      <c r="D46" s="85" t="s">
        <v>430</v>
      </c>
      <c r="E46" s="85"/>
      <c r="F46" s="393">
        <f>IFERROR(F43*'Census 2011_17'!$H5/$S43,"")</f>
        <v>3946291.1306370106</v>
      </c>
      <c r="G46" s="393">
        <f>IFERROR(G43*'Census 2011_17'!$H5/$S43,"")</f>
        <v>15838.275937675107</v>
      </c>
      <c r="H46" s="393">
        <f>IFERROR(H43*'Census 2011_17'!$H5/$S43,"")</f>
        <v>68850.89851677866</v>
      </c>
      <c r="I46" s="393" t="str">
        <f>IFERROR(I43*'Census 2011_17'!$H5/$S43,"")</f>
        <v/>
      </c>
      <c r="J46" s="393" t="str">
        <f>IFERROR(J43*'Census 2011_17'!$H5/$S43,"")</f>
        <v/>
      </c>
      <c r="K46" s="393" t="str">
        <f>IFERROR(K43*'Census 2011_17'!$H5/$S43,"")</f>
        <v/>
      </c>
      <c r="L46" s="393">
        <f>IFERROR(L43*'Census 2011_17'!$H5/$S43,"")</f>
        <v>71406.355710285614</v>
      </c>
      <c r="M46" s="393" t="str">
        <f>IFERROR(M43*'Census 2011_17'!$H5/$S43,"")</f>
        <v/>
      </c>
      <c r="N46" s="393">
        <f>IFERROR(N43*'Census 2011_17'!$H5/$S43,"")</f>
        <v>0</v>
      </c>
      <c r="O46" s="393">
        <f>IFERROR(O43*'Census 2011_17'!$H5/$S43,"")</f>
        <v>12768.899847734994</v>
      </c>
      <c r="P46" s="393" t="str">
        <f>IFERROR(P43*'Census 2011_17'!$H5/$S43,"")</f>
        <v/>
      </c>
      <c r="Q46" s="393"/>
      <c r="R46" s="393"/>
      <c r="S46" s="381">
        <f t="shared" si="7"/>
        <v>4115155.5606494853</v>
      </c>
      <c r="T46" s="85"/>
      <c r="U46" s="85"/>
    </row>
    <row r="47" spans="1:21">
      <c r="A47" s="391">
        <v>2017</v>
      </c>
      <c r="B47" s="85" t="s">
        <v>779</v>
      </c>
      <c r="C47" s="394"/>
      <c r="D47" s="85" t="s">
        <v>430</v>
      </c>
      <c r="E47" s="85"/>
      <c r="F47" s="382">
        <f t="shared" ref="F47:M47" si="8">SUM(F44:F46)/SUM($F$27:$M$29)</f>
        <v>0.84973012042137319</v>
      </c>
      <c r="G47" s="382">
        <f t="shared" si="8"/>
        <v>3.7487739210621497E-3</v>
      </c>
      <c r="H47" s="382">
        <f t="shared" si="8"/>
        <v>5.1806480236471761E-2</v>
      </c>
      <c r="I47" s="382">
        <f t="shared" si="8"/>
        <v>0</v>
      </c>
      <c r="J47" s="382">
        <f t="shared" si="8"/>
        <v>0</v>
      </c>
      <c r="K47" s="382">
        <f t="shared" si="8"/>
        <v>0</v>
      </c>
      <c r="L47" s="382">
        <f t="shared" si="8"/>
        <v>1.2037110157091717E-2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0.77484957211901029</v>
      </c>
      <c r="G48" s="396">
        <f t="shared" ref="G48:O48" si="9">IFERROR(G44/SUM($F44:$P44),"")</f>
        <v>2.8061115783667408E-3</v>
      </c>
      <c r="H48" s="396">
        <f t="shared" si="9"/>
        <v>4.3076876593414123E-2</v>
      </c>
      <c r="I48" s="396">
        <f t="shared" si="9"/>
        <v>0</v>
      </c>
      <c r="J48" s="396">
        <f t="shared" si="9"/>
        <v>0</v>
      </c>
      <c r="K48" s="396">
        <f t="shared" si="9"/>
        <v>0</v>
      </c>
      <c r="L48" s="396">
        <f t="shared" si="9"/>
        <v>3.7860879118140722E-3</v>
      </c>
      <c r="M48" s="396">
        <f t="shared" si="9"/>
        <v>0</v>
      </c>
      <c r="N48" s="396">
        <f t="shared" si="9"/>
        <v>0.17096632637732867</v>
      </c>
      <c r="O48" s="396">
        <f t="shared" si="9"/>
        <v>4.5150254200661431E-3</v>
      </c>
      <c r="P48" s="393"/>
      <c r="Q48" s="393"/>
      <c r="R48" s="393"/>
      <c r="S48" s="383">
        <f>SUM(F48:O48)</f>
        <v>1</v>
      </c>
      <c r="T48" s="85"/>
      <c r="U48" s="383"/>
    </row>
    <row r="49" spans="1:21">
      <c r="A49" s="391" t="s">
        <v>793</v>
      </c>
      <c r="B49" s="85" t="s">
        <v>779</v>
      </c>
      <c r="C49" s="394" t="s">
        <v>24</v>
      </c>
      <c r="D49" s="85" t="s">
        <v>430</v>
      </c>
      <c r="E49" s="85"/>
      <c r="F49" s="396">
        <f t="shared" ref="F49:O50" si="10">IFERROR(F45/SUM($F45:$P45),"")</f>
        <v>0.87676142637164911</v>
      </c>
      <c r="G49" s="396">
        <f t="shared" si="10"/>
        <v>5.0656912583776767E-3</v>
      </c>
      <c r="H49" s="396">
        <f t="shared" si="10"/>
        <v>9.157489809292392E-2</v>
      </c>
      <c r="I49" s="396">
        <f>IFERROR(I45/SUM($F45:$P45),0)</f>
        <v>0</v>
      </c>
      <c r="J49" s="396">
        <f t="shared" ref="J49:K50" si="11">IFERROR(J45/SUM($F45:$P45),0)</f>
        <v>0</v>
      </c>
      <c r="K49" s="396">
        <f t="shared" si="11"/>
        <v>0</v>
      </c>
      <c r="L49" s="396">
        <f t="shared" si="10"/>
        <v>2.016363939076609E-2</v>
      </c>
      <c r="M49" s="396">
        <f>IFERROR(M45/SUM($F45:$P45),0)</f>
        <v>0</v>
      </c>
      <c r="N49" s="396">
        <f t="shared" si="10"/>
        <v>0</v>
      </c>
      <c r="O49" s="396">
        <f t="shared" si="10"/>
        <v>6.4343448862831604E-3</v>
      </c>
      <c r="P49" s="393"/>
      <c r="Q49" s="393"/>
      <c r="R49" s="393"/>
      <c r="S49" s="383">
        <f t="shared" ref="S49:S50" si="12">SUM(F48:O48)</f>
        <v>1</v>
      </c>
      <c r="T49" s="85"/>
      <c r="U49" s="85"/>
    </row>
    <row r="50" spans="1:21">
      <c r="A50" s="391" t="s">
        <v>793</v>
      </c>
      <c r="B50" s="85" t="s">
        <v>779</v>
      </c>
      <c r="C50" s="394" t="s">
        <v>25</v>
      </c>
      <c r="D50" s="85" t="s">
        <v>430</v>
      </c>
      <c r="E50" s="85"/>
      <c r="F50" s="396">
        <f t="shared" si="10"/>
        <v>0.95896523775985199</v>
      </c>
      <c r="G50" s="396">
        <f t="shared" si="10"/>
        <v>3.8487672468875975E-3</v>
      </c>
      <c r="H50" s="396">
        <f t="shared" si="10"/>
        <v>1.6731056093031896E-2</v>
      </c>
      <c r="I50" s="396">
        <f>IFERROR(I46/SUM($F46:$P46),0)</f>
        <v>0</v>
      </c>
      <c r="J50" s="396">
        <f t="shared" si="11"/>
        <v>0</v>
      </c>
      <c r="K50" s="396">
        <f t="shared" si="11"/>
        <v>0</v>
      </c>
      <c r="L50" s="396">
        <f t="shared" si="10"/>
        <v>1.7352042871257998E-2</v>
      </c>
      <c r="M50" s="396">
        <f>IFERROR(M46/SUM($F46:$P46),0)</f>
        <v>0</v>
      </c>
      <c r="N50" s="396">
        <f t="shared" si="10"/>
        <v>0</v>
      </c>
      <c r="O50" s="396">
        <f t="shared" si="10"/>
        <v>3.1028960289704597E-3</v>
      </c>
      <c r="P50" s="393"/>
      <c r="Q50" s="393"/>
      <c r="R50" s="393"/>
      <c r="S50" s="383">
        <f t="shared" si="12"/>
        <v>0.99999999999999989</v>
      </c>
      <c r="T50" s="85"/>
      <c r="U50" s="85"/>
    </row>
    <row r="52" spans="1:21">
      <c r="A52" s="391">
        <v>2017</v>
      </c>
      <c r="B52" s="85" t="s">
        <v>781</v>
      </c>
      <c r="C52" s="394" t="s">
        <v>22</v>
      </c>
      <c r="D52" s="85" t="s">
        <v>63</v>
      </c>
      <c r="E52" s="85"/>
      <c r="F52" s="393">
        <f>F27</f>
        <v>5210213.83403531</v>
      </c>
      <c r="G52" s="393">
        <f>'Census 2011_17'!G76*'Census 2011_17'!$H$3</f>
        <v>138179.67892685841</v>
      </c>
      <c r="H52" s="393">
        <f>'Census 2011_17'!H76*'Census 2011_17'!$H$3</f>
        <v>1006647.2780179703</v>
      </c>
      <c r="I52" s="393">
        <f>'Census 2011_17'!I76*'Census 2011_17'!$H$3</f>
        <v>1989325.2211941071</v>
      </c>
      <c r="J52" s="393">
        <f>'Census 2011_17'!J76*'Census 2011_17'!$H$3</f>
        <v>222672.12966499547</v>
      </c>
      <c r="K52" s="393">
        <f>'Census 2011_17'!K76*'Census 2011_17'!$H$3</f>
        <v>42000.643891968495</v>
      </c>
      <c r="L52" s="393">
        <f>'Census 2011_17'!L76*'Census 2011_17'!$H$3</f>
        <v>18479.427719498577</v>
      </c>
      <c r="M52" s="393">
        <f>'Census 2011_17'!M76*'Census 2011_17'!$H$3</f>
        <v>1615.7480083942442</v>
      </c>
      <c r="N52" s="393">
        <f>'Census 2011_17'!N76*'Census 2011_17'!$H$3</f>
        <v>0</v>
      </c>
      <c r="O52" s="393">
        <f>'Census 2011_17'!O76*'Census 2011_17'!$H$3</f>
        <v>0</v>
      </c>
      <c r="P52" s="393">
        <f>'Census 2011_17'!P76*'Census 2011_17'!$H$3</f>
        <v>0</v>
      </c>
      <c r="Q52" s="393"/>
      <c r="R52" s="393"/>
      <c r="S52" s="381">
        <f>SUM(F52:P52)</f>
        <v>8629133.9614591002</v>
      </c>
      <c r="T52" s="85"/>
      <c r="U52" s="85"/>
    </row>
    <row r="53" spans="1:21">
      <c r="A53" s="391">
        <v>2017</v>
      </c>
      <c r="B53" s="85" t="s">
        <v>781</v>
      </c>
      <c r="C53" s="394" t="s">
        <v>24</v>
      </c>
      <c r="D53" s="85" t="s">
        <v>63</v>
      </c>
      <c r="E53" s="85"/>
      <c r="F53" s="393">
        <f t="shared" ref="F53:F54" si="13">F28</f>
        <v>4047590.2120274762</v>
      </c>
      <c r="G53" s="393">
        <f>'Census 2011_17'!G77*'Census 2011_17'!$H$4</f>
        <v>97816.771181920572</v>
      </c>
      <c r="H53" s="393">
        <f>'Census 2011_17'!H77*'Census 2011_17'!$H$4</f>
        <v>556687.17771685519</v>
      </c>
      <c r="I53" s="393">
        <f>'Census 2011_17'!I77*'Census 2011_17'!$H$4</f>
        <v>968765.98709929152</v>
      </c>
      <c r="J53" s="393">
        <f>'Census 2011_17'!J77*'Census 2011_17'!$H$4</f>
        <v>149904.80438858824</v>
      </c>
      <c r="K53" s="393">
        <f>'Census 2011_17'!K77*'Census 2011_17'!$H$4</f>
        <v>21145.461003484765</v>
      </c>
      <c r="L53" s="393">
        <f>'Census 2011_17'!L77*'Census 2011_17'!$H$4</f>
        <v>13434.542572727212</v>
      </c>
      <c r="M53" s="393">
        <f>'Census 2011_17'!M77*'Census 2011_17'!$H$4</f>
        <v>874.39190100577309</v>
      </c>
      <c r="N53" s="393">
        <f>'Census 2011_17'!N77*'Census 2011_17'!$H$4</f>
        <v>0</v>
      </c>
      <c r="O53" s="393">
        <f>'Census 2011_17'!O77*'Census 2011_17'!$H$4</f>
        <v>0</v>
      </c>
      <c r="P53" s="393">
        <f>'Census 2011_17'!P77*'Census 2011_17'!$H$4</f>
        <v>0</v>
      </c>
      <c r="Q53" s="393"/>
      <c r="R53" s="393"/>
      <c r="S53" s="381">
        <f>SUM(F53:P53)</f>
        <v>5856219.3478913503</v>
      </c>
      <c r="T53" s="85"/>
      <c r="U53" s="85"/>
    </row>
    <row r="54" spans="1:21">
      <c r="A54" s="391">
        <v>2017</v>
      </c>
      <c r="B54" s="85" t="s">
        <v>781</v>
      </c>
      <c r="C54" s="394" t="s">
        <v>25</v>
      </c>
      <c r="D54" s="85" t="s">
        <v>63</v>
      </c>
      <c r="E54" s="85"/>
      <c r="F54" s="393">
        <f t="shared" si="13"/>
        <v>3635529.0198345976</v>
      </c>
      <c r="G54" s="393">
        <f>'Census 2011_17'!G78*'Census 2011_17'!$H$5</f>
        <v>243355.96586086164</v>
      </c>
      <c r="H54" s="393">
        <f>'Census 2011_17'!H78*'Census 2011_17'!$H$5</f>
        <v>165926.13707771339</v>
      </c>
      <c r="I54" s="393">
        <f>'Census 2011_17'!I78*'Census 2011_17'!$H$5</f>
        <v>161598.37631601491</v>
      </c>
      <c r="J54" s="393">
        <f>'Census 2011_17'!J78*'Census 2011_17'!$H$5</f>
        <v>39098.454583302737</v>
      </c>
      <c r="K54" s="393">
        <f>'Census 2011_17'!K78*'Census 2011_17'!$H$5</f>
        <v>4967.4992393357152</v>
      </c>
      <c r="L54" s="393">
        <f>'Census 2011_17'!L78*'Census 2011_17'!$H$5</f>
        <v>20193.853490065962</v>
      </c>
      <c r="M54" s="393">
        <f>'Census 2011_17'!M78*'Census 2011_17'!$H$5</f>
        <v>883.76240817537564</v>
      </c>
      <c r="N54" s="393">
        <f>'Census 2011_17'!N78*'Census 2011_17'!$H$5</f>
        <v>0</v>
      </c>
      <c r="O54" s="393">
        <f>'Census 2011_17'!O78*'Census 2011_17'!$H$5</f>
        <v>0</v>
      </c>
      <c r="P54" s="393">
        <f>'Census 2011_17'!P78*'Census 2011_17'!$H$5</f>
        <v>0</v>
      </c>
      <c r="Q54" s="393"/>
      <c r="R54" s="393"/>
      <c r="S54" s="381">
        <f>SUM(F54:P54)</f>
        <v>4271553.0688100681</v>
      </c>
      <c r="T54" s="85"/>
      <c r="U54" s="85"/>
    </row>
    <row r="55" spans="1:21">
      <c r="A55" s="391">
        <v>2017</v>
      </c>
      <c r="B55" s="85" t="s">
        <v>781</v>
      </c>
      <c r="C55" s="394"/>
      <c r="D55" s="85" t="s">
        <v>63</v>
      </c>
      <c r="E55" s="85"/>
      <c r="F55" s="382">
        <f t="shared" ref="F55:M55" si="14">SUM(F52:F54)/SUM($F$20:$M$22)</f>
        <v>0.73967798455398126</v>
      </c>
      <c r="G55" s="382">
        <f>SUM(G52:G54)/SUM($F$20:$M$22)</f>
        <v>2.7499982132108788E-2</v>
      </c>
      <c r="H55" s="382">
        <f t="shared" si="14"/>
        <v>9.9205999218571803E-2</v>
      </c>
      <c r="I55" s="382">
        <f t="shared" si="14"/>
        <v>0.17897355886054048</v>
      </c>
      <c r="J55" s="382">
        <f t="shared" si="14"/>
        <v>2.3617416861961386E-2</v>
      </c>
      <c r="K55" s="382">
        <f t="shared" si="14"/>
        <v>3.9076112568896711E-3</v>
      </c>
      <c r="L55" s="382">
        <f t="shared" si="14"/>
        <v>2.9893751970718179E-3</v>
      </c>
      <c r="M55" s="382">
        <f t="shared" si="14"/>
        <v>1.9355749623400253E-4</v>
      </c>
      <c r="N55" s="393"/>
      <c r="O55" s="393"/>
      <c r="P55" s="393"/>
      <c r="Q55" s="393"/>
      <c r="R55" s="393"/>
      <c r="S55" s="381"/>
      <c r="T55" s="85"/>
      <c r="U55" s="85"/>
    </row>
    <row r="56" spans="1:21">
      <c r="A56" s="391">
        <v>2017</v>
      </c>
      <c r="B56" s="85" t="s">
        <v>781</v>
      </c>
      <c r="C56" s="394" t="s">
        <v>22</v>
      </c>
      <c r="D56" s="85" t="s">
        <v>63</v>
      </c>
      <c r="E56" s="85"/>
      <c r="F56" s="395">
        <f>F52*'Census 2011_17'!F$84/F$55</f>
        <v>5192202.1191185238</v>
      </c>
      <c r="G56" s="395">
        <f>G52*'Census 2011_17'!G$84/G$55</f>
        <v>228238.76801078542</v>
      </c>
      <c r="H56" s="395">
        <f>H52*'Census 2011_17'!H$84/H$55</f>
        <v>834186.13345281896</v>
      </c>
      <c r="I56" s="395">
        <f>I52*'Census 2011_17'!I$84/I$55</f>
        <v>1361192.3297321629</v>
      </c>
      <c r="J56" s="395">
        <f>J52*'Census 2011_17'!J$84/J$55</f>
        <v>41426.894381074853</v>
      </c>
      <c r="K56" s="395">
        <f>K52*'Census 2011_17'!K$84/K$55</f>
        <v>8254.1034360009744</v>
      </c>
      <c r="L56" s="395">
        <f>L52*'Census 2011_17'!L$84/L$55</f>
        <v>6731.4819480928272</v>
      </c>
      <c r="M56" s="395">
        <f>M52*'Census 2011_17'!M$84/M$55</f>
        <v>14802.879586387384</v>
      </c>
      <c r="N56" s="393"/>
      <c r="O56" s="393"/>
      <c r="P56" s="393"/>
      <c r="Q56" s="393"/>
      <c r="R56" s="393"/>
      <c r="S56" s="381">
        <f>SUM(F56:P56)</f>
        <v>7687034.709665847</v>
      </c>
      <c r="T56" s="85"/>
      <c r="U56" s="85"/>
    </row>
    <row r="57" spans="1:21">
      <c r="A57" s="391">
        <v>2017</v>
      </c>
      <c r="B57" s="85" t="s">
        <v>781</v>
      </c>
      <c r="C57" s="394" t="s">
        <v>24</v>
      </c>
      <c r="D57" s="85" t="s">
        <v>63</v>
      </c>
      <c r="E57" s="85"/>
      <c r="F57" s="395">
        <f>F53*'Census 2011_17'!F$84/F$55</f>
        <v>4033597.6882422194</v>
      </c>
      <c r="G57" s="395">
        <f>G53*'Census 2011_17'!G$84/G$55</f>
        <v>161569.19395631159</v>
      </c>
      <c r="H57" s="395">
        <f>H53*'Census 2011_17'!H$84/H$55</f>
        <v>461314.24031337397</v>
      </c>
      <c r="I57" s="395">
        <f>I53*'Census 2011_17'!I$84/I$55</f>
        <v>662876.44518648274</v>
      </c>
      <c r="J57" s="395">
        <f>J53*'Census 2011_17'!J$84/J$55</f>
        <v>27888.943748661557</v>
      </c>
      <c r="K57" s="395">
        <f>K53*'Census 2011_17'!K$84/K$55</f>
        <v>4155.5749186517523</v>
      </c>
      <c r="L57" s="395">
        <f>L53*'Census 2011_17'!L$84/L$55</f>
        <v>4893.7868738097295</v>
      </c>
      <c r="M57" s="395">
        <f>M53*'Census 2011_17'!M$84/M$55</f>
        <v>8010.8519117187643</v>
      </c>
      <c r="N57" s="393"/>
      <c r="O57" s="393"/>
      <c r="P57" s="393"/>
      <c r="Q57" s="393"/>
      <c r="R57" s="393"/>
      <c r="S57" s="381">
        <f>SUM(F57:P57)</f>
        <v>5364306.7251512296</v>
      </c>
      <c r="T57" s="85"/>
      <c r="U57" s="85"/>
    </row>
    <row r="58" spans="1:21">
      <c r="A58" s="391">
        <v>2017</v>
      </c>
      <c r="B58" s="85" t="s">
        <v>781</v>
      </c>
      <c r="C58" s="394" t="s">
        <v>25</v>
      </c>
      <c r="D58" s="85" t="s">
        <v>63</v>
      </c>
      <c r="E58" s="85"/>
      <c r="F58" s="395">
        <f>F54*'Census 2011_17'!F$84/F$55</f>
        <v>3622960.9920409578</v>
      </c>
      <c r="G58" s="395">
        <f>G54*'Census 2011_17'!G$84/G$55</f>
        <v>401964.06785369728</v>
      </c>
      <c r="H58" s="395">
        <f>H54*'Census 2011_17'!H$84/H$55</f>
        <v>137499.28674137758</v>
      </c>
      <c r="I58" s="395">
        <f>I54*'Census 2011_17'!I$84/I$55</f>
        <v>110573.40850808426</v>
      </c>
      <c r="J58" s="395">
        <f>J54*'Census 2011_17'!J$84/J$55</f>
        <v>7274.0470525995925</v>
      </c>
      <c r="K58" s="395">
        <f>K54*'Census 2011_17'!K$84/K$55</f>
        <v>976.22914175308006</v>
      </c>
      <c r="L58" s="395">
        <f>L54*'Census 2011_17'!L$84/L$55</f>
        <v>7355.994043439935</v>
      </c>
      <c r="M58" s="395">
        <f>M54*'Census 2011_17'!M$84/M$55</f>
        <v>8096.7009974514203</v>
      </c>
      <c r="N58" s="393"/>
      <c r="O58" s="393"/>
      <c r="P58" s="393"/>
      <c r="Q58" s="393"/>
      <c r="R58" s="393"/>
      <c r="S58" s="381">
        <f>SUM(F58:P58)</f>
        <v>4296700.726379361</v>
      </c>
      <c r="T58" s="85"/>
      <c r="U58" s="85"/>
    </row>
    <row r="59" spans="1:21">
      <c r="A59" s="391">
        <v>2017</v>
      </c>
      <c r="B59" s="85" t="s">
        <v>781</v>
      </c>
      <c r="C59" s="394" t="s">
        <v>22</v>
      </c>
      <c r="D59" s="85" t="s">
        <v>63</v>
      </c>
      <c r="E59" s="85"/>
      <c r="F59" s="393">
        <f>F56*'Census 2011_17'!$H3/$S56</f>
        <v>5364951.3988963515</v>
      </c>
      <c r="G59" s="393">
        <f>G56*'Census 2011_17'!$H3/$S56</f>
        <v>235832.47909650402</v>
      </c>
      <c r="H59" s="393">
        <f>H56*'Census 2011_17'!$H3/$S56</f>
        <v>861940.26367513963</v>
      </c>
      <c r="I59" s="393">
        <f>I56*'Census 2011_17'!$H3/$S56</f>
        <v>1406480.4347029792</v>
      </c>
      <c r="J59" s="393">
        <f>J56*'Census 2011_17'!$H3/$S56</f>
        <v>42805.204778779043</v>
      </c>
      <c r="K59" s="393">
        <f>K56*'Census 2011_17'!$H3/$S56</f>
        <v>8528.7249532432452</v>
      </c>
      <c r="L59" s="393">
        <f>L56*'Census 2011_17'!$H3/$S56</f>
        <v>6955.44446567061</v>
      </c>
      <c r="M59" s="393">
        <f>M56*'Census 2011_17'!$H3/$S56</f>
        <v>15295.384833394304</v>
      </c>
      <c r="N59" s="393"/>
      <c r="O59" s="393"/>
      <c r="P59" s="393"/>
      <c r="Q59" s="393"/>
      <c r="R59" s="393"/>
      <c r="S59" s="381">
        <f>SUM(F59:M59)</f>
        <v>7942789.3354020622</v>
      </c>
      <c r="T59" s="85"/>
      <c r="U59" s="85"/>
    </row>
    <row r="60" spans="1:21">
      <c r="A60" s="391">
        <v>2017</v>
      </c>
      <c r="B60" s="85" t="s">
        <v>781</v>
      </c>
      <c r="C60" s="394" t="s">
        <v>24</v>
      </c>
      <c r="D60" s="85" t="s">
        <v>63</v>
      </c>
      <c r="E60" s="85"/>
      <c r="F60" s="393">
        <f>F57*'Census 2011_17'!$H4/$S57</f>
        <v>4040182.0988948811</v>
      </c>
      <c r="G60" s="393">
        <f>G57*'Census 2011_17'!$H4/$S57</f>
        <v>161832.93813806999</v>
      </c>
      <c r="H60" s="393">
        <f>H57*'Census 2011_17'!$H4/$S57</f>
        <v>462067.2857663199</v>
      </c>
      <c r="I60" s="393">
        <f>I57*'Census 2011_17'!$H4/$S57</f>
        <v>663958.5190729805</v>
      </c>
      <c r="J60" s="393">
        <f>J57*'Census 2011_17'!$H4/$S57</f>
        <v>27934.469423878367</v>
      </c>
      <c r="K60" s="393">
        <f>K57*'Census 2011_17'!$H4/$S57</f>
        <v>4162.3584439007045</v>
      </c>
      <c r="L60" s="393">
        <f>L57*'Census 2011_17'!$H4/$S57</f>
        <v>4901.7754499926496</v>
      </c>
      <c r="M60" s="393">
        <f>M57*'Census 2011_17'!$H4/$S57</f>
        <v>8023.9287584301201</v>
      </c>
      <c r="N60" s="393"/>
      <c r="O60" s="393"/>
      <c r="P60" s="393"/>
      <c r="Q60" s="393"/>
      <c r="R60" s="393"/>
      <c r="S60" s="381">
        <f>SUM(F60:M60)</f>
        <v>5373063.3739484539</v>
      </c>
      <c r="T60" s="85"/>
      <c r="U60" s="85"/>
    </row>
    <row r="61" spans="1:21">
      <c r="A61" s="391">
        <v>2017</v>
      </c>
      <c r="B61" s="85" t="s">
        <v>781</v>
      </c>
      <c r="C61" s="394" t="s">
        <v>25</v>
      </c>
      <c r="D61" s="85" t="s">
        <v>63</v>
      </c>
      <c r="E61" s="85"/>
      <c r="F61" s="393">
        <f>F58*'Census 2011_17'!$H5/$S58</f>
        <v>3469882.8291391642</v>
      </c>
      <c r="G61" s="393">
        <f>G58*'Census 2011_17'!$H5/$S58</f>
        <v>384980.19162793847</v>
      </c>
      <c r="H61" s="393">
        <f>H58*'Census 2011_17'!$H5/$S58</f>
        <v>131689.6359444421</v>
      </c>
      <c r="I61" s="393">
        <f>I58*'Census 2011_17'!$H5/$S58</f>
        <v>105901.4359758402</v>
      </c>
      <c r="J61" s="393">
        <f>J58*'Census 2011_17'!$H5/$S58</f>
        <v>6966.7023800736342</v>
      </c>
      <c r="K61" s="393">
        <f>K58*'Census 2011_17'!$H5/$S58</f>
        <v>934.9812884311566</v>
      </c>
      <c r="L61" s="393">
        <f>L58*'Census 2011_17'!$H5/$S58</f>
        <v>7045.1869282211828</v>
      </c>
      <c r="M61" s="393">
        <f>M58*'Census 2011_17'!$H5/$S58</f>
        <v>7754.5973653731835</v>
      </c>
      <c r="N61" s="393"/>
      <c r="O61" s="393"/>
      <c r="P61" s="393"/>
      <c r="Q61" s="393"/>
      <c r="R61" s="393"/>
      <c r="S61" s="381">
        <f>SUM(F61:M61)</f>
        <v>4115155.5606494839</v>
      </c>
      <c r="T61" s="85"/>
      <c r="U61" s="85"/>
    </row>
    <row r="62" spans="1:21">
      <c r="A62" s="391">
        <v>2017</v>
      </c>
      <c r="B62" s="85" t="s">
        <v>781</v>
      </c>
      <c r="C62" s="394"/>
      <c r="D62" s="85" t="s">
        <v>63</v>
      </c>
      <c r="E62" s="85"/>
      <c r="F62" s="382">
        <f t="shared" ref="F62:M62" si="15">SUM(F59:F61)/SUM($F$27:$M$29)</f>
        <v>0.7386271710449025</v>
      </c>
      <c r="G62" s="382">
        <f t="shared" si="15"/>
        <v>4.4899617781118333E-2</v>
      </c>
      <c r="H62" s="382">
        <f t="shared" si="15"/>
        <v>8.3511932461833555E-2</v>
      </c>
      <c r="I62" s="382">
        <f t="shared" si="15"/>
        <v>0.12485453256868889</v>
      </c>
      <c r="J62" s="382">
        <f t="shared" si="15"/>
        <v>4.4579392872223711E-3</v>
      </c>
      <c r="K62" s="382">
        <f t="shared" si="15"/>
        <v>7.8171408529628954E-4</v>
      </c>
      <c r="L62" s="382">
        <f t="shared" si="15"/>
        <v>1.0844127058568854E-3</v>
      </c>
      <c r="M62" s="382">
        <f t="shared" si="15"/>
        <v>1.7826800650813767E-3</v>
      </c>
      <c r="N62" s="393"/>
      <c r="O62" s="393"/>
      <c r="P62" s="393"/>
      <c r="Q62" s="393"/>
      <c r="R62" s="393"/>
      <c r="S62" s="381"/>
      <c r="T62" s="85"/>
      <c r="U62" s="85"/>
    </row>
    <row r="63" spans="1:21">
      <c r="A63" s="391" t="s">
        <v>793</v>
      </c>
      <c r="B63" s="85" t="s">
        <v>781</v>
      </c>
      <c r="C63" s="394" t="s">
        <v>22</v>
      </c>
      <c r="D63" s="85" t="s">
        <v>63</v>
      </c>
      <c r="E63" s="85"/>
      <c r="F63" s="396">
        <f t="shared" ref="F63:M65" si="16">F59/SUM($F59:$M59)</f>
        <v>0.67544928769343704</v>
      </c>
      <c r="G63" s="396">
        <f t="shared" si="16"/>
        <v>2.9691392927339452E-2</v>
      </c>
      <c r="H63" s="396">
        <f t="shared" si="16"/>
        <v>0.10851858550916842</v>
      </c>
      <c r="I63" s="396">
        <f t="shared" si="16"/>
        <v>0.17707638655781918</v>
      </c>
      <c r="J63" s="396">
        <f t="shared" si="16"/>
        <v>5.3891904935701347E-3</v>
      </c>
      <c r="K63" s="396">
        <f t="shared" si="16"/>
        <v>1.073769502513379E-3</v>
      </c>
      <c r="L63" s="396">
        <f t="shared" si="16"/>
        <v>8.7569293002261487E-4</v>
      </c>
      <c r="M63" s="396">
        <f t="shared" si="16"/>
        <v>1.9256943861296625E-3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0.75193270909178012</v>
      </c>
      <c r="G64" s="396">
        <f t="shared" si="16"/>
        <v>3.0119305668852608E-2</v>
      </c>
      <c r="H64" s="396">
        <f t="shared" si="16"/>
        <v>8.5996991587085028E-2</v>
      </c>
      <c r="I64" s="396">
        <f t="shared" si="16"/>
        <v>0.12357168953044814</v>
      </c>
      <c r="J64" s="396">
        <f t="shared" si="16"/>
        <v>5.1989837974589937E-3</v>
      </c>
      <c r="K64" s="396">
        <f t="shared" si="16"/>
        <v>7.7467138468570679E-4</v>
      </c>
      <c r="L64" s="396">
        <f t="shared" si="16"/>
        <v>9.1228692253270908E-4</v>
      </c>
      <c r="M64" s="396">
        <f t="shared" si="16"/>
        <v>1.493362017156639E-3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0.8431960294087939</v>
      </c>
      <c r="G65" s="396">
        <f t="shared" si="16"/>
        <v>9.3551795540671639E-2</v>
      </c>
      <c r="H65" s="396">
        <f t="shared" si="16"/>
        <v>3.2001131914356565E-2</v>
      </c>
      <c r="I65" s="396">
        <f t="shared" si="16"/>
        <v>2.5734491543528932E-2</v>
      </c>
      <c r="J65" s="396">
        <f t="shared" si="16"/>
        <v>1.6929377947924036E-3</v>
      </c>
      <c r="K65" s="396">
        <f t="shared" si="16"/>
        <v>2.2720436072253634E-4</v>
      </c>
      <c r="L65" s="396">
        <f t="shared" si="16"/>
        <v>1.7120098680083093E-3</v>
      </c>
      <c r="M65" s="396">
        <f t="shared" si="16"/>
        <v>1.8843995691257163E-3</v>
      </c>
      <c r="N65" s="393"/>
      <c r="O65" s="393"/>
      <c r="P65" s="393"/>
      <c r="Q65" s="393"/>
      <c r="R65" s="393"/>
      <c r="S65" s="383">
        <f t="shared" si="17"/>
        <v>1</v>
      </c>
      <c r="T65" s="85"/>
      <c r="U65" s="85"/>
    </row>
    <row r="67" spans="1:21">
      <c r="A67" s="391">
        <v>2017</v>
      </c>
      <c r="B67" s="85" t="s">
        <v>780</v>
      </c>
      <c r="C67" s="394" t="s">
        <v>22</v>
      </c>
      <c r="D67" s="85" t="s">
        <v>62</v>
      </c>
      <c r="E67" s="85"/>
      <c r="F67" s="393">
        <f>'Census 2011_17'!F76*'Census 2011_17'!$H$3</f>
        <v>4523869.2079782709</v>
      </c>
      <c r="G67" s="393">
        <f>'Census 2011_17'!G76*'Census 2011_17'!$H$3</f>
        <v>138179.67892685841</v>
      </c>
      <c r="H67" s="393">
        <f>'Census 2011_17'!H76*'Census 2011_17'!$H$3</f>
        <v>1006647.2780179703</v>
      </c>
      <c r="I67" s="393">
        <f>'Census 2011_17'!I76*'Census 2011_17'!$H$3</f>
        <v>1989325.2211941071</v>
      </c>
      <c r="J67" s="393">
        <f>'Census 2011_17'!J76*'Census 2011_17'!$H$3</f>
        <v>222672.12966499547</v>
      </c>
      <c r="K67" s="393">
        <f>'Census 2011_17'!K76*'Census 2011_17'!$H$3</f>
        <v>42000.643891968495</v>
      </c>
      <c r="L67" s="393">
        <f>'Census 2011_17'!L76*'Census 2011_17'!$H$3</f>
        <v>18479.427719498577</v>
      </c>
      <c r="M67" s="393">
        <f>'Census 2011_17'!M76*'Census 2011_17'!$H$3</f>
        <v>1615.7480083942442</v>
      </c>
      <c r="N67" s="393">
        <f>'Census 2011_17'!N76*'Census 2011_17'!$H$3</f>
        <v>0</v>
      </c>
      <c r="O67" s="393">
        <f>'Census 2011_17'!O76*'Census 2011_17'!$H$3</f>
        <v>0</v>
      </c>
      <c r="P67" s="393">
        <f>'Census 2011_17'!P76*'Census 2011_17'!$H$3</f>
        <v>0</v>
      </c>
      <c r="Q67" s="393"/>
      <c r="R67" s="393"/>
      <c r="S67" s="381">
        <f>SUM(F67:P67)</f>
        <v>7942789.335402065</v>
      </c>
      <c r="T67" s="85"/>
      <c r="U67" s="85"/>
    </row>
    <row r="68" spans="1:21">
      <c r="A68" s="391">
        <v>2017</v>
      </c>
      <c r="B68" s="85" t="s">
        <v>780</v>
      </c>
      <c r="C68" s="394" t="s">
        <v>24</v>
      </c>
      <c r="D68" s="85" t="s">
        <v>62</v>
      </c>
      <c r="E68" s="85"/>
      <c r="F68" s="393">
        <f>'Census 2011_17'!F77*'Census 2011_17'!$H$3</f>
        <v>5269163.6562989457</v>
      </c>
      <c r="G68" s="393">
        <f>'Census 2011_17'!G77*'Census 2011_17'!$H$3</f>
        <v>144598.70522544777</v>
      </c>
      <c r="H68" s="393">
        <f>'Census 2011_17'!H77*'Census 2011_17'!$H$3</f>
        <v>822928.87140752503</v>
      </c>
      <c r="I68" s="393">
        <f>'Census 2011_17'!I77*'Census 2011_17'!$H$3</f>
        <v>1432088.8504946048</v>
      </c>
      <c r="J68" s="393">
        <f>'Census 2011_17'!J77*'Census 2011_17'!$H$3</f>
        <v>221598.40648747821</v>
      </c>
      <c r="K68" s="393">
        <f>'Census 2011_17'!K77*'Census 2011_17'!$H$3</f>
        <v>31258.507570368776</v>
      </c>
      <c r="L68" s="393">
        <f>'Census 2011_17'!L77*'Census 2011_17'!$H$3</f>
        <v>19859.758585770658</v>
      </c>
      <c r="M68" s="393">
        <f>'Census 2011_17'!M77*'Census 2011_17'!$H$3</f>
        <v>1292.5793319215775</v>
      </c>
      <c r="N68" s="393">
        <f>'Census 2011_17'!N77*'Census 2011_17'!$H$3</f>
        <v>0</v>
      </c>
      <c r="O68" s="393">
        <f>'Census 2011_17'!O77*'Census 2011_17'!$H$3</f>
        <v>0</v>
      </c>
      <c r="P68" s="393">
        <f>'Census 2011_17'!P77*'Census 2011_17'!$H$3</f>
        <v>0</v>
      </c>
      <c r="Q68" s="393"/>
      <c r="R68" s="393"/>
      <c r="S68" s="381">
        <f>SUM(F68:P68)</f>
        <v>7942789.3354020622</v>
      </c>
      <c r="T68" s="85"/>
      <c r="U68" s="85"/>
    </row>
    <row r="69" spans="1:21">
      <c r="A69" s="391">
        <v>2017</v>
      </c>
      <c r="B69" s="85" t="s">
        <v>780</v>
      </c>
      <c r="C69" s="394" t="s">
        <v>25</v>
      </c>
      <c r="D69" s="85" t="s">
        <v>62</v>
      </c>
      <c r="E69" s="85"/>
      <c r="F69" s="393">
        <f>'Census 2011_17'!F78*'Census 2011_17'!$H$3</f>
        <v>6715179.5989515921</v>
      </c>
      <c r="G69" s="393">
        <f>'Census 2011_17'!G78*'Census 2011_17'!$H$3</f>
        <v>469708.89480568055</v>
      </c>
      <c r="H69" s="393">
        <f>'Census 2011_17'!H78*'Census 2011_17'!$H$3</f>
        <v>320259.18160851224</v>
      </c>
      <c r="I69" s="393">
        <f>'Census 2011_17'!I78*'Census 2011_17'!$H$3</f>
        <v>311906.03638287593</v>
      </c>
      <c r="J69" s="393">
        <f>'Census 2011_17'!J78*'Census 2011_17'!$H$3</f>
        <v>75465.139414060293</v>
      </c>
      <c r="K69" s="393">
        <f>'Census 2011_17'!K78*'Census 2011_17'!$H$3</f>
        <v>9587.9242960104184</v>
      </c>
      <c r="L69" s="393">
        <f>'Census 2011_17'!L78*'Census 2011_17'!$H$3</f>
        <v>38976.782718817267</v>
      </c>
      <c r="M69" s="393">
        <f>'Census 2011_17'!M78*'Census 2011_17'!$H$3</f>
        <v>1705.7772245131705</v>
      </c>
      <c r="N69" s="393">
        <f>'Census 2011_17'!N78*'Census 2011_17'!$H$3</f>
        <v>0</v>
      </c>
      <c r="O69" s="393">
        <f>'Census 2011_17'!O78*'Census 2011_17'!$H$3</f>
        <v>0</v>
      </c>
      <c r="P69" s="393">
        <f>'Census 2011_17'!P78*'Census 2011_17'!$H$3</f>
        <v>0</v>
      </c>
      <c r="Q69" s="393"/>
      <c r="R69" s="393"/>
      <c r="S69" s="381">
        <f>SUM(F69:P69)</f>
        <v>7942789.3354020622</v>
      </c>
      <c r="T69" s="85"/>
      <c r="U69" s="85"/>
    </row>
    <row r="70" spans="1:21">
      <c r="A70" s="391">
        <v>2017</v>
      </c>
      <c r="B70" s="85" t="s">
        <v>780</v>
      </c>
      <c r="C70" s="394"/>
      <c r="D70" s="85" t="s">
        <v>62</v>
      </c>
      <c r="E70" s="85"/>
      <c r="F70" s="382">
        <f>SUM(F67:F69)/SUM($F$67:$R$69)</f>
        <v>0.69279660524502473</v>
      </c>
      <c r="G70" s="382">
        <f t="shared" ref="G70:M70" si="18">SUM(G67:G69)/SUM($F$20:$M$22)</f>
        <v>4.3169463711004628E-2</v>
      </c>
      <c r="H70" s="382">
        <f t="shared" si="18"/>
        <v>0.12333396311526201</v>
      </c>
      <c r="I70" s="382">
        <f t="shared" si="18"/>
        <v>0.21417694548954436</v>
      </c>
      <c r="J70" s="382">
        <f t="shared" si="18"/>
        <v>2.9816730479156259E-2</v>
      </c>
      <c r="K70" s="382">
        <f t="shared" si="18"/>
        <v>4.7528562017226132E-3</v>
      </c>
      <c r="L70" s="382">
        <f t="shared" si="18"/>
        <v>4.4355419850928965E-3</v>
      </c>
      <c r="M70" s="382">
        <f t="shared" si="18"/>
        <v>2.6470669357493178E-4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3834631.6647818843</v>
      </c>
      <c r="G71" s="395">
        <f>G67*'Census 2011_17'!G$86/G$70</f>
        <v>54643.306842688136</v>
      </c>
      <c r="H71" s="395">
        <f>H67*'Census 2011_17'!H$86/H$70</f>
        <v>563417.17962400836</v>
      </c>
      <c r="I71" s="395">
        <f>I67*'Census 2011_17'!I$86/I$70</f>
        <v>1087451.5786551812</v>
      </c>
      <c r="J71" s="395">
        <f>J67*'Census 2011_17'!J$86/J$70</f>
        <v>91298.063131168179</v>
      </c>
      <c r="K71" s="395">
        <f>K67*'Census 2011_17'!K$86/K$70</f>
        <v>9418.8049097315961</v>
      </c>
      <c r="L71" s="395">
        <f>L67*'Census 2011_17'!L$86/L$70</f>
        <v>6170.6102799899882</v>
      </c>
      <c r="M71" s="395">
        <f>M67*'Census 2011_17'!M$86/M$70</f>
        <v>114478.89354129012</v>
      </c>
      <c r="N71" s="393"/>
      <c r="O71" s="393"/>
      <c r="P71" s="393"/>
      <c r="Q71" s="393"/>
      <c r="R71" s="393"/>
      <c r="S71" s="381">
        <f>SUM(F71:P71)</f>
        <v>5761510.1017659428</v>
      </c>
      <c r="T71" s="85"/>
      <c r="U71" s="85"/>
    </row>
    <row r="72" spans="1:21">
      <c r="A72" s="391">
        <v>2017</v>
      </c>
      <c r="B72" s="85" t="s">
        <v>780</v>
      </c>
      <c r="C72" s="394" t="s">
        <v>24</v>
      </c>
      <c r="D72" s="85" t="s">
        <v>62</v>
      </c>
      <c r="E72" s="85"/>
      <c r="F72" s="395">
        <f>F68*'Census 2011_17'!F$86/F$70</f>
        <v>4466376.2090486316</v>
      </c>
      <c r="G72" s="395">
        <f>G68*'Census 2011_17'!G$86/G$70</f>
        <v>57181.717891180771</v>
      </c>
      <c r="H72" s="395">
        <f>H68*'Census 2011_17'!H$86/H$70</f>
        <v>460590.59005503921</v>
      </c>
      <c r="I72" s="395">
        <f>I68*'Census 2011_17'!I$86/I$70</f>
        <v>782841.97307368624</v>
      </c>
      <c r="J72" s="395">
        <f>J68*'Census 2011_17'!J$86/J$70</f>
        <v>90857.824621778374</v>
      </c>
      <c r="K72" s="395">
        <f>K68*'Census 2011_17'!K$86/K$70</f>
        <v>7009.8397855984122</v>
      </c>
      <c r="L72" s="395">
        <f>L68*'Census 2011_17'!L$86/L$70</f>
        <v>6631.5273582942455</v>
      </c>
      <c r="M72" s="395">
        <f>M68*'Census 2011_17'!M$86/M$70</f>
        <v>91581.763346736305</v>
      </c>
      <c r="N72" s="393"/>
      <c r="O72" s="393"/>
      <c r="P72" s="393"/>
      <c r="Q72" s="393"/>
      <c r="R72" s="393"/>
      <c r="S72" s="381">
        <f>SUM(F72:P72)</f>
        <v>5963071.4451809451</v>
      </c>
      <c r="T72" s="85"/>
      <c r="U72" s="85"/>
    </row>
    <row r="73" spans="1:21">
      <c r="A73" s="391">
        <v>2017</v>
      </c>
      <c r="B73" s="85" t="s">
        <v>780</v>
      </c>
      <c r="C73" s="394" t="s">
        <v>25</v>
      </c>
      <c r="D73" s="85" t="s">
        <v>62</v>
      </c>
      <c r="E73" s="85"/>
      <c r="F73" s="395">
        <f>F69*'Census 2011_17'!F$86/F$70</f>
        <v>5692083.2899908135</v>
      </c>
      <c r="G73" s="395">
        <f>G69*'Census 2011_17'!G$86/G$70</f>
        <v>185746.90189570168</v>
      </c>
      <c r="H73" s="395">
        <f>H69*'Census 2011_17'!H$86/H$70</f>
        <v>179248.01347085144</v>
      </c>
      <c r="I73" s="395">
        <f>I69*'Census 2011_17'!I$86/I$70</f>
        <v>170501.38813051491</v>
      </c>
      <c r="J73" s="395">
        <f>J69*'Census 2011_17'!J$86/J$70</f>
        <v>30941.551027480829</v>
      </c>
      <c r="K73" s="395">
        <f>K69*'Census 2011_17'!K$86/K$70</f>
        <v>2150.1286662575799</v>
      </c>
      <c r="L73" s="395">
        <f>L69*'Census 2011_17'!L$86/L$70</f>
        <v>13015.042444842333</v>
      </c>
      <c r="M73" s="395">
        <f>M69*'Census 2011_17'!M$86/M$70</f>
        <v>120857.63886181016</v>
      </c>
      <c r="N73" s="393"/>
      <c r="O73" s="393"/>
      <c r="P73" s="393"/>
      <c r="Q73" s="393"/>
      <c r="R73" s="393"/>
      <c r="S73" s="381">
        <f>SUM(F73:P73)</f>
        <v>6394543.9544882718</v>
      </c>
      <c r="T73" s="85"/>
      <c r="U73" s="85"/>
    </row>
    <row r="74" spans="1:21">
      <c r="A74" s="391">
        <v>2017</v>
      </c>
      <c r="B74" s="85" t="s">
        <v>780</v>
      </c>
      <c r="C74" s="394" t="s">
        <v>22</v>
      </c>
      <c r="D74" s="85" t="s">
        <v>62</v>
      </c>
      <c r="E74" s="85"/>
      <c r="F74" s="393">
        <f>F71*'Census 2011_17'!$H3/$S71</f>
        <v>5286404.2506649625</v>
      </c>
      <c r="G74" s="393">
        <f>G71*'Census 2011_17'!$H3/$S71</f>
        <v>75330.99260004345</v>
      </c>
      <c r="H74" s="393">
        <f>H71*'Census 2011_17'!$H3/$S71</f>
        <v>776724.1377097005</v>
      </c>
      <c r="I74" s="393">
        <f>I71*'Census 2011_17'!$H3/$S71</f>
        <v>1499155.3688435061</v>
      </c>
      <c r="J74" s="393">
        <f>J71*'Census 2011_17'!$H3/$S71</f>
        <v>125863.05836014064</v>
      </c>
      <c r="K74" s="393">
        <f>K71*'Census 2011_17'!$H3/$S71</f>
        <v>12984.717872197853</v>
      </c>
      <c r="L74" s="393">
        <f>L71*'Census 2011_17'!$H3/$S71</f>
        <v>8506.7728180853719</v>
      </c>
      <c r="M74" s="393">
        <f>M71*'Census 2011_17'!$H3/$S71</f>
        <v>157820.03653342306</v>
      </c>
      <c r="N74" s="393">
        <f>N71*'Census 2011_17'!$H3/$S71</f>
        <v>0</v>
      </c>
      <c r="O74" s="393">
        <f>O71*'Census 2011_17'!$H3/$S71</f>
        <v>0</v>
      </c>
      <c r="P74" s="393">
        <f>P71*'Census 2011_17'!$H3/$S71</f>
        <v>0</v>
      </c>
      <c r="Q74" s="393"/>
      <c r="R74" s="393"/>
      <c r="S74" s="381">
        <f>SUM(F74:M74)</f>
        <v>7942789.3354020594</v>
      </c>
      <c r="T74" s="85"/>
      <c r="U74" s="85"/>
    </row>
    <row r="75" spans="1:21">
      <c r="A75" s="391">
        <v>2017</v>
      </c>
      <c r="B75" s="85" t="s">
        <v>780</v>
      </c>
      <c r="C75" s="394" t="s">
        <v>24</v>
      </c>
      <c r="D75" s="85" t="s">
        <v>62</v>
      </c>
      <c r="E75" s="85"/>
      <c r="F75" s="393">
        <f>F72*'Census 2011_17'!$H4/$S72</f>
        <v>4024456.6317426939</v>
      </c>
      <c r="G75" s="393">
        <f>G72*'Census 2011_17'!$H4/$S72</f>
        <v>51523.949844480434</v>
      </c>
      <c r="H75" s="393">
        <f>H72*'Census 2011_17'!$H4/$S72</f>
        <v>415018.07458806032</v>
      </c>
      <c r="I75" s="393">
        <f>I72*'Census 2011_17'!$H4/$S72</f>
        <v>705384.72862186702</v>
      </c>
      <c r="J75" s="393">
        <f>J72*'Census 2011_17'!$H4/$S72</f>
        <v>81868.019560026558</v>
      </c>
      <c r="K75" s="393">
        <f>K72*'Census 2011_17'!$H4/$S72</f>
        <v>6316.2606310350211</v>
      </c>
      <c r="L75" s="393">
        <f>L72*'Census 2011_17'!$H4/$S72</f>
        <v>5975.3798172221532</v>
      </c>
      <c r="M75" s="393">
        <f>M72*'Census 2011_17'!$H4/$S72</f>
        <v>82520.329143068346</v>
      </c>
      <c r="N75" s="393">
        <f>N72*'Census 2011_17'!$H4/$S72</f>
        <v>0</v>
      </c>
      <c r="O75" s="393">
        <f>O72*'Census 2011_17'!$H4/$S72</f>
        <v>0</v>
      </c>
      <c r="P75" s="393">
        <f>P72*'Census 2011_17'!$H4/$S72</f>
        <v>0</v>
      </c>
      <c r="Q75" s="393"/>
      <c r="R75" s="393"/>
      <c r="S75" s="381">
        <f>SUM(F75:M75)</f>
        <v>5373063.3739484549</v>
      </c>
      <c r="T75" s="85"/>
      <c r="U75" s="85"/>
    </row>
    <row r="76" spans="1:21">
      <c r="A76" s="391">
        <v>2017</v>
      </c>
      <c r="B76" s="85" t="s">
        <v>780</v>
      </c>
      <c r="C76" s="394" t="s">
        <v>25</v>
      </c>
      <c r="D76" s="85" t="s">
        <v>62</v>
      </c>
      <c r="E76" s="85"/>
      <c r="F76" s="393">
        <f>F73*'Census 2011_17'!$H5/$S73</f>
        <v>3663092.8443372026</v>
      </c>
      <c r="G76" s="393">
        <f>G73*'Census 2011_17'!$H5/$S73</f>
        <v>119535.87333980268</v>
      </c>
      <c r="H76" s="393">
        <f>H73*'Census 2011_17'!$H5/$S73</f>
        <v>115353.56776337582</v>
      </c>
      <c r="I76" s="393">
        <f>I73*'Census 2011_17'!$H5/$S73</f>
        <v>109724.74979568635</v>
      </c>
      <c r="J76" s="393">
        <f>J73*'Census 2011_17'!$H5/$S73</f>
        <v>19912.177736535257</v>
      </c>
      <c r="K76" s="393">
        <f>K73*'Census 2011_17'!$H5/$S73</f>
        <v>1383.6974145515615</v>
      </c>
      <c r="L76" s="393">
        <f>L73*'Census 2011_17'!$H5/$S73</f>
        <v>8375.7222829611583</v>
      </c>
      <c r="M76" s="393">
        <f>M73*'Census 2011_17'!$H5/$S73</f>
        <v>77776.92797936924</v>
      </c>
      <c r="N76" s="393">
        <f>N73*'Census 2011_17'!$H5/$S73</f>
        <v>0</v>
      </c>
      <c r="O76" s="393">
        <f>O73*'Census 2011_17'!$H5/$S73</f>
        <v>0</v>
      </c>
      <c r="P76" s="393">
        <f>P73*'Census 2011_17'!$H5/$S73</f>
        <v>0</v>
      </c>
      <c r="Q76" s="393"/>
      <c r="R76" s="393"/>
      <c r="S76" s="381">
        <f>SUM(F76:M76)</f>
        <v>4115155.5606494839</v>
      </c>
      <c r="T76" s="85"/>
      <c r="U76" s="85"/>
    </row>
    <row r="77" spans="1:21">
      <c r="A77" s="391">
        <v>2017</v>
      </c>
      <c r="B77" s="85" t="s">
        <v>780</v>
      </c>
      <c r="C77" s="394"/>
      <c r="D77" s="85" t="s">
        <v>62</v>
      </c>
      <c r="E77" s="85"/>
      <c r="F77" s="382">
        <f t="shared" ref="F77:M77" si="20">SUM(F74:F76)/SUM($F$27:$M$29)</f>
        <v>0.74430311349653566</v>
      </c>
      <c r="G77" s="382">
        <f t="shared" si="20"/>
        <v>1.4135201588331679E-2</v>
      </c>
      <c r="H77" s="382">
        <f t="shared" si="20"/>
        <v>7.4986814291789508E-2</v>
      </c>
      <c r="I77" s="382">
        <f t="shared" si="20"/>
        <v>0.1327671246214755</v>
      </c>
      <c r="J77" s="382">
        <f t="shared" si="20"/>
        <v>1.3059672288062226E-2</v>
      </c>
      <c r="K77" s="382">
        <f t="shared" si="20"/>
        <v>1.1866597501066093E-3</v>
      </c>
      <c r="L77" s="382">
        <f t="shared" si="20"/>
        <v>1.3113340642267211E-3</v>
      </c>
      <c r="M77" s="382">
        <f t="shared" si="20"/>
        <v>1.82500798994722E-2</v>
      </c>
      <c r="N77" s="393"/>
      <c r="O77" s="393"/>
      <c r="P77" s="393"/>
      <c r="Q77" s="393"/>
      <c r="R77" s="393"/>
      <c r="S77" s="381"/>
      <c r="T77" s="85"/>
      <c r="U77" s="85"/>
    </row>
    <row r="78" spans="1:21">
      <c r="A78" s="391" t="s">
        <v>793</v>
      </c>
      <c r="B78" s="85" t="s">
        <v>780</v>
      </c>
      <c r="C78" s="394" t="s">
        <v>22</v>
      </c>
      <c r="D78" s="85" t="s">
        <v>62</v>
      </c>
      <c r="E78" s="85"/>
      <c r="F78" s="396">
        <f t="shared" ref="F78:M80" si="21">F74/SUM($F74:$M74)</f>
        <v>0.66556017381737187</v>
      </c>
      <c r="G78" s="396">
        <f t="shared" si="21"/>
        <v>9.4841987391360467E-3</v>
      </c>
      <c r="H78" s="396">
        <f t="shared" si="21"/>
        <v>9.7789844966394687E-2</v>
      </c>
      <c r="I78" s="396">
        <f t="shared" si="21"/>
        <v>0.18874419370051437</v>
      </c>
      <c r="J78" s="396">
        <f t="shared" si="21"/>
        <v>1.5846203776191368E-2</v>
      </c>
      <c r="K78" s="396">
        <f t="shared" si="21"/>
        <v>1.6347805945605598E-3</v>
      </c>
      <c r="L78" s="396">
        <f t="shared" si="21"/>
        <v>1.0710057208957518E-3</v>
      </c>
      <c r="M78" s="396">
        <f t="shared" si="21"/>
        <v>1.9869598684935322E-2</v>
      </c>
      <c r="N78" s="393"/>
      <c r="O78" s="393"/>
      <c r="P78" s="393"/>
      <c r="Q78" s="393"/>
      <c r="R78" s="393"/>
      <c r="S78" s="383">
        <f>SUM(F78:O78)</f>
        <v>1</v>
      </c>
      <c r="T78" s="85"/>
      <c r="U78" s="85"/>
    </row>
    <row r="79" spans="1:21">
      <c r="A79" s="391" t="s">
        <v>793</v>
      </c>
      <c r="B79" s="85" t="s">
        <v>780</v>
      </c>
      <c r="C79" s="394" t="s">
        <v>24</v>
      </c>
      <c r="D79" s="85" t="s">
        <v>62</v>
      </c>
      <c r="E79" s="85"/>
      <c r="F79" s="396">
        <f t="shared" si="21"/>
        <v>0.74900598627878789</v>
      </c>
      <c r="G79" s="396">
        <f t="shared" si="21"/>
        <v>9.5893061850520281E-3</v>
      </c>
      <c r="H79" s="396">
        <f t="shared" si="21"/>
        <v>7.7240494984722227E-2</v>
      </c>
      <c r="I79" s="396">
        <f t="shared" si="21"/>
        <v>0.13128166923211018</v>
      </c>
      <c r="J79" s="396">
        <f t="shared" si="21"/>
        <v>1.5236749292213343E-2</v>
      </c>
      <c r="K79" s="396">
        <f t="shared" si="21"/>
        <v>1.1755418076138282E-3</v>
      </c>
      <c r="L79" s="396">
        <f t="shared" si="21"/>
        <v>1.1120992628142184E-3</v>
      </c>
      <c r="M79" s="396">
        <f t="shared" si="21"/>
        <v>1.5358152956686117E-2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0.8901468705982688</v>
      </c>
      <c r="G80" s="396">
        <f t="shared" si="21"/>
        <v>2.9047716806345141E-2</v>
      </c>
      <c r="H80" s="396">
        <f t="shared" si="21"/>
        <v>2.8031399071866404E-2</v>
      </c>
      <c r="I80" s="396">
        <f t="shared" si="21"/>
        <v>2.6663572780798787E-2</v>
      </c>
      <c r="J80" s="396">
        <f t="shared" si="21"/>
        <v>4.8387424103580115E-3</v>
      </c>
      <c r="K80" s="396">
        <f t="shared" si="21"/>
        <v>3.362442547209992E-4</v>
      </c>
      <c r="L80" s="396">
        <f t="shared" si="21"/>
        <v>2.0353355200111172E-3</v>
      </c>
      <c r="M80" s="396">
        <f t="shared" si="21"/>
        <v>1.8900118557630886E-2</v>
      </c>
      <c r="N80" s="393"/>
      <c r="O80" s="393"/>
      <c r="P80" s="393"/>
      <c r="Q80" s="393"/>
      <c r="R80" s="393"/>
      <c r="S80" s="383">
        <f t="shared" si="22"/>
        <v>0.99999999999999967</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dimension ref="A1:AV221"/>
  <sheetViews>
    <sheetView topLeftCell="A25" zoomScale="90" zoomScaleNormal="90" workbookViewId="0">
      <selection activeCell="N38" sqref="N38"/>
    </sheetView>
  </sheetViews>
  <sheetFormatPr defaultColWidth="8.81640625" defaultRowHeight="12.5" outlineLevelRow="3"/>
  <cols>
    <col min="1" max="1" width="4.453125" customWidth="1"/>
    <col min="2" max="2" width="15.1796875" customWidth="1"/>
    <col min="3" max="3" width="13.26953125" customWidth="1"/>
    <col min="4" max="4" width="8.7265625" customWidth="1"/>
    <col min="5" max="5" width="16.26953125" customWidth="1"/>
    <col min="6" max="6" width="11.81640625" customWidth="1"/>
    <col min="7" max="7" width="13.453125" customWidth="1"/>
    <col min="8" max="8" width="15.453125" customWidth="1"/>
    <col min="9" max="9" width="8.453125" customWidth="1"/>
    <col min="10" max="10" width="12.54296875" customWidth="1"/>
    <col min="11" max="11" width="15.7265625" customWidth="1"/>
    <col min="12" max="12" width="8.1796875" customWidth="1"/>
    <col min="13" max="23" width="11.453125" customWidth="1"/>
    <col min="24" max="24" width="18" customWidth="1"/>
    <col min="25" max="25" width="11.7265625" customWidth="1"/>
    <col min="26" max="26" width="8.81640625" customWidth="1"/>
    <col min="27" max="34" width="13.453125" customWidth="1"/>
    <col min="35" max="35" width="8.26953125" customWidth="1"/>
    <col min="36" max="36" width="26.453125" customWidth="1"/>
    <col min="37" max="37" width="19.453125" customWidth="1"/>
    <col min="38" max="38" width="16.81640625" customWidth="1"/>
    <col min="39" max="39" width="13.453125" customWidth="1"/>
    <col min="40" max="40" width="11.81640625" customWidth="1"/>
    <col min="41" max="41" width="13.7265625" customWidth="1"/>
    <col min="42" max="42" width="14.1796875" customWidth="1"/>
    <col min="43" max="43" width="11.26953125" customWidth="1"/>
    <col min="44" max="44" width="16.26953125" customWidth="1"/>
    <col min="47" max="47" width="6.7265625" customWidth="1"/>
  </cols>
  <sheetData>
    <row r="1" spans="2:41">
      <c r="B1" s="633" t="s">
        <v>436</v>
      </c>
      <c r="C1" s="245"/>
      <c r="D1" s="245" t="s">
        <v>416</v>
      </c>
      <c r="E1" s="288" t="s">
        <v>17</v>
      </c>
      <c r="F1" s="289">
        <v>0.67856555411775232</v>
      </c>
      <c r="G1" s="1" t="s">
        <v>539</v>
      </c>
    </row>
    <row r="2" spans="2:41">
      <c r="B2" s="633"/>
      <c r="C2" s="245"/>
      <c r="D2" s="245"/>
      <c r="E2" s="288" t="s">
        <v>42</v>
      </c>
      <c r="F2" s="289">
        <v>0.8987980685965391</v>
      </c>
      <c r="G2" s="1" t="s">
        <v>11</v>
      </c>
      <c r="O2" s="1" t="s">
        <v>902</v>
      </c>
      <c r="R2">
        <v>2017</v>
      </c>
    </row>
    <row r="3" spans="2:41">
      <c r="B3" s="245"/>
      <c r="C3" s="245"/>
      <c r="D3" s="245"/>
      <c r="E3" s="288" t="s">
        <v>9</v>
      </c>
      <c r="F3" s="289">
        <v>1.2823586786458017</v>
      </c>
      <c r="O3" s="1" t="s">
        <v>895</v>
      </c>
      <c r="P3" s="1" t="s">
        <v>896</v>
      </c>
      <c r="Q3" s="1" t="s">
        <v>897</v>
      </c>
      <c r="R3" s="1" t="s">
        <v>1025</v>
      </c>
      <c r="S3" s="1" t="s">
        <v>1046</v>
      </c>
      <c r="T3" s="1" t="s">
        <v>1047</v>
      </c>
      <c r="U3" s="1" t="s">
        <v>1048</v>
      </c>
      <c r="V3" s="1" t="s">
        <v>1026</v>
      </c>
      <c r="W3" s="1" t="s">
        <v>1052</v>
      </c>
      <c r="X3" s="1" t="s">
        <v>1049</v>
      </c>
      <c r="Y3" s="1" t="s">
        <v>1050</v>
      </c>
      <c r="Z3" s="1" t="s">
        <v>1051</v>
      </c>
    </row>
    <row r="4" spans="2:41" ht="13">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6086162.3282518294</v>
      </c>
      <c r="W4" s="8">
        <f>R4*$V$7/$R$7</f>
        <v>8498485.2739049774</v>
      </c>
      <c r="X4" s="8">
        <f>V4</f>
        <v>6086162.3282518294</v>
      </c>
      <c r="Y4" s="8">
        <f>W4-X4</f>
        <v>2412322.945653148</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4694714.1229874622</v>
      </c>
      <c r="W5" s="8">
        <f t="shared" ref="W5:W6" si="3">R5*$V$7/$R$7</f>
        <v>3742066.5078052091</v>
      </c>
      <c r="X5" s="8"/>
      <c r="Y5" s="8">
        <f>V5-Y4</f>
        <v>2282391.1773343142</v>
      </c>
      <c r="Z5" s="8">
        <f>W5-Y5</f>
        <v>1459675.3304708949</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4115155.5606494844</v>
      </c>
      <c r="W6" s="8">
        <f t="shared" si="3"/>
        <v>2655480.2301785895</v>
      </c>
      <c r="X6" s="8"/>
      <c r="Z6" s="8">
        <f>V6-Z5</f>
        <v>2655480.2301785895</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14896032.011888776</v>
      </c>
      <c r="W7">
        <f>SUM(W4:W6)</f>
        <v>14896032.011888776</v>
      </c>
      <c r="X7" s="8">
        <f>SUM(X4:X6)</f>
        <v>6086162.3282518294</v>
      </c>
      <c r="Y7" s="8">
        <f>SUM(Y4:Y6)</f>
        <v>4694714.1229874622</v>
      </c>
      <c r="Z7" s="8">
        <f>SUM(Z4:Z6)</f>
        <v>4115155.5606494844</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3">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1055</v>
      </c>
      <c r="T14" s="512" t="s">
        <v>1045</v>
      </c>
      <c r="U14" s="603"/>
      <c r="V14" s="512" t="s">
        <v>903</v>
      </c>
    </row>
    <row r="15" spans="2:41" ht="13">
      <c r="B15" s="1" t="s">
        <v>242</v>
      </c>
      <c r="C15" s="1" t="s">
        <v>11</v>
      </c>
      <c r="D15" t="str">
        <f>RIGHT(LEFT(B15,2),1)</f>
        <v>L</v>
      </c>
      <c r="E15" s="3" t="str">
        <f>RIGHT(B15,1)</f>
        <v>L</v>
      </c>
      <c r="F15" s="3">
        <f t="shared" ref="F15:K24" si="4">SUMIFS($I$56:$I$160,$D$56:$D$160,$B15,$C$56:$C$160,F$8)</f>
        <v>4.9326966818374585</v>
      </c>
      <c r="G15" s="3">
        <f t="shared" si="4"/>
        <v>0</v>
      </c>
      <c r="H15" s="3">
        <f t="shared" si="4"/>
        <v>0</v>
      </c>
      <c r="I15" s="3">
        <f t="shared" si="4"/>
        <v>0</v>
      </c>
      <c r="J15" s="3">
        <f t="shared" si="4"/>
        <v>0</v>
      </c>
      <c r="K15" s="3">
        <f t="shared" si="4"/>
        <v>0</v>
      </c>
      <c r="N15" s="513" t="str">
        <f>Energy_Balance!B56</f>
        <v>Electricity</v>
      </c>
      <c r="O15" s="514" t="str">
        <f>Energy_Balance!E56</f>
        <v>Low Income</v>
      </c>
      <c r="P15" s="514" t="str">
        <f>Energy_Balance!F56</f>
        <v>Lighting</v>
      </c>
      <c r="Q15" s="514"/>
      <c r="R15" s="515">
        <v>3.6888825388965123</v>
      </c>
      <c r="S15" s="605">
        <f>S4*$X$4</f>
        <v>4.9867086932228846</v>
      </c>
      <c r="T15" s="516">
        <f t="shared" ref="T15:T32" si="5">S15*$F$10/$S$33</f>
        <v>4.9326966818374576</v>
      </c>
      <c r="U15" s="516"/>
      <c r="V15" s="514">
        <v>5.5647070597880148</v>
      </c>
    </row>
    <row r="16" spans="2:41" ht="13">
      <c r="B16" s="1" t="s">
        <v>259</v>
      </c>
      <c r="C16" s="1" t="s">
        <v>11</v>
      </c>
      <c r="D16" t="s">
        <v>78</v>
      </c>
      <c r="E16" s="3" t="s">
        <v>78</v>
      </c>
      <c r="F16" s="3">
        <f t="shared" si="4"/>
        <v>0</v>
      </c>
      <c r="G16" s="3">
        <f t="shared" si="4"/>
        <v>0.40839895642726953</v>
      </c>
      <c r="H16" s="3">
        <f t="shared" si="4"/>
        <v>0</v>
      </c>
      <c r="I16" s="3">
        <f t="shared" si="4"/>
        <v>0</v>
      </c>
      <c r="J16" s="3">
        <f t="shared" si="4"/>
        <v>0</v>
      </c>
      <c r="K16" s="3">
        <f t="shared" si="4"/>
        <v>0</v>
      </c>
      <c r="N16" s="513" t="str">
        <f t="shared" ref="N16:O19" si="6">N15</f>
        <v>Electricity</v>
      </c>
      <c r="O16" s="514" t="str">
        <f t="shared" si="6"/>
        <v>Low Income</v>
      </c>
      <c r="P16" s="517" t="str">
        <f>Energy_Balance!F60</f>
        <v>Cooking</v>
      </c>
      <c r="Q16" s="514"/>
      <c r="R16" s="515">
        <v>10.581932621358369</v>
      </c>
      <c r="S16" s="605">
        <f t="shared" ref="S16:S20" si="7">S5*$X$4</f>
        <v>9.2967842768619793</v>
      </c>
      <c r="T16" s="516">
        <f t="shared" si="5"/>
        <v>9.1960889988538312</v>
      </c>
      <c r="U16" s="516"/>
      <c r="V16" s="517">
        <v>10.429552567500799</v>
      </c>
    </row>
    <row r="17" spans="2:24" ht="13">
      <c r="B17" s="1" t="s">
        <v>243</v>
      </c>
      <c r="C17" s="1" t="s">
        <v>12</v>
      </c>
      <c r="D17" t="str">
        <f t="shared" ref="D17:D37" si="8">RIGHT(LEFT(B17,2),1)</f>
        <v>L</v>
      </c>
      <c r="E17" s="3" t="str">
        <f t="shared" ref="E17:E37" si="9">RIGHT(B17,1)</f>
        <v>K</v>
      </c>
      <c r="F17" s="3">
        <f t="shared" si="4"/>
        <v>9.196088998853833</v>
      </c>
      <c r="G17" s="3">
        <f t="shared" si="4"/>
        <v>1.6663284061754902</v>
      </c>
      <c r="H17" s="3">
        <f t="shared" si="4"/>
        <v>1.904237417940239</v>
      </c>
      <c r="I17" s="3">
        <f t="shared" si="4"/>
        <v>34.967637890800518</v>
      </c>
      <c r="J17" s="3">
        <f t="shared" si="4"/>
        <v>2.3535815120671839</v>
      </c>
      <c r="K17" s="3">
        <f t="shared" si="4"/>
        <v>0</v>
      </c>
      <c r="N17" s="513" t="str">
        <f t="shared" si="6"/>
        <v>Electricity</v>
      </c>
      <c r="O17" s="514" t="str">
        <f t="shared" si="6"/>
        <v>Low Income</v>
      </c>
      <c r="P17" s="518" t="str">
        <f>Energy_Balance!F139</f>
        <v>Space heating</v>
      </c>
      <c r="Q17" s="514"/>
      <c r="R17" s="515">
        <v>3.0599476608572518</v>
      </c>
      <c r="S17" s="605">
        <f t="shared" si="7"/>
        <v>0.96798945868620245</v>
      </c>
      <c r="T17" s="516">
        <f t="shared" si="5"/>
        <v>0.95750497666009438</v>
      </c>
      <c r="U17" s="516"/>
      <c r="V17" s="518">
        <v>1.0727313100437019</v>
      </c>
    </row>
    <row r="18" spans="2:24" ht="13">
      <c r="B18" s="1" t="s">
        <v>244</v>
      </c>
      <c r="C18" s="1" t="s">
        <v>310</v>
      </c>
      <c r="D18" t="str">
        <f t="shared" si="8"/>
        <v>L</v>
      </c>
      <c r="E18" s="3" t="str">
        <f t="shared" si="9"/>
        <v>H</v>
      </c>
      <c r="F18" s="3">
        <f t="shared" si="4"/>
        <v>0.95750497666009449</v>
      </c>
      <c r="G18" s="3">
        <f t="shared" si="4"/>
        <v>0.35693974145360596</v>
      </c>
      <c r="H18" s="3">
        <f t="shared" si="4"/>
        <v>0.14415128807126942</v>
      </c>
      <c r="I18" s="3">
        <f t="shared" si="4"/>
        <v>10.454948317666286</v>
      </c>
      <c r="J18" s="3">
        <f t="shared" si="4"/>
        <v>3.7550709430592919</v>
      </c>
      <c r="K18" s="3">
        <f t="shared" si="4"/>
        <v>0</v>
      </c>
      <c r="N18" s="513" t="str">
        <f t="shared" si="6"/>
        <v>Electricity</v>
      </c>
      <c r="O18" s="514" t="str">
        <f t="shared" si="6"/>
        <v>Low Income</v>
      </c>
      <c r="P18" s="518" t="str">
        <f>Energy_Balance!F147</f>
        <v>Water heating</v>
      </c>
      <c r="Q18" s="514"/>
      <c r="R18" s="515">
        <v>4.592932561831029</v>
      </c>
      <c r="S18" s="605">
        <f t="shared" si="7"/>
        <v>2.067962033774819</v>
      </c>
      <c r="T18" s="516">
        <f t="shared" si="5"/>
        <v>2.0455635349283408</v>
      </c>
      <c r="U18" s="516"/>
      <c r="V18" s="518">
        <v>2.3470935945922231</v>
      </c>
    </row>
    <row r="19" spans="2:24" ht="13">
      <c r="B19" s="1" t="s">
        <v>245</v>
      </c>
      <c r="C19" s="1" t="s">
        <v>14</v>
      </c>
      <c r="D19" t="str">
        <f t="shared" si="8"/>
        <v>L</v>
      </c>
      <c r="E19" s="3" t="str">
        <f t="shared" si="9"/>
        <v>W</v>
      </c>
      <c r="F19" s="3">
        <f t="shared" si="4"/>
        <v>2.0455635349283408</v>
      </c>
      <c r="G19" s="3">
        <f t="shared" si="4"/>
        <v>3.1719268744075291</v>
      </c>
      <c r="H19" s="3">
        <f t="shared" si="4"/>
        <v>1.0552619963705012</v>
      </c>
      <c r="I19" s="3">
        <f t="shared" si="4"/>
        <v>9.7869349556914056</v>
      </c>
      <c r="J19" s="3">
        <f t="shared" si="4"/>
        <v>0.59405855758485748</v>
      </c>
      <c r="K19" s="3">
        <f t="shared" si="4"/>
        <v>0</v>
      </c>
      <c r="N19" s="513" t="str">
        <f t="shared" si="6"/>
        <v>Electricity</v>
      </c>
      <c r="O19" s="514" t="str">
        <f t="shared" si="6"/>
        <v>Low Income</v>
      </c>
      <c r="P19" s="519" t="s">
        <v>15</v>
      </c>
      <c r="Q19" s="514"/>
      <c r="R19" s="515">
        <v>6.7346715439472549</v>
      </c>
      <c r="S19" s="605">
        <f t="shared" si="7"/>
        <v>11.141785084897476</v>
      </c>
      <c r="T19" s="516">
        <f t="shared" si="5"/>
        <v>11.021106244427546</v>
      </c>
      <c r="U19" s="516"/>
      <c r="V19" s="518">
        <v>11.627317653327299</v>
      </c>
    </row>
    <row r="20" spans="2:24" ht="13">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Energy_Balance!F158</f>
        <v>Other</v>
      </c>
      <c r="Q20" s="514"/>
      <c r="R20" s="515">
        <v>3.4662555015312217</v>
      </c>
      <c r="S20" s="605">
        <f t="shared" si="7"/>
        <v>7.5248368597461246</v>
      </c>
      <c r="T20" s="516">
        <f t="shared" si="5"/>
        <v>7.4433338887194749</v>
      </c>
      <c r="U20" s="516"/>
      <c r="V20" s="518">
        <v>7.9061600367087408</v>
      </c>
    </row>
    <row r="21" spans="2:24" ht="13">
      <c r="B21" s="1" t="s">
        <v>246</v>
      </c>
      <c r="C21" s="1" t="s">
        <v>15</v>
      </c>
      <c r="D21" t="str">
        <f t="shared" si="8"/>
        <v>L</v>
      </c>
      <c r="E21" s="3" t="str">
        <f t="shared" si="9"/>
        <v>R</v>
      </c>
      <c r="F21" s="3">
        <f t="shared" si="4"/>
        <v>11.021106244427544</v>
      </c>
      <c r="G21" s="3">
        <f t="shared" si="4"/>
        <v>0</v>
      </c>
      <c r="H21" s="3">
        <f t="shared" si="4"/>
        <v>0</v>
      </c>
      <c r="I21" s="3">
        <f t="shared" si="4"/>
        <v>0</v>
      </c>
      <c r="J21" s="3">
        <f t="shared" si="4"/>
        <v>0</v>
      </c>
      <c r="K21" s="3">
        <f t="shared" si="4"/>
        <v>0</v>
      </c>
      <c r="N21" s="513" t="str">
        <f>N20</f>
        <v>Electricity</v>
      </c>
      <c r="O21" s="518" t="str">
        <f>Energy_Balance!E124</f>
        <v>Middle Income</v>
      </c>
      <c r="P21" s="518" t="str">
        <f>P15</f>
        <v>Lighting</v>
      </c>
      <c r="Q21" s="514"/>
      <c r="R21" s="515">
        <v>4.2095865989599845</v>
      </c>
      <c r="S21" s="516">
        <f>S4*$Y$4+T4*$Y$5</f>
        <v>4.31269191729025</v>
      </c>
      <c r="T21" s="516">
        <f t="shared" si="5"/>
        <v>4.265980312649079</v>
      </c>
      <c r="U21" s="516"/>
      <c r="V21" s="514">
        <v>5.2847603981841891</v>
      </c>
    </row>
    <row r="22" spans="2:24" ht="13">
      <c r="B22" s="1" t="s">
        <v>247</v>
      </c>
      <c r="C22" s="1" t="s">
        <v>41</v>
      </c>
      <c r="D22" t="str">
        <f t="shared" si="8"/>
        <v>L</v>
      </c>
      <c r="E22" s="3" t="str">
        <f t="shared" si="9"/>
        <v>O</v>
      </c>
      <c r="F22" s="3">
        <f t="shared" si="4"/>
        <v>7.4433338887194749</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7.9183227737901376</v>
      </c>
      <c r="T22" s="516">
        <f t="shared" si="5"/>
        <v>7.8325578803259024</v>
      </c>
      <c r="U22" s="516"/>
      <c r="V22" s="517">
        <v>8.6733927981600907</v>
      </c>
    </row>
    <row r="23" spans="2:24" ht="13">
      <c r="B23" s="1" t="s">
        <v>248</v>
      </c>
      <c r="C23" s="1" t="s">
        <v>11</v>
      </c>
      <c r="D23" t="str">
        <f t="shared" si="8"/>
        <v>M</v>
      </c>
      <c r="E23" s="3" t="str">
        <f t="shared" si="9"/>
        <v>L</v>
      </c>
      <c r="F23" s="3">
        <f t="shared" si="4"/>
        <v>4.265980312649079</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1.9549886990482954</v>
      </c>
      <c r="T23" s="516">
        <f t="shared" si="5"/>
        <v>1.9338138363548154</v>
      </c>
      <c r="U23" s="516"/>
      <c r="V23" s="518">
        <v>3.5472479537265706</v>
      </c>
    </row>
    <row r="24" spans="2:24" ht="13">
      <c r="B24" s="1" t="s">
        <v>271</v>
      </c>
      <c r="C24" s="1" t="s">
        <v>11</v>
      </c>
      <c r="D24" t="str">
        <f t="shared" si="8"/>
        <v>M</v>
      </c>
      <c r="E24" s="3" t="str">
        <f t="shared" si="9"/>
        <v>L</v>
      </c>
      <c r="F24" s="3">
        <f t="shared" si="4"/>
        <v>0</v>
      </c>
      <c r="G24" s="3">
        <f t="shared" si="4"/>
        <v>0.74748267504449573</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9.7739303693128523</v>
      </c>
      <c r="T24" s="516">
        <f t="shared" si="5"/>
        <v>9.6680670292093591</v>
      </c>
      <c r="U24" s="516"/>
      <c r="V24" s="518">
        <v>7.4080340663885371</v>
      </c>
    </row>
    <row r="25" spans="2:24" ht="13">
      <c r="B25" t="s">
        <v>249</v>
      </c>
      <c r="C25" s="1" t="s">
        <v>12</v>
      </c>
      <c r="D25" t="str">
        <f t="shared" si="8"/>
        <v>M</v>
      </c>
      <c r="E25" s="3" t="str">
        <f t="shared" si="9"/>
        <v>K</v>
      </c>
      <c r="F25" s="3">
        <f t="shared" ref="F25:K37" si="12">SUMIFS($I$56:$I$160,$D$56:$D$160,$B25,$C$56:$C$160,F$8)</f>
        <v>7.8325578803259024</v>
      </c>
      <c r="G25" s="3">
        <f t="shared" si="12"/>
        <v>0.213882713452347</v>
      </c>
      <c r="H25" s="3">
        <f t="shared" si="12"/>
        <v>0.97146027136689783</v>
      </c>
      <c r="I25" s="3">
        <f t="shared" si="12"/>
        <v>16.470240170660297</v>
      </c>
      <c r="J25" s="3">
        <f t="shared" si="12"/>
        <v>1.6569113057431128</v>
      </c>
      <c r="K25" s="3">
        <f t="shared" si="12"/>
        <v>0</v>
      </c>
      <c r="N25" s="513" t="str">
        <f>N24</f>
        <v>Electricity</v>
      </c>
      <c r="O25" s="518" t="str">
        <f>O24</f>
        <v>Middle Income</v>
      </c>
      <c r="P25" s="519" t="s">
        <v>15</v>
      </c>
      <c r="Q25" s="514"/>
      <c r="R25" s="515">
        <v>7.3192909763665144</v>
      </c>
      <c r="S25" s="516">
        <f t="shared" si="11"/>
        <v>9.9467141716993588</v>
      </c>
      <c r="T25" s="516">
        <f t="shared" si="5"/>
        <v>9.8389793766391325</v>
      </c>
      <c r="U25" s="516"/>
      <c r="V25" s="518">
        <v>11.078811330003377</v>
      </c>
    </row>
    <row r="26" spans="2:24" ht="13">
      <c r="B26" t="s">
        <v>250</v>
      </c>
      <c r="C26" s="1" t="s">
        <v>310</v>
      </c>
      <c r="D26" t="str">
        <f t="shared" si="8"/>
        <v>M</v>
      </c>
      <c r="E26" s="3" t="str">
        <f t="shared" si="9"/>
        <v>H</v>
      </c>
      <c r="F26" s="3">
        <f t="shared" si="12"/>
        <v>1.9338138363548154</v>
      </c>
      <c r="G26" s="3">
        <f t="shared" si="12"/>
        <v>0.7628780260587259</v>
      </c>
      <c r="H26" s="3">
        <f t="shared" si="12"/>
        <v>1.1851951647682253</v>
      </c>
      <c r="I26" s="3">
        <f t="shared" si="12"/>
        <v>4.9192772377567433</v>
      </c>
      <c r="J26" s="3">
        <f t="shared" si="12"/>
        <v>5.0559700886146182</v>
      </c>
      <c r="K26" s="3">
        <f t="shared" si="12"/>
        <v>0</v>
      </c>
      <c r="N26" s="513" t="str">
        <f>N24</f>
        <v>Electricity</v>
      </c>
      <c r="O26" s="518" t="str">
        <f>O24</f>
        <v>Middle Income</v>
      </c>
      <c r="P26" s="518" t="str">
        <f>P20</f>
        <v>Other</v>
      </c>
      <c r="Q26" s="514"/>
      <c r="R26" s="515">
        <v>11.049842054668675</v>
      </c>
      <c r="S26" s="516">
        <f t="shared" si="11"/>
        <v>9.6936605846418438</v>
      </c>
      <c r="T26" s="516">
        <f t="shared" si="5"/>
        <v>9.5886666621823888</v>
      </c>
      <c r="U26" s="516"/>
      <c r="V26" s="518">
        <v>13.197168630893984</v>
      </c>
    </row>
    <row r="27" spans="2:24" ht="13">
      <c r="B27" t="s">
        <v>251</v>
      </c>
      <c r="C27" s="1" t="s">
        <v>14</v>
      </c>
      <c r="D27" t="str">
        <f t="shared" si="8"/>
        <v>M</v>
      </c>
      <c r="E27" s="3" t="str">
        <f t="shared" si="9"/>
        <v>W</v>
      </c>
      <c r="F27" s="3">
        <f t="shared" si="12"/>
        <v>0</v>
      </c>
      <c r="G27" s="3">
        <f t="shared" si="12"/>
        <v>2.1876095357695995</v>
      </c>
      <c r="H27" s="3">
        <f t="shared" si="12"/>
        <v>3.8659756459214241</v>
      </c>
      <c r="I27" s="3">
        <f t="shared" si="12"/>
        <v>5.9439143441639235</v>
      </c>
      <c r="J27" s="3">
        <f t="shared" si="12"/>
        <v>0.9716798484936372</v>
      </c>
      <c r="K27" s="3">
        <f t="shared" si="12"/>
        <v>0</v>
      </c>
      <c r="N27" s="513" t="str">
        <f>N26</f>
        <v>Electricity</v>
      </c>
      <c r="O27" s="518" t="str">
        <f>Energy_Balance!E150</f>
        <v>High Income</v>
      </c>
      <c r="P27" s="518" t="str">
        <f>P21</f>
        <v>Lighting</v>
      </c>
      <c r="Q27" s="514"/>
      <c r="R27" s="515">
        <v>5.3705442281752562</v>
      </c>
      <c r="S27" s="606">
        <f>T4*$Z$5+U4*$Z$6</f>
        <v>5.6540804129045403</v>
      </c>
      <c r="T27" s="516">
        <f t="shared" si="5"/>
        <v>5.5928399686710613</v>
      </c>
      <c r="U27" s="516"/>
      <c r="V27" s="514">
        <v>5.8942134825324617</v>
      </c>
    </row>
    <row r="28" spans="2:24" ht="13">
      <c r="B28" s="1" t="s">
        <v>558</v>
      </c>
      <c r="C28" s="1" t="s">
        <v>14</v>
      </c>
      <c r="D28" t="str">
        <f t="shared" si="8"/>
        <v>M</v>
      </c>
      <c r="E28" s="3" t="s">
        <v>560</v>
      </c>
      <c r="F28" s="3">
        <f t="shared" si="12"/>
        <v>9.6680670292093591</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6">
        <f t="shared" ref="S28:S30" si="13">T5*$Z$5+U5*$Z$6</f>
        <v>9.0130047632280874</v>
      </c>
      <c r="T28" s="516">
        <f t="shared" si="5"/>
        <v>8.9153831563052748</v>
      </c>
      <c r="U28" s="516"/>
      <c r="V28" s="517">
        <v>8.229006728119062</v>
      </c>
    </row>
    <row r="29" spans="2:24" ht="13">
      <c r="B29" s="1" t="s">
        <v>252</v>
      </c>
      <c r="C29" s="1" t="s">
        <v>15</v>
      </c>
      <c r="D29" t="str">
        <f t="shared" si="8"/>
        <v>M</v>
      </c>
      <c r="E29" s="3" t="str">
        <f t="shared" si="9"/>
        <v>R</v>
      </c>
      <c r="F29" s="3">
        <f t="shared" si="12"/>
        <v>9.8389793766391325</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6">
        <f t="shared" si="13"/>
        <v>2.6014136474817349</v>
      </c>
      <c r="T29" s="516">
        <f t="shared" si="5"/>
        <v>2.5732372304921194</v>
      </c>
      <c r="U29" s="516"/>
      <c r="V29" s="518">
        <v>2.2621322245231945</v>
      </c>
    </row>
    <row r="30" spans="2:24" ht="13">
      <c r="B30" t="s">
        <v>253</v>
      </c>
      <c r="C30" s="1" t="s">
        <v>41</v>
      </c>
      <c r="D30" t="str">
        <f t="shared" si="8"/>
        <v>M</v>
      </c>
      <c r="E30" s="3" t="str">
        <f t="shared" si="9"/>
        <v>O</v>
      </c>
      <c r="F30" s="3">
        <f t="shared" si="12"/>
        <v>9.5886666621823888</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6">
        <f t="shared" si="13"/>
        <v>44.578685418391345</v>
      </c>
      <c r="T30" s="516">
        <f t="shared" si="5"/>
        <v>44.095845009518499</v>
      </c>
      <c r="U30" s="604"/>
      <c r="V30" s="518">
        <v>40.014768265495256</v>
      </c>
      <c r="W30" s="516">
        <f>S30/SUM(S27:S32)</f>
        <v>0.48310638775760312</v>
      </c>
      <c r="X30" s="516" t="s">
        <v>1053</v>
      </c>
    </row>
    <row r="31" spans="2:24" ht="13">
      <c r="B31" t="s">
        <v>254</v>
      </c>
      <c r="C31" s="1" t="s">
        <v>11</v>
      </c>
      <c r="D31" t="str">
        <f t="shared" si="8"/>
        <v>H</v>
      </c>
      <c r="E31" s="3" t="str">
        <f t="shared" si="9"/>
        <v>L</v>
      </c>
      <c r="F31" s="3">
        <f t="shared" si="12"/>
        <v>5.5928399686710613</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6">
        <f>T8*$Z$5+U8*$Z$6</f>
        <v>12.538443114660831</v>
      </c>
      <c r="T31" s="516">
        <f t="shared" si="5"/>
        <v>12.402636799528574</v>
      </c>
      <c r="U31" s="516"/>
      <c r="V31" s="518">
        <v>12.088351425410425</v>
      </c>
    </row>
    <row r="32" spans="2:24" ht="13">
      <c r="B32" t="s">
        <v>255</v>
      </c>
      <c r="C32" s="1" t="s">
        <v>12</v>
      </c>
      <c r="D32" t="str">
        <f t="shared" si="8"/>
        <v>H</v>
      </c>
      <c r="E32" s="3" t="str">
        <f t="shared" si="9"/>
        <v>K</v>
      </c>
      <c r="F32" s="3">
        <f t="shared" si="12"/>
        <v>8.9153831563052766</v>
      </c>
      <c r="G32" s="3">
        <f t="shared" si="12"/>
        <v>9.8047990028176782E-2</v>
      </c>
      <c r="H32" s="3">
        <f t="shared" si="12"/>
        <v>4.1252927578215273</v>
      </c>
      <c r="I32" s="3">
        <f t="shared" si="12"/>
        <v>0.98560703676527339</v>
      </c>
      <c r="J32" s="3">
        <f t="shared" si="12"/>
        <v>0</v>
      </c>
      <c r="K32" s="3">
        <f t="shared" si="12"/>
        <v>0</v>
      </c>
      <c r="N32" s="513" t="str">
        <f>N30</f>
        <v>Electricity</v>
      </c>
      <c r="O32" s="518" t="str">
        <f>O30</f>
        <v>High Income</v>
      </c>
      <c r="P32" s="518" t="str">
        <f>P26</f>
        <v>Other</v>
      </c>
      <c r="Q32" s="514"/>
      <c r="R32" s="515">
        <v>16.642647032482181</v>
      </c>
      <c r="S32" s="606">
        <f>T9*$Z$5+U9*$Z$6</f>
        <v>17.889462660894008</v>
      </c>
      <c r="T32" s="516">
        <f t="shared" si="5"/>
        <v>17.695698412697091</v>
      </c>
      <c r="U32" s="516"/>
      <c r="V32" s="518">
        <v>15.706550474602096</v>
      </c>
    </row>
    <row r="33" spans="2:23">
      <c r="B33" t="s">
        <v>239</v>
      </c>
      <c r="C33" s="1" t="s">
        <v>310</v>
      </c>
      <c r="D33" t="str">
        <f t="shared" si="8"/>
        <v>H</v>
      </c>
      <c r="E33" s="3" t="str">
        <f t="shared" si="9"/>
        <v>H</v>
      </c>
      <c r="F33" s="3">
        <f t="shared" si="12"/>
        <v>2.5732372304921198</v>
      </c>
      <c r="G33" s="3">
        <f t="shared" si="12"/>
        <v>2.6505081182760407E-2</v>
      </c>
      <c r="H33" s="3">
        <f t="shared" si="12"/>
        <v>3.6662132083249852</v>
      </c>
      <c r="I33" s="3">
        <f t="shared" si="12"/>
        <v>0.23844004649551748</v>
      </c>
      <c r="J33" s="3">
        <f t="shared" si="12"/>
        <v>1.2297277444373003</v>
      </c>
      <c r="K33" s="3">
        <f t="shared" si="12"/>
        <v>0</v>
      </c>
      <c r="N33" s="516"/>
      <c r="O33" s="516"/>
      <c r="P33" s="516"/>
      <c r="Q33" s="515"/>
      <c r="R33" s="515">
        <f>SUM(R15:R32)</f>
        <v>172.33199999999999</v>
      </c>
      <c r="S33" s="521">
        <f>SUM(S15:S32)</f>
        <v>171.86146494053273</v>
      </c>
      <c r="T33" s="521">
        <f>SUM(T15:T32)</f>
        <v>170.00000000000006</v>
      </c>
      <c r="U33" s="521"/>
      <c r="V33" s="515">
        <f>SUM(V15:V32)</f>
        <v>172.33200000000002</v>
      </c>
    </row>
    <row r="34" spans="2:23">
      <c r="B34" s="245" t="s">
        <v>256</v>
      </c>
      <c r="C34" s="611" t="s">
        <v>14</v>
      </c>
      <c r="D34" s="245" t="str">
        <f t="shared" si="8"/>
        <v>H</v>
      </c>
      <c r="E34" s="609" t="str">
        <f t="shared" si="9"/>
        <v>W</v>
      </c>
      <c r="F34" s="609">
        <f t="shared" si="12"/>
        <v>0</v>
      </c>
      <c r="G34" s="609">
        <f t="shared" si="12"/>
        <v>0</v>
      </c>
      <c r="H34" s="609">
        <f t="shared" si="12"/>
        <v>0</v>
      </c>
      <c r="I34" s="609">
        <f t="shared" si="12"/>
        <v>0</v>
      </c>
      <c r="J34" s="609">
        <f t="shared" si="12"/>
        <v>0</v>
      </c>
      <c r="K34" s="609">
        <f t="shared" si="12"/>
        <v>0</v>
      </c>
      <c r="L34" s="3"/>
      <c r="M34" s="3">
        <f>H34/SUM(F34:K35)</f>
        <v>0</v>
      </c>
      <c r="N34" s="3"/>
      <c r="O34" s="3"/>
      <c r="P34" s="3"/>
      <c r="Q34" s="3"/>
      <c r="R34" s="3"/>
      <c r="S34" s="520"/>
      <c r="T34" s="3"/>
      <c r="U34" s="3">
        <v>0.8566143176859965</v>
      </c>
      <c r="V34" s="3"/>
      <c r="W34" s="3"/>
    </row>
    <row r="35" spans="2:23">
      <c r="B35" s="1" t="s">
        <v>561</v>
      </c>
      <c r="C35" s="1" t="s">
        <v>14</v>
      </c>
      <c r="D35" t="str">
        <f t="shared" si="8"/>
        <v>H</v>
      </c>
      <c r="E35" s="3" t="s">
        <v>560</v>
      </c>
      <c r="F35" s="3">
        <f t="shared" si="12"/>
        <v>44.095845009518499</v>
      </c>
      <c r="G35" s="3">
        <f t="shared" si="12"/>
        <v>0</v>
      </c>
      <c r="H35" s="3">
        <f t="shared" si="12"/>
        <v>1.0522122494149295</v>
      </c>
      <c r="I35" s="3">
        <f t="shared" si="12"/>
        <v>0</v>
      </c>
      <c r="J35" s="3">
        <f t="shared" si="12"/>
        <v>0</v>
      </c>
      <c r="K35" s="3">
        <f t="shared" si="12"/>
        <v>0</v>
      </c>
    </row>
    <row r="36" spans="2:23">
      <c r="B36" s="1" t="s">
        <v>257</v>
      </c>
      <c r="C36" s="1" t="s">
        <v>15</v>
      </c>
      <c r="D36" t="str">
        <f t="shared" si="8"/>
        <v>H</v>
      </c>
      <c r="E36" s="3" t="str">
        <f t="shared" si="9"/>
        <v>R</v>
      </c>
      <c r="F36" s="3">
        <f t="shared" si="12"/>
        <v>12.402636799528574</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17.695698412697091</v>
      </c>
      <c r="G37" s="3">
        <f t="shared" si="12"/>
        <v>0</v>
      </c>
      <c r="H37" s="3">
        <f t="shared" si="12"/>
        <v>0</v>
      </c>
      <c r="I37" s="3">
        <f t="shared" si="12"/>
        <v>0</v>
      </c>
      <c r="J37" s="3">
        <f t="shared" si="12"/>
        <v>0</v>
      </c>
      <c r="K37" s="3">
        <f t="shared" si="12"/>
        <v>0</v>
      </c>
    </row>
    <row r="38" spans="2:23" ht="13">
      <c r="E38" s="3"/>
      <c r="F38" s="270">
        <f t="shared" ref="F38:K38" si="14">SUM(F15:F37)</f>
        <v>170.00000000000006</v>
      </c>
      <c r="G38" s="270">
        <f t="shared" si="14"/>
        <v>9.6399999999999988</v>
      </c>
      <c r="H38" s="270">
        <f t="shared" si="14"/>
        <v>17.97</v>
      </c>
      <c r="I38" s="270">
        <f t="shared" si="14"/>
        <v>83.766999999999967</v>
      </c>
      <c r="J38" s="270">
        <f t="shared" si="14"/>
        <v>15.617000000000003</v>
      </c>
      <c r="K38" s="270">
        <f t="shared" si="14"/>
        <v>0</v>
      </c>
    </row>
    <row r="39" spans="2:23" ht="13">
      <c r="E39" s="3"/>
      <c r="F39" s="270"/>
      <c r="G39" s="270"/>
      <c r="H39" s="270"/>
      <c r="I39" s="270"/>
      <c r="J39" s="270"/>
      <c r="K39" s="270"/>
    </row>
    <row r="41" spans="2:23" ht="13">
      <c r="B41" s="1" t="s">
        <v>804</v>
      </c>
      <c r="F41" s="5" t="s">
        <v>42</v>
      </c>
      <c r="G41" s="5" t="s">
        <v>17</v>
      </c>
      <c r="H41" s="5" t="s">
        <v>43</v>
      </c>
      <c r="I41" s="5" t="s">
        <v>7</v>
      </c>
      <c r="J41" s="5" t="s">
        <v>9</v>
      </c>
      <c r="K41" s="5" t="s">
        <v>159</v>
      </c>
    </row>
    <row r="42" spans="2:23" ht="13">
      <c r="B42" s="1" t="s">
        <v>27</v>
      </c>
      <c r="C42">
        <v>2017</v>
      </c>
      <c r="F42" s="3">
        <f>SUMIF($B$56:$B$159,F14,$L$56:$L$159)</f>
        <v>170.00000000000006</v>
      </c>
      <c r="G42" s="3">
        <f>SUMIF($B$56:$B$160,G14,$L$56:$L$160)</f>
        <v>19.722198243095033</v>
      </c>
      <c r="H42" s="3">
        <f>SUMIF($B$56:$B$160,H14,$L$56:$L$160)</f>
        <v>5.4882734377168934</v>
      </c>
      <c r="I42" s="3">
        <f>SUMIF($B$56:$B$160,I14,$L$56:$L$160)</f>
        <v>134.72407327000076</v>
      </c>
      <c r="J42" s="3">
        <f>SUMIF($B$56:$B$160,J14,$L$56:$L$160)</f>
        <v>6.4642579579304522</v>
      </c>
      <c r="K42">
        <f>SUMIF($B$56:$B$160,K14,$L$56:$L$160)</f>
        <v>0</v>
      </c>
      <c r="M42" s="432" t="s">
        <v>840</v>
      </c>
      <c r="N42" s="432"/>
      <c r="O42" s="432"/>
      <c r="P42" s="432"/>
      <c r="Q42" s="432"/>
      <c r="R42" s="432"/>
      <c r="S42" s="432"/>
      <c r="T42" s="432"/>
      <c r="U42" s="432"/>
      <c r="V42" s="432"/>
      <c r="W42" s="432"/>
    </row>
    <row r="43" spans="2:23">
      <c r="B43" s="1" t="s">
        <v>18</v>
      </c>
      <c r="D43" t="s">
        <v>78</v>
      </c>
      <c r="F43" s="3">
        <f t="shared" ref="F43:K45" si="15">SUMIF($D$15:$D$37,$D43,F$15:F$37)</f>
        <v>35.59629432542674</v>
      </c>
      <c r="G43" s="3">
        <f t="shared" si="15"/>
        <v>5.6035939784638948</v>
      </c>
      <c r="H43" s="3">
        <f t="shared" si="15"/>
        <v>3.1036507023820095</v>
      </c>
      <c r="I43" s="3">
        <f t="shared" si="15"/>
        <v>55.209521164158211</v>
      </c>
      <c r="J43" s="3">
        <f t="shared" si="15"/>
        <v>6.7027110127113341</v>
      </c>
      <c r="K43">
        <f t="shared" si="15"/>
        <v>0</v>
      </c>
    </row>
    <row r="44" spans="2:23">
      <c r="B44" s="1" t="s">
        <v>418</v>
      </c>
      <c r="D44" t="s">
        <v>435</v>
      </c>
      <c r="F44" s="3">
        <f t="shared" si="15"/>
        <v>43.128065097360675</v>
      </c>
      <c r="G44" s="3">
        <f t="shared" si="15"/>
        <v>3.911852950325168</v>
      </c>
      <c r="H44" s="3">
        <f t="shared" si="15"/>
        <v>6.022631082056547</v>
      </c>
      <c r="I44" s="3">
        <f t="shared" si="15"/>
        <v>27.333431752580964</v>
      </c>
      <c r="J44" s="3">
        <f t="shared" si="15"/>
        <v>7.6845612428513679</v>
      </c>
      <c r="K44">
        <f t="shared" si="15"/>
        <v>0</v>
      </c>
    </row>
    <row r="45" spans="2:23">
      <c r="B45" s="1" t="s">
        <v>59</v>
      </c>
      <c r="D45" t="s">
        <v>79</v>
      </c>
      <c r="F45" s="3">
        <f t="shared" si="15"/>
        <v>91.275640577212613</v>
      </c>
      <c r="G45" s="3">
        <f t="shared" si="15"/>
        <v>0.12455307121093719</v>
      </c>
      <c r="H45" s="3">
        <f t="shared" si="15"/>
        <v>8.8437182155614416</v>
      </c>
      <c r="I45" s="3">
        <f t="shared" si="15"/>
        <v>1.2240470832607908</v>
      </c>
      <c r="J45" s="3">
        <f t="shared" si="15"/>
        <v>1.2297277444373003</v>
      </c>
      <c r="K45">
        <f t="shared" si="15"/>
        <v>0</v>
      </c>
    </row>
    <row r="46" spans="2:23">
      <c r="F46" s="3"/>
      <c r="G46" s="3"/>
      <c r="H46" s="3"/>
      <c r="I46" s="3"/>
      <c r="J46" s="3"/>
    </row>
    <row r="47" spans="2:23" ht="13">
      <c r="F47" s="270" t="s">
        <v>42</v>
      </c>
      <c r="G47" s="270" t="s">
        <v>17</v>
      </c>
      <c r="H47" s="270" t="s">
        <v>43</v>
      </c>
      <c r="I47" s="270" t="s">
        <v>7</v>
      </c>
      <c r="J47" s="270" t="s">
        <v>9</v>
      </c>
      <c r="K47" s="5" t="s">
        <v>159</v>
      </c>
    </row>
    <row r="48" spans="2:23">
      <c r="B48" s="1" t="s">
        <v>812</v>
      </c>
      <c r="C48">
        <v>2017</v>
      </c>
      <c r="F48" s="3">
        <v>1</v>
      </c>
      <c r="G48" s="3">
        <f>G10/G42</f>
        <v>0.48878932668548114</v>
      </c>
      <c r="H48" s="3">
        <f>H10/H42</f>
        <v>3.2742537710503488</v>
      </c>
      <c r="I48" s="3">
        <f>I10/I42</f>
        <v>0.62176712718685689</v>
      </c>
      <c r="J48" s="3">
        <f>J10/J42</f>
        <v>2.4158998761552861</v>
      </c>
    </row>
    <row r="49" spans="1:48">
      <c r="B49" s="1" t="s">
        <v>814</v>
      </c>
      <c r="C49" t="s">
        <v>815</v>
      </c>
      <c r="F49" s="3"/>
      <c r="G49" s="3"/>
      <c r="H49" s="3"/>
      <c r="I49" s="3"/>
      <c r="J49" s="3"/>
    </row>
    <row r="50" spans="1:48">
      <c r="C50">
        <v>2017</v>
      </c>
      <c r="F50" s="3">
        <f>SUMIF($B$56:$B$160,F$14,$I$56:$I$160)</f>
        <v>170.00000000000006</v>
      </c>
      <c r="G50" s="3">
        <f>SUMIF($B$56:$B$160,G$14,$I$56:$I$160)</f>
        <v>9.6399999999999988</v>
      </c>
      <c r="H50" s="3">
        <f>SUMIF($C$56:$C$160,"RESOLP",$I$56:$I$160)</f>
        <v>17.97</v>
      </c>
      <c r="I50" s="3">
        <f>SUMIF($B$56:$B$160,I$14,$I$56:$I$160)</f>
        <v>83.766999999999967</v>
      </c>
      <c r="J50" s="3">
        <f>SUMIF($B$56:$B$160,J$14,$I$56:$I$160)</f>
        <v>15.617000000000003</v>
      </c>
      <c r="K50" s="497">
        <f>SUMIF($B$56:$B$160,K$14,$I$56:$I$160)</f>
        <v>0</v>
      </c>
      <c r="L50" s="14" t="s">
        <v>890</v>
      </c>
    </row>
    <row r="51" spans="1:48">
      <c r="F51" s="3"/>
      <c r="G51" s="3"/>
      <c r="H51" s="3"/>
      <c r="I51" s="3"/>
      <c r="J51" s="3"/>
      <c r="K51" s="497"/>
      <c r="L51" s="14"/>
    </row>
    <row r="53" spans="1:48" ht="26">
      <c r="G53" s="13" t="s">
        <v>214</v>
      </c>
      <c r="H53" s="5" t="s">
        <v>432</v>
      </c>
      <c r="I53" s="312" t="s">
        <v>813</v>
      </c>
      <c r="J53" s="5"/>
      <c r="Q53" s="417"/>
      <c r="R53" s="417"/>
      <c r="S53" s="417"/>
      <c r="T53" s="417"/>
      <c r="U53" s="417"/>
      <c r="V53" s="417"/>
      <c r="W53" s="417"/>
      <c r="X53" s="5"/>
    </row>
    <row r="54" spans="1:48" s="15" customFormat="1" ht="78">
      <c r="B54" s="400" t="s">
        <v>0</v>
      </c>
      <c r="C54" s="476" t="s">
        <v>163</v>
      </c>
      <c r="D54" s="476"/>
      <c r="E54" s="476"/>
      <c r="F54" s="476"/>
      <c r="G54" s="13" t="s">
        <v>891</v>
      </c>
      <c r="H54" s="13" t="s">
        <v>892</v>
      </c>
      <c r="I54" s="477" t="s">
        <v>872</v>
      </c>
      <c r="J54" s="477"/>
      <c r="K54" s="477" t="s">
        <v>839</v>
      </c>
      <c r="L54" s="13" t="s">
        <v>871</v>
      </c>
      <c r="M54"/>
      <c r="N54"/>
      <c r="O54"/>
      <c r="P54"/>
      <c r="Q54" s="400"/>
      <c r="R54" s="400"/>
      <c r="S54" s="400"/>
      <c r="T54" s="400"/>
      <c r="U54" s="400"/>
      <c r="V54" s="400"/>
      <c r="W54" s="400"/>
      <c r="AC54"/>
      <c r="AD54"/>
      <c r="AE54"/>
      <c r="AF54"/>
      <c r="AG54"/>
      <c r="AH54"/>
      <c r="AI54"/>
      <c r="AJ54"/>
      <c r="AK54"/>
      <c r="AL54"/>
      <c r="AM54"/>
      <c r="AN54"/>
      <c r="AO54"/>
      <c r="AP54"/>
      <c r="AQ54"/>
      <c r="AR54"/>
      <c r="AS54"/>
      <c r="AT54"/>
      <c r="AU54"/>
      <c r="AV54"/>
    </row>
    <row r="55" spans="1:48">
      <c r="A55" s="70" t="str">
        <f t="shared" ref="A55:A88" si="16">IF(LEFT(B55,1)="\","*","")</f>
        <v>*</v>
      </c>
      <c r="B55" s="261" t="s">
        <v>1029</v>
      </c>
      <c r="C55" s="68"/>
      <c r="D55" s="68"/>
      <c r="E55" s="68"/>
      <c r="F55" s="68"/>
      <c r="G55" s="3"/>
      <c r="I55" s="191"/>
      <c r="J55" s="191"/>
      <c r="K55" s="191"/>
    </row>
    <row r="56" spans="1:48" outlineLevel="2">
      <c r="A56" s="70" t="str">
        <f t="shared" si="16"/>
        <v/>
      </c>
      <c r="B56" s="262" t="s">
        <v>42</v>
      </c>
      <c r="C56" s="1" t="s">
        <v>229</v>
      </c>
      <c r="D56" s="1" t="s">
        <v>242</v>
      </c>
      <c r="E56" s="1" t="str">
        <f>'Census 2011_17'!B$111</f>
        <v>Low Income</v>
      </c>
      <c r="F56" t="s">
        <v>11</v>
      </c>
      <c r="G56" s="478"/>
      <c r="H56" s="115">
        <f>'Census 2011_17'!H6</f>
        <v>6086162.3282518294</v>
      </c>
      <c r="I56" s="431">
        <f>IFERROR(IF(B56="paraffin",L56*G$48,IF(B56="electricity",L56*F$48,IF(B56="coal",L56*J$48,IF(B56="Gas",L56*H$48,IF(B56="wood",L56*I$48,L56))))),"")</f>
        <v>4.9326966818374585</v>
      </c>
      <c r="J56" s="431"/>
      <c r="K56" s="431">
        <f>T$15/$V$4*10^6</f>
        <v>0.81047734447370723</v>
      </c>
      <c r="L56" s="115">
        <f>IFERROR(K56*H56/10^6,0)</f>
        <v>4.9326966818374585</v>
      </c>
    </row>
    <row r="57" spans="1:48" outlineLevel="2">
      <c r="A57" s="70"/>
      <c r="B57" s="262" t="s">
        <v>17</v>
      </c>
      <c r="C57" s="1" t="s">
        <v>231</v>
      </c>
      <c r="D57" s="1" t="s">
        <v>259</v>
      </c>
      <c r="E57" s="1" t="str">
        <f>'Census 2011_17'!B$111</f>
        <v>Low Income</v>
      </c>
      <c r="F57" t="s">
        <v>11</v>
      </c>
      <c r="G57" s="478">
        <v>2.4420000000000002</v>
      </c>
      <c r="H57" s="115">
        <f>SUMIFS('Census 2011_17'!$O$111:$O$238,'Census 2011_17'!$A$111:$A$238,Energy_Balance!F57,'Census 2011_17'!$B$111:$B$238,Energy_Balance!E57,'Census 2011_17'!$C$111:$C$238,Energy_Balance!B57)</f>
        <v>342150.55600860034</v>
      </c>
      <c r="I57" s="431">
        <f>IFERROR(IF(B57="paraffin",L57*G$48,IF(B57="electricity",L57*F$48,IF(B57="coal",L57*J$48,IF(B57="Gas",L57*H$48,IF(B57="wood",L57*I$48,L57))))),"")</f>
        <v>0.40839895642726953</v>
      </c>
      <c r="J57" s="431"/>
      <c r="K57" s="431"/>
      <c r="L57" s="115">
        <f>IFERROR(G57*H57/10^6,0)</f>
        <v>0.83553165777300209</v>
      </c>
    </row>
    <row r="58" spans="1:48" ht="13" outlineLevel="2">
      <c r="A58" s="70" t="str">
        <f t="shared" si="16"/>
        <v/>
      </c>
      <c r="B58" s="248"/>
      <c r="E58" s="5"/>
      <c r="F58" s="5"/>
      <c r="G58" s="479" t="s">
        <v>57</v>
      </c>
      <c r="H58" s="271">
        <f>SUM(H56:H57)</f>
        <v>6428312.88426043</v>
      </c>
      <c r="I58" s="430"/>
      <c r="J58" s="430"/>
      <c r="K58" s="430"/>
      <c r="L58" s="271"/>
    </row>
    <row r="59" spans="1:48">
      <c r="A59" s="70" t="str">
        <f t="shared" si="16"/>
        <v>*</v>
      </c>
      <c r="B59" s="261" t="s">
        <v>1027</v>
      </c>
      <c r="C59" s="68"/>
      <c r="D59" s="68"/>
      <c r="E59" s="1"/>
      <c r="F59" s="68"/>
      <c r="G59" s="478" t="s">
        <v>57</v>
      </c>
      <c r="H59" s="115"/>
      <c r="I59" s="431"/>
      <c r="J59" s="431"/>
      <c r="K59" s="431"/>
      <c r="L59" s="115"/>
    </row>
    <row r="60" spans="1:48" outlineLevel="1">
      <c r="A60" s="70"/>
      <c r="B60" s="262" t="s">
        <v>42</v>
      </c>
      <c r="C60" s="1" t="s">
        <v>229</v>
      </c>
      <c r="D60" s="1" t="s">
        <v>243</v>
      </c>
      <c r="E60" s="1" t="str">
        <f>'Census 2011_17'!B$111</f>
        <v>Low Income</v>
      </c>
      <c r="F60" s="1" t="str">
        <f>'Census 2011_17'!A$111</f>
        <v>Cooking</v>
      </c>
      <c r="G60" s="478"/>
      <c r="H60" s="115">
        <f>H56</f>
        <v>6086162.3282518294</v>
      </c>
      <c r="I60" s="431">
        <f>IFERROR(IF(B60="paraffin",L60*G$48,IF(B60="electricity",L60*F$48,IF(B60="coal",L60*J$48,IF(B60="Gas",L60*H$48,IF(B60="wood",L60*I$48,L60))))),"")</f>
        <v>9.196088998853833</v>
      </c>
      <c r="J60" s="431"/>
      <c r="K60" s="431">
        <f>T$16/$V$4*10^6</f>
        <v>1.5109831948066506</v>
      </c>
      <c r="L60" s="115">
        <f>IFERROR(K60*H60/10^6,0)</f>
        <v>9.196088998853833</v>
      </c>
    </row>
    <row r="61" spans="1:48" outlineLevel="1">
      <c r="A61" s="70" t="str">
        <f t="shared" si="16"/>
        <v/>
      </c>
      <c r="B61" s="262" t="s">
        <v>17</v>
      </c>
      <c r="C61" t="s">
        <v>231</v>
      </c>
      <c r="D61" s="1" t="s">
        <v>243</v>
      </c>
      <c r="E61" s="1" t="str">
        <f>'Census 2011_17'!B$111</f>
        <v>Low Income</v>
      </c>
      <c r="F61" s="1" t="str">
        <f>'Census 2011_17'!A$111</f>
        <v>Cooking</v>
      </c>
      <c r="G61" s="478">
        <v>3.4651260759493665</v>
      </c>
      <c r="H61" s="115">
        <f>SUMIFS('Census 2011_17'!$O$111:$O$238,'Census 2011_17'!$A$111:$A$238,Energy_Balance!F61,'Census 2011_17'!$B$111:$B$238,Energy_Balance!E61,'Census 2011_17'!$C$111:$C$238,Energy_Balance!B61)</f>
        <v>983829.50565854774</v>
      </c>
      <c r="I61" s="431">
        <f>IFERROR(IF(B61="paraffin",L61*G$48,IF(B61="electricity",L61*F$48,IF(B61="coal",L61*J$48,IF(B61="Gas",L61*H$48,IF(B61="wood",L61*I$48,L61))))),"")</f>
        <v>1.6663284061754902</v>
      </c>
      <c r="J61" s="431"/>
      <c r="K61" s="431"/>
      <c r="L61" s="115">
        <f>IFERROR(G61*H61/10^6,0)</f>
        <v>3.4090932743458087</v>
      </c>
    </row>
    <row r="62" spans="1:48" outlineLevel="1">
      <c r="A62" s="70" t="str">
        <f t="shared" si="16"/>
        <v/>
      </c>
      <c r="B62" s="248" t="s">
        <v>43</v>
      </c>
      <c r="C62" t="s">
        <v>230</v>
      </c>
      <c r="D62" s="1" t="s">
        <v>243</v>
      </c>
      <c r="E62" s="1" t="str">
        <f>'Census 2011_17'!B$111</f>
        <v>Low Income</v>
      </c>
      <c r="F62" s="1" t="str">
        <f>'Census 2011_17'!A$111</f>
        <v>Cooking</v>
      </c>
      <c r="G62" s="478">
        <v>2.2049215049504953</v>
      </c>
      <c r="H62" s="115">
        <f>SUMIFS('Census 2011_17'!$O$111:$O$238,'Census 2011_17'!$A$111:$A$238,Energy_Balance!F62,'Census 2011_17'!$B$111:$B$238,Energy_Balance!E62,'Census 2011_17'!$C$111:$C$238,Energy_Balance!B62)</f>
        <v>263764.06366319896</v>
      </c>
      <c r="I62" s="431">
        <f>IFERROR(IF(B62="paraffin",L62*G$48,IF(B62="electricity",L62*F$48,IF(B62="coal",L62*J$48,IF(B62="Gas",L62*H$48,IF(B62="wood",L62*I$48,L62))))),"")</f>
        <v>1.904237417940239</v>
      </c>
      <c r="J62" s="431"/>
      <c r="K62" s="431"/>
      <c r="L62" s="115">
        <f>IFERROR(G62*H62/10^6,0)</f>
        <v>0.58157905620411887</v>
      </c>
    </row>
    <row r="63" spans="1:48" outlineLevel="1">
      <c r="A63" s="70" t="str">
        <f t="shared" si="16"/>
        <v/>
      </c>
      <c r="B63" s="262" t="s">
        <v>7</v>
      </c>
      <c r="C63" t="s">
        <v>232</v>
      </c>
      <c r="D63" s="1" t="s">
        <v>243</v>
      </c>
      <c r="E63" s="1" t="str">
        <f>'Census 2011_17'!B$111</f>
        <v>Low Income</v>
      </c>
      <c r="F63" s="1" t="str">
        <f>'Census 2011_17'!A$111</f>
        <v>Cooking</v>
      </c>
      <c r="G63" s="478">
        <v>39.726959999999991</v>
      </c>
      <c r="H63" s="115">
        <f>SUMIFS('Census 2011_17'!$O$111:$O$238,'Census 2011_17'!$A$111:$A$238,Energy_Balance!F63,'Census 2011_17'!$B$111:$B$238,Energy_Balance!E63,'Census 2011_17'!$C$111:$C$238,Energy_Balance!B63)</f>
        <v>1415641.2399966046</v>
      </c>
      <c r="I63" s="431">
        <f>IFERROR(IF(B63="paraffin",L63*G$48,IF(B63="electricity",L63*F$48,IF(B63="coal",L63*J$48,IF(B63="Gas",L63*H$48,IF(B63="wood",L63*I$48,L63))))),"")</f>
        <v>34.967637890800518</v>
      </c>
      <c r="J63" s="431"/>
      <c r="K63" s="431"/>
      <c r="L63" s="115">
        <f>IFERROR(G63*H63/10^6,0)</f>
        <v>56.239122915695496</v>
      </c>
    </row>
    <row r="64" spans="1:48" outlineLevel="1">
      <c r="A64" s="70" t="str">
        <f t="shared" si="16"/>
        <v/>
      </c>
      <c r="B64" s="248" t="s">
        <v>9</v>
      </c>
      <c r="C64" t="s">
        <v>233</v>
      </c>
      <c r="D64" s="1" t="s">
        <v>243</v>
      </c>
      <c r="E64" s="1" t="str">
        <f>'Census 2011_17'!B$111</f>
        <v>Low Income</v>
      </c>
      <c r="F64" s="1" t="str">
        <f>'Census 2011_17'!A$111</f>
        <v>Cooking</v>
      </c>
      <c r="G64" s="478">
        <v>23.327999999999999</v>
      </c>
      <c r="H64" s="115">
        <f>SUMIFS('Census 2011_17'!$O$111:$O$238,'Census 2011_17'!$A$111:$A$238,Energy_Balance!F64,'Census 2011_17'!$B$111:$B$238,Energy_Balance!E64,'Census 2011_17'!$C$111:$C$238,Energy_Balance!B64)</f>
        <v>41761.184247646939</v>
      </c>
      <c r="I64" s="431">
        <f>IFERROR(IF(B64="paraffin",L64*G$48,IF(B64="electricity",L64*F$48,IF(B64="coal",L64*J$48,IF(B64="Gas",L64*H$48,IF(B64="wood",L64*I$48,L64))))),"")</f>
        <v>2.3535815120671839</v>
      </c>
      <c r="J64" s="431"/>
      <c r="K64" s="431"/>
      <c r="L64" s="115">
        <f>IFERROR(G64*H64/10^6,0)</f>
        <v>0.97420490612910782</v>
      </c>
    </row>
    <row r="65" spans="1:30" outlineLevel="1">
      <c r="A65" s="70" t="str">
        <f t="shared" si="16"/>
        <v/>
      </c>
      <c r="B65" s="262" t="s">
        <v>159</v>
      </c>
      <c r="C65" t="s">
        <v>161</v>
      </c>
      <c r="D65" s="1" t="s">
        <v>243</v>
      </c>
      <c r="E65" s="1" t="str">
        <f>'Census 2011_17'!B$111</f>
        <v>Low Income</v>
      </c>
      <c r="F65" s="1" t="str">
        <f>'Census 2011_17'!A$111</f>
        <v>Cooking</v>
      </c>
      <c r="G65" s="478"/>
      <c r="H65" s="115">
        <v>0</v>
      </c>
      <c r="I65" s="431"/>
      <c r="J65" s="431"/>
      <c r="K65" s="431"/>
      <c r="L65" s="115"/>
    </row>
    <row r="66" spans="1:30" ht="13" outlineLevel="1">
      <c r="A66" s="70" t="str">
        <f t="shared" si="16"/>
        <v/>
      </c>
      <c r="B66" s="248"/>
      <c r="E66" s="5"/>
      <c r="F66" s="5"/>
      <c r="G66" s="479">
        <v>9.3661080950465532E-6</v>
      </c>
      <c r="H66" s="480">
        <f>SUM(H60:H65)</f>
        <v>8791158.3218178265</v>
      </c>
      <c r="I66" s="430"/>
      <c r="J66" s="430"/>
      <c r="K66" s="430"/>
      <c r="L66" s="480"/>
    </row>
    <row r="67" spans="1:30">
      <c r="A67" s="70" t="str">
        <f t="shared" si="16"/>
        <v>*</v>
      </c>
      <c r="B67" s="261" t="s">
        <v>1028</v>
      </c>
      <c r="C67" s="68"/>
      <c r="D67" s="68"/>
      <c r="E67" s="1"/>
      <c r="F67" s="68"/>
      <c r="G67" s="478" t="s">
        <v>57</v>
      </c>
      <c r="H67" s="115"/>
      <c r="I67" s="431"/>
      <c r="J67" s="431"/>
      <c r="K67" s="431"/>
      <c r="L67" s="115"/>
    </row>
    <row r="68" spans="1:30" outlineLevel="1">
      <c r="A68" s="70" t="str">
        <f t="shared" si="16"/>
        <v/>
      </c>
      <c r="B68" s="262" t="s">
        <v>42</v>
      </c>
      <c r="C68" s="1" t="s">
        <v>229</v>
      </c>
      <c r="D68" s="1" t="s">
        <v>244</v>
      </c>
      <c r="E68" s="1" t="str">
        <f>'Census 2011_17'!B$111</f>
        <v>Low Income</v>
      </c>
      <c r="F68" s="1" t="str">
        <f>'Census 2011_17'!A$142</f>
        <v>Space heating</v>
      </c>
      <c r="G68" s="478"/>
      <c r="H68" s="115">
        <f>H60</f>
        <v>6086162.3282518294</v>
      </c>
      <c r="I68" s="431">
        <f t="shared" ref="I68:I73" si="17">IFERROR(IF(B68="paraffin",L68*G$48,IF(B68="electricity",L68*F$48,IF(B68="coal",L68*J$48,IF(B68="Gas",L68*H$48,IF(B68="wood",L68*I$48,L68))))),"")</f>
        <v>0.95750497666009449</v>
      </c>
      <c r="J68" s="431"/>
      <c r="K68" s="431">
        <f>T$17/$V$4*10^6</f>
        <v>0.15732491593518264</v>
      </c>
      <c r="L68" s="115">
        <f>IFERROR(K68*H68/10^6,0)</f>
        <v>0.95750497666009449</v>
      </c>
    </row>
    <row r="69" spans="1:30" outlineLevel="1">
      <c r="A69" s="70" t="str">
        <f t="shared" si="16"/>
        <v/>
      </c>
      <c r="B69" s="262" t="s">
        <v>17</v>
      </c>
      <c r="C69" s="1" t="s">
        <v>231</v>
      </c>
      <c r="D69" s="1" t="s">
        <v>244</v>
      </c>
      <c r="E69" s="1" t="str">
        <f>'Census 2011_17'!B$111</f>
        <v>Low Income</v>
      </c>
      <c r="F69" s="1" t="str">
        <f>'Census 2011_17'!A$142</f>
        <v>Space heating</v>
      </c>
      <c r="G69" s="478">
        <v>1.1100000000000001</v>
      </c>
      <c r="H69" s="115">
        <f>SUMIFS('Census 2011_17'!$O$111:$O$238,'Census 2011_17'!$A$111:$A$238,Energy_Balance!F69,'Census 2011_17'!$B$111:$B$238,Energy_Balance!E69,'Census 2011_17'!$C$111:$C$238,Energy_Balance!B69)</f>
        <v>657885.34464011656</v>
      </c>
      <c r="I69" s="431">
        <f t="shared" si="17"/>
        <v>0.35693974145360596</v>
      </c>
      <c r="J69" s="431"/>
      <c r="K69" s="431"/>
      <c r="L69" s="115">
        <f>IFERROR(G69*H69/10^6,0)</f>
        <v>0.73025273255052936</v>
      </c>
    </row>
    <row r="70" spans="1:30" outlineLevel="1">
      <c r="A70" s="70" t="str">
        <f t="shared" si="16"/>
        <v/>
      </c>
      <c r="B70" s="248" t="s">
        <v>43</v>
      </c>
      <c r="C70" s="1" t="s">
        <v>230</v>
      </c>
      <c r="D70" s="1" t="s">
        <v>244</v>
      </c>
      <c r="E70" s="1" t="str">
        <f>'Census 2011_17'!B$111</f>
        <v>Low Income</v>
      </c>
      <c r="F70" s="1" t="str">
        <f>'Census 2011_17'!A$142</f>
        <v>Space heating</v>
      </c>
      <c r="G70" s="478">
        <v>0.69</v>
      </c>
      <c r="H70" s="115">
        <f>SUMIFS('Census 2011_17'!$O$111:$O$238,'Census 2011_17'!$A$111:$A$238,Energy_Balance!F70,'Census 2011_17'!$B$111:$B$238,Energy_Balance!E70,'Census 2011_17'!$C$111:$C$238,Energy_Balance!B70)</f>
        <v>63805.350732236824</v>
      </c>
      <c r="I70" s="431">
        <f t="shared" si="17"/>
        <v>0.14415128807126942</v>
      </c>
      <c r="J70" s="431"/>
      <c r="K70" s="431"/>
      <c r="L70" s="115">
        <f>IFERROR(G70*H70/10^6,0)</f>
        <v>4.4025692005243408E-2</v>
      </c>
    </row>
    <row r="71" spans="1:30" outlineLevel="1">
      <c r="A71" s="70" t="str">
        <f t="shared" si="16"/>
        <v/>
      </c>
      <c r="B71" s="262" t="s">
        <v>7</v>
      </c>
      <c r="C71" s="1" t="s">
        <v>232</v>
      </c>
      <c r="D71" s="1" t="s">
        <v>244</v>
      </c>
      <c r="E71" s="1" t="str">
        <f>'Census 2011_17'!B$111</f>
        <v>Low Income</v>
      </c>
      <c r="F71" s="1" t="str">
        <f>'Census 2011_17'!A$142</f>
        <v>Space heating</v>
      </c>
      <c r="G71" s="478">
        <v>13.242320000000001</v>
      </c>
      <c r="H71" s="115">
        <f>SUMIFS('Census 2011_17'!$O$111:$O$238,'Census 2011_17'!$A$111:$A$238,Energy_Balance!F71,'Census 2011_17'!$B$111:$B$238,Energy_Balance!E71,'Census 2011_17'!$C$111:$C$238,Energy_Balance!B71)</f>
        <v>1269784.59741045</v>
      </c>
      <c r="I71" s="431">
        <f t="shared" si="17"/>
        <v>10.454948317666286</v>
      </c>
      <c r="J71" s="431"/>
      <c r="K71" s="431"/>
      <c r="L71" s="115">
        <f>IFERROR(G71*H71/10^6,0)</f>
        <v>16.81489396998035</v>
      </c>
    </row>
    <row r="72" spans="1:30" outlineLevel="1">
      <c r="A72" s="70" t="str">
        <f t="shared" si="16"/>
        <v/>
      </c>
      <c r="B72" s="248" t="s">
        <v>9</v>
      </c>
      <c r="C72" s="1" t="s">
        <v>233</v>
      </c>
      <c r="D72" s="1" t="s">
        <v>244</v>
      </c>
      <c r="E72" s="1" t="str">
        <f>'Census 2011_17'!B$111</f>
        <v>Low Income</v>
      </c>
      <c r="F72" s="1" t="str">
        <f>'Census 2011_17'!A$142</f>
        <v>Space heating</v>
      </c>
      <c r="G72" s="478">
        <v>14.58</v>
      </c>
      <c r="H72" s="115">
        <f>SUMIFS('Census 2011_17'!$O$111:$O$238,'Census 2011_17'!$A$111:$A$238,Energy_Balance!F72,'Census 2011_17'!$B$111:$B$238,Energy_Balance!E72,'Census 2011_17'!$C$111:$C$238,Energy_Balance!B72)</f>
        <v>106606.01043103916</v>
      </c>
      <c r="I72" s="431">
        <f t="shared" si="17"/>
        <v>3.7550709430592919</v>
      </c>
      <c r="J72" s="431"/>
      <c r="K72" s="431"/>
      <c r="L72" s="115">
        <f>IFERROR(G72*H72/10^6,0)</f>
        <v>1.554315632084551</v>
      </c>
    </row>
    <row r="73" spans="1:30" outlineLevel="1">
      <c r="A73" s="70" t="str">
        <f t="shared" si="16"/>
        <v/>
      </c>
      <c r="B73" s="262" t="s">
        <v>159</v>
      </c>
      <c r="C73" s="1" t="s">
        <v>161</v>
      </c>
      <c r="D73" s="1" t="s">
        <v>244</v>
      </c>
      <c r="E73" s="1" t="str">
        <f>'Census 2011_17'!B$111</f>
        <v>Low Income</v>
      </c>
      <c r="F73" s="1" t="str">
        <f>'Census 2011_17'!A$142</f>
        <v>Space heating</v>
      </c>
      <c r="G73" s="478" t="s">
        <v>57</v>
      </c>
      <c r="H73" s="115">
        <f>SUMIFS('Census 2011_17'!$O$111:$O$238,'Census 2011_17'!$A$111:$A$238,Energy_Balance!F73,'Census 2011_17'!$B$111:$B$238,Energy_Balance!E73,'Census 2011_17'!$C$111:$C$238,Energy_Balance!B73)</f>
        <v>0</v>
      </c>
      <c r="I73" s="431">
        <f t="shared" si="17"/>
        <v>0</v>
      </c>
      <c r="J73" s="431"/>
      <c r="K73" s="431"/>
      <c r="L73" s="115">
        <f>IFERROR(G73*H73/10^6,0)</f>
        <v>0</v>
      </c>
      <c r="AD73" s="2"/>
    </row>
    <row r="74" spans="1:30" ht="13" outlineLevel="1">
      <c r="A74" s="70" t="str">
        <f t="shared" si="16"/>
        <v/>
      </c>
      <c r="B74" s="248"/>
      <c r="E74" s="5"/>
      <c r="F74" s="5"/>
      <c r="G74" s="479" t="s">
        <v>57</v>
      </c>
      <c r="H74" s="271"/>
      <c r="I74" s="430"/>
      <c r="J74" s="430"/>
      <c r="K74" s="430"/>
      <c r="L74" s="271"/>
    </row>
    <row r="75" spans="1:30">
      <c r="A75" s="70" t="str">
        <f t="shared" si="16"/>
        <v>*</v>
      </c>
      <c r="B75" s="263" t="s">
        <v>1044</v>
      </c>
      <c r="C75" s="69"/>
      <c r="D75" s="69"/>
      <c r="E75" s="1"/>
      <c r="F75" s="69"/>
      <c r="G75" s="478" t="s">
        <v>57</v>
      </c>
      <c r="H75" s="115"/>
      <c r="I75" s="431"/>
      <c r="J75" s="431"/>
      <c r="K75" s="431"/>
      <c r="L75" s="115"/>
    </row>
    <row r="76" spans="1:30" outlineLevel="1">
      <c r="A76" s="70"/>
      <c r="B76" s="262" t="s">
        <v>42</v>
      </c>
      <c r="C76" s="1" t="s">
        <v>229</v>
      </c>
      <c r="D76" t="s">
        <v>245</v>
      </c>
      <c r="E76" s="1" t="str">
        <f>'Census 2011_17'!B$111</f>
        <v>Low Income</v>
      </c>
      <c r="F76" t="s">
        <v>14</v>
      </c>
      <c r="G76" s="478">
        <v>0.88502825012617625</v>
      </c>
      <c r="H76" s="115">
        <f>H60</f>
        <v>6086162.3282518294</v>
      </c>
      <c r="I76" s="431">
        <f t="shared" ref="I76:I80" si="18">IFERROR(IF(B76="paraffin",L76*G$48,IF(B76="electricity",L76*F$48,IF(B76="coal",L76*J$48,IF(B76="Gas",L76*H$48,IF(B76="wood",L76*I$48,L76))))),"")</f>
        <v>2.0455635349283408</v>
      </c>
      <c r="J76" s="431"/>
      <c r="K76" s="431">
        <f>T$18/$V$4*10^6</f>
        <v>0.33610071907429756</v>
      </c>
      <c r="L76" s="115">
        <f>IFERROR(K76*H76/10^6,0)</f>
        <v>2.0455635349283408</v>
      </c>
    </row>
    <row r="77" spans="1:30" outlineLevel="1">
      <c r="A77" s="70" t="str">
        <f t="shared" si="16"/>
        <v/>
      </c>
      <c r="B77" s="262" t="s">
        <v>17</v>
      </c>
      <c r="C77" s="1" t="s">
        <v>231</v>
      </c>
      <c r="D77" s="1" t="s">
        <v>245</v>
      </c>
      <c r="E77" s="1" t="str">
        <f>'Census 2011_17'!B$111</f>
        <v>Low Income</v>
      </c>
      <c r="F77" t="s">
        <v>14</v>
      </c>
      <c r="G77" s="478">
        <v>7.6434257965442498</v>
      </c>
      <c r="H77" s="115">
        <f>SUMIFS('Census 2011_17'!$O$111:$O$238,'Census 2011_17'!$A$111:$A$238,Energy_Balance!F77,'Census 2011_17'!$B$111:$B$238,Energy_Balance!E77,'Census 2011_17'!$C$111:$C$238,Energy_Balance!B77)</f>
        <v>849011.15972001245</v>
      </c>
      <c r="I77" s="431">
        <f t="shared" si="18"/>
        <v>3.1719268744075291</v>
      </c>
      <c r="J77" s="431"/>
      <c r="K77" s="431"/>
      <c r="L77" s="115">
        <f>IFERROR(G77*H77/10^6,0)</f>
        <v>6.4893537997578932</v>
      </c>
    </row>
    <row r="78" spans="1:30" outlineLevel="1">
      <c r="A78" s="70" t="str">
        <f t="shared" si="16"/>
        <v/>
      </c>
      <c r="B78" s="248" t="s">
        <v>43</v>
      </c>
      <c r="C78" s="1" t="s">
        <v>230</v>
      </c>
      <c r="D78" s="1" t="s">
        <v>245</v>
      </c>
      <c r="E78" s="1" t="str">
        <f>'Census 2011_17'!B$111</f>
        <v>Low Income</v>
      </c>
      <c r="F78" t="s">
        <v>14</v>
      </c>
      <c r="G78" s="478">
        <v>1.3874205241251938</v>
      </c>
      <c r="H78" s="115">
        <f>SUMIFS('Census 2011_17'!$O$111:$O$238,'Census 2011_17'!$A$111:$A$238,Energy_Balance!F78,'Census 2011_17'!$B$111:$B$238,Energy_Balance!E78,'Census 2011_17'!$C$111:$C$238,Energy_Balance!B78)</f>
        <v>232294.99191005644</v>
      </c>
      <c r="I78" s="431">
        <f t="shared" si="18"/>
        <v>1.0552619963705012</v>
      </c>
      <c r="J78" s="431"/>
      <c r="K78" s="431"/>
      <c r="L78" s="115">
        <f>IFERROR(G78*H78/10^6,0)</f>
        <v>0.32229083942750819</v>
      </c>
    </row>
    <row r="79" spans="1:30" outlineLevel="1">
      <c r="A79" s="70" t="str">
        <f t="shared" si="16"/>
        <v/>
      </c>
      <c r="B79" s="262" t="s">
        <v>7</v>
      </c>
      <c r="C79" s="1" t="s">
        <v>232</v>
      </c>
      <c r="D79" s="1" t="s">
        <v>245</v>
      </c>
      <c r="E79" s="1" t="str">
        <f>'Census 2011_17'!B$111</f>
        <v>Low Income</v>
      </c>
      <c r="F79" t="s">
        <v>14</v>
      </c>
      <c r="G79" s="478">
        <v>11.361849157025235</v>
      </c>
      <c r="H79" s="115">
        <f>SUMIFS('Census 2011_17'!$O$111:$O$238,'Census 2011_17'!$A$111:$A$238,Energy_Balance!F79,'Census 2011_17'!$B$111:$B$238,Energy_Balance!E79,'Census 2011_17'!$C$111:$C$238,Energy_Balance!B79)</f>
        <v>1385383.2281824346</v>
      </c>
      <c r="I79" s="431">
        <f t="shared" si="18"/>
        <v>9.7869349556914056</v>
      </c>
      <c r="J79" s="431"/>
      <c r="K79" s="431"/>
      <c r="L79" s="115">
        <f>IFERROR(G79*H79/10^6,0)</f>
        <v>15.740515263281493</v>
      </c>
    </row>
    <row r="80" spans="1:30" outlineLevel="1">
      <c r="A80" s="70" t="str">
        <f t="shared" si="16"/>
        <v/>
      </c>
      <c r="B80" s="248" t="s">
        <v>9</v>
      </c>
      <c r="C80" s="1" t="s">
        <v>233</v>
      </c>
      <c r="D80" s="1" t="s">
        <v>245</v>
      </c>
      <c r="E80" s="1" t="str">
        <f>'Census 2011_17'!B$111</f>
        <v>Low Income</v>
      </c>
      <c r="F80" t="s">
        <v>14</v>
      </c>
      <c r="G80" s="478">
        <v>5.8319999999999999</v>
      </c>
      <c r="H80" s="115">
        <f>SUMIFS('Census 2011_17'!$O$111:$O$238,'Census 2011_17'!$A$111:$A$238,Energy_Balance!F80,'Census 2011_17'!$B$111:$B$238,Energy_Balance!E80,'Census 2011_17'!$C$111:$C$238,Energy_Balance!B80)</f>
        <v>42163.126707097355</v>
      </c>
      <c r="I80" s="431">
        <f t="shared" si="18"/>
        <v>0.59405855758485748</v>
      </c>
      <c r="J80" s="431"/>
      <c r="K80" s="431"/>
      <c r="L80" s="115">
        <f>IFERROR(G80*H80/10^6,0)</f>
        <v>0.24589535495579176</v>
      </c>
    </row>
    <row r="81" spans="1:33" outlineLevel="1">
      <c r="A81" s="70" t="str">
        <f t="shared" si="16"/>
        <v/>
      </c>
      <c r="B81" s="262" t="s">
        <v>159</v>
      </c>
      <c r="C81" s="1" t="s">
        <v>161</v>
      </c>
      <c r="D81" s="1" t="s">
        <v>245</v>
      </c>
      <c r="E81" s="1" t="str">
        <f>'Census 2011_17'!B$111</f>
        <v>Low Income</v>
      </c>
      <c r="F81" t="s">
        <v>14</v>
      </c>
      <c r="G81" s="478" t="s">
        <v>57</v>
      </c>
      <c r="H81" s="115">
        <f>SUMIFS('Census 2011_17'!$O$111:$O$238,'Census 2011_17'!$A$111:$A$238,Energy_Balance!F81,'Census 2011_17'!$B$111:$B$238,Energy_Balance!E81,'Census 2011_17'!$C$111:$C$238,Energy_Balance!B81)</f>
        <v>0</v>
      </c>
      <c r="I81" s="431"/>
      <c r="J81" s="431"/>
      <c r="K81" s="431"/>
      <c r="L81" s="115">
        <f>IFERROR(G81*H81/10^6,0)</f>
        <v>0</v>
      </c>
    </row>
    <row r="82" spans="1:33" ht="13" outlineLevel="1">
      <c r="A82" s="70" t="str">
        <f t="shared" si="16"/>
        <v/>
      </c>
      <c r="B82" s="248"/>
      <c r="E82" s="5"/>
      <c r="F82" s="5"/>
      <c r="G82" s="479" t="s">
        <v>57</v>
      </c>
      <c r="H82" s="271">
        <f>SUM(H76:H81)</f>
        <v>8595014.8347714301</v>
      </c>
      <c r="I82" s="430"/>
      <c r="J82" s="430"/>
      <c r="K82" s="430"/>
      <c r="L82" s="271"/>
    </row>
    <row r="83" spans="1:33">
      <c r="A83" s="70" t="str">
        <f t="shared" si="16"/>
        <v>*</v>
      </c>
      <c r="B83" s="263" t="s">
        <v>1043</v>
      </c>
      <c r="C83" s="69"/>
      <c r="G83" s="478" t="s">
        <v>57</v>
      </c>
      <c r="H83" s="115"/>
      <c r="I83" s="431"/>
      <c r="J83" s="431"/>
      <c r="K83" s="431"/>
      <c r="L83" s="115"/>
    </row>
    <row r="84" spans="1:33" ht="13" outlineLevel="1">
      <c r="A84" s="70" t="str">
        <f t="shared" si="16"/>
        <v/>
      </c>
      <c r="B84" s="262" t="s">
        <v>42</v>
      </c>
      <c r="C84" s="1" t="s">
        <v>229</v>
      </c>
      <c r="D84" s="1" t="s">
        <v>246</v>
      </c>
      <c r="E84" s="1" t="str">
        <f>'Census 2011_17'!B$111</f>
        <v>Low Income</v>
      </c>
      <c r="F84" t="s">
        <v>15</v>
      </c>
      <c r="G84" s="478"/>
      <c r="H84" s="271">
        <f>'Census 2011_17'!H6</f>
        <v>6086162.3282518294</v>
      </c>
      <c r="I84" s="431">
        <f>IFERROR(IF(B84="paraffin",L84*G$48,IF(B84="electricity",L84*F$48,IF(B84="coal",L84*J$48,IF(B84="Gas",L84*H$48,IF(B84="wood",L84*I$48,L84))))),"")</f>
        <v>11.021106244427544</v>
      </c>
      <c r="J84" s="431"/>
      <c r="K84" s="431">
        <f>T$19/$V$4*10^6</f>
        <v>1.8108465811481591</v>
      </c>
      <c r="L84" s="115">
        <f>IFERROR(K84*H84/10^6,0)</f>
        <v>11.021106244427544</v>
      </c>
      <c r="AG84" t="s">
        <v>57</v>
      </c>
    </row>
    <row r="85" spans="1:33" outlineLevel="1">
      <c r="A85" s="70"/>
      <c r="B85" s="262"/>
      <c r="C85" s="1"/>
      <c r="D85" s="1"/>
      <c r="E85" s="1"/>
      <c r="G85" s="478"/>
      <c r="H85" s="115"/>
      <c r="I85" s="431"/>
      <c r="J85" s="431"/>
      <c r="K85" s="431"/>
      <c r="L85" s="115"/>
    </row>
    <row r="86" spans="1:33" outlineLevel="1">
      <c r="A86" s="70" t="str">
        <f t="shared" si="16"/>
        <v/>
      </c>
      <c r="B86" s="248"/>
      <c r="E86" s="1"/>
      <c r="G86" s="478" t="s">
        <v>57</v>
      </c>
      <c r="H86" s="115"/>
      <c r="I86" s="431"/>
      <c r="J86" s="431"/>
      <c r="K86" s="431"/>
      <c r="L86" s="115"/>
    </row>
    <row r="87" spans="1:33">
      <c r="A87" s="70" t="str">
        <f t="shared" si="16"/>
        <v>*</v>
      </c>
      <c r="B87" s="263" t="s">
        <v>1042</v>
      </c>
      <c r="C87" s="69"/>
      <c r="D87" s="69"/>
      <c r="E87" s="1"/>
      <c r="F87" s="69"/>
      <c r="G87" s="478" t="s">
        <v>57</v>
      </c>
      <c r="H87" s="115"/>
      <c r="I87" s="431"/>
      <c r="J87" s="431"/>
      <c r="K87" s="431"/>
      <c r="L87" s="115"/>
    </row>
    <row r="88" spans="1:33" ht="13" outlineLevel="1">
      <c r="A88" s="70" t="str">
        <f t="shared" si="16"/>
        <v/>
      </c>
      <c r="B88" s="262" t="s">
        <v>42</v>
      </c>
      <c r="C88" s="1" t="s">
        <v>229</v>
      </c>
      <c r="D88" s="1" t="s">
        <v>247</v>
      </c>
      <c r="E88" s="1" t="str">
        <f>'Census 2011_17'!B$111</f>
        <v>Low Income</v>
      </c>
      <c r="F88" t="s">
        <v>41</v>
      </c>
      <c r="G88" s="478">
        <v>0.58087621647837218</v>
      </c>
      <c r="H88" s="271">
        <f>'Census 2011_17'!H6</f>
        <v>6086162.3282518294</v>
      </c>
      <c r="I88" s="431">
        <f>IFERROR(IF(B88="paraffin",L88*G$48,IF(B88="electricity",L88*F$48,IF(B88="coal",L88*J$48,IF(B88="Gas",L88*H$48,IF(B88="wood",L88*I$48,L88))))),"")</f>
        <v>7.4433338887194749</v>
      </c>
      <c r="J88" s="431"/>
      <c r="K88" s="431">
        <f>T$20/$V$4*10^6</f>
        <v>1.2229929941512874</v>
      </c>
      <c r="L88" s="115">
        <f>IFERROR(K88*H88/10^6,0)</f>
        <v>7.4433338887194749</v>
      </c>
      <c r="AD88" s="1"/>
    </row>
    <row r="89" spans="1:33" outlineLevel="1">
      <c r="A89" s="70" t="str">
        <f t="shared" ref="A89:A122" si="19">IF(LEFT(B89,1)="\","*","")</f>
        <v/>
      </c>
      <c r="B89" s="262" t="s">
        <v>17</v>
      </c>
      <c r="C89" s="1" t="s">
        <v>231</v>
      </c>
      <c r="D89" s="1" t="s">
        <v>287</v>
      </c>
      <c r="E89" s="1" t="str">
        <f>'Census 2011_17'!B$111</f>
        <v>Low Income</v>
      </c>
      <c r="F89" t="s">
        <v>41</v>
      </c>
      <c r="G89" s="478"/>
      <c r="H89" s="115">
        <v>0</v>
      </c>
      <c r="I89" s="431"/>
      <c r="J89" s="431"/>
      <c r="K89" s="431"/>
      <c r="L89" s="115"/>
    </row>
    <row r="90" spans="1:33" ht="13" outlineLevel="1">
      <c r="A90" s="70" t="str">
        <f t="shared" si="19"/>
        <v/>
      </c>
      <c r="E90" s="5"/>
      <c r="F90" s="5"/>
      <c r="G90" s="479" t="s">
        <v>57</v>
      </c>
      <c r="H90" s="271"/>
      <c r="I90" s="430"/>
      <c r="J90" s="430"/>
      <c r="K90" s="430"/>
      <c r="L90" s="271"/>
    </row>
    <row r="91" spans="1:33" ht="13">
      <c r="A91" s="70" t="str">
        <f t="shared" si="19"/>
        <v>*</v>
      </c>
      <c r="B91" s="69" t="s">
        <v>1041</v>
      </c>
      <c r="C91" s="69"/>
      <c r="D91" s="69"/>
      <c r="E91" s="69"/>
      <c r="F91" s="69"/>
      <c r="G91" s="479" t="s">
        <v>57</v>
      </c>
      <c r="H91" s="271"/>
      <c r="I91" s="430"/>
      <c r="J91" s="430"/>
      <c r="K91" s="430"/>
      <c r="L91" s="271"/>
    </row>
    <row r="92" spans="1:33" outlineLevel="1">
      <c r="A92" s="70" t="str">
        <f t="shared" si="19"/>
        <v/>
      </c>
      <c r="B92" s="1" t="s">
        <v>42</v>
      </c>
      <c r="C92" s="1" t="s">
        <v>229</v>
      </c>
      <c r="D92" s="1" t="s">
        <v>248</v>
      </c>
      <c r="E92" s="1" t="str">
        <f>'Census 2011_17'!B$121</f>
        <v>Middle Income</v>
      </c>
      <c r="F92" t="s">
        <v>11</v>
      </c>
      <c r="G92" s="478">
        <v>2.1509514043776004</v>
      </c>
      <c r="H92" s="115">
        <f>'Census 2011_17'!H7</f>
        <v>4694714.1229874622</v>
      </c>
      <c r="I92" s="431">
        <f>IFERROR(IF(B92="paraffin",L92*G$48,IF(B92="electricity",L92*F$48,IF(B92="coal",L92*J$48,IF(B92="Gas",L92*H$48,IF(B92="wood",L92*I$48,L92))))),"")</f>
        <v>4.265980312649079</v>
      </c>
      <c r="J92" s="431"/>
      <c r="K92" s="431">
        <f>T$21/$V$5*10^6</f>
        <v>0.90867733388938277</v>
      </c>
      <c r="L92" s="115">
        <f>IFERROR(K92*H92/10^6,0)</f>
        <v>4.265980312649079</v>
      </c>
    </row>
    <row r="93" spans="1:33" outlineLevel="1">
      <c r="A93" s="70"/>
      <c r="B93" s="1" t="s">
        <v>17</v>
      </c>
      <c r="C93" s="1" t="s">
        <v>231</v>
      </c>
      <c r="D93" s="1" t="s">
        <v>271</v>
      </c>
      <c r="E93" s="1" t="str">
        <f>'Census 2011_17'!B$121</f>
        <v>Middle Income</v>
      </c>
      <c r="F93" t="s">
        <v>11</v>
      </c>
      <c r="G93" s="478">
        <v>3.1080000000000001</v>
      </c>
      <c r="H93" s="115">
        <f>SUMIFS('Census 2011_17'!$O$111:$O$238,'Census 2011_17'!$A$111:$A$238,Energy_Balance!F93,'Census 2011_17'!$B$111:$B$238,Energy_Balance!E93,'Census 2011_17'!$C$111:$C$238,Energy_Balance!B93)</f>
        <v>492037.73091615166</v>
      </c>
      <c r="I93" s="431">
        <f>IFERROR(IF(B93="paraffin",L93*G$48,IF(B93="electricity",L93*F$48,IF(B93="coal",L93*J$48,IF(B93="Gas",L93*H$48,IF(B93="wood",L93*I$48,L93))))),"")</f>
        <v>0.74748267504449573</v>
      </c>
      <c r="J93" s="431"/>
      <c r="K93" s="431"/>
      <c r="L93" s="115">
        <f>IFERROR(G93*H93/10^6,0)</f>
        <v>1.5292532676873993</v>
      </c>
    </row>
    <row r="94" spans="1:33" ht="13" outlineLevel="1">
      <c r="A94" s="70" t="str">
        <f t="shared" si="19"/>
        <v/>
      </c>
      <c r="E94" s="5"/>
      <c r="F94" s="5"/>
      <c r="G94" s="479" t="s">
        <v>57</v>
      </c>
      <c r="H94" s="271">
        <f>H92</f>
        <v>4694714.1229874622</v>
      </c>
      <c r="I94" s="430"/>
      <c r="J94" s="430"/>
      <c r="K94" s="430"/>
      <c r="L94" s="271"/>
    </row>
    <row r="95" spans="1:33">
      <c r="A95" s="70" t="str">
        <f t="shared" si="19"/>
        <v>*</v>
      </c>
      <c r="B95" s="69" t="s">
        <v>1040</v>
      </c>
      <c r="C95" s="69"/>
      <c r="D95" s="69"/>
      <c r="E95" s="1"/>
      <c r="F95" s="69"/>
      <c r="G95" s="478" t="s">
        <v>57</v>
      </c>
      <c r="H95" s="115"/>
      <c r="I95" s="431"/>
      <c r="J95" s="431"/>
      <c r="K95" s="431"/>
      <c r="L95" s="115"/>
    </row>
    <row r="96" spans="1:33" outlineLevel="1">
      <c r="A96" s="70" t="str">
        <f t="shared" si="19"/>
        <v/>
      </c>
      <c r="B96" t="s">
        <v>42</v>
      </c>
      <c r="C96" s="1" t="s">
        <v>229</v>
      </c>
      <c r="D96" s="1" t="s">
        <v>249</v>
      </c>
      <c r="E96" s="1" t="str">
        <f>'Census 2011_17'!B$121</f>
        <v>Middle Income</v>
      </c>
      <c r="F96" s="1" t="str">
        <f>'Census 2011_17'!A$111</f>
        <v>Cooking</v>
      </c>
      <c r="G96" s="478"/>
      <c r="H96" s="115">
        <f>H92</f>
        <v>4694714.1229874622</v>
      </c>
      <c r="I96" s="431">
        <f>IFERROR(IF(B96="paraffin",L96*G$48,IF(B96="electricity",L96*F$48,IF(B96="coal",L96*J$48,IF(B96="Gas",L96*H$48,IF(B96="wood",L96*I$48,L96))))),"")</f>
        <v>7.8325578803259024</v>
      </c>
      <c r="J96" s="431"/>
      <c r="K96" s="431">
        <f>T$22/$V$5*10^6</f>
        <v>1.6683780258257102</v>
      </c>
      <c r="L96" s="115">
        <f>IFERROR(K96*H96/10^6,0)</f>
        <v>7.8325578803259024</v>
      </c>
    </row>
    <row r="97" spans="1:23" outlineLevel="1">
      <c r="A97" s="70" t="str">
        <f t="shared" si="19"/>
        <v/>
      </c>
      <c r="B97" t="s">
        <v>17</v>
      </c>
      <c r="C97" s="1" t="s">
        <v>231</v>
      </c>
      <c r="D97" s="1" t="s">
        <v>249</v>
      </c>
      <c r="E97" s="1" t="str">
        <f>'Census 2011_17'!B$121</f>
        <v>Middle Income</v>
      </c>
      <c r="F97" s="1" t="str">
        <f>'Census 2011_17'!A$111</f>
        <v>Cooking</v>
      </c>
      <c r="G97" s="478">
        <v>1.0618559999999999</v>
      </c>
      <c r="H97" s="115">
        <f>SUMIFS('Census 2011_17'!$O$111:$O$238,'Census 2011_17'!$A$111:$A$238,Energy_Balance!F97,'Census 2011_17'!$B$111:$B$238,Energy_Balance!E97,'Census 2011_17'!$C$111:$C$238,Energy_Balance!B97)</f>
        <v>412086.46074302198</v>
      </c>
      <c r="I97" s="431">
        <f>IFERROR(IF(B97="paraffin",L97*G$48,IF(B97="electricity",L97*F$48,IF(B97="coal",L97*J$48,IF(B97="Gas",L97*H$48,IF(B97="wood",L97*I$48,L97))))),"")</f>
        <v>0.213882713452347</v>
      </c>
      <c r="J97" s="431"/>
      <c r="K97" s="431"/>
      <c r="L97" s="115">
        <f>IFERROR(G97*H97/10^6,0)</f>
        <v>0.43757648085874234</v>
      </c>
    </row>
    <row r="98" spans="1:23" outlineLevel="1">
      <c r="A98" s="70" t="str">
        <f t="shared" si="19"/>
        <v/>
      </c>
      <c r="B98" t="s">
        <v>43</v>
      </c>
      <c r="C98" s="1" t="s">
        <v>230</v>
      </c>
      <c r="D98" s="1" t="s">
        <v>249</v>
      </c>
      <c r="E98" s="1" t="str">
        <f>'Census 2011_17'!B$121</f>
        <v>Middle Income</v>
      </c>
      <c r="F98" s="1" t="str">
        <f>'Census 2011_17'!A$111</f>
        <v>Cooking</v>
      </c>
      <c r="G98" s="478">
        <v>1.480896</v>
      </c>
      <c r="H98" s="115">
        <f>SUMIFS('Census 2011_17'!$O$111:$O$238,'Census 2011_17'!$A$111:$A$238,Energy_Balance!F98,'Census 2011_17'!$B$111:$B$238,Energy_Balance!E98,'Census 2011_17'!$C$111:$C$238,Energy_Balance!B98)</f>
        <v>200349.44700071058</v>
      </c>
      <c r="I98" s="431">
        <f>IFERROR(IF(B98="paraffin",L98*G$48,IF(B98="electricity",L98*F$48,IF(B98="coal",L98*J$48,IF(B98="Gas",L98*H$48,IF(B98="wood",L98*I$48,L98))))),"")</f>
        <v>0.97146027136689783</v>
      </c>
      <c r="J98" s="431"/>
      <c r="K98" s="431">
        <f>G98</f>
        <v>1.480896</v>
      </c>
      <c r="L98" s="115">
        <f>IFERROR(K98*H98/10^6,0)</f>
        <v>0.29669669466556431</v>
      </c>
    </row>
    <row r="99" spans="1:23" outlineLevel="1">
      <c r="A99" s="70" t="str">
        <f t="shared" si="19"/>
        <v/>
      </c>
      <c r="B99" s="1" t="s">
        <v>7</v>
      </c>
      <c r="C99" s="1" t="s">
        <v>232</v>
      </c>
      <c r="D99" s="1" t="s">
        <v>249</v>
      </c>
      <c r="E99" s="1" t="str">
        <f>'Census 2011_17'!B$121</f>
        <v>Middle Income</v>
      </c>
      <c r="F99" s="1" t="str">
        <f>'Census 2011_17'!A$111</f>
        <v>Cooking</v>
      </c>
      <c r="G99" s="478">
        <v>39.726959999999991</v>
      </c>
      <c r="H99" s="115">
        <f>SUMIFS('Census 2011_17'!$O$111:$O$238,'Census 2011_17'!$A$111:$A$238,Energy_Balance!F99,'Census 2011_17'!$B$111:$B$238,Energy_Balance!E99,'Census 2011_17'!$C$111:$C$238,Energy_Balance!B99)</f>
        <v>666786.56679779675</v>
      </c>
      <c r="I99" s="431">
        <f>IFERROR(IF(B99="paraffin",L99*G$48,IF(B99="electricity",L99*F$48,IF(B99="coal",L99*J$48,IF(B99="Gas",L99*H$48,IF(B99="wood",L99*I$48,L99))))),"")</f>
        <v>16.470240170660297</v>
      </c>
      <c r="J99" s="431"/>
      <c r="K99" s="431"/>
      <c r="L99" s="115">
        <f>IFERROR(G99*H99/10^6,0)</f>
        <v>26.489403267713396</v>
      </c>
    </row>
    <row r="100" spans="1:23" outlineLevel="1">
      <c r="A100" s="70" t="str">
        <f t="shared" si="19"/>
        <v/>
      </c>
      <c r="B100" s="1" t="s">
        <v>9</v>
      </c>
      <c r="C100" s="1" t="s">
        <v>233</v>
      </c>
      <c r="D100" s="1" t="s">
        <v>249</v>
      </c>
      <c r="E100" s="1" t="str">
        <f>'Census 2011_17'!B$121</f>
        <v>Middle Income</v>
      </c>
      <c r="F100" s="1" t="str">
        <f>'Census 2011_17'!A$111</f>
        <v>Cooking</v>
      </c>
      <c r="G100" s="478">
        <v>23.327999999999999</v>
      </c>
      <c r="H100" s="115">
        <f>SUMIFS('Census 2011_17'!$O$111:$O$238,'Census 2011_17'!$A$111:$A$238,Energy_Balance!F100,'Census 2011_17'!$B$111:$B$238,Energy_Balance!E100,'Census 2011_17'!$C$111:$C$238,Energy_Balance!B100)</f>
        <v>29399.694876245369</v>
      </c>
      <c r="I100" s="431">
        <f>IFERROR(IF(B100="paraffin",L100*G$48,IF(B100="electricity",L100*F$48,IF(B100="coal",L100*J$48,IF(B100="Gas",L100*H$48,IF(B100="wood",L100*I$48,L100))))),"")</f>
        <v>1.6569113057431128</v>
      </c>
      <c r="J100" s="431"/>
      <c r="K100" s="431"/>
      <c r="L100" s="115">
        <f>IFERROR(G100*H100/10^6,0)</f>
        <v>0.68583608207305191</v>
      </c>
    </row>
    <row r="101" spans="1:23" outlineLevel="1">
      <c r="A101" s="70" t="str">
        <f t="shared" si="19"/>
        <v/>
      </c>
      <c r="B101" t="s">
        <v>159</v>
      </c>
      <c r="C101" s="1" t="s">
        <v>161</v>
      </c>
      <c r="D101" s="1" t="s">
        <v>249</v>
      </c>
      <c r="E101" s="1" t="str">
        <f>'Census 2011_17'!B$121</f>
        <v>Middle Income</v>
      </c>
      <c r="F101" s="1" t="str">
        <f>'Census 2011_17'!A$111</f>
        <v>Cooking</v>
      </c>
      <c r="G101" s="478" t="s">
        <v>57</v>
      </c>
      <c r="H101" s="115">
        <f>SUMIFS('Census 2011_17'!$O$111:$O$238,'Census 2011_17'!$A$111:$A$238,Energy_Balance!F101,'Census 2011_17'!$B$111:$B$238,Energy_Balance!E101,'Census 2011_17'!$C$111:$C$238,Energy_Balance!B101)</f>
        <v>0</v>
      </c>
      <c r="I101" s="431"/>
      <c r="J101" s="431"/>
      <c r="K101" s="431"/>
      <c r="L101" s="115">
        <f>IFERROR(G101*H101/10^6,0)</f>
        <v>0</v>
      </c>
    </row>
    <row r="102" spans="1:23" ht="13" outlineLevel="1">
      <c r="A102" s="70" t="str">
        <f t="shared" si="19"/>
        <v/>
      </c>
      <c r="E102" s="5"/>
      <c r="F102" s="5"/>
      <c r="G102" s="479" t="s">
        <v>57</v>
      </c>
      <c r="H102" s="271">
        <f>SUM(H96:H101)</f>
        <v>6003336.2924052365</v>
      </c>
      <c r="I102" s="430"/>
      <c r="J102" s="430"/>
      <c r="K102" s="430"/>
      <c r="L102" s="480"/>
    </row>
    <row r="103" spans="1:23">
      <c r="A103" s="70" t="str">
        <f t="shared" si="19"/>
        <v>*</v>
      </c>
      <c r="B103" s="69" t="s">
        <v>1039</v>
      </c>
      <c r="C103" s="69"/>
      <c r="D103" s="69"/>
      <c r="G103" s="478" t="s">
        <v>57</v>
      </c>
      <c r="H103" s="115"/>
      <c r="I103" s="431"/>
      <c r="J103" s="431"/>
      <c r="K103" s="431"/>
      <c r="L103" s="115"/>
    </row>
    <row r="104" spans="1:23" outlineLevel="1">
      <c r="A104" s="70" t="str">
        <f t="shared" si="19"/>
        <v/>
      </c>
      <c r="B104" s="1" t="s">
        <v>42</v>
      </c>
      <c r="C104" s="1" t="s">
        <v>229</v>
      </c>
      <c r="D104" s="1" t="s">
        <v>250</v>
      </c>
      <c r="E104" s="1" t="str">
        <f>'Census 2011_17'!B$121</f>
        <v>Middle Income</v>
      </c>
      <c r="F104" s="1" t="str">
        <f>'Census 2011_17'!A$142</f>
        <v>Space heating</v>
      </c>
      <c r="G104" s="478">
        <v>2.0735999999999999</v>
      </c>
      <c r="H104" s="115">
        <f>H92</f>
        <v>4694714.1229874622</v>
      </c>
      <c r="I104" s="431">
        <f t="shared" ref="I104:I109" si="20">IFERROR(IF(B104="paraffin",L104*G$48,IF(B104="electricity",L104*F$48,IF(B104="coal",L104*J$48,IF(B104="Gas",L104*H$48,IF(B104="wood",L104*I$48,L104))))),"")</f>
        <v>1.9338138363548154</v>
      </c>
      <c r="J104" s="431"/>
      <c r="K104" s="431">
        <f>T$23/$V$5*10^6</f>
        <v>0.41191301231441985</v>
      </c>
      <c r="L104" s="115">
        <f>IFERROR(K104*H104/10^6,0)</f>
        <v>1.9338138363548154</v>
      </c>
    </row>
    <row r="105" spans="1:23" outlineLevel="1">
      <c r="A105" s="70" t="str">
        <f t="shared" si="19"/>
        <v/>
      </c>
      <c r="B105" s="1" t="s">
        <v>17</v>
      </c>
      <c r="C105" s="1" t="s">
        <v>231</v>
      </c>
      <c r="D105" s="1" t="s">
        <v>250</v>
      </c>
      <c r="E105" s="1" t="str">
        <f>'Census 2011_17'!B$121</f>
        <v>Middle Income</v>
      </c>
      <c r="F105" s="1" t="str">
        <f>'Census 2011_17'!A$142</f>
        <v>Space heating</v>
      </c>
      <c r="G105" s="478">
        <v>4.4400000000000004</v>
      </c>
      <c r="H105" s="115">
        <f>SUMIFS('Census 2011_17'!$O$111:$O$238,'Census 2011_17'!$A$111:$A$238,Energy_Balance!F105,'Census 2011_17'!$B$111:$B$238,Energy_Balance!E105,'Census 2011_17'!$C$111:$C$238,Energy_Balance!B105)</f>
        <v>351520.30917608703</v>
      </c>
      <c r="I105" s="431">
        <f t="shared" si="20"/>
        <v>0.7628780260587259</v>
      </c>
      <c r="J105" s="431"/>
      <c r="K105" s="431"/>
      <c r="L105" s="115">
        <f>IFERROR(G105*H105/10^6,0)</f>
        <v>1.5607501727418267</v>
      </c>
    </row>
    <row r="106" spans="1:23" outlineLevel="1">
      <c r="A106" s="70" t="str">
        <f t="shared" si="19"/>
        <v/>
      </c>
      <c r="B106" s="1" t="s">
        <v>43</v>
      </c>
      <c r="C106" s="1" t="s">
        <v>230</v>
      </c>
      <c r="D106" s="1" t="s">
        <v>250</v>
      </c>
      <c r="E106" s="1" t="str">
        <f>'Census 2011_17'!B$121</f>
        <v>Middle Income</v>
      </c>
      <c r="F106" s="1" t="str">
        <f>'Census 2011_17'!A$142</f>
        <v>Space heating</v>
      </c>
      <c r="G106" s="478">
        <v>1.38</v>
      </c>
      <c r="H106" s="115">
        <f>SUMIFS('Census 2011_17'!$O$111:$O$238,'Census 2011_17'!$A$111:$A$238,Energy_Balance!F106,'Census 2011_17'!$B$111:$B$238,Energy_Balance!E106,'Census 2011_17'!$C$111:$C$238,Energy_Balance!B106)</f>
        <v>43640.785518274919</v>
      </c>
      <c r="I106" s="431">
        <f t="shared" si="20"/>
        <v>1.1851951647682253</v>
      </c>
      <c r="J106" s="431"/>
      <c r="K106" s="431">
        <f>G104*4</f>
        <v>8.2943999999999996</v>
      </c>
      <c r="L106" s="115">
        <f>IFERROR(K106*H106/10^6,0)</f>
        <v>0.36197413140277951</v>
      </c>
    </row>
    <row r="107" spans="1:23" outlineLevel="1">
      <c r="A107" s="70" t="str">
        <f t="shared" si="19"/>
        <v/>
      </c>
      <c r="B107" s="1" t="s">
        <v>7</v>
      </c>
      <c r="C107" s="1" t="s">
        <v>232</v>
      </c>
      <c r="D107" s="1" t="s">
        <v>250</v>
      </c>
      <c r="E107" s="1" t="str">
        <f>'Census 2011_17'!B$121</f>
        <v>Middle Income</v>
      </c>
      <c r="F107" s="1" t="str">
        <f>'Census 2011_17'!A$142</f>
        <v>Space heating</v>
      </c>
      <c r="G107" s="478">
        <v>13.242320000000001</v>
      </c>
      <c r="H107" s="115">
        <f>SUMIFS('Census 2011_17'!$O$111:$O$238,'Census 2011_17'!$A$111:$A$238,Energy_Balance!F107,'Census 2011_17'!$B$111:$B$238,Energy_Balance!E107,'Census 2011_17'!$C$111:$C$238,Energy_Balance!B107)</f>
        <v>597460.86514272122</v>
      </c>
      <c r="I107" s="431">
        <f t="shared" si="20"/>
        <v>4.9192772377567433</v>
      </c>
      <c r="J107" s="431"/>
      <c r="K107" s="431"/>
      <c r="L107" s="115">
        <f>IFERROR(G107*H107/10^6,0)</f>
        <v>7.9117679636967608</v>
      </c>
    </row>
    <row r="108" spans="1:23" outlineLevel="1">
      <c r="A108" s="70" t="str">
        <f t="shared" si="19"/>
        <v/>
      </c>
      <c r="B108" t="s">
        <v>9</v>
      </c>
      <c r="C108" s="1" t="s">
        <v>233</v>
      </c>
      <c r="D108" s="1" t="s">
        <v>250</v>
      </c>
      <c r="E108" s="1" t="str">
        <f>'Census 2011_17'!B$121</f>
        <v>Middle Income</v>
      </c>
      <c r="F108" s="1" t="str">
        <f>'Census 2011_17'!A$142</f>
        <v>Space heating</v>
      </c>
      <c r="G108" s="478">
        <v>30.180600000000002</v>
      </c>
      <c r="H108" s="115">
        <f>SUMIFS('Census 2011_17'!$O$111:$O$238,'Census 2011_17'!$A$111:$A$238,Energy_Balance!F108,'Census 2011_17'!$B$111:$B$238,Energy_Balance!E108,'Census 2011_17'!$C$111:$C$238,Energy_Balance!B108)</f>
        <v>69342.212567342474</v>
      </c>
      <c r="I108" s="431">
        <f t="shared" si="20"/>
        <v>5.0559700886146182</v>
      </c>
      <c r="J108" s="431"/>
      <c r="K108" s="431"/>
      <c r="L108" s="115">
        <f>IFERROR(G108*H108/10^6,0)</f>
        <v>2.0927895806099364</v>
      </c>
    </row>
    <row r="109" spans="1:23" outlineLevel="1">
      <c r="A109" s="70" t="str">
        <f t="shared" si="19"/>
        <v/>
      </c>
      <c r="B109" s="1" t="s">
        <v>159</v>
      </c>
      <c r="C109" s="1" t="s">
        <v>161</v>
      </c>
      <c r="D109" s="1" t="s">
        <v>250</v>
      </c>
      <c r="E109" s="1" t="str">
        <f>'Census 2011_17'!B$121</f>
        <v>Middle Income</v>
      </c>
      <c r="F109" s="1" t="str">
        <f>'Census 2011_17'!A$142</f>
        <v>Space heating</v>
      </c>
      <c r="G109" s="478" t="s">
        <v>57</v>
      </c>
      <c r="H109" s="115">
        <f>SUMIFS('Census 2011_17'!$O$111:$O$238,'Census 2011_17'!$A$111:$A$238,Energy_Balance!F109,'Census 2011_17'!$B$111:$B$238,Energy_Balance!E109,'Census 2011_17'!$C$111:$C$238,Energy_Balance!B109)</f>
        <v>0</v>
      </c>
      <c r="I109" s="431">
        <f t="shared" si="20"/>
        <v>0</v>
      </c>
      <c r="J109" s="431"/>
      <c r="K109" s="431"/>
      <c r="L109" s="115">
        <f>IFERROR(G109*H109/10^6,0)</f>
        <v>0</v>
      </c>
    </row>
    <row r="110" spans="1:23" ht="13" outlineLevel="1">
      <c r="A110" s="70" t="str">
        <f t="shared" si="19"/>
        <v/>
      </c>
      <c r="E110" s="5"/>
      <c r="F110" s="5"/>
      <c r="G110" s="478" t="s">
        <v>57</v>
      </c>
      <c r="H110" s="271">
        <f>SUM(H104:H109)</f>
        <v>5756678.2953918874</v>
      </c>
      <c r="I110" s="430"/>
      <c r="J110" s="430"/>
      <c r="K110" s="430"/>
      <c r="L110" s="271"/>
    </row>
    <row r="111" spans="1:23">
      <c r="A111" s="70" t="str">
        <f t="shared" si="19"/>
        <v>*</v>
      </c>
      <c r="B111" s="69" t="s">
        <v>1038</v>
      </c>
      <c r="C111" s="69"/>
      <c r="D111" s="69"/>
      <c r="G111" s="478" t="s">
        <v>57</v>
      </c>
      <c r="H111" s="115"/>
      <c r="I111" s="431"/>
      <c r="J111" s="431"/>
      <c r="K111" s="431"/>
      <c r="L111" s="115"/>
    </row>
    <row r="112" spans="1:23" outlineLevel="1">
      <c r="A112" s="70" t="str">
        <f t="shared" si="19"/>
        <v/>
      </c>
      <c r="B112" s="1" t="s">
        <v>42</v>
      </c>
      <c r="C112" s="1" t="s">
        <v>229</v>
      </c>
      <c r="D112" t="s">
        <v>558</v>
      </c>
      <c r="E112" s="1" t="str">
        <f>'Census 2011_17'!B$121</f>
        <v>Middle Income</v>
      </c>
      <c r="F112" t="s">
        <v>14</v>
      </c>
      <c r="G112" s="478">
        <v>7.4070218873126263</v>
      </c>
      <c r="H112" s="115">
        <f>H104</f>
        <v>4694714.1229874622</v>
      </c>
      <c r="I112" s="431">
        <f t="shared" ref="I112:I117" si="21">IFERROR(IF(B112="paraffin",L112*G$48,IF(B112="electricity",L112*F$48,IF(B112="coal",L112*J$48,IF(B112="Gas",L112*H$48,IF(B112="wood",L112*I$48,L112))))),"")</f>
        <v>9.6680670292093591</v>
      </c>
      <c r="J112" s="431"/>
      <c r="K112" s="431">
        <f>T$24/$V$5*10^6</f>
        <v>2.0593515975488459</v>
      </c>
      <c r="L112" s="115">
        <f>IFERROR(K112*H112/10^6,0)</f>
        <v>9.6680670292093591</v>
      </c>
      <c r="M112" s="7">
        <f>L112+L113</f>
        <v>9.6680670292093591</v>
      </c>
      <c r="N112" s="7"/>
      <c r="O112" s="7">
        <v>579576.20598266833</v>
      </c>
      <c r="P112" s="7"/>
      <c r="Q112" s="7"/>
      <c r="R112" s="7"/>
      <c r="S112" s="7"/>
      <c r="T112" s="7"/>
      <c r="U112" s="7"/>
      <c r="V112" s="7"/>
      <c r="W112" s="7"/>
    </row>
    <row r="113" spans="1:40" outlineLevel="1">
      <c r="A113" s="70"/>
      <c r="B113" s="1" t="s">
        <v>42</v>
      </c>
      <c r="C113" s="1" t="s">
        <v>229</v>
      </c>
      <c r="D113" t="s">
        <v>251</v>
      </c>
      <c r="E113" s="1" t="str">
        <f>'Census 2011_17'!B$121</f>
        <v>Middle Income</v>
      </c>
      <c r="F113" t="s">
        <v>14</v>
      </c>
      <c r="G113" s="478">
        <v>1.1386119079905366</v>
      </c>
      <c r="H113" s="115">
        <v>0</v>
      </c>
      <c r="I113" s="431">
        <f t="shared" si="21"/>
        <v>0</v>
      </c>
      <c r="J113" s="431"/>
      <c r="K113" s="431">
        <v>0.34201731253380868</v>
      </c>
      <c r="L113" s="115">
        <f>IFERROR(K113*H113/10^6,0)</f>
        <v>0</v>
      </c>
      <c r="O113">
        <v>3548888.3587567653</v>
      </c>
      <c r="P113" t="s">
        <v>1054</v>
      </c>
    </row>
    <row r="114" spans="1:40" outlineLevel="1">
      <c r="A114" s="70" t="str">
        <f t="shared" si="19"/>
        <v/>
      </c>
      <c r="B114" s="1" t="s">
        <v>17</v>
      </c>
      <c r="C114" s="1" t="s">
        <v>231</v>
      </c>
      <c r="D114" s="1" t="s">
        <v>251</v>
      </c>
      <c r="E114" s="1" t="str">
        <f>'Census 2011_17'!B$121</f>
        <v>Middle Income</v>
      </c>
      <c r="F114" t="s">
        <v>14</v>
      </c>
      <c r="G114" s="478">
        <v>9.8334664781000871</v>
      </c>
      <c r="H114" s="115">
        <f>SUMIFS('Census 2011_17'!$O$111:$O$238,'Census 2011_17'!$A$111:$A$238,Energy_Balance!F114,'Census 2011_17'!$B$111:$B$238,Energy_Balance!E114,'Census 2011_17'!$C$111:$C$238,Energy_Balance!B114)</f>
        <v>455136.27647982509</v>
      </c>
      <c r="I114" s="431">
        <f t="shared" si="21"/>
        <v>2.1876095357695995</v>
      </c>
      <c r="J114" s="431"/>
      <c r="K114" s="431"/>
      <c r="L114" s="115">
        <f>IFERROR(G114*H114/10^6,0)</f>
        <v>4.4755673177316533</v>
      </c>
    </row>
    <row r="115" spans="1:40" outlineLevel="1">
      <c r="A115" s="70" t="str">
        <f t="shared" si="19"/>
        <v/>
      </c>
      <c r="B115" s="1" t="s">
        <v>43</v>
      </c>
      <c r="C115" s="1" t="s">
        <v>230</v>
      </c>
      <c r="D115" s="1" t="s">
        <v>251</v>
      </c>
      <c r="E115" s="1" t="str">
        <f>'Census 2011_17'!B$121</f>
        <v>Middle Income</v>
      </c>
      <c r="F115" t="s">
        <v>14</v>
      </c>
      <c r="G115" s="478">
        <v>1.78495266104127</v>
      </c>
      <c r="H115" s="115">
        <f>SUMIFS('Census 2011_17'!$O$111:$O$238,'Census 2011_17'!$A$111:$A$238,Energy_Balance!F115,'Census 2011_17'!$B$111:$B$238,Energy_Balance!E115,'Census 2011_17'!$C$111:$C$238,Energy_Balance!B115)</f>
        <v>159405.44406599895</v>
      </c>
      <c r="I115" s="431">
        <f t="shared" si="21"/>
        <v>3.8659756459214241</v>
      </c>
      <c r="J115" s="431"/>
      <c r="K115" s="431">
        <f>G112</f>
        <v>7.4070218873126263</v>
      </c>
      <c r="L115" s="115">
        <f>IFERROR(K115*H115/10^6,0)</f>
        <v>1.1807196131536428</v>
      </c>
    </row>
    <row r="116" spans="1:40" outlineLevel="1">
      <c r="A116" s="70" t="str">
        <f t="shared" si="19"/>
        <v/>
      </c>
      <c r="B116" s="1" t="s">
        <v>7</v>
      </c>
      <c r="C116" s="1" t="s">
        <v>232</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653999.14128688583</v>
      </c>
      <c r="I116" s="431">
        <f t="shared" si="21"/>
        <v>5.9439143441639235</v>
      </c>
      <c r="J116" s="431"/>
      <c r="K116" s="431"/>
      <c r="L116" s="115">
        <f>IFERROR(G116*H116/10^6,0)</f>
        <v>9.5597114808188071</v>
      </c>
    </row>
    <row r="117" spans="1:40" outlineLevel="1">
      <c r="A117" s="70" t="str">
        <f t="shared" si="19"/>
        <v/>
      </c>
      <c r="B117" t="s">
        <v>9</v>
      </c>
      <c r="C117" s="1" t="s">
        <v>233</v>
      </c>
      <c r="D117" s="1" t="s">
        <v>251</v>
      </c>
      <c r="E117" s="1" t="str">
        <f>'Census 2011_17'!B$121</f>
        <v>Middle Income</v>
      </c>
      <c r="F117" t="s">
        <v>14</v>
      </c>
      <c r="G117" s="478">
        <v>14.617315035013641</v>
      </c>
      <c r="H117" s="115">
        <f>SUMIFS('Census 2011_17'!$O$111:$O$238,'Census 2011_17'!$A$111:$A$238,Energy_Balance!F117,'Census 2011_17'!$B$111:$B$238,Energy_Balance!E117,'Census 2011_17'!$C$111:$C$238,Energy_Balance!B117)</f>
        <v>27515.45238252019</v>
      </c>
      <c r="I117" s="431">
        <f t="shared" si="21"/>
        <v>0.9716798484936372</v>
      </c>
      <c r="J117" s="431"/>
      <c r="K117" s="431"/>
      <c r="L117" s="115">
        <f>IFERROR(G117*H117/10^6,0)</f>
        <v>0.40220203580621433</v>
      </c>
      <c r="AH117" s="3"/>
      <c r="AI117" s="3"/>
      <c r="AJ117" s="3"/>
      <c r="AK117" s="3"/>
      <c r="AL117" s="3"/>
      <c r="AM117" s="3"/>
      <c r="AN117" s="3"/>
    </row>
    <row r="118" spans="1:40" outlineLevel="1">
      <c r="A118" s="70" t="str">
        <f t="shared" si="19"/>
        <v/>
      </c>
      <c r="B118" s="1" t="s">
        <v>159</v>
      </c>
      <c r="C118" s="1" t="s">
        <v>161</v>
      </c>
      <c r="D118" s="1" t="s">
        <v>251</v>
      </c>
      <c r="E118" s="1" t="str">
        <f>'Census 2011_17'!B$121</f>
        <v>Middle Income</v>
      </c>
      <c r="F118" t="s">
        <v>14</v>
      </c>
      <c r="G118" s="478" t="s">
        <v>57</v>
      </c>
      <c r="H118" s="115">
        <f>SUMIFS('Census 2011_17'!$O$111:$O$238,'Census 2011_17'!$A$111:$A$238,Energy_Balance!F118,'Census 2011_17'!$B$111:$B$238,Energy_Balance!E118,'Census 2011_17'!$C$111:$C$238,Energy_Balance!B118)</f>
        <v>0</v>
      </c>
      <c r="I118" s="431"/>
      <c r="J118" s="431"/>
      <c r="K118" s="431"/>
      <c r="L118" s="115">
        <f>IFERROR(G118*H118/10^6,0)</f>
        <v>0</v>
      </c>
      <c r="AH118" s="3"/>
      <c r="AI118" s="3"/>
      <c r="AJ118" s="3"/>
      <c r="AK118" s="3"/>
      <c r="AL118" s="3"/>
      <c r="AM118" s="3"/>
      <c r="AN118" s="3"/>
    </row>
    <row r="119" spans="1:40" ht="13" outlineLevel="1">
      <c r="A119" s="70" t="str">
        <f t="shared" si="19"/>
        <v/>
      </c>
      <c r="B119" s="1"/>
      <c r="C119" s="1"/>
      <c r="D119" s="1"/>
      <c r="E119" s="5"/>
      <c r="F119" s="5"/>
      <c r="G119" s="478" t="s">
        <v>57</v>
      </c>
      <c r="H119" s="271">
        <f>SUM(H112:H118)</f>
        <v>5990770.437202692</v>
      </c>
      <c r="I119" s="430"/>
      <c r="J119" s="430"/>
      <c r="K119" s="430"/>
      <c r="L119" s="271"/>
      <c r="AH119" s="3"/>
      <c r="AI119" s="3"/>
      <c r="AJ119" s="3"/>
      <c r="AK119" s="3"/>
      <c r="AL119" s="3"/>
      <c r="AM119" s="3"/>
      <c r="AN119" s="3"/>
    </row>
    <row r="120" spans="1:40">
      <c r="A120" s="70" t="str">
        <f t="shared" si="19"/>
        <v>*</v>
      </c>
      <c r="B120" s="69" t="s">
        <v>1037</v>
      </c>
      <c r="C120" s="69"/>
      <c r="D120" s="69"/>
      <c r="G120" s="478" t="s">
        <v>57</v>
      </c>
      <c r="H120" s="115"/>
      <c r="I120" s="431"/>
      <c r="J120" s="431"/>
      <c r="K120" s="431"/>
      <c r="L120" s="115"/>
      <c r="AH120" s="3"/>
      <c r="AI120" s="3"/>
      <c r="AJ120" s="3"/>
      <c r="AK120" s="3"/>
      <c r="AL120" s="3"/>
      <c r="AM120" s="3"/>
      <c r="AN120" s="3"/>
    </row>
    <row r="121" spans="1:40" ht="13" outlineLevel="2">
      <c r="A121" s="70" t="str">
        <f t="shared" si="19"/>
        <v/>
      </c>
      <c r="B121" s="1" t="s">
        <v>42</v>
      </c>
      <c r="C121" s="1" t="s">
        <v>229</v>
      </c>
      <c r="D121" s="1" t="s">
        <v>252</v>
      </c>
      <c r="E121" s="1" t="str">
        <f>'Census 2011_17'!B$121</f>
        <v>Middle Income</v>
      </c>
      <c r="F121" t="s">
        <v>15</v>
      </c>
      <c r="G121" s="478"/>
      <c r="H121" s="271">
        <f>'Census 2011_17'!H7</f>
        <v>4694714.1229874622</v>
      </c>
      <c r="I121" s="431">
        <f>IFERROR(IF(B121="paraffin",L121*G$48,IF(B121="electricity",L121*F$48,IF(B121="coal",L121*J$48,IF(B121="Gas",L121*H$48,IF(B121="wood",L121*I$48,L121))))),"")</f>
        <v>9.8389793766391325</v>
      </c>
      <c r="J121" s="431"/>
      <c r="K121" s="431">
        <f>T$25/$V$5*10^6</f>
        <v>2.0957568701495584</v>
      </c>
      <c r="L121" s="115">
        <f>IFERROR(K121*H121/10^6,0)</f>
        <v>9.8389793766391325</v>
      </c>
      <c r="AH121" s="3"/>
      <c r="AI121" s="3"/>
      <c r="AJ121" s="3"/>
      <c r="AK121" s="3"/>
      <c r="AL121" s="3"/>
      <c r="AM121" s="3"/>
      <c r="AN121" s="3"/>
    </row>
    <row r="122" spans="1:40" outlineLevel="2">
      <c r="A122" s="70" t="str">
        <f t="shared" si="19"/>
        <v/>
      </c>
      <c r="C122" s="1"/>
      <c r="D122" s="1"/>
      <c r="E122" s="1"/>
      <c r="F122" s="1"/>
      <c r="G122" s="478" t="s">
        <v>57</v>
      </c>
      <c r="H122" s="115"/>
      <c r="I122" s="431"/>
      <c r="J122" s="431"/>
      <c r="K122" s="431"/>
      <c r="L122" s="115"/>
      <c r="AH122" s="3"/>
      <c r="AI122" s="3"/>
      <c r="AJ122" s="3"/>
      <c r="AK122" s="3"/>
      <c r="AL122" s="3"/>
      <c r="AM122" s="3"/>
      <c r="AN122" s="3"/>
    </row>
    <row r="123" spans="1:40">
      <c r="A123" s="70" t="str">
        <f t="shared" ref="A123:A154" si="22">IF(LEFT(B123,1)="\","*","")</f>
        <v>*</v>
      </c>
      <c r="B123" s="69" t="s">
        <v>1036</v>
      </c>
      <c r="C123" s="69"/>
      <c r="D123" s="69"/>
      <c r="E123" s="1"/>
      <c r="F123" s="69"/>
      <c r="G123" s="478" t="s">
        <v>57</v>
      </c>
      <c r="H123" s="115"/>
      <c r="I123" s="431"/>
      <c r="J123" s="431"/>
      <c r="K123" s="431"/>
      <c r="L123" s="115"/>
      <c r="AH123" s="3"/>
      <c r="AI123" s="3"/>
      <c r="AJ123" s="3"/>
      <c r="AK123" s="3"/>
      <c r="AL123" s="3"/>
      <c r="AM123" s="3"/>
      <c r="AN123" s="3"/>
    </row>
    <row r="124" spans="1:40" ht="13" outlineLevel="2">
      <c r="A124" s="70" t="str">
        <f t="shared" si="22"/>
        <v/>
      </c>
      <c r="B124" s="1" t="s">
        <v>42</v>
      </c>
      <c r="C124" s="1" t="s">
        <v>229</v>
      </c>
      <c r="D124" s="1" t="s">
        <v>253</v>
      </c>
      <c r="E124" s="1" t="str">
        <f>'Census 2011_17'!B$121</f>
        <v>Middle Income</v>
      </c>
      <c r="F124" t="s">
        <v>41</v>
      </c>
      <c r="G124" s="478"/>
      <c r="H124" s="271">
        <f>'Census 2011_17'!H7</f>
        <v>4694714.1229874622</v>
      </c>
      <c r="I124" s="431">
        <f>IFERROR(IF(B124="paraffin",L124*G$48,IF(B124="electricity",L124*F$48,IF(B124="coal",L124*J$48,IF(B124="Gas",L124*H$48,IF(B124="wood",L124*I$48,L124))))),"")</f>
        <v>9.5886666621823888</v>
      </c>
      <c r="J124" s="431"/>
      <c r="K124" s="431">
        <f>T$26/$V$5*10^6</f>
        <v>2.042438881471377</v>
      </c>
      <c r="L124" s="115">
        <f>IFERROR(K124*H124/10^6,0)</f>
        <v>9.5886666621823888</v>
      </c>
      <c r="AD124" s="1"/>
      <c r="AH124" s="3"/>
      <c r="AI124" s="3"/>
      <c r="AJ124" s="3"/>
      <c r="AK124" s="3"/>
      <c r="AL124" s="3"/>
      <c r="AM124" s="3"/>
      <c r="AN124" s="3"/>
    </row>
    <row r="125" spans="1:40" outlineLevel="2">
      <c r="A125" s="70" t="str">
        <f t="shared" si="22"/>
        <v/>
      </c>
      <c r="B125" s="1" t="s">
        <v>17</v>
      </c>
      <c r="C125" s="1" t="s">
        <v>231</v>
      </c>
      <c r="D125" s="1" t="s">
        <v>288</v>
      </c>
      <c r="E125" s="1" t="str">
        <f>'Census 2011_17'!B$121</f>
        <v>Middle Income</v>
      </c>
      <c r="F125" t="s">
        <v>41</v>
      </c>
      <c r="G125" s="478" t="s">
        <v>57</v>
      </c>
      <c r="H125" s="115">
        <v>0</v>
      </c>
      <c r="I125" s="431"/>
      <c r="J125" s="431"/>
      <c r="K125" s="431"/>
      <c r="L125" s="115"/>
      <c r="AH125" s="3"/>
      <c r="AI125" s="3"/>
      <c r="AJ125" s="3"/>
      <c r="AK125" s="3"/>
      <c r="AL125" s="3"/>
      <c r="AM125" s="3"/>
      <c r="AN125" s="3"/>
    </row>
    <row r="126" spans="1:40" ht="13" outlineLevel="2">
      <c r="A126" s="70" t="str">
        <f t="shared" si="22"/>
        <v/>
      </c>
      <c r="C126" s="1"/>
      <c r="D126" s="1"/>
      <c r="E126" s="5"/>
      <c r="F126" s="5"/>
      <c r="G126" s="478" t="s">
        <v>57</v>
      </c>
      <c r="H126" s="271"/>
      <c r="I126" s="430"/>
      <c r="J126" s="430"/>
      <c r="K126" s="430"/>
      <c r="L126" s="271"/>
    </row>
    <row r="127" spans="1:40">
      <c r="A127" s="70" t="str">
        <f t="shared" si="22"/>
        <v>*</v>
      </c>
      <c r="B127" s="257" t="s">
        <v>1035</v>
      </c>
      <c r="C127" s="69"/>
      <c r="D127" s="69"/>
      <c r="G127" s="478" t="s">
        <v>57</v>
      </c>
      <c r="H127" s="115"/>
      <c r="I127" s="431"/>
      <c r="J127" s="431"/>
      <c r="K127" s="431"/>
      <c r="L127" s="115"/>
    </row>
    <row r="128" spans="1:40" outlineLevel="1">
      <c r="A128" s="70" t="str">
        <f t="shared" si="22"/>
        <v/>
      </c>
      <c r="B128" s="258" t="s">
        <v>42</v>
      </c>
      <c r="C128" s="1" t="s">
        <v>229</v>
      </c>
      <c r="D128" s="1" t="s">
        <v>254</v>
      </c>
      <c r="E128" s="1" t="str">
        <f>'Census 2011_17'!B$131</f>
        <v>High Income</v>
      </c>
      <c r="F128" t="s">
        <v>11</v>
      </c>
      <c r="G128" s="478"/>
      <c r="H128" s="115">
        <f>'Census 2011_17'!H5</f>
        <v>4115155.5606494844</v>
      </c>
      <c r="I128" s="431">
        <f>IFERROR(IF(B128="paraffin",L128*G$48,IF(B128="electricity",L128*F$48,IF(B128="coal",L128*J$48,IF(B128="Gas",L128*H$48,IF(B128="wood",L128*I$48,L128))))),"")</f>
        <v>5.5928399686710613</v>
      </c>
      <c r="J128" s="431"/>
      <c r="K128" s="431">
        <f>T$27/$V$6*10^6</f>
        <v>1.3590834869407362</v>
      </c>
      <c r="L128" s="115">
        <f>IFERROR(K128*H128/10^6,0)</f>
        <v>5.5928399686710613</v>
      </c>
    </row>
    <row r="129" spans="1:12" ht="13" outlineLevel="1">
      <c r="A129" s="70" t="str">
        <f t="shared" si="22"/>
        <v/>
      </c>
      <c r="B129" s="259"/>
      <c r="E129" s="5"/>
      <c r="F129" s="5"/>
      <c r="G129" s="479" t="s">
        <v>57</v>
      </c>
      <c r="H129" s="271">
        <f>H128</f>
        <v>4115155.5606494844</v>
      </c>
      <c r="I129" s="430"/>
      <c r="J129" s="430"/>
      <c r="K129" s="430"/>
      <c r="L129" s="271"/>
    </row>
    <row r="130" spans="1:12">
      <c r="A130" s="70" t="str">
        <f t="shared" si="22"/>
        <v>*</v>
      </c>
      <c r="B130" s="257" t="s">
        <v>1034</v>
      </c>
      <c r="C130" s="69"/>
      <c r="D130" s="69"/>
      <c r="E130" s="1"/>
      <c r="F130" s="69"/>
      <c r="G130" s="478" t="s">
        <v>57</v>
      </c>
      <c r="H130" s="115"/>
      <c r="I130" s="431"/>
      <c r="J130" s="431"/>
      <c r="K130" s="431"/>
      <c r="L130" s="115"/>
    </row>
    <row r="131" spans="1:12" outlineLevel="1">
      <c r="A131" s="70" t="str">
        <f t="shared" si="22"/>
        <v/>
      </c>
      <c r="B131" s="259" t="s">
        <v>42</v>
      </c>
      <c r="C131" s="1" t="s">
        <v>229</v>
      </c>
      <c r="D131" s="1" t="s">
        <v>255</v>
      </c>
      <c r="E131" s="1" t="str">
        <f>'Census 2011_17'!B$131</f>
        <v>High Income</v>
      </c>
      <c r="F131" s="1" t="str">
        <f>'Census 2011_17'!A$111</f>
        <v>Cooking</v>
      </c>
      <c r="G131" s="478"/>
      <c r="H131" s="115">
        <f>H128</f>
        <v>4115155.5606494844</v>
      </c>
      <c r="I131" s="431">
        <f t="shared" ref="I131:I136" si="23">IFERROR(IF(B131="paraffin",L131*G$48,IF(B131="electricity",L131*F$48,IF(B131="coal",L131*J$48,IF(B131="Gas",L131*H$48,IF(B131="wood",L131*I$48,L131))))),"")</f>
        <v>8.9153831563052766</v>
      </c>
      <c r="J131" s="431"/>
      <c r="K131" s="431">
        <f>T$28/$V$6*10^6</f>
        <v>2.1664753676767892</v>
      </c>
      <c r="L131" s="115">
        <f>IFERROR(K131*H131/10^6,0)</f>
        <v>8.9153831563052766</v>
      </c>
    </row>
    <row r="132" spans="1:12" outlineLevel="1">
      <c r="A132" s="70" t="str">
        <f t="shared" si="22"/>
        <v/>
      </c>
      <c r="B132" s="259" t="s">
        <v>17</v>
      </c>
      <c r="C132" s="1" t="s">
        <v>231</v>
      </c>
      <c r="D132" s="1" t="s">
        <v>255</v>
      </c>
      <c r="E132" s="1" t="str">
        <f>'Census 2011_17'!B$131</f>
        <v>High Income</v>
      </c>
      <c r="F132" s="1" t="str">
        <f>'Census 2011_17'!A$111</f>
        <v>Cooking</v>
      </c>
      <c r="G132" s="478">
        <v>3.8435040000000011</v>
      </c>
      <c r="H132" s="115">
        <f>SUMIFS('Census 2011_17'!$O$111:$O$238,'Census 2011_17'!$A$111:$A$238,Energy_Balance!F132,'Census 2011_17'!$B$111:$B$238,Energy_Balance!E132,'Census 2011_17'!$C$111:$C$238,Energy_Balance!B132)</f>
        <v>52190.282030702037</v>
      </c>
      <c r="I132" s="431">
        <f t="shared" si="23"/>
        <v>9.8047990028176782E-2</v>
      </c>
      <c r="J132" s="431"/>
      <c r="K132" s="431"/>
      <c r="L132" s="115">
        <f>IFERROR(G132*H132/10^6,0)</f>
        <v>0.20059355774613147</v>
      </c>
    </row>
    <row r="133" spans="1:12" outlineLevel="1">
      <c r="A133" s="70" t="str">
        <f t="shared" si="22"/>
        <v/>
      </c>
      <c r="B133" s="258" t="s">
        <v>43</v>
      </c>
      <c r="C133" s="1" t="s">
        <v>230</v>
      </c>
      <c r="D133" s="1" t="s">
        <v>255</v>
      </c>
      <c r="E133" s="1" t="str">
        <f>'Census 2011_17'!B$131</f>
        <v>High Income</v>
      </c>
      <c r="F133" s="1" t="str">
        <f>'Census 2011_17'!A$111</f>
        <v>Cooking</v>
      </c>
      <c r="G133" s="478">
        <v>3.214512</v>
      </c>
      <c r="H133" s="115">
        <f>SUMIFS('Census 2011_17'!$O$111:$O$238,'Census 2011_17'!$A$111:$A$238,Energy_Balance!F133,'Census 2011_17'!$B$111:$B$238,Energy_Balance!E133,'Census 2011_17'!$C$111:$C$238,Energy_Balance!B133)</f>
        <v>327804.64300944185</v>
      </c>
      <c r="I133" s="431">
        <f t="shared" si="23"/>
        <v>4.1252927578215273</v>
      </c>
      <c r="J133" s="431"/>
      <c r="K133" s="431">
        <f>G132</f>
        <v>3.8435040000000011</v>
      </c>
      <c r="L133" s="115">
        <f>IFERROR(K133*H133/10^6,0)</f>
        <v>1.2599184566253621</v>
      </c>
    </row>
    <row r="134" spans="1:12" outlineLevel="1">
      <c r="A134" s="70" t="str">
        <f t="shared" si="22"/>
        <v/>
      </c>
      <c r="B134" s="259" t="s">
        <v>7</v>
      </c>
      <c r="C134" s="1" t="s">
        <v>232</v>
      </c>
      <c r="D134" s="1" t="s">
        <v>255</v>
      </c>
      <c r="E134" s="1" t="str">
        <f>'Census 2011_17'!B$131</f>
        <v>High Income</v>
      </c>
      <c r="F134" s="1" t="str">
        <f>'Census 2011_17'!A$111</f>
        <v>Cooking</v>
      </c>
      <c r="G134" s="478">
        <v>21.283149999999999</v>
      </c>
      <c r="H134" s="115">
        <f>SUMIFS('Census 2011_17'!$O$111:$O$238,'Census 2011_17'!$A$111:$A$238,Energy_Balance!F134,'Census 2011_17'!$B$111:$B$238,Energy_Balance!E134,'Census 2011_17'!$C$111:$C$238,Energy_Balance!B134)</f>
        <v>74480.079653549386</v>
      </c>
      <c r="I134" s="431">
        <f t="shared" si="23"/>
        <v>0.98560703676527339</v>
      </c>
      <c r="J134" s="431"/>
      <c r="K134" s="431"/>
      <c r="L134" s="115">
        <f>IFERROR(G134*H134/10^6,0)</f>
        <v>1.5851707072784396</v>
      </c>
    </row>
    <row r="135" spans="1:12" outlineLevel="1">
      <c r="A135" s="70" t="str">
        <f t="shared" si="22"/>
        <v/>
      </c>
      <c r="B135" s="259" t="s">
        <v>9</v>
      </c>
      <c r="C135" s="1" t="s">
        <v>233</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6097.9455008967561</v>
      </c>
      <c r="I135" s="431">
        <f t="shared" si="23"/>
        <v>0</v>
      </c>
      <c r="J135" s="431"/>
      <c r="K135" s="431"/>
      <c r="L135" s="115">
        <f>IFERROR(G135*H135/10^6,0)</f>
        <v>0</v>
      </c>
    </row>
    <row r="136" spans="1:12" outlineLevel="1">
      <c r="A136" s="70" t="str">
        <f t="shared" si="22"/>
        <v/>
      </c>
      <c r="B136" s="259" t="s">
        <v>159</v>
      </c>
      <c r="C136" s="1" t="s">
        <v>161</v>
      </c>
      <c r="D136" s="1" t="s">
        <v>255</v>
      </c>
      <c r="E136" s="1" t="str">
        <f>'Census 2011_17'!B$131</f>
        <v>High Income</v>
      </c>
      <c r="F136" s="1" t="str">
        <f>'Census 2011_17'!A$111</f>
        <v>Cooking</v>
      </c>
      <c r="G136" s="478" t="s">
        <v>57</v>
      </c>
      <c r="H136" s="115">
        <f>SUMIFS('Census 2011_17'!$O$111:$O$238,'Census 2011_17'!$A$111:$A$238,Energy_Balance!F136,'Census 2011_17'!$B$111:$B$238,Energy_Balance!E136,'Census 2011_17'!$C$111:$C$238,Energy_Balance!B136)</f>
        <v>0</v>
      </c>
      <c r="I136" s="431">
        <f t="shared" si="23"/>
        <v>0</v>
      </c>
      <c r="J136" s="431"/>
      <c r="K136" s="431"/>
      <c r="L136" s="115">
        <f>IFERROR(G136*H136/10^6,0)</f>
        <v>0</v>
      </c>
    </row>
    <row r="137" spans="1:12" ht="13" outlineLevel="1">
      <c r="A137" s="70" t="str">
        <f t="shared" si="22"/>
        <v/>
      </c>
      <c r="B137" s="259"/>
      <c r="E137" s="5"/>
      <c r="F137" s="5"/>
      <c r="G137" s="479" t="s">
        <v>57</v>
      </c>
      <c r="H137" s="271">
        <f>SUM(H131:H136)</f>
        <v>4575728.5108440733</v>
      </c>
      <c r="I137" s="430"/>
      <c r="J137" s="430"/>
      <c r="K137" s="430"/>
      <c r="L137" s="271"/>
    </row>
    <row r="138" spans="1:12">
      <c r="A138" s="70" t="str">
        <f t="shared" si="22"/>
        <v>*</v>
      </c>
      <c r="B138" s="257" t="s">
        <v>1033</v>
      </c>
      <c r="C138" s="69"/>
      <c r="D138" s="69"/>
      <c r="G138" s="478" t="s">
        <v>57</v>
      </c>
      <c r="H138" s="115"/>
      <c r="I138" s="431"/>
      <c r="J138" s="431"/>
      <c r="K138" s="431"/>
      <c r="L138" s="115"/>
    </row>
    <row r="139" spans="1:12" outlineLevel="1">
      <c r="A139" s="70" t="str">
        <f t="shared" si="22"/>
        <v/>
      </c>
      <c r="B139" s="258" t="s">
        <v>42</v>
      </c>
      <c r="C139" s="1" t="s">
        <v>229</v>
      </c>
      <c r="D139" s="1" t="s">
        <v>239</v>
      </c>
      <c r="E139" s="1" t="str">
        <f>'Census 2011_17'!B$131</f>
        <v>High Income</v>
      </c>
      <c r="F139" s="1" t="str">
        <f>'Census 2011_17'!A$142</f>
        <v>Space heating</v>
      </c>
      <c r="G139" s="478">
        <v>2.7648000000000001</v>
      </c>
      <c r="H139" s="115">
        <f>H131</f>
        <v>4115155.5606494844</v>
      </c>
      <c r="I139" s="431">
        <f t="shared" ref="I139:I144" si="24">IFERROR(IF(B139="paraffin",L139*G$48,IF(B139="electricity",L139*F$48,IF(B139="coal",L139*J$48,IF(B139="Gas",L139*H$48,IF(B139="wood",L139*I$48,L139))))),"")</f>
        <v>2.5732372304921198</v>
      </c>
      <c r="J139" s="431"/>
      <c r="K139" s="431">
        <f>T$29/$V$6*10^6</f>
        <v>0.62530740152287034</v>
      </c>
      <c r="L139" s="115">
        <f>IFERROR(K139*H139/10^6,0)</f>
        <v>2.5732372304921198</v>
      </c>
    </row>
    <row r="140" spans="1:12" outlineLevel="1">
      <c r="A140" s="70" t="str">
        <f t="shared" si="22"/>
        <v/>
      </c>
      <c r="B140" s="258" t="s">
        <v>17</v>
      </c>
      <c r="C140" s="1" t="s">
        <v>231</v>
      </c>
      <c r="D140" s="1" t="s">
        <v>239</v>
      </c>
      <c r="E140" s="1" t="str">
        <f>'Census 2011_17'!B$131</f>
        <v>High Income</v>
      </c>
      <c r="F140" s="1" t="str">
        <f>'Census 2011_17'!A$142</f>
        <v>Space heating</v>
      </c>
      <c r="G140" s="478">
        <v>0.55500000000000005</v>
      </c>
      <c r="H140" s="115">
        <f>SUMIFS('Census 2011_17'!$O$111:$O$238,'Census 2011_17'!$A$111:$A$238,Energy_Balance!F140,'Census 2011_17'!$B$111:$B$238,Energy_Balance!E140,'Census 2011_17'!$C$111:$C$238,Energy_Balance!B140)</f>
        <v>97704.471895579321</v>
      </c>
      <c r="I140" s="431">
        <f t="shared" si="24"/>
        <v>2.6505081182760407E-2</v>
      </c>
      <c r="J140" s="431"/>
      <c r="K140" s="431"/>
      <c r="L140" s="115">
        <f>IFERROR(G140*H140/10^6,0)</f>
        <v>5.4225981902046527E-2</v>
      </c>
    </row>
    <row r="141" spans="1:12" outlineLevel="1">
      <c r="A141" s="70" t="str">
        <f t="shared" si="22"/>
        <v/>
      </c>
      <c r="B141" s="258" t="s">
        <v>43</v>
      </c>
      <c r="C141" s="1" t="s">
        <v>230</v>
      </c>
      <c r="D141" s="1" t="s">
        <v>239</v>
      </c>
      <c r="E141" s="1" t="str">
        <f>'Census 2011_17'!B$131</f>
        <v>High Income</v>
      </c>
      <c r="F141" s="1" t="str">
        <f>'Census 2011_17'!A$142</f>
        <v>Space heating</v>
      </c>
      <c r="G141" s="478">
        <v>2.0699999999999998</v>
      </c>
      <c r="H141" s="115">
        <f>SUMIFS('Census 2011_17'!$O$111:$O$238,'Census 2011_17'!$A$111:$A$238,Energy_Balance!F141,'Census 2011_17'!$B$111:$B$238,Energy_Balance!E141,'Census 2011_17'!$C$111:$C$238,Energy_Balance!B141)</f>
        <v>101246.88471881289</v>
      </c>
      <c r="I141" s="431">
        <f t="shared" si="24"/>
        <v>3.6662132083249852</v>
      </c>
      <c r="J141" s="431"/>
      <c r="K141" s="431">
        <f>G139*4</f>
        <v>11.059200000000001</v>
      </c>
      <c r="L141" s="115">
        <f>IFERROR(K141*H141/10^6,0)</f>
        <v>1.1197095474822953</v>
      </c>
    </row>
    <row r="142" spans="1:12" outlineLevel="1">
      <c r="A142" s="70" t="str">
        <f t="shared" si="22"/>
        <v/>
      </c>
      <c r="B142" s="258" t="s">
        <v>7</v>
      </c>
      <c r="C142" s="1" t="s">
        <v>232</v>
      </c>
      <c r="D142" s="1" t="s">
        <v>239</v>
      </c>
      <c r="E142" s="1" t="str">
        <f>'Census 2011_17'!B$131</f>
        <v>High Income</v>
      </c>
      <c r="F142" s="1" t="str">
        <f>'Census 2011_17'!A$142</f>
        <v>Space heating</v>
      </c>
      <c r="G142" s="478">
        <v>4.1263249999999996</v>
      </c>
      <c r="H142" s="115">
        <f>SUMIFS('Census 2011_17'!$O$111:$O$238,'Census 2011_17'!$A$111:$A$238,Energy_Balance!F142,'Census 2011_17'!$B$111:$B$238,Energy_Balance!E142,'Census 2011_17'!$C$111:$C$238,Energy_Balance!B142)</f>
        <v>92936.863076946349</v>
      </c>
      <c r="I142" s="431">
        <f t="shared" si="24"/>
        <v>0.23844004649551748</v>
      </c>
      <c r="J142" s="431"/>
      <c r="K142" s="431"/>
      <c r="L142" s="115">
        <f>IFERROR(G142*H142/10^6,0)</f>
        <v>0.38348770153598061</v>
      </c>
    </row>
    <row r="143" spans="1:12" outlineLevel="1">
      <c r="A143" s="70" t="str">
        <f t="shared" si="22"/>
        <v/>
      </c>
      <c r="B143" s="259" t="s">
        <v>9</v>
      </c>
      <c r="C143" s="1" t="s">
        <v>233</v>
      </c>
      <c r="D143" s="1" t="s">
        <v>239</v>
      </c>
      <c r="E143" s="1" t="str">
        <f>'Census 2011_17'!B$131</f>
        <v>High Income</v>
      </c>
      <c r="F143" s="1" t="str">
        <f>'Census 2011_17'!A$142</f>
        <v>Space heating</v>
      </c>
      <c r="G143" s="478">
        <v>30.180600000000002</v>
      </c>
      <c r="H143" s="115">
        <f>SUMIFS('Census 2011_17'!$O$111:$O$238,'Census 2011_17'!$A$111:$A$238,Energy_Balance!F143,'Census 2011_17'!$B$111:$B$238,Energy_Balance!E143,'Census 2011_17'!$C$111:$C$238,Energy_Balance!B143)</f>
        <v>16865.614542845367</v>
      </c>
      <c r="I143" s="431">
        <f t="shared" si="24"/>
        <v>1.2297277444373003</v>
      </c>
      <c r="J143" s="431"/>
      <c r="K143" s="431"/>
      <c r="L143" s="115">
        <f>IFERROR(G143*H143/10^6,0)</f>
        <v>0.50901436627179886</v>
      </c>
    </row>
    <row r="144" spans="1:12" outlineLevel="1">
      <c r="A144" s="70" t="str">
        <f t="shared" si="22"/>
        <v/>
      </c>
      <c r="B144" s="258" t="s">
        <v>159</v>
      </c>
      <c r="C144" s="1" t="s">
        <v>161</v>
      </c>
      <c r="D144" s="1" t="s">
        <v>239</v>
      </c>
      <c r="E144" s="1" t="str">
        <f>'Census 2011_17'!B$131</f>
        <v>High Income</v>
      </c>
      <c r="F144" s="1" t="str">
        <f>'Census 2011_17'!A$142</f>
        <v>Space heating</v>
      </c>
      <c r="G144" s="478" t="s">
        <v>57</v>
      </c>
      <c r="H144" s="115">
        <f>SUMIFS('Census 2011_17'!$O$111:$O$238,'Census 2011_17'!$A$111:$A$238,Energy_Balance!F144,'Census 2011_17'!$B$111:$B$238,Energy_Balance!E144,'Census 2011_17'!$C$111:$C$238,Energy_Balance!B144)</f>
        <v>0</v>
      </c>
      <c r="I144" s="431">
        <f t="shared" si="24"/>
        <v>0</v>
      </c>
      <c r="J144" s="431"/>
      <c r="K144" s="431"/>
      <c r="L144" s="115">
        <f>IFERROR(G144*H144/10^6,0)</f>
        <v>0</v>
      </c>
    </row>
    <row r="145" spans="1:30" ht="13" outlineLevel="1">
      <c r="A145" s="70" t="str">
        <f t="shared" si="22"/>
        <v/>
      </c>
      <c r="B145" s="259"/>
      <c r="E145" s="5"/>
      <c r="F145" s="5"/>
      <c r="G145" s="479" t="s">
        <v>57</v>
      </c>
      <c r="H145" s="271">
        <f>SUM(H139:H144)</f>
        <v>4423909.394883669</v>
      </c>
      <c r="I145" s="430"/>
      <c r="J145" s="430"/>
      <c r="K145" s="430"/>
      <c r="L145" s="271"/>
    </row>
    <row r="146" spans="1:30">
      <c r="A146" s="70" t="str">
        <f t="shared" si="22"/>
        <v>*</v>
      </c>
      <c r="B146" s="257" t="s">
        <v>1032</v>
      </c>
      <c r="C146" s="69"/>
      <c r="D146" s="69"/>
      <c r="G146" s="478" t="s">
        <v>57</v>
      </c>
      <c r="H146" s="115"/>
      <c r="I146" s="431"/>
      <c r="J146" s="431"/>
      <c r="K146" s="431"/>
      <c r="L146" s="115"/>
    </row>
    <row r="147" spans="1:30" outlineLevel="2">
      <c r="A147" s="70" t="str">
        <f t="shared" si="22"/>
        <v/>
      </c>
      <c r="B147" s="258" t="s">
        <v>42</v>
      </c>
      <c r="C147" s="1" t="s">
        <v>229</v>
      </c>
      <c r="D147" t="s">
        <v>561</v>
      </c>
      <c r="E147" s="1" t="str">
        <f>'Census 2011_17'!B$131</f>
        <v>High Income</v>
      </c>
      <c r="F147" t="s">
        <v>14</v>
      </c>
      <c r="G147" s="478"/>
      <c r="H147" s="115">
        <f>H139</f>
        <v>4115155.5606494844</v>
      </c>
      <c r="I147" s="431">
        <f t="shared" ref="I147:I152" si="25">IFERROR(IF(B147="paraffin",L147*G$48,IF(B147="electricity",L147*F$48,IF(B147="coal",L147*J$48,IF(B147="Gas",L147*H$48,IF(B147="wood",L147*I$48,L147))))),"")</f>
        <v>44.095845009518499</v>
      </c>
      <c r="J147" s="431"/>
      <c r="K147" s="431">
        <f>T$30/$V$6*10^6</f>
        <v>10.715474630212755</v>
      </c>
      <c r="L147" s="115">
        <f>IFERROR(K147*H147/10^6,0)</f>
        <v>44.095845009518499</v>
      </c>
    </row>
    <row r="148" spans="1:30" outlineLevel="2">
      <c r="A148" s="70" t="str">
        <f t="shared" si="22"/>
        <v/>
      </c>
      <c r="B148" s="258" t="s">
        <v>17</v>
      </c>
      <c r="C148" s="1" t="s">
        <v>231</v>
      </c>
      <c r="D148" s="1" t="s">
        <v>256</v>
      </c>
      <c r="E148" s="1" t="str">
        <f>'Census 2011_17'!B$131</f>
        <v>High Income</v>
      </c>
      <c r="F148" t="s">
        <v>14</v>
      </c>
      <c r="G148" s="478">
        <v>12.291833097625108</v>
      </c>
      <c r="H148" s="115">
        <v>0</v>
      </c>
      <c r="I148" s="431">
        <f t="shared" si="25"/>
        <v>0</v>
      </c>
      <c r="J148" s="431"/>
      <c r="K148" s="431"/>
      <c r="L148" s="115">
        <f>IFERROR(G148*H148/10^6,0)</f>
        <v>0</v>
      </c>
      <c r="N148">
        <f>H148/'Census 2011_17'!H5</f>
        <v>0</v>
      </c>
    </row>
    <row r="149" spans="1:30" outlineLevel="2">
      <c r="A149" s="70" t="str">
        <f t="shared" si="22"/>
        <v/>
      </c>
      <c r="B149" s="258" t="s">
        <v>43</v>
      </c>
      <c r="C149" s="1" t="s">
        <v>230</v>
      </c>
      <c r="D149" s="1" t="s">
        <v>561</v>
      </c>
      <c r="E149" s="1" t="str">
        <f>'Census 2011_17'!B$131</f>
        <v>High Income</v>
      </c>
      <c r="F149" t="s">
        <v>14</v>
      </c>
      <c r="G149" s="478">
        <v>11.15595413150794</v>
      </c>
      <c r="H149" s="115">
        <f>H147*0.7/100</f>
        <v>28806.088924546391</v>
      </c>
      <c r="I149" s="431">
        <f t="shared" si="25"/>
        <v>1.0522122494149295</v>
      </c>
      <c r="J149" s="431"/>
      <c r="K149" s="431">
        <f>G149</f>
        <v>11.15595413150794</v>
      </c>
      <c r="L149" s="115">
        <f>IFERROR(K149*H149/10^6,0)</f>
        <v>0.32135940675037844</v>
      </c>
    </row>
    <row r="150" spans="1:30" outlineLevel="2">
      <c r="A150" s="70" t="str">
        <f t="shared" si="22"/>
        <v/>
      </c>
      <c r="B150" s="258" t="s">
        <v>7</v>
      </c>
      <c r="C150" s="1" t="s">
        <v>232</v>
      </c>
      <c r="D150" s="1" t="s">
        <v>256</v>
      </c>
      <c r="E150" s="1" t="str">
        <f>'Census 2011_17'!B$131</f>
        <v>High Income</v>
      </c>
      <c r="F150" t="s">
        <v>14</v>
      </c>
      <c r="G150" s="478">
        <v>18.271643793767051</v>
      </c>
      <c r="H150" s="115">
        <v>0</v>
      </c>
      <c r="I150" s="431">
        <f t="shared" si="25"/>
        <v>0</v>
      </c>
      <c r="J150" s="431"/>
      <c r="K150" s="431"/>
      <c r="L150" s="115">
        <f>IFERROR(G150*H150/10^6,0)</f>
        <v>0</v>
      </c>
      <c r="M150">
        <f>H149/H147</f>
        <v>7.0000000000000001E-3</v>
      </c>
    </row>
    <row r="151" spans="1:30" outlineLevel="2">
      <c r="A151" s="70" t="str">
        <f t="shared" si="22"/>
        <v/>
      </c>
      <c r="B151" s="259" t="s">
        <v>9</v>
      </c>
      <c r="C151" s="1" t="s">
        <v>233</v>
      </c>
      <c r="D151" s="1" t="s">
        <v>256</v>
      </c>
      <c r="E151" s="1" t="str">
        <f>'Census 2011_17'!B$131</f>
        <v>High Income</v>
      </c>
      <c r="F151" t="s">
        <v>14</v>
      </c>
      <c r="G151" s="478">
        <v>14.617315035013641</v>
      </c>
      <c r="H151" s="115">
        <v>0</v>
      </c>
      <c r="I151" s="431">
        <f t="shared" si="25"/>
        <v>0</v>
      </c>
      <c r="J151" s="431"/>
      <c r="K151" s="431"/>
      <c r="L151" s="115">
        <f>IFERROR(G151*H151/10^6,0)</f>
        <v>0</v>
      </c>
    </row>
    <row r="152" spans="1:30" outlineLevel="2">
      <c r="A152" s="70" t="str">
        <f t="shared" si="22"/>
        <v/>
      </c>
      <c r="B152" s="258" t="s">
        <v>159</v>
      </c>
      <c r="C152" s="1" t="s">
        <v>161</v>
      </c>
      <c r="D152" s="1" t="s">
        <v>256</v>
      </c>
      <c r="E152" s="1" t="str">
        <f>'Census 2011_17'!B$131</f>
        <v>High Income</v>
      </c>
      <c r="F152" t="s">
        <v>14</v>
      </c>
      <c r="G152" s="478" t="s">
        <v>57</v>
      </c>
      <c r="H152" s="115">
        <f>SUMIFS('Census 2011_17'!$O$111:$O$238,'Census 2011_17'!$A$111:$A$238,Energy_Balance!F152,'Census 2011_17'!$B$111:$B$238,Energy_Balance!E152,'Census 2011_17'!$C$111:$C$238,Energy_Balance!B152)</f>
        <v>0</v>
      </c>
      <c r="I152" s="431">
        <f t="shared" si="25"/>
        <v>0</v>
      </c>
      <c r="J152" s="431"/>
      <c r="K152" s="431">
        <f>K149</f>
        <v>11.15595413150794</v>
      </c>
      <c r="L152" s="115">
        <f>IFERROR(G152*H152/10^6,0)</f>
        <v>0</v>
      </c>
    </row>
    <row r="153" spans="1:30" ht="13" outlineLevel="2">
      <c r="A153" s="70" t="str">
        <f t="shared" si="22"/>
        <v/>
      </c>
      <c r="B153" s="258"/>
      <c r="C153" s="1"/>
      <c r="D153" s="1"/>
      <c r="E153" s="5"/>
      <c r="F153" s="5"/>
      <c r="G153" s="479" t="s">
        <v>57</v>
      </c>
      <c r="H153" s="271">
        <f>SUM(H147:H152)</f>
        <v>4143961.6495740307</v>
      </c>
      <c r="I153" s="430"/>
      <c r="J153" s="430"/>
      <c r="K153" s="430"/>
      <c r="L153" s="271"/>
    </row>
    <row r="154" spans="1:30">
      <c r="A154" s="70" t="str">
        <f t="shared" si="22"/>
        <v>*</v>
      </c>
      <c r="B154" s="257" t="s">
        <v>1031</v>
      </c>
      <c r="C154" s="69"/>
      <c r="D154" s="69"/>
      <c r="G154" s="478" t="s">
        <v>57</v>
      </c>
      <c r="H154" s="115"/>
      <c r="I154" s="431"/>
      <c r="J154" s="431"/>
      <c r="K154" s="431"/>
      <c r="L154" s="115"/>
    </row>
    <row r="155" spans="1:30" ht="13" outlineLevel="3">
      <c r="A155" s="70" t="str">
        <f t="shared" ref="A155:A160" si="26">IF(LEFT(B155,1)="\","*","")</f>
        <v/>
      </c>
      <c r="B155" s="258" t="s">
        <v>42</v>
      </c>
      <c r="C155" s="1" t="s">
        <v>229</v>
      </c>
      <c r="D155" s="1" t="s">
        <v>257</v>
      </c>
      <c r="E155" s="1" t="str">
        <f>'Census 2011_17'!B$131</f>
        <v>High Income</v>
      </c>
      <c r="F155" t="s">
        <v>15</v>
      </c>
      <c r="G155" s="478"/>
      <c r="H155" s="271">
        <f>'Census 2011_17'!H5</f>
        <v>4115155.5606494844</v>
      </c>
      <c r="I155" s="431">
        <f>IFERROR(IF(B155="paraffin",L155*G$48,IF(B155="electricity",L155*F$48,IF(B155="coal",L155*J$48,IF(B155="Gas",L155*H$48,IF(B155="wood",L155*I$48,L155))))),"")</f>
        <v>12.402636799528574</v>
      </c>
      <c r="J155" s="431"/>
      <c r="K155" s="431">
        <f>T$31/$V$6*10^6</f>
        <v>3.0138925775071059</v>
      </c>
      <c r="L155" s="115">
        <f>IFERROR(K155*H155/10^6,0)</f>
        <v>12.402636799528574</v>
      </c>
    </row>
    <row r="156" spans="1:30" outlineLevel="3">
      <c r="A156" s="70" t="str">
        <f t="shared" si="26"/>
        <v/>
      </c>
      <c r="B156" s="259"/>
      <c r="C156" s="1"/>
      <c r="D156" s="1"/>
      <c r="E156" s="1"/>
      <c r="F156" s="1"/>
      <c r="G156" s="478" t="s">
        <v>57</v>
      </c>
      <c r="H156" s="115"/>
      <c r="I156" s="431"/>
      <c r="J156" s="431"/>
      <c r="K156" s="431"/>
      <c r="L156" s="115"/>
    </row>
    <row r="157" spans="1:30">
      <c r="A157" s="70" t="str">
        <f t="shared" si="26"/>
        <v>*</v>
      </c>
      <c r="B157" s="257" t="s">
        <v>1030</v>
      </c>
      <c r="C157" s="69"/>
      <c r="D157" s="69"/>
      <c r="E157" s="1"/>
      <c r="F157" s="69"/>
      <c r="G157" s="478" t="s">
        <v>57</v>
      </c>
      <c r="H157" s="115"/>
      <c r="I157" s="431"/>
      <c r="J157" s="431"/>
      <c r="K157" s="431"/>
      <c r="L157" s="115"/>
    </row>
    <row r="158" spans="1:30" ht="13" outlineLevel="3">
      <c r="A158" s="70" t="str">
        <f t="shared" si="26"/>
        <v/>
      </c>
      <c r="B158" s="258" t="s">
        <v>42</v>
      </c>
      <c r="C158" s="1" t="s">
        <v>229</v>
      </c>
      <c r="D158" s="1" t="s">
        <v>258</v>
      </c>
      <c r="E158" s="1" t="str">
        <f>'Census 2011_17'!B$131</f>
        <v>High Income</v>
      </c>
      <c r="F158" t="s">
        <v>41</v>
      </c>
      <c r="G158" s="478"/>
      <c r="H158" s="602">
        <f>H155</f>
        <v>4115155.5606494844</v>
      </c>
      <c r="I158" s="431">
        <f>IFERROR(IF(B158="paraffin",L158*G$48,IF(B158="electricity",L158*F$48,IF(B158="coal",L158*J$48,IF(B158="Gas",L158*H$48,IF(B158="wood",L158*I$48,L158))))),"")</f>
        <v>17.695698412697091</v>
      </c>
      <c r="J158" s="431"/>
      <c r="K158" s="431">
        <f>T$32/$V$6*10^6</f>
        <v>4.3001286711757318</v>
      </c>
      <c r="L158" s="115">
        <f>IFERROR(K158*H158/10^6,0)</f>
        <v>17.695698412697091</v>
      </c>
      <c r="AD158" s="1"/>
    </row>
    <row r="159" spans="1:30" outlineLevel="3">
      <c r="A159" s="70" t="str">
        <f t="shared" si="26"/>
        <v/>
      </c>
      <c r="B159" s="258" t="s">
        <v>17</v>
      </c>
      <c r="C159" s="1" t="s">
        <v>231</v>
      </c>
      <c r="D159" s="1" t="s">
        <v>289</v>
      </c>
      <c r="E159" s="1" t="str">
        <f>'Census 2011_17'!B$131</f>
        <v>High Income</v>
      </c>
      <c r="F159" t="s">
        <v>41</v>
      </c>
      <c r="G159" s="2"/>
      <c r="H159" s="115"/>
      <c r="I159" s="431"/>
      <c r="J159" s="431"/>
      <c r="K159" s="431"/>
      <c r="L159" s="115">
        <f>IFERROR(G159*H159/10^6,0)</f>
        <v>0</v>
      </c>
    </row>
    <row r="160" spans="1:30" ht="13" outlineLevel="3">
      <c r="A160" s="70" t="str">
        <f t="shared" si="26"/>
        <v/>
      </c>
      <c r="C160" s="1"/>
      <c r="D160" s="1"/>
      <c r="E160" s="5"/>
      <c r="F160" s="5"/>
      <c r="G160" s="271"/>
      <c r="H160" s="271"/>
      <c r="I160" s="430"/>
      <c r="J160" s="430"/>
      <c r="K160" s="430"/>
      <c r="L160" s="271"/>
      <c r="M160" s="271"/>
      <c r="N160" s="271"/>
      <c r="O160" s="271"/>
      <c r="P160" s="271"/>
      <c r="Q160" s="271"/>
      <c r="R160" s="271"/>
      <c r="S160" s="271"/>
      <c r="T160" s="271"/>
      <c r="U160" s="271"/>
      <c r="V160" s="271"/>
      <c r="W160" s="271"/>
      <c r="X160" s="271"/>
      <c r="Y160" s="271"/>
      <c r="Z160" s="271"/>
      <c r="AA160" s="271"/>
      <c r="AB160" s="271"/>
      <c r="AC160" s="271"/>
    </row>
    <row r="171" spans="2:11">
      <c r="E171" t="s">
        <v>49</v>
      </c>
    </row>
    <row r="172" spans="2:11" ht="13">
      <c r="F172" s="5" t="s">
        <v>42</v>
      </c>
      <c r="G172" s="5" t="s">
        <v>17</v>
      </c>
      <c r="H172" s="5" t="s">
        <v>43</v>
      </c>
      <c r="I172" s="5" t="s">
        <v>7</v>
      </c>
      <c r="J172" s="5" t="s">
        <v>9</v>
      </c>
      <c r="K172" s="5" t="s">
        <v>159</v>
      </c>
    </row>
    <row r="173" spans="2:11">
      <c r="B173" t="s">
        <v>78</v>
      </c>
      <c r="E173" t="s">
        <v>29</v>
      </c>
      <c r="F173" s="3">
        <f>SUMIF($D$15:$D$37,$B173,F$15:F$37)</f>
        <v>35.59629432542674</v>
      </c>
      <c r="G173" s="3">
        <f t="shared" ref="G173:K175" ca="1" si="27">SUMIF($D$15:$D$37,$B173,G$15:G$36)</f>
        <v>5.6035939784638948</v>
      </c>
      <c r="H173" s="3">
        <f t="shared" ca="1" si="27"/>
        <v>3.1036507023820095</v>
      </c>
      <c r="I173" s="3">
        <f t="shared" ca="1" si="27"/>
        <v>55.209521164158211</v>
      </c>
      <c r="J173" s="3">
        <f t="shared" ca="1" si="27"/>
        <v>6.7027110127113341</v>
      </c>
      <c r="K173">
        <f t="shared" ca="1" si="27"/>
        <v>0</v>
      </c>
    </row>
    <row r="174" spans="2:11">
      <c r="B174" t="s">
        <v>435</v>
      </c>
      <c r="E174" t="s">
        <v>30</v>
      </c>
      <c r="F174" s="3">
        <f>SUMIF($D$15:$D$37,$B174,F$15:F$37)</f>
        <v>43.128065097360675</v>
      </c>
      <c r="G174" s="3">
        <f t="shared" ca="1" si="27"/>
        <v>3.911852950325168</v>
      </c>
      <c r="H174" s="3">
        <f t="shared" ca="1" si="27"/>
        <v>6.022631082056547</v>
      </c>
      <c r="I174" s="3">
        <f t="shared" ca="1" si="27"/>
        <v>27.333431752580964</v>
      </c>
      <c r="J174" s="3">
        <f t="shared" ca="1" si="27"/>
        <v>7.6845612428513679</v>
      </c>
      <c r="K174">
        <f t="shared" ca="1" si="27"/>
        <v>0</v>
      </c>
    </row>
    <row r="175" spans="2:11">
      <c r="B175" t="s">
        <v>79</v>
      </c>
      <c r="E175" t="s">
        <v>31</v>
      </c>
      <c r="F175" s="3">
        <f>SUMIF($D$15:$D$37,$B175,F$15:F$37)</f>
        <v>91.275640577212613</v>
      </c>
      <c r="G175" s="3">
        <f t="shared" ca="1" si="27"/>
        <v>0.12455307121093719</v>
      </c>
      <c r="H175" s="3">
        <f t="shared" ca="1" si="27"/>
        <v>8.8437182155614416</v>
      </c>
      <c r="I175" s="3">
        <f t="shared" ca="1" si="27"/>
        <v>1.2240470832607908</v>
      </c>
      <c r="J175" s="3">
        <f t="shared" ca="1" si="27"/>
        <v>1.2297277444373003</v>
      </c>
      <c r="K175">
        <f t="shared" ca="1" si="27"/>
        <v>0</v>
      </c>
    </row>
    <row r="176" spans="2:11">
      <c r="E176" s="1" t="s">
        <v>27</v>
      </c>
      <c r="F176" s="3">
        <f t="shared" ref="F176:K176" si="28">SUM(F173:F175)</f>
        <v>170.00000000000003</v>
      </c>
      <c r="G176" s="3">
        <f t="shared" ca="1" si="28"/>
        <v>9.6399999999999988</v>
      </c>
      <c r="H176" s="3">
        <f t="shared" ca="1" si="28"/>
        <v>17.97</v>
      </c>
      <c r="I176" s="3">
        <f t="shared" ca="1" si="28"/>
        <v>83.766999999999967</v>
      </c>
      <c r="J176" s="3">
        <f t="shared" ca="1" si="28"/>
        <v>15.617000000000003</v>
      </c>
      <c r="K176">
        <f t="shared" ca="1" si="28"/>
        <v>0</v>
      </c>
    </row>
    <row r="178" spans="2:2">
      <c r="B178" t="s">
        <v>837</v>
      </c>
    </row>
    <row r="197" spans="2:10">
      <c r="B197" s="1"/>
    </row>
    <row r="203" spans="2:10">
      <c r="D203" t="s">
        <v>388</v>
      </c>
      <c r="E203" t="s">
        <v>389</v>
      </c>
      <c r="F203" t="s">
        <v>42</v>
      </c>
      <c r="G203" t="s">
        <v>17</v>
      </c>
      <c r="H203" t="s">
        <v>43</v>
      </c>
      <c r="I203" t="s">
        <v>7</v>
      </c>
      <c r="J203" t="s">
        <v>9</v>
      </c>
    </row>
    <row r="204" spans="2:10">
      <c r="D204" s="632" t="s">
        <v>78</v>
      </c>
      <c r="E204" t="s">
        <v>11</v>
      </c>
      <c r="F204" s="3">
        <v>4.7592198597930109</v>
      </c>
      <c r="G204" s="3">
        <v>0.36541482196776115</v>
      </c>
      <c r="H204" s="3">
        <v>0</v>
      </c>
      <c r="I204" s="3">
        <v>0</v>
      </c>
      <c r="J204" s="3">
        <v>0</v>
      </c>
    </row>
    <row r="205" spans="2:10">
      <c r="D205" s="632"/>
      <c r="E205" t="s">
        <v>12</v>
      </c>
      <c r="F205" s="3">
        <v>8.8726739588346266</v>
      </c>
      <c r="G205" s="3">
        <v>1.4969403216661288</v>
      </c>
      <c r="H205" s="3">
        <v>1.0540082413086083</v>
      </c>
      <c r="I205" s="3">
        <v>33.542202919333945</v>
      </c>
      <c r="J205" s="3">
        <v>2.1940201359108897</v>
      </c>
    </row>
    <row r="206" spans="2:10">
      <c r="D206" s="632"/>
      <c r="E206" t="s">
        <v>310</v>
      </c>
      <c r="F206" s="3">
        <v>0.92383071465765942</v>
      </c>
      <c r="G206" s="3">
        <v>0.32511472040198852</v>
      </c>
      <c r="H206" s="3">
        <v>8.2195005713241232E-2</v>
      </c>
      <c r="I206" s="3">
        <v>10.185203913611241</v>
      </c>
      <c r="J206" s="3">
        <v>3.5807184128955476</v>
      </c>
    </row>
    <row r="207" spans="2:10">
      <c r="D207" s="632"/>
      <c r="E207" t="s">
        <v>14</v>
      </c>
      <c r="F207" s="3">
        <v>1.9736236034429964</v>
      </c>
      <c r="G207" s="3">
        <v>2.8371679818600861</v>
      </c>
      <c r="H207" s="3">
        <v>0.58421574773989327</v>
      </c>
      <c r="I207" s="3">
        <v>9.3904034820075051</v>
      </c>
      <c r="J207" s="3">
        <v>0.55466590619951062</v>
      </c>
    </row>
    <row r="208" spans="2:10">
      <c r="D208" s="632"/>
      <c r="E208" t="s">
        <v>15</v>
      </c>
      <c r="F208" s="3">
        <v>10.633507612276235</v>
      </c>
      <c r="G208" s="3">
        <v>0</v>
      </c>
      <c r="H208" s="3">
        <v>0</v>
      </c>
      <c r="I208" s="3">
        <v>0</v>
      </c>
      <c r="J208" s="3">
        <v>0</v>
      </c>
    </row>
    <row r="209" spans="4:10">
      <c r="D209" s="632"/>
      <c r="E209" t="s">
        <v>41</v>
      </c>
      <c r="F209" s="3">
        <v>7.1815610711883968</v>
      </c>
      <c r="G209" s="3">
        <v>0</v>
      </c>
      <c r="H209" s="3">
        <v>0</v>
      </c>
      <c r="I209" s="3">
        <v>0</v>
      </c>
      <c r="J209" s="3">
        <v>0</v>
      </c>
    </row>
    <row r="210" spans="4:10">
      <c r="D210" s="632" t="s">
        <v>435</v>
      </c>
      <c r="E210" t="s">
        <v>11</v>
      </c>
      <c r="F210" s="3">
        <v>4.3879081164006175</v>
      </c>
      <c r="G210" s="3">
        <v>0.71482186957706251</v>
      </c>
      <c r="H210" s="3">
        <v>0</v>
      </c>
      <c r="I210" s="3">
        <v>0</v>
      </c>
      <c r="J210" s="3">
        <v>0</v>
      </c>
    </row>
    <row r="211" spans="4:10">
      <c r="D211" s="632"/>
      <c r="E211" t="s">
        <v>12</v>
      </c>
      <c r="F211" s="3">
        <v>8.062558887421492</v>
      </c>
      <c r="G211" s="3">
        <v>0.20615414115615299</v>
      </c>
      <c r="H211" s="3">
        <v>0.57692644375234903</v>
      </c>
      <c r="I211" s="3">
        <v>16.951093019503173</v>
      </c>
      <c r="J211" s="3">
        <v>1.6572312557292754</v>
      </c>
    </row>
    <row r="212" spans="4:10">
      <c r="D212" s="632"/>
      <c r="E212" t="s">
        <v>310</v>
      </c>
      <c r="F212" s="3">
        <v>1.9328157938120758</v>
      </c>
      <c r="G212" s="3">
        <v>0.74689579765915792</v>
      </c>
      <c r="H212" s="3">
        <v>0.72640689006309955</v>
      </c>
      <c r="I212" s="3">
        <v>5.1512463307387257</v>
      </c>
      <c r="J212" s="3">
        <v>5.1822659916246563</v>
      </c>
    </row>
    <row r="213" spans="4:10">
      <c r="D213" s="632"/>
      <c r="E213" t="s">
        <v>14</v>
      </c>
      <c r="F213" s="3">
        <v>9.5424238974834363</v>
      </c>
      <c r="G213" s="3">
        <v>2.0981351412120754</v>
      </c>
      <c r="H213" s="3">
        <v>2.2949532423457586</v>
      </c>
      <c r="I213" s="3">
        <v>6.1152168202815496</v>
      </c>
      <c r="J213" s="3">
        <v>0.97280809955558833</v>
      </c>
    </row>
    <row r="214" spans="4:10">
      <c r="D214" s="632"/>
      <c r="E214" t="s">
        <v>15</v>
      </c>
      <c r="F214" s="3">
        <v>10.104542359380272</v>
      </c>
      <c r="G214" s="3">
        <v>0</v>
      </c>
      <c r="H214" s="3">
        <v>0</v>
      </c>
      <c r="I214" s="3">
        <v>0</v>
      </c>
      <c r="J214" s="3">
        <v>0</v>
      </c>
    </row>
    <row r="215" spans="4:10">
      <c r="D215" s="632"/>
      <c r="E215" t="s">
        <v>41</v>
      </c>
      <c r="F215" s="3">
        <v>9.7023536824606165</v>
      </c>
      <c r="G215" s="3">
        <v>0</v>
      </c>
      <c r="H215" s="3">
        <v>0</v>
      </c>
      <c r="I215" s="3">
        <v>0</v>
      </c>
      <c r="J215" s="3">
        <v>0</v>
      </c>
    </row>
    <row r="216" spans="4:10">
      <c r="D216" s="632" t="s">
        <v>79</v>
      </c>
      <c r="E216" t="s">
        <v>11</v>
      </c>
      <c r="F216" s="3">
        <v>5.6443889869639712</v>
      </c>
      <c r="G216" s="3">
        <v>0</v>
      </c>
      <c r="H216" s="3">
        <v>0</v>
      </c>
      <c r="I216" s="3">
        <v>0</v>
      </c>
      <c r="J216" s="3">
        <v>0</v>
      </c>
    </row>
    <row r="217" spans="4:10">
      <c r="D217" s="632"/>
      <c r="E217" t="s">
        <v>12</v>
      </c>
      <c r="F217" s="3">
        <v>9.0087971892288934</v>
      </c>
      <c r="G217" s="3">
        <v>9.2563833924448141E-2</v>
      </c>
      <c r="H217" s="3">
        <v>2.3995866483591111</v>
      </c>
      <c r="I217" s="3">
        <v>0.99354566271501477</v>
      </c>
      <c r="J217" s="3">
        <v>0</v>
      </c>
    </row>
    <row r="218" spans="4:10">
      <c r="D218" s="632"/>
      <c r="E218" t="s">
        <v>310</v>
      </c>
      <c r="F218" s="3">
        <v>2.6079095350372934</v>
      </c>
      <c r="G218" s="3">
        <v>2.5486082730346662E-2</v>
      </c>
      <c r="H218" s="3">
        <v>2.206870457913674</v>
      </c>
      <c r="I218" s="3">
        <v>0.24522190197486701</v>
      </c>
      <c r="J218" s="3">
        <v>1.2379218124175966</v>
      </c>
    </row>
    <row r="219" spans="4:10">
      <c r="D219" s="632"/>
      <c r="E219" t="s">
        <v>14</v>
      </c>
      <c r="F219" s="3">
        <v>44.293428072729746</v>
      </c>
      <c r="G219" s="3">
        <v>0.73130528784479287</v>
      </c>
      <c r="H219" s="3">
        <v>8.0448373228042644</v>
      </c>
      <c r="I219" s="3">
        <v>1.1928659498339771</v>
      </c>
      <c r="J219" s="3">
        <v>0.23736838566694082</v>
      </c>
    </row>
    <row r="220" spans="4:10">
      <c r="D220" s="632"/>
      <c r="E220" t="s">
        <v>15</v>
      </c>
      <c r="F220" s="3">
        <v>12.524672448938746</v>
      </c>
      <c r="G220" s="3">
        <v>0</v>
      </c>
      <c r="H220" s="3">
        <v>0</v>
      </c>
      <c r="I220" s="3">
        <v>0</v>
      </c>
      <c r="J220" s="3">
        <v>0</v>
      </c>
    </row>
    <row r="221" spans="4:10">
      <c r="D221" s="632"/>
      <c r="E221" t="s">
        <v>41</v>
      </c>
      <c r="F221" s="3">
        <v>17.843784209949941</v>
      </c>
      <c r="G221" s="3">
        <v>0</v>
      </c>
      <c r="H221" s="3">
        <v>0</v>
      </c>
      <c r="I221" s="3">
        <v>0</v>
      </c>
      <c r="J221" s="3">
        <v>0</v>
      </c>
    </row>
  </sheetData>
  <autoFilter ref="B55:I160" xr:uid="{00000000-0001-0000-1300-000000000000}"/>
  <mergeCells count="4">
    <mergeCell ref="B1:B2"/>
    <mergeCell ref="D204:D209"/>
    <mergeCell ref="D210:D215"/>
    <mergeCell ref="D216:D221"/>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4"/>
  <sheetViews>
    <sheetView topLeftCell="A100" zoomScale="80" zoomScaleNormal="80" workbookViewId="0">
      <selection activeCell="A137" sqref="A137"/>
    </sheetView>
  </sheetViews>
  <sheetFormatPr defaultColWidth="8.81640625" defaultRowHeight="12.5" outlineLevelRow="2" outlineLevelCol="1"/>
  <cols>
    <col min="1" max="1" width="54" customWidth="1"/>
    <col min="2" max="2" width="16.7265625" customWidth="1"/>
    <col min="3" max="3" width="11.453125" customWidth="1"/>
    <col min="4" max="4" width="8.453125" customWidth="1"/>
    <col min="5" max="5" width="7.26953125" customWidth="1"/>
    <col min="6" max="6" width="7" customWidth="1"/>
    <col min="7" max="7" width="9" customWidth="1"/>
    <col min="8" max="8" width="9.453125" customWidth="1"/>
    <col min="9" max="9" width="8.26953125" customWidth="1"/>
    <col min="10" max="10" width="9" customWidth="1"/>
    <col min="11" max="11" width="12.26953125" customWidth="1"/>
    <col min="12" max="12" width="11.26953125" customWidth="1"/>
    <col min="13" max="13" width="10.7265625" customWidth="1"/>
    <col min="14" max="15" width="11.26953125" customWidth="1"/>
    <col min="16" max="19" width="9.81640625" customWidth="1"/>
    <col min="20" max="20" width="5.453125" customWidth="1"/>
    <col min="21" max="21" width="17.453125" customWidth="1"/>
    <col min="22" max="22" width="13.453125" customWidth="1"/>
    <col min="23" max="23" width="8.7265625" style="3" customWidth="1"/>
    <col min="24" max="24" width="8.7265625" customWidth="1"/>
    <col min="25" max="28" width="10.54296875" customWidth="1"/>
    <col min="29" max="29" width="22.81640625" customWidth="1"/>
    <col min="30" max="30" width="8.453125" customWidth="1"/>
    <col min="31" max="31" width="12.26953125" customWidth="1"/>
    <col min="32" max="38" width="9.7265625" customWidth="1"/>
    <col min="39" max="39" width="7.1796875" customWidth="1"/>
    <col min="40" max="40" width="7.81640625" customWidth="1"/>
    <col min="41" max="41" width="4.7265625" customWidth="1" outlineLevel="1"/>
    <col min="42" max="42" width="10.7265625" hidden="1" customWidth="1" outlineLevel="1"/>
    <col min="43" max="44" width="7.7265625" customWidth="1" outlineLevel="1"/>
    <col min="45" max="45" width="7.453125" customWidth="1" outlineLevel="1"/>
    <col min="46" max="46" width="13.1796875" customWidth="1" outlineLevel="1"/>
    <col min="47" max="47" width="7.7265625" customWidth="1" outlineLevel="1"/>
    <col min="48" max="48" width="7" customWidth="1"/>
    <col min="49" max="49" width="9.1796875" customWidth="1"/>
    <col min="50" max="50" width="10" customWidth="1"/>
    <col min="51" max="51" width="6" customWidth="1"/>
    <col min="52" max="52" width="10" customWidth="1"/>
    <col min="53" max="53" width="11.8164062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904</v>
      </c>
      <c r="B2" s="238"/>
      <c r="C2" s="241"/>
      <c r="D2" s="241"/>
      <c r="E2" s="241"/>
      <c r="F2" s="241"/>
      <c r="G2" s="241"/>
      <c r="U2" s="3"/>
      <c r="W2"/>
    </row>
    <row r="3" spans="1:182">
      <c r="A3" s="510" t="s">
        <v>905</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170.00000000000006</v>
      </c>
      <c r="D8" s="33"/>
      <c r="E8" s="33"/>
      <c r="F8" s="33">
        <v>1</v>
      </c>
      <c r="G8" s="33"/>
      <c r="H8" s="121" t="s">
        <v>42</v>
      </c>
      <c r="I8" s="490" t="s">
        <v>229</v>
      </c>
      <c r="J8" s="489">
        <f t="shared" ref="J8:J13" si="0">SUMIF($C$39:$C$145,I8,$M$39:$M$145)</f>
        <v>170.00000000000006</v>
      </c>
      <c r="K8" s="491">
        <f>Energy_Balance!F50</f>
        <v>170.00000000000006</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9.6399999999999988</v>
      </c>
      <c r="D9" s="33"/>
      <c r="E9" s="33"/>
      <c r="F9" s="33">
        <v>2</v>
      </c>
      <c r="G9" s="33"/>
      <c r="H9" s="121" t="s">
        <v>20</v>
      </c>
      <c r="I9" s="489" t="s">
        <v>231</v>
      </c>
      <c r="J9" s="489">
        <f t="shared" si="0"/>
        <v>9.6399999999999988</v>
      </c>
      <c r="K9" s="489">
        <f>Energy_Balance!G50</f>
        <v>9.6399999999999988</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906</v>
      </c>
      <c r="I10" s="489" t="s">
        <v>233</v>
      </c>
      <c r="J10" s="489">
        <f t="shared" si="0"/>
        <v>15.617000000000003</v>
      </c>
      <c r="K10" s="489">
        <f>Energy_Balance!J50</f>
        <v>15.617000000000003</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83.766999999999967</v>
      </c>
      <c r="D11" s="33"/>
      <c r="E11" s="33"/>
      <c r="F11" s="33">
        <v>4</v>
      </c>
      <c r="G11" s="33"/>
      <c r="H11" s="121" t="s">
        <v>39</v>
      </c>
      <c r="I11" s="489" t="s">
        <v>232</v>
      </c>
      <c r="J11" s="489">
        <f t="shared" si="0"/>
        <v>83.766999999999967</v>
      </c>
      <c r="K11" s="489">
        <f>Energy_Balance!I50</f>
        <v>83.766999999999967</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15.617000000000003</v>
      </c>
      <c r="D12" s="33"/>
      <c r="E12" s="33"/>
      <c r="F12" s="33">
        <v>5</v>
      </c>
      <c r="G12" s="33"/>
      <c r="H12" s="121" t="s">
        <v>21</v>
      </c>
      <c r="I12" s="489" t="s">
        <v>230</v>
      </c>
      <c r="J12" s="489">
        <f t="shared" si="0"/>
        <v>17.97</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907</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4.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ht="13">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1">
        <v>1</v>
      </c>
      <c r="AH26" s="1">
        <v>2</v>
      </c>
      <c r="AI26" s="1">
        <v>3</v>
      </c>
      <c r="AJ26" s="1">
        <v>4</v>
      </c>
      <c r="AK26" s="1">
        <v>5</v>
      </c>
      <c r="AL26" s="1">
        <v>6</v>
      </c>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1">
        <v>2</v>
      </c>
      <c r="AH27" s="1">
        <v>4</v>
      </c>
      <c r="AI27" s="1">
        <v>6</v>
      </c>
      <c r="AJ27" s="1">
        <v>8</v>
      </c>
      <c r="AK27" s="1">
        <v>10</v>
      </c>
      <c r="AL27" s="1">
        <v>12</v>
      </c>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3" customHeight="1">
      <c r="A28" s="70" t="s">
        <v>882</v>
      </c>
      <c r="B28" s="116"/>
      <c r="C28" s="116"/>
      <c r="D28" s="116"/>
      <c r="E28" s="116"/>
      <c r="F28" s="116"/>
      <c r="G28" s="116"/>
      <c r="H28" s="116"/>
      <c r="I28" s="116"/>
      <c r="J28" s="63"/>
      <c r="P28" s="25"/>
      <c r="Q28" s="25"/>
      <c r="R28" s="25"/>
      <c r="S28" s="25"/>
      <c r="T28" s="25"/>
      <c r="U28" t="s">
        <v>16</v>
      </c>
      <c r="V28" s="425">
        <v>1E-3</v>
      </c>
      <c r="W28" s="596">
        <v>1E-3</v>
      </c>
      <c r="X28" s="596">
        <v>2.5000000000000001E-3</v>
      </c>
      <c r="Y28" s="596">
        <v>3.0000000000000001E-3</v>
      </c>
      <c r="Z28" s="596">
        <v>0.02</v>
      </c>
      <c r="AA28" s="596">
        <v>0.04</v>
      </c>
      <c r="AB28" s="596">
        <v>0.1</v>
      </c>
      <c r="AC28" s="596">
        <v>0.18</v>
      </c>
      <c r="AD28" s="25"/>
      <c r="AE28" s="418">
        <v>1E-4</v>
      </c>
      <c r="AF28" s="426">
        <v>5.0000000000000001E-3</v>
      </c>
      <c r="AG28" s="418">
        <v>3.5000000000000001E-3</v>
      </c>
      <c r="AH28" s="418">
        <v>3.5000000000000001E-3</v>
      </c>
      <c r="AI28" s="596">
        <v>2.5000000000000001E-3</v>
      </c>
      <c r="AJ28" s="596">
        <v>2.5000000000000001E-3</v>
      </c>
      <c r="AK28" s="596">
        <v>2.5000000000000001E-3</v>
      </c>
      <c r="AL28" s="596">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ht="13">
      <c r="A29" s="70" t="s">
        <v>883</v>
      </c>
      <c r="B29" s="116"/>
      <c r="C29" s="116"/>
      <c r="D29" s="116"/>
      <c r="E29" s="116"/>
      <c r="F29" s="116"/>
      <c r="G29" s="116"/>
      <c r="H29" s="116"/>
      <c r="I29" s="116"/>
      <c r="J29" s="63"/>
      <c r="P29" s="25"/>
      <c r="Q29" s="25"/>
      <c r="R29" s="25"/>
      <c r="S29" s="25"/>
      <c r="T29" s="25"/>
      <c r="U29" s="323" t="s">
        <v>1021</v>
      </c>
      <c r="V29" s="425">
        <v>1E-3</v>
      </c>
      <c r="W29" s="596">
        <v>5.0000000000000001E-3</v>
      </c>
      <c r="X29" s="596">
        <v>3.0000000000000001E-3</v>
      </c>
      <c r="Y29" s="596">
        <v>3.0000000000000001E-3</v>
      </c>
      <c r="Z29" s="596">
        <v>2.5000000000000001E-3</v>
      </c>
      <c r="AA29" s="596">
        <v>0</v>
      </c>
      <c r="AB29" s="596">
        <v>0</v>
      </c>
      <c r="AC29" s="596">
        <v>0</v>
      </c>
      <c r="AD29" s="248"/>
      <c r="AE29" s="418">
        <v>1E-4</v>
      </c>
      <c r="AF29" s="418">
        <v>5.0000000000000001E-3</v>
      </c>
      <c r="AG29" s="596">
        <v>3.5000000000000001E-3</v>
      </c>
      <c r="AH29" s="596">
        <v>0.01</v>
      </c>
      <c r="AI29" s="596">
        <v>0.01</v>
      </c>
      <c r="AJ29" s="596">
        <v>1.0999999999999999E-2</v>
      </c>
      <c r="AK29" s="596">
        <v>2.2499999999999999E-2</v>
      </c>
      <c r="AL29" s="596">
        <v>2.5000000000000001E-2</v>
      </c>
      <c r="AM29" s="325"/>
      <c r="AN29" s="324"/>
      <c r="AO29" s="349"/>
    </row>
    <row r="30" spans="1:75" ht="13">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SUMIF($C$39:$C$145,"RESELC",$M$39:$M$145)</f>
        <v>170.00000000000006</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
      <c r="A33" s="27"/>
      <c r="B33" s="27" t="s">
        <v>82</v>
      </c>
      <c r="C33" s="27" t="s">
        <v>83</v>
      </c>
      <c r="D33" s="27" t="s">
        <v>1012</v>
      </c>
      <c r="E33" s="209" t="s">
        <v>1011</v>
      </c>
      <c r="F33" s="27" t="s">
        <v>1019</v>
      </c>
      <c r="G33" s="27" t="s">
        <v>1019</v>
      </c>
      <c r="H33" s="27" t="s">
        <v>88</v>
      </c>
      <c r="I33" s="27" t="s">
        <v>1020</v>
      </c>
      <c r="J33" s="27" t="s">
        <v>1024</v>
      </c>
      <c r="K33" s="27" t="s">
        <v>1019</v>
      </c>
      <c r="L33" s="27" t="s">
        <v>1019</v>
      </c>
      <c r="M33" s="27" t="s">
        <v>1019</v>
      </c>
      <c r="N33" s="27" t="s">
        <v>1019</v>
      </c>
      <c r="O33" s="27" t="s">
        <v>1019</v>
      </c>
      <c r="P33" s="27" t="str">
        <f>"EFF~"&amp;P36</f>
        <v>EFF~2020</v>
      </c>
      <c r="Q33" s="27" t="str">
        <f t="shared" ref="Q33:S33" si="1">"EFF~"&amp;Q36</f>
        <v>EFF~2030</v>
      </c>
      <c r="R33" s="27" t="str">
        <f t="shared" si="1"/>
        <v>EFF~2040</v>
      </c>
      <c r="S33" s="27" t="str">
        <f t="shared" si="1"/>
        <v>EFF~2050</v>
      </c>
      <c r="T33" s="27" t="s">
        <v>1019</v>
      </c>
      <c r="U33" s="27" t="s">
        <v>1019</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1019</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2"/>
      <c r="AN33" s="591"/>
      <c r="AO33" s="593"/>
    </row>
    <row r="34" spans="1:56" ht="52.5" thickBot="1">
      <c r="A34" s="522" t="s">
        <v>924</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ht="13">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
      <c r="A36" s="523" t="s">
        <v>925</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1010</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5">
      <c r="A38" s="537" t="s">
        <v>928</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5" outlineLevel="1">
      <c r="A39" s="108" t="s">
        <v>929</v>
      </c>
      <c r="B39" s="30" t="s">
        <v>320</v>
      </c>
      <c r="C39" s="43" t="s">
        <v>229</v>
      </c>
      <c r="D39" s="43" t="s">
        <v>242</v>
      </c>
      <c r="E39" s="486">
        <f>INDEX(Lighting!$V$25:$V$35,MATCH(RES!D39,Lighting!$E$25:$E$35,0))</f>
        <v>3.5618185364705877</v>
      </c>
      <c r="F39" s="557">
        <v>1</v>
      </c>
      <c r="G39" s="557">
        <v>1</v>
      </c>
      <c r="H39" s="557">
        <f>N39/F39*(1+$D$31)</f>
        <v>17.569370476155619</v>
      </c>
      <c r="I39" s="576">
        <v>1E-3</v>
      </c>
      <c r="J39" s="558">
        <v>0</v>
      </c>
      <c r="K39" s="1" t="s">
        <v>430</v>
      </c>
      <c r="L39" s="485">
        <v>1</v>
      </c>
      <c r="M39" s="485">
        <f>IF($B39="","",SUMIF(Lighting!$A$25:$A$35,RES!$B39,Lighting!$N$25:$N$35))</f>
        <v>4.9326966818374585</v>
      </c>
      <c r="N39" s="40">
        <f>E39*M39</f>
        <v>17.569370476155619</v>
      </c>
      <c r="O39" s="25"/>
      <c r="P39" s="601">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(IFERROR(IF(N39/(SUMIF(RES!$D$39:$D$146,D39,$N$39:$N$146))=1,1,(N39/(SUMIF(RES!$D$39:$D$146,D39,$N$39:$N$146))+V$28)),0))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(IFERROR(IF($N39/(SUMIF(RES!$D$39:$D$146,$D39,$N$39:$N$146))=1,1,($N39/(SUMIF(RES!$D$39:$D$146,$D39,$N$39:$N$146))-$AE$28)),0))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5" outlineLevel="1">
      <c r="A40" s="108" t="s">
        <v>1015</v>
      </c>
      <c r="B40" s="30" t="s">
        <v>1014</v>
      </c>
      <c r="C40" s="43" t="s">
        <v>231</v>
      </c>
      <c r="D40" s="43" t="s">
        <v>259</v>
      </c>
      <c r="E40" s="43">
        <v>0.1</v>
      </c>
      <c r="F40" s="557">
        <v>1</v>
      </c>
      <c r="G40" s="557">
        <v>1</v>
      </c>
      <c r="H40" s="557">
        <f>N40/F40*(1+$D$31)</f>
        <v>4.0839895642726956E-2</v>
      </c>
      <c r="I40" s="576">
        <v>1E-3</v>
      </c>
      <c r="J40" s="558">
        <v>0</v>
      </c>
      <c r="K40"/>
      <c r="L40" s="557">
        <v>1</v>
      </c>
      <c r="M40" s="485">
        <f>IF(C40="","",SUMIFS(Energy_Balance!I$56:I$160,Energy_Balance!$C$56:$C$160,C40,Energy_Balance!$D$56:$D$160,D40)*L40)</f>
        <v>0.40839895642726953</v>
      </c>
      <c r="N40" s="40">
        <f>E40*M40</f>
        <v>4.0839895642726956E-2</v>
      </c>
      <c r="O40" s="25"/>
      <c r="P40" s="601">
        <f>E40</f>
        <v>0.1</v>
      </c>
      <c r="Q40" s="360">
        <f>P40</f>
        <v>0.1</v>
      </c>
      <c r="R40" s="360">
        <f t="shared" ref="R40:S40" si="12">Q40</f>
        <v>0.1</v>
      </c>
      <c r="S40" s="360">
        <f t="shared" si="12"/>
        <v>0.1</v>
      </c>
      <c r="T40" s="360"/>
      <c r="U40" s="50"/>
      <c r="V40" s="63">
        <f>(IFERROR(IF(N40/(SUMIF(RES!$D$39:$D$146,D40,$N$39:$N$146))=1,1,(N40/(SUMIF(RES!$D$39:$D$146,D40,$N$39:$N$146))+#REF!)),0))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(IFERROR(IF($N40/(SUMIF(RES!$D$39:$D$146,$D40,$N$39:$N$146))=1,1,($N40/(SUMIF(RES!$D$39:$D$146,$D40,$N$39:$N$146))-$AE$28)),0))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5">
      <c r="A41" s="524" t="s">
        <v>926</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4.9326966818374585</v>
      </c>
      <c r="N41" s="529">
        <f>SUM(N37:N39)</f>
        <v>17.569370476155619</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5">
      <c r="A42" s="537" t="s">
        <v>930</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4"/>
      <c r="AF42" s="554"/>
      <c r="AG42" s="554"/>
      <c r="AH42" s="554"/>
      <c r="AI42" s="554"/>
      <c r="AJ42" s="554"/>
      <c r="AK42" s="554"/>
      <c r="AL42" s="554"/>
      <c r="AO42" s="546"/>
    </row>
    <row r="43" spans="1:56" ht="15.5" outlineLevel="1">
      <c r="A43" s="108" t="s">
        <v>931</v>
      </c>
      <c r="B43" s="30" t="s">
        <v>322</v>
      </c>
      <c r="C43" s="43" t="s">
        <v>229</v>
      </c>
      <c r="D43" s="43" t="s">
        <v>243</v>
      </c>
      <c r="E43" s="494">
        <f>INDEX('Electrical efficiency'!$L$8:$L$23,MATCH(RES!D43,'Electrical efficiency'!$K$8:$K$23,0))</f>
        <v>0.8</v>
      </c>
      <c r="F43" s="557">
        <v>1</v>
      </c>
      <c r="G43" s="557">
        <v>1</v>
      </c>
      <c r="H43" s="557">
        <f>N43/F43*(1+$D$31)</f>
        <v>7.3568711990830664</v>
      </c>
      <c r="I43" s="576">
        <v>1E-3</v>
      </c>
      <c r="J43" s="486">
        <v>0</v>
      </c>
      <c r="K43" s="48" t="s">
        <v>889</v>
      </c>
      <c r="L43" s="485">
        <v>1</v>
      </c>
      <c r="M43" s="485">
        <f>IF(C43="","",SUMIFS(Energy_Balance!I$56:I$160,Energy_Balance!$C$56:$C$160,C43,Energy_Balance!$D$56:$D$160,D43)*L43)</f>
        <v>9.196088998853833</v>
      </c>
      <c r="N43" s="485">
        <f>E43*M43</f>
        <v>7.3568711990830664</v>
      </c>
      <c r="O43" s="25"/>
      <c r="P43" s="601">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(IFERROR(IF(N43/(SUMIF(RES!$D$39:$D$146,D43,$N$39:$N$146))=1,1,(N43/(SUMIF(RES!$D$39:$D$146,D43,$N$39:$N$146))+$V$28)),0))</f>
        <v>0.59343226498066892</v>
      </c>
      <c r="W43" s="63">
        <f>IF($V43*(1+'Census 2011_17'!B$20)+W$28&lt;1,$V43*(1+'Census 2011_17'!B$20)+W$28,1)</f>
        <v>0.6205703908444179</v>
      </c>
      <c r="X43" s="63">
        <f>IF($V43*(1+'Census 2011_17'!C$20)+X$28&lt;1,$V43*(1+'Census 2011_17'!C$20)+X$28,1)</f>
        <v>0.64143196555830584</v>
      </c>
      <c r="Y43" s="63">
        <f>IF($V43*(1+'Census 2011_17'!D$20)+Y$28&lt;1,$V43*(1+'Census 2011_17'!D$20)+Y$28,1)</f>
        <v>0.66129354027219389</v>
      </c>
      <c r="Z43" s="63">
        <f>IF($V43*(1+'Census 2011_17'!E$20)+Z$28&lt;1,$V43*(1+'Census 2011_17'!E$20)+Z$28,1)</f>
        <v>0.69765511498608201</v>
      </c>
      <c r="AA43" s="63">
        <f>IF($V43*(1+'Census 2011_17'!F$20)+AA$28&lt;1,$V43*(1+'Census 2011_17'!F$20)+AA$28,1)</f>
        <v>0.73701668969997003</v>
      </c>
      <c r="AB43" s="63">
        <f>IF($V43*(1+'Census 2011_17'!G$20)+AB$28&lt;1,$V43*(1+'Census 2011_17'!G$20)+AB$28,1)</f>
        <v>0.79701668969996997</v>
      </c>
      <c r="AC43" s="63">
        <f>IF($V43*(1+'Census 2011_17'!H$20)+AC$28&lt;1,$V43*(1+'Census 2011_17'!H$20)+AC$28,1)</f>
        <v>0.87701668969997004</v>
      </c>
      <c r="AD43" s="63"/>
      <c r="AE43" s="63">
        <f>(IFERROR(IF($N43/(SUMIF(RES!$D$39:$D$146,$D43,$N$39:$N$146))=1,1,($N43/(SUMIF(RES!$D$39:$D$146,$D43,$N$39:$N$146))-AE$28)),0))</f>
        <v>0.59233226498066893</v>
      </c>
      <c r="AF43" s="63">
        <f>$AE43*(1+'Census 2011_17'!B$20)-AF$28</f>
        <v>0.61342194059971966</v>
      </c>
      <c r="AG43" s="63">
        <f>$AE43*(1+'Census 2011_17'!C$20)-AG$28</f>
        <v>0.63424762624346087</v>
      </c>
      <c r="AH43" s="63">
        <f>$AE43*(1+'Census 2011_17'!D$20)-AH$28</f>
        <v>0.65357331188720214</v>
      </c>
      <c r="AI43" s="63">
        <f>$AE43*(1+'Census 2011_17'!E$20)-AI$28</f>
        <v>0.6738989975309434</v>
      </c>
      <c r="AJ43" s="63">
        <f>$AE43*(1+'Census 2011_17'!F$20)-AJ$28</f>
        <v>0.69322468317468455</v>
      </c>
      <c r="AK43" s="63">
        <f>$AE43*(1+'Census 2011_17'!G$20)-AK$28</f>
        <v>0.69322468317468455</v>
      </c>
      <c r="AL43" s="63">
        <f>$AE43*(1+'Census 2011_17'!H$20)-AL$28</f>
        <v>0.69322468317468455</v>
      </c>
      <c r="AO43" s="249" t="s">
        <v>110</v>
      </c>
      <c r="AP43" s="496">
        <f>E43</f>
        <v>0.8</v>
      </c>
    </row>
    <row r="44" spans="1:56" s="165" customFormat="1" ht="15.5" outlineLevel="1">
      <c r="A44" s="108" t="s">
        <v>932</v>
      </c>
      <c r="B44" s="30" t="s">
        <v>323</v>
      </c>
      <c r="C44" s="43" t="s">
        <v>230</v>
      </c>
      <c r="D44" s="43" t="s">
        <v>243</v>
      </c>
      <c r="E44" s="486">
        <v>0.61</v>
      </c>
      <c r="F44" s="557">
        <v>1</v>
      </c>
      <c r="G44" s="557">
        <v>1</v>
      </c>
      <c r="H44" s="557">
        <f>N44/F44*(1+$D$31)</f>
        <v>1.1615848249435459</v>
      </c>
      <c r="I44" s="576">
        <v>1E-3</v>
      </c>
      <c r="J44" s="486">
        <v>0</v>
      </c>
      <c r="K44" s="48"/>
      <c r="L44" s="485">
        <f>IF(COUNTIFS(C42:C146,C44,D42:D146,D44)=1,1,0)</f>
        <v>1</v>
      </c>
      <c r="M44" s="485">
        <f>IF(C44="","",SUMIFS(Energy_Balance!I$56:I$160,Energy_Balance!$C$56:$C$160,C44,Energy_Balance!$D$56:$D$160,D44)*L44)</f>
        <v>1.904237417940239</v>
      </c>
      <c r="N44" s="485">
        <f t="shared" ref="N44:N84" si="16">E44*M44</f>
        <v>1.1615848249435459</v>
      </c>
      <c r="O44" s="25"/>
      <c r="P44" s="601">
        <f>E44</f>
        <v>0.61</v>
      </c>
      <c r="Q44" s="166">
        <f>IF($AO44="","",($S44-$P44)*1/3+$P44)</f>
        <v>0.61</v>
      </c>
      <c r="R44" s="166">
        <f>IF($AO44="","",($S44-$P44)*2/3+$P44)</f>
        <v>0.61</v>
      </c>
      <c r="S44" s="166">
        <f>IF($AO44="","",IF($AO44="*",$AP44*(1+$P$29),E44))</f>
        <v>0.61</v>
      </c>
      <c r="T44" s="203"/>
      <c r="U44" s="50"/>
      <c r="V44" s="63">
        <f>IF((IFERROR(IF(N44/(SUMIF(RES!$D$39:$D$146,D44,$N$39:$N$146))=1,1,(N44/(SUMIF(RES!$D$39:$D$146,D44,$N$39:$N$146))+$V$29)),0))&lt;1,(IFERROR(IF(N44/(SUMIF(RES!$D$39:$D$146,D44,$N$39:$N$146))=1,1,(N44/(SUMIF(RES!$D$39:$D$146,D44,$N$39:$N$146))+$V$29)),0)),1)</f>
        <v>9.4539809273030156E-2</v>
      </c>
      <c r="W44" s="63">
        <f>$V44-$V$43*'Census 2011_17'!B$20*RES!$V44/(1-RES!$V$43)+RES!W$29</f>
        <v>9.3461871401753216E-2</v>
      </c>
      <c r="X44" s="63">
        <f>$V44-$V$43*'Census 2011_17'!C$20*RES!$V44/(1-RES!$V$43)+RES!X$29</f>
        <v>8.695969520080736E-2</v>
      </c>
      <c r="Y44" s="63">
        <f>$V44-$V$43*'Census 2011_17'!D$20*RES!$V44/(1-RES!$V$43)+RES!Y$29</f>
        <v>8.2457518999861493E-2</v>
      </c>
      <c r="Z44" s="63">
        <f>$V44-$V$43*'Census 2011_17'!E$20*RES!$V44/(1-RES!$V$43)+RES!Z$29</f>
        <v>7.7455342798915611E-2</v>
      </c>
      <c r="AA44" s="63">
        <f>$V44-$V$43*'Census 2011_17'!F$20*RES!$V44/(1-RES!$V$43)+RES!AA$29</f>
        <v>7.0453166597969727E-2</v>
      </c>
      <c r="AB44" s="63">
        <f>$V44-$V$43*'Census 2011_17'!G$20*RES!$V44/(1-RES!$V$43)+RES!AB$29</f>
        <v>7.0453166597969727E-2</v>
      </c>
      <c r="AC44" s="63">
        <f>$V44-$V$43*'Census 2011_17'!H$20*RES!$V44/(1-RES!$V$43)+RES!AC$29</f>
        <v>7.0453166597969727E-2</v>
      </c>
      <c r="AD44" s="50"/>
      <c r="AE44" s="63">
        <f>(IFERROR(IF($N44/(SUMIF(RES!$D$39:$D$146,$D44,$N$39:$N$146))=1,1,($N44/(SUMIF(RES!$D$39:$D$146,$D44,$N$39:$N$146)))),0))-AE$29</f>
        <v>9.3439809273030153E-2</v>
      </c>
      <c r="AF44" s="63">
        <f>IF(W44-AF$29&lt;0,0,W44-AF$29)</f>
        <v>8.8461871401753212E-2</v>
      </c>
      <c r="AG44" s="63">
        <f t="shared" ref="AG44:AG47" si="17">IF(X44-AG$29&lt;0,0,X44-AG$29)</f>
        <v>8.3459695200807357E-2</v>
      </c>
      <c r="AH44" s="63">
        <f t="shared" ref="AH44:AH47" si="18">IF(Y44-AH$29&lt;0,0,Y44-AH$29)</f>
        <v>7.2457518999861498E-2</v>
      </c>
      <c r="AI44" s="63">
        <f t="shared" ref="AI44:AI47" si="19">IF(Z44-AI$29&lt;0,0,Z44-AI$29)</f>
        <v>6.7455342798915616E-2</v>
      </c>
      <c r="AJ44" s="63">
        <f t="shared" ref="AJ44:AJ47" si="20">IF(AA44-AJ$29&lt;0,0,AA44-AJ$29)</f>
        <v>5.9453166597969731E-2</v>
      </c>
      <c r="AK44" s="607">
        <f>AJ44/2</f>
        <v>2.9726583298984866E-2</v>
      </c>
      <c r="AL44" s="607">
        <v>0</v>
      </c>
      <c r="AM44"/>
      <c r="AN44"/>
      <c r="AO44" s="179" t="s">
        <v>484</v>
      </c>
      <c r="AP44" s="496">
        <f>E44</f>
        <v>0.61</v>
      </c>
      <c r="AQ44"/>
      <c r="AR44"/>
      <c r="AS44"/>
      <c r="AT44"/>
      <c r="AU44"/>
      <c r="AV44"/>
      <c r="AW44"/>
      <c r="AX44"/>
      <c r="AY44"/>
      <c r="AZ44"/>
      <c r="BA44"/>
      <c r="BB44"/>
      <c r="BC44"/>
      <c r="BD44"/>
    </row>
    <row r="45" spans="1:56" s="165" customFormat="1" ht="15.5" outlineLevel="1">
      <c r="A45" s="108" t="s">
        <v>933</v>
      </c>
      <c r="B45" s="30" t="s">
        <v>324</v>
      </c>
      <c r="C45" s="43" t="s">
        <v>232</v>
      </c>
      <c r="D45" s="43" t="s">
        <v>243</v>
      </c>
      <c r="E45" s="487">
        <v>8.2000000000000003E-2</v>
      </c>
      <c r="F45" s="557">
        <v>1</v>
      </c>
      <c r="G45" s="557">
        <v>1</v>
      </c>
      <c r="H45" s="557">
        <f>N45/F45*(1+$D$31)</f>
        <v>2.8673463070456426</v>
      </c>
      <c r="I45" s="576">
        <v>1E-3</v>
      </c>
      <c r="J45" s="486">
        <v>0</v>
      </c>
      <c r="K45" s="48"/>
      <c r="L45" s="485">
        <f>IF(COUNTIFS(C44:C146,C45,D44:D146,D45)=1,1,0)</f>
        <v>1</v>
      </c>
      <c r="M45" s="485">
        <f>IF(C45="","",SUMIFS(Energy_Balance!I$56:I$160,Energy_Balance!$C$56:$C$160,C45,Energy_Balance!$D$56:$D$160,D45)*L45)</f>
        <v>34.967637890800518</v>
      </c>
      <c r="N45" s="485">
        <f t="shared" si="16"/>
        <v>2.8673463070456426</v>
      </c>
      <c r="O45" s="25"/>
      <c r="P45" s="601">
        <f>E45</f>
        <v>8.2000000000000003E-2</v>
      </c>
      <c r="Q45" s="166">
        <f>IF($AO45="","",($S45-$P45)*1/3+$P45)</f>
        <v>8.2000000000000003E-2</v>
      </c>
      <c r="R45" s="166">
        <f>IF($AO45="","",($S45-$P45)*2/3+$P45)</f>
        <v>8.2000000000000003E-2</v>
      </c>
      <c r="S45" s="166">
        <f>IF($AO45="","",IF($AO45="*",$AP45*(1+$P$29),E45))</f>
        <v>8.2000000000000003E-2</v>
      </c>
      <c r="T45" s="203"/>
      <c r="U45" s="50"/>
      <c r="V45" s="63">
        <f>IF((IFERROR(IF(N45/(SUMIF(RES!$D$39:$D$146,D45,$N$39:$N$146))=1,1,(N45/(SUMIF(RES!$D$39:$D$146,D45,$N$39:$N$146))+$V$29)),0))&lt;1,(IFERROR(IF(N45/(SUMIF(RES!$D$39:$D$146,D45,$N$39:$N$146))=1,1,(N45/(SUMIF(RES!$D$39:$D$146,D45,$N$39:$N$146))+$V$29)),0)),1)</f>
        <v>0.2319009388908056</v>
      </c>
      <c r="W45" s="63">
        <f>$V45-$V$43*'Census 2011_17'!B$20*RES!$V45/(1-RES!$V$43)+RES!W$29</f>
        <v>0.221992092451328</v>
      </c>
      <c r="X45" s="63">
        <f>$V45-$V$43*'Census 2011_17'!C$20*RES!$V45/(1-RES!$V$43)+RES!X$29</f>
        <v>0.20894850249615946</v>
      </c>
      <c r="Y45" s="63">
        <f>$V45-$V$43*'Census 2011_17'!D$20*RES!$V45/(1-RES!$V$43)+RES!Y$29</f>
        <v>0.19790491254099091</v>
      </c>
      <c r="Z45" s="63">
        <f>$V45-$V$43*'Census 2011_17'!E$20*RES!$V45/(1-RES!$V$43)+RES!Z$29</f>
        <v>0.18636132258582233</v>
      </c>
      <c r="AA45" s="63">
        <f>$V45-$V$43*'Census 2011_17'!F$20*RES!$V45/(1-RES!$V$43)+RES!AA$29</f>
        <v>0.17281773263065375</v>
      </c>
      <c r="AB45" s="63">
        <f>$V45-$V$43*'Census 2011_17'!G$20*RES!$V45/(1-RES!$V$43)+RES!AB$29</f>
        <v>0.17281773263065375</v>
      </c>
      <c r="AC45" s="63">
        <f>$V45-$V$43*'Census 2011_17'!H$20*RES!$V45/(1-RES!$V$43)+RES!AC$29</f>
        <v>0.17281773263065375</v>
      </c>
      <c r="AD45" s="50"/>
      <c r="AE45" s="63">
        <f>(IFERROR(IF($N45/(SUMIF(RES!$D$39:$D$146,$D45,$N$39:$N$146))=1,1,($N45/(SUMIF(RES!$D$39:$D$146,$D45,$N$39:$N$146)))),0))-AE$29</f>
        <v>0.23080093889080561</v>
      </c>
      <c r="AF45" s="63">
        <f t="shared" ref="AF45:AF47" si="21">IF(W45-AF$29&lt;0,0,W45-AF$29)</f>
        <v>0.216992092451328</v>
      </c>
      <c r="AG45" s="63">
        <f t="shared" si="17"/>
        <v>0.20544850249615945</v>
      </c>
      <c r="AH45" s="63">
        <f t="shared" si="18"/>
        <v>0.1879049125409909</v>
      </c>
      <c r="AI45" s="63">
        <f t="shared" si="19"/>
        <v>0.17636132258582232</v>
      </c>
      <c r="AJ45" s="63">
        <f t="shared" si="20"/>
        <v>0.16181773263065374</v>
      </c>
      <c r="AK45" s="63">
        <f t="shared" ref="AK45:AK46" si="22">IF(AB45-AK$29&lt;0,0,AB45-AK$29)</f>
        <v>0.15031773263065376</v>
      </c>
      <c r="AL45" s="63">
        <f t="shared" ref="AL45:AL46" si="23">IF(AC45-AL$29&lt;0,0,AC45-AL$29)</f>
        <v>0.14781773263065376</v>
      </c>
      <c r="AM45"/>
      <c r="AN45"/>
      <c r="AO45" s="249" t="s">
        <v>110</v>
      </c>
      <c r="AP45" s="496">
        <f>E45</f>
        <v>8.2000000000000003E-2</v>
      </c>
      <c r="AQ45"/>
      <c r="AR45"/>
      <c r="AS45"/>
      <c r="AT45"/>
      <c r="AU45"/>
      <c r="AV45"/>
      <c r="AW45"/>
      <c r="AX45"/>
      <c r="AY45"/>
      <c r="AZ45"/>
      <c r="BA45"/>
      <c r="BB45"/>
      <c r="BC45"/>
      <c r="BD45"/>
    </row>
    <row r="46" spans="1:56" ht="15.5" outlineLevel="1">
      <c r="A46" s="108" t="s">
        <v>934</v>
      </c>
      <c r="B46" s="30" t="s">
        <v>325</v>
      </c>
      <c r="C46" s="43" t="s">
        <v>233</v>
      </c>
      <c r="D46" s="43" t="s">
        <v>243</v>
      </c>
      <c r="E46" s="488">
        <v>0.12</v>
      </c>
      <c r="F46" s="557">
        <v>1</v>
      </c>
      <c r="G46" s="557">
        <v>1</v>
      </c>
      <c r="H46" s="557">
        <f>N46/F46*(1+$D$31)</f>
        <v>0.28242978144806208</v>
      </c>
      <c r="I46" s="576">
        <v>1E-3</v>
      </c>
      <c r="J46" s="486">
        <v>0</v>
      </c>
      <c r="K46" s="48"/>
      <c r="L46" s="485">
        <f>IF(COUNTIFS(C44:C146,C46,D44:D146,D46)=1,1,0)</f>
        <v>1</v>
      </c>
      <c r="M46" s="485">
        <f>IF(C46="","",SUMIFS(Energy_Balance!I$56:I$160,Energy_Balance!$C$56:$C$160,C46,Energy_Balance!$D$56:$D$160,D46)*L46)</f>
        <v>2.3535815120671839</v>
      </c>
      <c r="N46" s="485">
        <f>E46*M46</f>
        <v>0.28242978144806208</v>
      </c>
      <c r="O46" s="25"/>
      <c r="P46" s="601">
        <f>E46</f>
        <v>0.12</v>
      </c>
      <c r="Q46" s="166">
        <f>IF($AO46="","",($S46-$P46)*1/3+$P46)</f>
        <v>0.12</v>
      </c>
      <c r="R46" s="166">
        <f>IF($AO46="","",($S46-$P46)*2/3+$P46)</f>
        <v>0.12</v>
      </c>
      <c r="S46" s="166">
        <f>IF($AO46="","",IF($AO46="*",$AP46*(1+$P$29),E46))</f>
        <v>0.12</v>
      </c>
      <c r="T46" s="203"/>
      <c r="U46" s="50"/>
      <c r="V46" s="63">
        <f>IF((IFERROR(IF(N46/(SUMIF(RES!$D$39:$D$146,D46,$N$39:$N$146))=1,1,(N46/(SUMIF(RES!$D$39:$D$146,D46,$N$39:$N$146))+$V$29)),0))&lt;1,(IFERROR(IF(N46/(SUMIF(RES!$D$39:$D$146,D46,$N$39:$N$146))=1,1,(N46/(SUMIF(RES!$D$39:$D$146,D46,$N$39:$N$146))+$V$29)),0)),1)</f>
        <v>2.3743434075905116E-2</v>
      </c>
      <c r="W46" s="63">
        <f>$V46-$V$43*'Census 2011_17'!B$20*RES!$V46/(1-RES!$V$43)+RES!W$29</f>
        <v>2.7216975346256722E-2</v>
      </c>
      <c r="X46" s="63">
        <f>$V46-$V$43*'Census 2011_17'!C$20*RES!$V46/(1-RES!$V$43)+RES!X$29</f>
        <v>2.4086265176146805E-2</v>
      </c>
      <c r="Y46" s="63">
        <f>$V46-$V$43*'Census 2011_17'!D$20*RES!$V46/(1-RES!$V$43)+RES!Y$29</f>
        <v>2.2955555006036885E-2</v>
      </c>
      <c r="Z46" s="63">
        <f>$V46-$V$43*'Census 2011_17'!E$20*RES!$V46/(1-RES!$V$43)+RES!Z$29</f>
        <v>2.1324844835926966E-2</v>
      </c>
      <c r="AA46" s="63">
        <f>$V46-$V$43*'Census 2011_17'!F$20*RES!$V46/(1-RES!$V$43)+RES!AA$29</f>
        <v>1.7694134665817044E-2</v>
      </c>
      <c r="AB46" s="63">
        <f>$V46-$V$43*'Census 2011_17'!G$20*RES!$V46/(1-RES!$V$43)+RES!AB$29</f>
        <v>1.7694134665817044E-2</v>
      </c>
      <c r="AC46" s="63">
        <f>$V46-$V$43*'Census 2011_17'!H$20*RES!$V46/(1-RES!$V$43)+RES!AC$29</f>
        <v>1.7694134665817044E-2</v>
      </c>
      <c r="AD46" s="50"/>
      <c r="AE46" s="63">
        <f>(IFERROR(IF($N46/(SUMIF(RES!$D$39:$D$146,$D46,$N$39:$N$146))=1,1,($N46/(SUMIF(RES!$D$39:$D$146,$D46,$N$39:$N$146)))),0))-AE$29</f>
        <v>2.2643434075905116E-2</v>
      </c>
      <c r="AF46" s="63">
        <f t="shared" si="21"/>
        <v>2.2216975346256721E-2</v>
      </c>
      <c r="AG46" s="63">
        <f t="shared" si="17"/>
        <v>2.0586265176146805E-2</v>
      </c>
      <c r="AH46" s="63">
        <f t="shared" si="18"/>
        <v>1.2955555006036885E-2</v>
      </c>
      <c r="AI46" s="63">
        <f t="shared" si="19"/>
        <v>1.1324844835926965E-2</v>
      </c>
      <c r="AJ46" s="63">
        <f t="shared" si="20"/>
        <v>6.6941346658170447E-3</v>
      </c>
      <c r="AK46" s="63">
        <f t="shared" si="22"/>
        <v>0</v>
      </c>
      <c r="AL46" s="63">
        <f t="shared" si="23"/>
        <v>0</v>
      </c>
      <c r="AO46" s="249" t="s">
        <v>110</v>
      </c>
      <c r="AP46" s="496">
        <f>E46</f>
        <v>0.12</v>
      </c>
    </row>
    <row r="47" spans="1:56" s="165" customFormat="1" ht="15.5" outlineLevel="1">
      <c r="A47" s="108" t="s">
        <v>935</v>
      </c>
      <c r="B47" s="30" t="s">
        <v>326</v>
      </c>
      <c r="C47" s="43" t="s">
        <v>231</v>
      </c>
      <c r="D47" s="43" t="s">
        <v>243</v>
      </c>
      <c r="E47" s="486">
        <v>0.45</v>
      </c>
      <c r="F47" s="557">
        <v>1</v>
      </c>
      <c r="G47" s="557">
        <v>1</v>
      </c>
      <c r="H47" s="557">
        <f>N47/F47*(1+$D$31)</f>
        <v>0.74984778277897057</v>
      </c>
      <c r="I47" s="576">
        <v>1E-3</v>
      </c>
      <c r="J47" s="486">
        <v>0</v>
      </c>
      <c r="K47" s="48"/>
      <c r="L47" s="485">
        <f>IF(COUNTIFS(C45:C146,C47,D45:D146,D47)=1,1,0)</f>
        <v>1</v>
      </c>
      <c r="M47" s="485">
        <f>IF(C47="","",SUMIFS(Energy_Balance!I$56:I$160,Energy_Balance!$C$56:$C$160,C47,Energy_Balance!$D$56:$D$160,D47)*L47)</f>
        <v>1.6663284061754902</v>
      </c>
      <c r="N47" s="485">
        <f t="shared" si="16"/>
        <v>0.74984778277897057</v>
      </c>
      <c r="O47" s="25"/>
      <c r="P47" s="601">
        <f>E47</f>
        <v>0.45</v>
      </c>
      <c r="Q47" s="166">
        <f>IF($AO47="","",($S47-$P47)*1/3+$P47)</f>
        <v>0.45</v>
      </c>
      <c r="R47" s="166">
        <f>IF($AO47="","",($S47-$P47)*2/3+$P47)</f>
        <v>0.45</v>
      </c>
      <c r="S47" s="166">
        <f>IF($AO47="","",IF($AO47="*",$AP47*(1+$P$29),E47))</f>
        <v>0.45</v>
      </c>
      <c r="T47" s="203"/>
      <c r="U47" s="50"/>
      <c r="V47" s="63">
        <f>IF((IFERROR(IF(N47/(SUMIF(RES!$D$39:$D$146,D47,$N$39:$N$146))=1,1,(N47/(SUMIF(RES!$D$39:$D$146,D47,$N$39:$N$146))+$V$29)),0))&lt;1,(IFERROR(IF(N47/(SUMIF(RES!$D$39:$D$146,D47,$N$39:$N$146))=1,1,(N47/(SUMIF(RES!$D$39:$D$146,D47,$N$39:$N$146))+$V$29)),0)),1)</f>
        <v>6.1383552779590039E-2</v>
      </c>
      <c r="W47" s="63">
        <f>$V47-$V$43*'Census 2011_17'!B$20*RES!$V47/(1-RES!$V$43)+RES!W$29</f>
        <v>6.2437221356018729E-2</v>
      </c>
      <c r="X47" s="63">
        <f>$V47-$V$43*'Census 2011_17'!C$20*RES!$V47/(1-RES!$V$43)+RES!X$29</f>
        <v>5.7514012894114071E-2</v>
      </c>
      <c r="Y47" s="63">
        <f>$V47-$V$43*'Census 2011_17'!D$20*RES!$V47/(1-RES!$V$43)+RES!Y$29</f>
        <v>5.4590804432209407E-2</v>
      </c>
      <c r="Z47" s="63">
        <f>$V47-$V$43*'Census 2011_17'!E$20*RES!$V47/(1-RES!$V$43)+RES!Z$29</f>
        <v>5.1167595970304736E-2</v>
      </c>
      <c r="AA47" s="63">
        <f>$V47-$V$43*'Census 2011_17'!F$20*RES!$V47/(1-RES!$V$43)+RES!AA$29</f>
        <v>4.5744387508400063E-2</v>
      </c>
      <c r="AB47" s="63">
        <f>$V47-$V$43*'Census 2011_17'!G$20*RES!$V47/(1-RES!$V$43)+RES!AB$29</f>
        <v>4.5744387508400063E-2</v>
      </c>
      <c r="AC47" s="63">
        <f>$V47-$V$43*'Census 2011_17'!H$20*RES!$V47/(1-RES!$V$43)+RES!AC$29</f>
        <v>4.5744387508400063E-2</v>
      </c>
      <c r="AD47" s="50"/>
      <c r="AE47" s="63">
        <f>(IFERROR(IF($N47/(SUMIF(RES!$D$39:$D$146,$D47,$N$39:$N$146))=1,1,($N47/(SUMIF(RES!$D$39:$D$146,$D47,$N$39:$N$146)))),0))-AE$29</f>
        <v>6.0283552779590036E-2</v>
      </c>
      <c r="AF47" s="63">
        <f t="shared" si="21"/>
        <v>5.7437221356018732E-2</v>
      </c>
      <c r="AG47" s="63">
        <f t="shared" si="17"/>
        <v>5.4014012894114068E-2</v>
      </c>
      <c r="AH47" s="63">
        <f t="shared" si="18"/>
        <v>4.4590804432209405E-2</v>
      </c>
      <c r="AI47" s="63">
        <f t="shared" si="19"/>
        <v>4.1167595970304734E-2</v>
      </c>
      <c r="AJ47" s="63">
        <f t="shared" si="20"/>
        <v>3.474438750840006E-2</v>
      </c>
      <c r="AK47" s="607">
        <f>AJ47/2</f>
        <v>1.737219375420003E-2</v>
      </c>
      <c r="AL47" s="607">
        <v>0</v>
      </c>
      <c r="AM47"/>
      <c r="AN47"/>
      <c r="AO47" s="179" t="s">
        <v>484</v>
      </c>
      <c r="AP47" s="496">
        <f>E47</f>
        <v>0.45</v>
      </c>
      <c r="AQ47"/>
      <c r="AR47"/>
      <c r="AS47"/>
      <c r="AT47"/>
      <c r="AU47"/>
      <c r="AV47"/>
      <c r="AW47"/>
      <c r="AX47"/>
      <c r="AY47"/>
      <c r="AZ47"/>
      <c r="BA47"/>
      <c r="BB47"/>
      <c r="BC47"/>
      <c r="BD47"/>
    </row>
    <row r="48" spans="1:56" s="191" customFormat="1" ht="15.5" outlineLevel="1">
      <c r="A48" s="524" t="s">
        <v>926</v>
      </c>
      <c r="B48" s="525"/>
      <c r="C48" s="526"/>
      <c r="D48" s="526"/>
      <c r="E48" s="527" t="str">
        <f>IF(D48="","",IF(COUNTIF(#REF!,$B48)=1,SUMIF(#REF!,RES!B48,#REF!),SUMIF(#REF!,RES!$B48,#REF!)))</f>
        <v/>
      </c>
      <c r="F48" s="527"/>
      <c r="G48" s="527"/>
      <c r="H48" s="527"/>
      <c r="I48" s="577"/>
      <c r="J48" s="527"/>
      <c r="K48" s="528"/>
      <c r="L48" s="529"/>
      <c r="M48" s="529">
        <f>SUM(M44:M47)</f>
        <v>40.89178522698343</v>
      </c>
      <c r="N48" s="529">
        <f>SUM(N43:N47)</f>
        <v>12.418079895299289</v>
      </c>
      <c r="O48" s="192"/>
      <c r="P48" s="530"/>
      <c r="Q48" s="530"/>
      <c r="R48" s="530"/>
      <c r="S48" s="530"/>
      <c r="T48" s="531"/>
      <c r="U48" s="532"/>
      <c r="V48" s="532">
        <f>SUM(V43:V47)</f>
        <v>1.0049999999999999</v>
      </c>
      <c r="W48" s="532">
        <f t="shared" ref="W48:AC48" si="24">SUM(W43:W47)</f>
        <v>1.0256785513997746</v>
      </c>
      <c r="X48" s="532">
        <f t="shared" si="24"/>
        <v>1.0189404413255336</v>
      </c>
      <c r="Y48" s="532">
        <f t="shared" si="24"/>
        <v>1.0192023312512926</v>
      </c>
      <c r="Z48" s="532">
        <f t="shared" si="24"/>
        <v>1.0339642211770517</v>
      </c>
      <c r="AA48" s="532">
        <f t="shared" si="24"/>
        <v>1.0437261111028107</v>
      </c>
      <c r="AB48" s="532">
        <f t="shared" si="24"/>
        <v>1.1037261111028105</v>
      </c>
      <c r="AC48" s="532">
        <f t="shared" si="24"/>
        <v>1.1837261111028106</v>
      </c>
      <c r="AD48" s="532"/>
      <c r="AE48" s="600">
        <f>SUM(AE43:AE47)</f>
        <v>0.99949999999999983</v>
      </c>
      <c r="AF48" s="600">
        <f t="shared" ref="AF48" si="25">SUM(AF43:AF47)</f>
        <v>0.99853010115507634</v>
      </c>
      <c r="AG48" s="600">
        <f t="shared" ref="AG48" si="26">SUM(AG43:AG47)</f>
        <v>0.99775610201068854</v>
      </c>
      <c r="AH48" s="600">
        <f t="shared" ref="AH48" si="27">SUM(AH43:AH47)</f>
        <v>0.97148210286630088</v>
      </c>
      <c r="AI48" s="600">
        <f t="shared" ref="AI48" si="28">SUM(AI43:AI47)</f>
        <v>0.97020810372191302</v>
      </c>
      <c r="AJ48" s="600">
        <f t="shared" ref="AJ48" si="29">SUM(AJ43:AJ47)</f>
        <v>0.95593410457752515</v>
      </c>
      <c r="AK48" s="600">
        <f t="shared" ref="AK48" si="30">SUM(AK43:AK47)</f>
        <v>0.89064119285852328</v>
      </c>
      <c r="AL48" s="600">
        <f t="shared" ref="AL48" si="31">SUM(AL43:AL47)</f>
        <v>0.84104241580533834</v>
      </c>
      <c r="AO48" s="534"/>
    </row>
    <row r="49" spans="1:3695" s="232" customFormat="1" ht="15.5">
      <c r="A49" s="537" t="s">
        <v>936</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4"/>
      <c r="AF49" s="554"/>
      <c r="AG49" s="554"/>
      <c r="AH49" s="554"/>
      <c r="AI49" s="554"/>
      <c r="AJ49" s="554"/>
      <c r="AK49" s="554"/>
      <c r="AL49" s="554"/>
      <c r="AO49" s="546"/>
    </row>
    <row r="50" spans="1:3695" s="165" customFormat="1" ht="15.5" outlineLevel="1">
      <c r="A50" s="108" t="s">
        <v>937</v>
      </c>
      <c r="B50" s="30" t="s">
        <v>327</v>
      </c>
      <c r="C50" s="43" t="s">
        <v>229</v>
      </c>
      <c r="D50" s="43" t="s">
        <v>244</v>
      </c>
      <c r="E50" s="494">
        <f>INDEX('Electrical efficiency'!$L$8:$L$23,MATCH(RES!D50,'Electrical efficiency'!$K$8:$K$23,0))</f>
        <v>0.94750000000000001</v>
      </c>
      <c r="F50" s="557">
        <v>1</v>
      </c>
      <c r="G50" s="557">
        <v>1</v>
      </c>
      <c r="H50" s="557">
        <f>N50/F50*(1+$D$31)</f>
        <v>0.90723596538543949</v>
      </c>
      <c r="I50" s="576">
        <v>1E-3</v>
      </c>
      <c r="J50" s="486">
        <v>0</v>
      </c>
      <c r="K50" s="48" t="s">
        <v>889</v>
      </c>
      <c r="L50" s="485">
        <v>1</v>
      </c>
      <c r="M50" s="485">
        <f>IF(C50="","",SUMIFS(Energy_Balance!I$56:I$160,Energy_Balance!$C$56:$C$160,C50,Energy_Balance!$D$56:$D$160,D50)*L50)</f>
        <v>0.95750497666009449</v>
      </c>
      <c r="N50" s="485">
        <f t="shared" si="16"/>
        <v>0.90723596538543949</v>
      </c>
      <c r="O50" s="25"/>
      <c r="P50" s="601">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(IFERROR(IF(N50/(SUMIF(RES!$D$39:$D$146,D50,$N$39:$N$146))=1,1,(N50/(SUMIF(RES!$D$39:$D$146,D50,$N$39:$N$146))+$V$28)),0))</f>
        <v>9.4862422999718671E-2</v>
      </c>
      <c r="W50" s="63">
        <f>IF($V50*(1+'Census 2011_17'!B$20)+W$28&lt;1,$V50*(1+'Census 2011_17'!B$20)+W$28,1)</f>
        <v>0.10004070264244691</v>
      </c>
      <c r="X50" s="63">
        <f>IF($V50*(1+'Census 2011_17'!C$20)+X$28&lt;1,$V50*(1+'Census 2011_17'!C$20)+X$28,1)</f>
        <v>0.10463572460002336</v>
      </c>
      <c r="Y50" s="63">
        <f>IF($V50*(1+'Census 2011_17'!D$20)+Y$28&lt;1,$V50*(1+'Census 2011_17'!D$20)+Y$28,1)</f>
        <v>0.10823074655759983</v>
      </c>
      <c r="Z50" s="63">
        <f>IF($V50*(1+'Census 2011_17'!E$20)+Z$28&lt;1,$V50*(1+'Census 2011_17'!E$20)+Z$28,1)</f>
        <v>0.1283257685151763</v>
      </c>
      <c r="AA50" s="607">
        <f>IF($V50*(1+'Census 2011_17'!F$20)+AA$28&lt;1,$V50*(1+'Census 2011_17'!F$20)+AA$28*2.5,1)</f>
        <v>0.21142079047275275</v>
      </c>
      <c r="AB50" s="607">
        <f>IF($V50*(1+'Census 2011_17'!G$20)+AB$28&lt;1,$V50*(1+'Census 2011_17'!G$20)+AB$28*2.5,1)</f>
        <v>0.36142079047275277</v>
      </c>
      <c r="AC50" s="607">
        <f>IF($V50*(1+'Census 2011_17'!H$20)+AC$28&lt;1,$V50*(1+'Census 2011_17'!H$20)+AC$28*2.5,1)</f>
        <v>0.56142079047275273</v>
      </c>
      <c r="AD50" s="50"/>
      <c r="AE50" s="63">
        <f>(IFERROR(IF($N50/(SUMIF(RES!$D$39:$D$146,$D50,$N$39:$N$146))=1,1,($N50/(SUMIF(RES!$D$39:$D$146,$D50,$N$39:$N$146))-AE$28)),0))</f>
        <v>9.3762422999718667E-2</v>
      </c>
      <c r="AF50" s="63">
        <f>$AE50*(1+'Census 2011_17'!B$20)-AF$28</f>
        <v>9.2892252397748704E-2</v>
      </c>
      <c r="AG50" s="63">
        <f>$AE50*(1+'Census 2011_17'!C$20)-AG$28</f>
        <v>9.7451385285178341E-2</v>
      </c>
      <c r="AH50" s="63">
        <f>$AE50*(1+'Census 2011_17'!D$20)-AH$28</f>
        <v>0.10051051817260798</v>
      </c>
      <c r="AI50" s="63">
        <f>$AE50*(1+'Census 2011_17'!E$20)-AI$28</f>
        <v>0.10456965106003763</v>
      </c>
      <c r="AJ50" s="63">
        <f>$AE50*(1+'Census 2011_17'!F$20)-AJ$28</f>
        <v>0.10762878394746726</v>
      </c>
      <c r="AK50" s="63">
        <f>$AE50*(1+'Census 2011_17'!G$20)-AK$28</f>
        <v>0.10762878394746726</v>
      </c>
      <c r="AL50" s="63">
        <f>$AE50*(1+'Census 2011_17'!H$20)-AL$28</f>
        <v>0.10762878394746726</v>
      </c>
      <c r="AM50"/>
      <c r="AN50"/>
      <c r="AO50" s="179" t="s">
        <v>484</v>
      </c>
      <c r="AP50" s="496">
        <f>E50</f>
        <v>0.94750000000000001</v>
      </c>
      <c r="AQ50"/>
      <c r="AR50"/>
      <c r="AS50"/>
      <c r="AT50"/>
      <c r="AU50"/>
      <c r="AV50"/>
      <c r="AW50"/>
      <c r="AX50"/>
      <c r="AY50"/>
      <c r="AZ50"/>
      <c r="BA50"/>
      <c r="BB50"/>
      <c r="BC50"/>
      <c r="BD50"/>
    </row>
    <row r="51" spans="1:3695" s="35" customFormat="1" ht="15.5" outlineLevel="1">
      <c r="A51" s="108" t="s">
        <v>938</v>
      </c>
      <c r="B51" s="30" t="s">
        <v>328</v>
      </c>
      <c r="C51" s="43" t="s">
        <v>231</v>
      </c>
      <c r="D51" s="43" t="s">
        <v>244</v>
      </c>
      <c r="E51" s="486">
        <v>0.73</v>
      </c>
      <c r="F51" s="557">
        <v>1</v>
      </c>
      <c r="G51" s="557">
        <v>1</v>
      </c>
      <c r="H51" s="557">
        <f>N51/F51*(1+$D$31)</f>
        <v>0.26056601126113232</v>
      </c>
      <c r="I51" s="576">
        <v>1E-3</v>
      </c>
      <c r="J51" s="486">
        <v>0</v>
      </c>
      <c r="K51" s="48"/>
      <c r="L51" s="485">
        <v>1</v>
      </c>
      <c r="M51" s="485">
        <f>IF(C51="","",SUMIFS(Energy_Balance!I$56:I$160,Energy_Balance!$C$56:$C$160,C51,Energy_Balance!$D$56:$D$160,D51)*L51)</f>
        <v>0.35693974145360596</v>
      </c>
      <c r="N51" s="485">
        <f t="shared" si="16"/>
        <v>0.26056601126113232</v>
      </c>
      <c r="O51" s="25"/>
      <c r="P51" s="601">
        <f>E51</f>
        <v>0.73</v>
      </c>
      <c r="Q51" s="360">
        <f>IF($AO51="","",($S51-$P51)*1/3+$P51)</f>
        <v>0.73</v>
      </c>
      <c r="R51" s="360">
        <f>IF($AO51="","",($S51-$P51)*2/3+$P51)</f>
        <v>0.73</v>
      </c>
      <c r="S51" s="360">
        <f>IF($AO51="","",IF($AO51="*",$AP51*(1+$P$29),E51))</f>
        <v>0.73</v>
      </c>
      <c r="T51" s="203"/>
      <c r="U51" s="50"/>
      <c r="V51" s="63">
        <f>IF((IFERROR(IF(N51/(SUMIF(RES!$D$39:$D$146,D51,$N$39:$N$146))=1,1,(N51/(SUMIF(RES!$D$39:$D$146,D51,$N$39:$N$146))+$V$29)),0))&lt;1,(IFERROR(IF(N51/(SUMIF(RES!$D$39:$D$146,D51,$N$39:$N$146))=1,1,(N51/(SUMIF(RES!$D$39:$D$146,D51,$N$39:$N$146))+$V$29)),0)),1)</f>
        <v>2.795809921727601E-2</v>
      </c>
      <c r="W51" s="63">
        <f>$V51-$V$50*'Census 2011_17'!B$20*RES!$V51/(1-RES!$V$50)+RES!W$29</f>
        <v>3.282903954747856E-2</v>
      </c>
      <c r="X51" s="63">
        <f>$V51-$V$50*'Census 2011_17'!C$20*RES!$V51/(1-RES!$V$50)+RES!X$29</f>
        <v>3.073343979207304E-2</v>
      </c>
      <c r="Y51" s="63">
        <f>$V51-$V$50*'Census 2011_17'!D$20*RES!$V51/(1-RES!$V$50)+RES!Y$29</f>
        <v>3.0637840036667523E-2</v>
      </c>
      <c r="Z51" s="63">
        <f>$V51-$V$50*'Census 2011_17'!E$20*RES!$V51/(1-RES!$V$50)+RES!Z$29</f>
        <v>3.0042240281262001E-2</v>
      </c>
      <c r="AA51" s="63">
        <f>$V51-$V$50*'Census 2011_17'!F$20*RES!$V51/(1-RES!$V$50)+RES!AA$29</f>
        <v>2.7446640525856485E-2</v>
      </c>
      <c r="AB51" s="63">
        <f>$V51-$V$50*'Census 2011_17'!G$20*RES!$V51/(1-RES!$V$50)+RES!AB$29</f>
        <v>2.7446640525856485E-2</v>
      </c>
      <c r="AC51" s="63">
        <f>$V51-$V$50*'Census 2011_17'!H$20*RES!$V51/(1-RES!$V$50)+RES!AC$29</f>
        <v>2.7446640525856485E-2</v>
      </c>
      <c r="AD51" s="50"/>
      <c r="AE51" s="63">
        <f>(IFERROR(IF($N51/(SUMIF(RES!$D$39:$D$146,$D51,$N$39:$N$146))=1,1,($N51/(SUMIF(RES!$D$39:$D$146,$D51,$N$39:$N$146)))),0))-AE$29</f>
        <v>2.685809921727601E-2</v>
      </c>
      <c r="AF51" s="63">
        <f>IF(W51-AF$29&lt;0,0,W51-AF$29)</f>
        <v>2.7829039547478559E-2</v>
      </c>
      <c r="AG51" s="63">
        <f t="shared" ref="AG51:AL54" si="32">IF(X51-AG$29&lt;0,0,X51-AG$29)</f>
        <v>2.7233439792073041E-2</v>
      </c>
      <c r="AH51" s="63">
        <f t="shared" si="32"/>
        <v>2.0637840036667521E-2</v>
      </c>
      <c r="AI51" s="63">
        <f t="shared" si="32"/>
        <v>2.0042240281262003E-2</v>
      </c>
      <c r="AJ51" s="63">
        <f t="shared" si="32"/>
        <v>1.6446640525856485E-2</v>
      </c>
      <c r="AK51" s="607">
        <f>AJ51/2</f>
        <v>8.2233202629282427E-3</v>
      </c>
      <c r="AL51" s="607">
        <v>0</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5" outlineLevel="1">
      <c r="A52" s="108" t="s">
        <v>939</v>
      </c>
      <c r="B52" s="30" t="s">
        <v>329</v>
      </c>
      <c r="C52" s="43" t="s">
        <v>232</v>
      </c>
      <c r="D52" s="43" t="s">
        <v>244</v>
      </c>
      <c r="E52" s="486">
        <v>0.59</v>
      </c>
      <c r="F52" s="557">
        <v>1</v>
      </c>
      <c r="G52" s="557">
        <v>1</v>
      </c>
      <c r="H52" s="557">
        <f>N52/F52*(1+$D$31)</f>
        <v>6.1684195074231081</v>
      </c>
      <c r="I52" s="576">
        <v>1E-3</v>
      </c>
      <c r="J52" s="486">
        <v>0</v>
      </c>
      <c r="K52" s="48"/>
      <c r="L52" s="485">
        <v>1</v>
      </c>
      <c r="M52" s="485">
        <f>IF(C52="","",SUMIFS(Energy_Balance!I$56:I$160,Energy_Balance!$C$56:$C$160,C52,Energy_Balance!$D$56:$D$160,D52)*L52)</f>
        <v>10.454948317666286</v>
      </c>
      <c r="N52" s="485">
        <f t="shared" si="16"/>
        <v>6.1684195074231081</v>
      </c>
      <c r="O52" s="25"/>
      <c r="P52" s="601">
        <f>E52</f>
        <v>0.59</v>
      </c>
      <c r="Q52" s="360">
        <f>IF($AO52="","",($S52-$P52)*1/3+$P52)</f>
        <v>0.59</v>
      </c>
      <c r="R52" s="360">
        <f>IF($AO52="","",($S52-$P52)*2/3+$P52)</f>
        <v>0.59</v>
      </c>
      <c r="S52" s="360">
        <f>IF($AO52="","",IF($AO52="*",$AP52*(1+$P$29),E52))</f>
        <v>0.59</v>
      </c>
      <c r="T52" s="203"/>
      <c r="U52" s="50"/>
      <c r="V52" s="63">
        <f>IF((IFERROR(IF(N52/(SUMIF(RES!$D$39:$D$146,D52,$N$39:$N$146))=1,1,(N52/(SUMIF(RES!$D$39:$D$146,D52,$N$39:$N$146))+$V$29)),0))&lt;1,(IFERROR(IF(N52/(SUMIF(RES!$D$39:$D$146,D52,$N$39:$N$146))=1,1,(N52/(SUMIF(RES!$D$39:$D$146,D52,$N$39:$N$146))+$V$29)),0)),1)</f>
        <v>0.63918325456209513</v>
      </c>
      <c r="W52" s="63">
        <f>$V52-$V$50*'Census 2011_17'!B$20*RES!$V52/(1-RES!$V$50)+RES!W$29</f>
        <v>0.64123266843201698</v>
      </c>
      <c r="X52" s="63">
        <f>$V52-$V$50*'Census 2011_17'!C$20*RES!$V52/(1-RES!$V$50)+RES!X$29</f>
        <v>0.63704704907640353</v>
      </c>
      <c r="Y52" s="63">
        <f>$V52-$V$50*'Census 2011_17'!D$20*RES!$V52/(1-RES!$V$50)+RES!Y$29</f>
        <v>0.63486142972079007</v>
      </c>
      <c r="Z52" s="63">
        <f>$V52-$V$50*'Census 2011_17'!E$20*RES!$V52/(1-RES!$V$50)+RES!Z$29</f>
        <v>0.63217581036517656</v>
      </c>
      <c r="AA52" s="63">
        <f>$V52-$V$50*'Census 2011_17'!F$20*RES!$V52/(1-RES!$V$50)+RES!AA$29</f>
        <v>0.62749019100956316</v>
      </c>
      <c r="AB52" s="63">
        <f>$V52-$V$50*'Census 2011_17'!G$20*RES!$V52/(1-RES!$V$50)+RES!AB$29</f>
        <v>0.62749019100956316</v>
      </c>
      <c r="AC52" s="63">
        <f>$V52-$V$50*'Census 2011_17'!H$20*RES!$V52/(1-RES!$V$50)+RES!AC$29</f>
        <v>0.62749019100956316</v>
      </c>
      <c r="AD52" s="50"/>
      <c r="AE52" s="63">
        <f>(IFERROR(IF($N52/(SUMIF(RES!$D$39:$D$146,$D52,$N$39:$N$146))=1,1,($N52/(SUMIF(RES!$D$39:$D$146,$D52,$N$39:$N$146)))),0))-AE$29</f>
        <v>0.63808325456209514</v>
      </c>
      <c r="AF52" s="63">
        <f t="shared" ref="AF52:AF54" si="33">IF(W52-AF$29&lt;0,0,W52-AF$29)</f>
        <v>0.63623266843201698</v>
      </c>
      <c r="AG52" s="63">
        <f t="shared" si="32"/>
        <v>0.63354704907640358</v>
      </c>
      <c r="AH52" s="63">
        <f t="shared" si="32"/>
        <v>0.62486142972079006</v>
      </c>
      <c r="AI52" s="63">
        <f t="shared" si="32"/>
        <v>0.62217581036517655</v>
      </c>
      <c r="AJ52" s="63">
        <f t="shared" si="32"/>
        <v>0.61649019100956315</v>
      </c>
      <c r="AK52" s="63">
        <f t="shared" si="32"/>
        <v>0.60499019100956319</v>
      </c>
      <c r="AL52" s="63">
        <f t="shared" si="32"/>
        <v>0.60249019100956314</v>
      </c>
      <c r="AM52"/>
      <c r="AN52"/>
      <c r="AO52" s="179" t="s">
        <v>484</v>
      </c>
      <c r="AP52" s="496">
        <f>E52</f>
        <v>0.59</v>
      </c>
      <c r="AQ52"/>
      <c r="AR52"/>
      <c r="AS52"/>
      <c r="AT52"/>
      <c r="AU52"/>
      <c r="AV52"/>
      <c r="AW52"/>
      <c r="AX52"/>
      <c r="AY52"/>
      <c r="AZ52"/>
      <c r="BA52"/>
      <c r="BB52"/>
      <c r="BC52"/>
      <c r="BD52"/>
    </row>
    <row r="53" spans="1:3695" ht="15.5" outlineLevel="1">
      <c r="A53" s="108" t="s">
        <v>940</v>
      </c>
      <c r="B53" s="30" t="s">
        <v>330</v>
      </c>
      <c r="C53" s="43" t="s">
        <v>233</v>
      </c>
      <c r="D53" s="43" t="s">
        <v>244</v>
      </c>
      <c r="E53" s="486">
        <v>0.59</v>
      </c>
      <c r="F53" s="557">
        <v>1</v>
      </c>
      <c r="G53" s="557">
        <v>1</v>
      </c>
      <c r="H53" s="557">
        <f>N53/F53*(1+$D$31)</f>
        <v>2.2154918564049821</v>
      </c>
      <c r="I53" s="576">
        <v>1E-3</v>
      </c>
      <c r="J53" s="486">
        <v>0</v>
      </c>
      <c r="K53" s="48"/>
      <c r="L53" s="485">
        <v>1</v>
      </c>
      <c r="M53" s="485">
        <f>IF(C53="","",SUMIFS(Energy_Balance!I$56:I$160,Energy_Balance!$C$56:$C$160,C53,Energy_Balance!$D$56:$D$160,D53)*L53)</f>
        <v>3.7550709430592919</v>
      </c>
      <c r="N53" s="485">
        <f t="shared" si="16"/>
        <v>2.2154918564049821</v>
      </c>
      <c r="O53" s="25"/>
      <c r="P53" s="601">
        <f>E53</f>
        <v>0.59</v>
      </c>
      <c r="Q53" s="360">
        <f>IF($AO53="","",($S53-$P53)*1/3+$P53)</f>
        <v>0.59</v>
      </c>
      <c r="R53" s="360">
        <f>IF($AO53="","",($S53-$P53)*2/3+$P53)</f>
        <v>0.59</v>
      </c>
      <c r="S53" s="360">
        <f>IF($AO53="","",IF($AO53="*",$AP53*(1+$P$29),E53))</f>
        <v>0.59</v>
      </c>
      <c r="T53" s="203"/>
      <c r="U53" s="50"/>
      <c r="V53" s="63">
        <f>IF((IFERROR(IF(N53/(SUMIF(RES!$D$39:$D$146,D53,$N$39:$N$146))=1,1,(N53/(SUMIF(RES!$D$39:$D$146,D53,$N$39:$N$146))+$V$29)),0))&lt;1,(IFERROR(IF(N53/(SUMIF(RES!$D$39:$D$146,D53,$N$39:$N$146))=1,1,(N53/(SUMIF(RES!$D$39:$D$146,D53,$N$39:$N$146))+$V$29)),0)),1)</f>
        <v>0.23021427468979164</v>
      </c>
      <c r="W53" s="63">
        <f>$V53-$V$50*'Census 2011_17'!B$20*RES!$V53/(1-RES!$V$50)+RES!W$29</f>
        <v>0.23415156373640306</v>
      </c>
      <c r="X53" s="63">
        <f>$V53-$V$50*'Census 2011_17'!C$20*RES!$V53/(1-RES!$V$50)+RES!X$29</f>
        <v>0.23136437043759669</v>
      </c>
      <c r="Y53" s="63">
        <f>$V53-$V$50*'Census 2011_17'!D$20*RES!$V53/(1-RES!$V$50)+RES!Y$29</f>
        <v>0.23057717713879033</v>
      </c>
      <c r="Z53" s="63">
        <f>$V53-$V$50*'Census 2011_17'!E$20*RES!$V53/(1-RES!$V$50)+RES!Z$29</f>
        <v>0.22928998383998397</v>
      </c>
      <c r="AA53" s="63">
        <f>$V53-$V$50*'Census 2011_17'!F$20*RES!$V53/(1-RES!$V$50)+RES!AA$29</f>
        <v>0.22600279054117761</v>
      </c>
      <c r="AB53" s="63">
        <f>$V53-$V$50*'Census 2011_17'!G$20*RES!$V53/(1-RES!$V$50)+RES!AB$29</f>
        <v>0.22600279054117761</v>
      </c>
      <c r="AC53" s="63">
        <f>$V53-$V$50*'Census 2011_17'!H$20*RES!$V53/(1-RES!$V$50)+RES!AC$29</f>
        <v>0.22600279054117761</v>
      </c>
      <c r="AD53" s="50"/>
      <c r="AE53" s="63">
        <f>(IFERROR(IF($N53/(SUMIF(RES!$D$39:$D$146,$D53,$N$39:$N$146))=1,1,($N53/(SUMIF(RES!$D$39:$D$146,$D53,$N$39:$N$146)))),0))-AE$29</f>
        <v>0.22911427468979165</v>
      </c>
      <c r="AF53" s="63">
        <f t="shared" si="33"/>
        <v>0.22915156373640305</v>
      </c>
      <c r="AG53" s="63">
        <f t="shared" si="32"/>
        <v>0.22786437043759669</v>
      </c>
      <c r="AH53" s="63">
        <f t="shared" si="32"/>
        <v>0.22057717713879033</v>
      </c>
      <c r="AI53" s="63">
        <f t="shared" si="32"/>
        <v>0.21928998383998397</v>
      </c>
      <c r="AJ53" s="63">
        <f t="shared" si="32"/>
        <v>0.2150027905411776</v>
      </c>
      <c r="AK53" s="607">
        <f>AJ53/2</f>
        <v>0.1075013952705888</v>
      </c>
      <c r="AL53" s="607">
        <v>0</v>
      </c>
      <c r="AO53" s="179" t="s">
        <v>484</v>
      </c>
      <c r="AP53" s="496">
        <f>E53</f>
        <v>0.59</v>
      </c>
    </row>
    <row r="54" spans="1:3695" ht="15.5" outlineLevel="1">
      <c r="A54" s="108" t="s">
        <v>941</v>
      </c>
      <c r="B54" s="30" t="s">
        <v>331</v>
      </c>
      <c r="C54" s="43" t="s">
        <v>230</v>
      </c>
      <c r="D54" s="43" t="s">
        <v>244</v>
      </c>
      <c r="E54" s="486">
        <v>0.79</v>
      </c>
      <c r="F54" s="557">
        <v>1</v>
      </c>
      <c r="G54" s="557">
        <v>1</v>
      </c>
      <c r="H54" s="557">
        <f>N54/F54*(1+$D$31)</f>
        <v>0.11387951757630285</v>
      </c>
      <c r="I54" s="576">
        <v>1E-3</v>
      </c>
      <c r="J54" s="486">
        <v>0</v>
      </c>
      <c r="K54" s="48"/>
      <c r="L54" s="485">
        <v>1</v>
      </c>
      <c r="M54" s="485">
        <f>IF(C54="","",SUMIFS(Energy_Balance!I$56:I$160,Energy_Balance!$C$56:$C$160,C54,Energy_Balance!$D$56:$D$160,D54)*L54)</f>
        <v>0.14415128807126942</v>
      </c>
      <c r="N54" s="485">
        <f t="shared" si="16"/>
        <v>0.11387951757630285</v>
      </c>
      <c r="O54" s="25"/>
      <c r="P54" s="601">
        <f>E54</f>
        <v>0.79</v>
      </c>
      <c r="Q54" s="360">
        <f>IF($AO54="","",($S54-$P54)*1/3+$P54)</f>
        <v>0.79</v>
      </c>
      <c r="R54" s="360">
        <f>IF($AO54="","",($S54-$P54)*2/3+$P54)</f>
        <v>0.79</v>
      </c>
      <c r="S54" s="360">
        <f>IF($AO54="","",IF($AO54="*",$AP54*(1+$P$29),E54))</f>
        <v>0.79</v>
      </c>
      <c r="T54" s="203"/>
      <c r="U54" s="50"/>
      <c r="V54" s="63">
        <f>IF((IFERROR(IF(N54/(SUMIF(RES!$D$39:$D$146,D54,$N$39:$N$146))=1,1,(N54/(SUMIF(RES!$D$39:$D$146,D54,$N$39:$N$146))+$V$29)),0))&lt;1,(IFERROR(IF(N54/(SUMIF(RES!$D$39:$D$146,D54,$N$39:$N$146))=1,1,(N54/(SUMIF(RES!$D$39:$D$146,D54,$N$39:$N$146))+$V$29)),0)),1)</f>
        <v>1.278194853111848E-2</v>
      </c>
      <c r="W54" s="63">
        <f>$V54-$V$50*'Census 2011_17'!B$20*RES!$V54/(1-RES!$V$50)+RES!W$29</f>
        <v>1.7722944732470582E-2</v>
      </c>
      <c r="X54" s="63">
        <f>$V54-$V$50*'Census 2011_17'!C$20*RES!$V54/(1-RES!$V$50)+RES!X$29</f>
        <v>1.5679238214953619E-2</v>
      </c>
      <c r="Y54" s="63">
        <f>$V54-$V$50*'Census 2011_17'!D$20*RES!$V54/(1-RES!$V$50)+RES!Y$29</f>
        <v>1.5635531697436655E-2</v>
      </c>
      <c r="Z54" s="63">
        <f>$V54-$V$50*'Census 2011_17'!E$20*RES!$V54/(1-RES!$V$50)+RES!Z$29</f>
        <v>1.5091825179919693E-2</v>
      </c>
      <c r="AA54" s="63">
        <f>$V54-$V$50*'Census 2011_17'!F$20*RES!$V54/(1-RES!$V$50)+RES!AA$29</f>
        <v>1.254811866240273E-2</v>
      </c>
      <c r="AB54" s="63">
        <f>$V54-$V$50*'Census 2011_17'!G$20*RES!$V54/(1-RES!$V$50)+RES!AB$29</f>
        <v>1.254811866240273E-2</v>
      </c>
      <c r="AC54" s="63">
        <f>$V54-$V$50*'Census 2011_17'!H$20*RES!$V54/(1-RES!$V$50)+RES!AC$29</f>
        <v>1.254811866240273E-2</v>
      </c>
      <c r="AD54" s="50"/>
      <c r="AE54" s="63">
        <f>(IFERROR(IF($N54/(SUMIF(RES!$D$39:$D$146,$D54,$N$39:$N$146))=1,1,($N54/(SUMIF(RES!$D$39:$D$146,$D54,$N$39:$N$146)))),0))-AE$29</f>
        <v>1.1681948531118482E-2</v>
      </c>
      <c r="AF54" s="63">
        <f t="shared" si="33"/>
        <v>1.2722944732470581E-2</v>
      </c>
      <c r="AG54" s="63">
        <f t="shared" si="32"/>
        <v>1.2179238214953619E-2</v>
      </c>
      <c r="AH54" s="63">
        <f t="shared" si="32"/>
        <v>5.6355316974366545E-3</v>
      </c>
      <c r="AI54" s="63">
        <f t="shared" si="32"/>
        <v>5.0918251799196932E-3</v>
      </c>
      <c r="AJ54" s="63">
        <f t="shared" si="32"/>
        <v>1.548118662402731E-3</v>
      </c>
      <c r="AK54" s="63">
        <f t="shared" si="32"/>
        <v>0</v>
      </c>
      <c r="AL54" s="63">
        <f t="shared" si="32"/>
        <v>0</v>
      </c>
      <c r="AO54" s="179" t="s">
        <v>484</v>
      </c>
      <c r="AP54" s="496">
        <f>E54</f>
        <v>0.79</v>
      </c>
    </row>
    <row r="55" spans="1:3695" s="191" customFormat="1" ht="15.5" outlineLevel="1">
      <c r="A55" s="524" t="s">
        <v>926</v>
      </c>
      <c r="B55" s="525"/>
      <c r="C55" s="526"/>
      <c r="D55" s="526"/>
      <c r="E55" s="527" t="str">
        <f>IF(D55="","",IF(COUNTIF(#REF!,$B55)=1,SUMIF(#REF!,RES!B55,#REF!),SUMIF(#REF!,RES!$B55,#REF!)))</f>
        <v/>
      </c>
      <c r="F55" s="527"/>
      <c r="G55" s="527"/>
      <c r="H55" s="527"/>
      <c r="I55" s="577"/>
      <c r="J55" s="527"/>
      <c r="K55" s="528"/>
      <c r="L55" s="529"/>
      <c r="M55" s="529">
        <f>SUM(M50:M54)</f>
        <v>15.668615266910548</v>
      </c>
      <c r="N55" s="529">
        <f>SUM(N50:N54)</f>
        <v>9.6655928580509656</v>
      </c>
      <c r="O55" s="192"/>
      <c r="P55" s="530"/>
      <c r="Q55" s="530"/>
      <c r="R55" s="530"/>
      <c r="S55" s="530"/>
      <c r="T55" s="531"/>
      <c r="U55" s="532"/>
      <c r="V55" s="532">
        <f>SUM(V50:V54)</f>
        <v>1.0049999999999999</v>
      </c>
      <c r="W55" s="532">
        <f t="shared" ref="W55:AC55" si="34">SUM(W50:W54)</f>
        <v>1.0259769190908161</v>
      </c>
      <c r="X55" s="532">
        <f t="shared" si="34"/>
        <v>1.0194598221210502</v>
      </c>
      <c r="Y55" s="532">
        <f t="shared" si="34"/>
        <v>1.0199427251512845</v>
      </c>
      <c r="Z55" s="532">
        <f t="shared" si="34"/>
        <v>1.0349256281815185</v>
      </c>
      <c r="AA55" s="532">
        <f t="shared" si="34"/>
        <v>1.1049085312117528</v>
      </c>
      <c r="AB55" s="532">
        <f t="shared" si="34"/>
        <v>1.2549085312117529</v>
      </c>
      <c r="AC55" s="532">
        <f t="shared" si="34"/>
        <v>1.4549085312117529</v>
      </c>
      <c r="AD55" s="532"/>
      <c r="AE55" s="600">
        <f>SUM(AE50:AE54)</f>
        <v>0.99949999999999994</v>
      </c>
      <c r="AF55" s="600">
        <f t="shared" ref="AF55" si="35">SUM(AF50:AF54)</f>
        <v>0.99882846884611798</v>
      </c>
      <c r="AG55" s="600">
        <f t="shared" ref="AG55" si="36">SUM(AG50:AG54)</f>
        <v>0.99827548280620526</v>
      </c>
      <c r="AH55" s="600">
        <f t="shared" ref="AH55" si="37">SUM(AH50:AH54)</f>
        <v>0.97222249676629258</v>
      </c>
      <c r="AI55" s="600">
        <f t="shared" ref="AI55" si="38">SUM(AI50:AI54)</f>
        <v>0.9711695107263798</v>
      </c>
      <c r="AJ55" s="600">
        <f t="shared" ref="AJ55" si="39">SUM(AJ50:AJ54)</f>
        <v>0.95711652468646724</v>
      </c>
      <c r="AK55" s="600">
        <f t="shared" ref="AK55" si="40">SUM(AK50:AK54)</f>
        <v>0.82834369049054746</v>
      </c>
      <c r="AL55" s="600">
        <f t="shared" ref="AL55" si="41">SUM(AL50:AL54)</f>
        <v>0.71011897495703036</v>
      </c>
      <c r="AO55" s="534"/>
    </row>
    <row r="56" spans="1:3695" s="569" customFormat="1" ht="15.5" outlineLevel="1" collapsed="1">
      <c r="A56" s="559" t="s">
        <v>942</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5"/>
      <c r="AF56" s="568"/>
      <c r="AG56" s="568"/>
      <c r="AH56" s="568"/>
      <c r="AI56" s="568"/>
      <c r="AJ56" s="568"/>
      <c r="AK56" s="568"/>
      <c r="AL56" s="568"/>
      <c r="AO56" s="570"/>
    </row>
    <row r="57" spans="1:3695" s="569" customFormat="1" ht="15.5" outlineLevel="1">
      <c r="A57" s="571" t="s">
        <v>943</v>
      </c>
      <c r="B57" s="560" t="s">
        <v>333</v>
      </c>
      <c r="C57" s="561"/>
      <c r="D57" s="561" t="s">
        <v>557</v>
      </c>
      <c r="E57" s="562"/>
      <c r="F57" s="562"/>
      <c r="G57" s="562"/>
      <c r="H57" s="562"/>
      <c r="I57" s="579"/>
      <c r="J57" s="562"/>
      <c r="K57" s="563"/>
      <c r="L57" s="564"/>
      <c r="M57" s="564" t="str">
        <f>IF(C57="","",SUMIFS(Energy_Balance!I$56:I$160,Energy_Balance!$C$56:$C$160,C57,Energy_Balance!$D$56:$D$160,D57)*L57)</f>
        <v/>
      </c>
      <c r="N57" s="564"/>
      <c r="O57" s="565"/>
      <c r="P57" s="566"/>
      <c r="Q57" s="566"/>
      <c r="R57" s="566"/>
      <c r="S57" s="566"/>
      <c r="T57" s="567"/>
      <c r="U57" s="568"/>
      <c r="V57" s="568"/>
      <c r="W57" s="568"/>
      <c r="X57" s="568"/>
      <c r="Y57" s="568"/>
      <c r="Z57" s="568"/>
      <c r="AA57" s="568"/>
      <c r="AB57" s="568"/>
      <c r="AC57" s="568"/>
      <c r="AD57" s="568"/>
      <c r="AE57" s="595"/>
      <c r="AF57" s="568"/>
      <c r="AG57" s="568"/>
      <c r="AH57" s="568"/>
      <c r="AI57" s="568"/>
      <c r="AJ57" s="568"/>
      <c r="AK57" s="568"/>
      <c r="AL57" s="568"/>
      <c r="AO57" s="569" t="s">
        <v>110</v>
      </c>
      <c r="AP57" s="572">
        <f>E57</f>
        <v>0</v>
      </c>
    </row>
    <row r="58" spans="1:3695" s="569" customFormat="1" ht="15.5" outlineLevel="1">
      <c r="A58" s="571" t="s">
        <v>944</v>
      </c>
      <c r="B58" s="560" t="s">
        <v>334</v>
      </c>
      <c r="C58" s="561"/>
      <c r="D58" s="561" t="s">
        <v>557</v>
      </c>
      <c r="E58" s="562"/>
      <c r="F58" s="562"/>
      <c r="G58" s="562"/>
      <c r="H58" s="562"/>
      <c r="I58" s="579"/>
      <c r="J58" s="562"/>
      <c r="K58" s="563"/>
      <c r="L58" s="564"/>
      <c r="M58" s="564" t="str">
        <f>IF(C58="","",SUMIFS(Energy_Balance!I$56:I$160,Energy_Balance!$C$56:$C$160,C58,Energy_Balance!$D$56:$D$160,D58)*L58)</f>
        <v/>
      </c>
      <c r="N58" s="564"/>
      <c r="O58" s="565"/>
      <c r="P58" s="566"/>
      <c r="Q58" s="566"/>
      <c r="R58" s="566"/>
      <c r="S58" s="566"/>
      <c r="T58" s="567"/>
      <c r="U58" s="568"/>
      <c r="V58" s="568"/>
      <c r="W58" s="568"/>
      <c r="X58" s="568"/>
      <c r="Y58" s="568"/>
      <c r="Z58" s="568"/>
      <c r="AA58" s="568"/>
      <c r="AB58" s="568"/>
      <c r="AC58" s="568"/>
      <c r="AD58" s="568"/>
      <c r="AE58" s="595"/>
      <c r="AF58" s="568"/>
      <c r="AG58" s="568"/>
      <c r="AH58" s="568"/>
      <c r="AI58" s="568"/>
      <c r="AJ58" s="568"/>
      <c r="AK58" s="568"/>
      <c r="AL58" s="568"/>
      <c r="AO58" s="570" t="s">
        <v>832</v>
      </c>
      <c r="AP58" s="572">
        <f>E58</f>
        <v>0</v>
      </c>
    </row>
    <row r="59" spans="1:3695" s="569" customFormat="1" ht="15.5" outlineLevel="1">
      <c r="A59" s="571" t="s">
        <v>926</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5"/>
      <c r="AF59" s="568"/>
      <c r="AG59" s="568"/>
      <c r="AH59" s="568"/>
      <c r="AI59" s="568"/>
      <c r="AJ59" s="568"/>
      <c r="AK59" s="568"/>
      <c r="AL59" s="568"/>
      <c r="AO59" s="570"/>
    </row>
    <row r="60" spans="1:3695" s="232" customFormat="1" ht="15.5" outlineLevel="1">
      <c r="A60" s="555" t="s">
        <v>945</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4"/>
      <c r="AF60" s="554"/>
      <c r="AG60" s="554"/>
      <c r="AH60" s="554"/>
      <c r="AI60" s="554"/>
      <c r="AJ60" s="554"/>
      <c r="AK60" s="554"/>
      <c r="AL60" s="554"/>
    </row>
    <row r="61" spans="1:3695" s="165" customFormat="1" ht="15.5" outlineLevel="1">
      <c r="A61" s="108" t="s">
        <v>946</v>
      </c>
      <c r="B61" s="30" t="s">
        <v>335</v>
      </c>
      <c r="C61" s="43" t="s">
        <v>231</v>
      </c>
      <c r="D61" s="43" t="s">
        <v>245</v>
      </c>
      <c r="E61" s="486">
        <v>0.44</v>
      </c>
      <c r="F61" s="557">
        <v>1</v>
      </c>
      <c r="G61" s="557">
        <v>1</v>
      </c>
      <c r="H61" s="557">
        <f>N61/F61*(1+$D$31)</f>
        <v>1.3956478247393127</v>
      </c>
      <c r="I61" s="576">
        <v>1E-3</v>
      </c>
      <c r="J61" s="486">
        <v>0</v>
      </c>
      <c r="K61" s="48" t="s">
        <v>889</v>
      </c>
      <c r="L61" s="485">
        <v>1</v>
      </c>
      <c r="M61" s="485">
        <f>IF(C61="","",SUMIFS(Energy_Balance!I$56:I$160,Energy_Balance!$C$56:$C$160,C61,Energy_Balance!$D$56:$D$160,D61)*L61)</f>
        <v>3.1719268744075291</v>
      </c>
      <c r="N61" s="485">
        <f t="shared" si="16"/>
        <v>1.3956478247393127</v>
      </c>
      <c r="O61" s="25"/>
      <c r="P61" s="601">
        <f>E61</f>
        <v>0.44</v>
      </c>
      <c r="Q61" s="360">
        <f>IF($AO61="","",($S61-$P61)*1/3+$P61)</f>
        <v>0.44</v>
      </c>
      <c r="R61" s="360">
        <f>IF($AO61="","",($S61-$P61)*2/3+$P61)</f>
        <v>0.44</v>
      </c>
      <c r="S61" s="360">
        <f>IF($AO61="","",IF($AO61="*",$AP61*(1+$P$29),E61))</f>
        <v>0.44</v>
      </c>
      <c r="T61" s="203"/>
      <c r="U61" s="272"/>
      <c r="V61" s="599">
        <f>IF((IFERROR(IF(N61/(SUMIF(RES!$D$39:$D$146,D61,$N$39:$N$146))=1,1,(N61/(SUMIF(RES!$D$39:$D$146,D61,$N$39:$N$146))+$V$29)),0))&lt;1,(IFERROR(IF(N61/(SUMIF(RES!$D$39:$D$146,D61,$N$39:$N$146))=1,1,(N61/(SUMIF(RES!$D$39:$D$146,D61,$N$39:$N$146))+$V$29)),0)),1)</f>
        <v>0.27334531848453347</v>
      </c>
      <c r="W61" s="63">
        <f>IF($V61*(1+'Census 2011_17'!B$20)+W$28&lt;1,$V61*(1+'Census 2011_17'!B$20)+W$28,1)</f>
        <v>0.28638499809151946</v>
      </c>
      <c r="X61" s="63">
        <f>IF($V61*(1+'Census 2011_17'!C$20)+X$28&lt;1,$V61*(1+'Census 2011_17'!C$20)+X$28,1)</f>
        <v>0.29680327928187944</v>
      </c>
      <c r="Y61" s="63">
        <f>IF($V61*(1+'Census 2011_17'!D$20)+Y$28&lt;1,$V61*(1+'Census 2011_17'!D$20)+Y$28,1)</f>
        <v>0.30622156047223942</v>
      </c>
      <c r="Z61" s="63">
        <f>IF($V61*(1+'Census 2011_17'!E$20)+Z$28&lt;1,$V61*(1+'Census 2011_17'!E$20)+Z$28,1)</f>
        <v>0.33213984166259941</v>
      </c>
      <c r="AA61" s="63">
        <f>IF($V61*(1+'Census 2011_17'!F$20)+AA$28&lt;1,$V61*(1+'Census 2011_17'!F$20)+AA$28,1)</f>
        <v>0.36105812285295935</v>
      </c>
      <c r="AB61" s="63">
        <f>IF($V61*(1+'Census 2011_17'!G$20)+AB$28&lt;1,$V61*(1+'Census 2011_17'!G$20)+AB$28,1)</f>
        <v>0.4210581228529594</v>
      </c>
      <c r="AC61" s="63">
        <f>IF($V61*(1+'Census 2011_17'!H$20)+AC$28&lt;1,$V61*(1+'Census 2011_17'!H$20)+AC$28,1)</f>
        <v>0.50105812285295936</v>
      </c>
      <c r="AD61" s="272"/>
      <c r="AE61" s="63">
        <f>(IFERROR(IF($N61/(SUMIF(RES!$D$39:$D$146,$D61,$N$39:$N$146))=1,1,($N61/(SUMIF(RES!$D$39:$D$146,$D61,$N$39:$N$146))-AE$28)),0))</f>
        <v>0.27224531848453348</v>
      </c>
      <c r="AF61" s="63">
        <f>$AE61*(1+'Census 2011_17'!B$20)-AF$28</f>
        <v>0.27923654784682128</v>
      </c>
      <c r="AG61" s="63">
        <f>$AE61*(1+'Census 2011_17'!C$20)-AG$28</f>
        <v>0.28961893996703442</v>
      </c>
      <c r="AH61" s="63">
        <f>$AE61*(1+'Census 2011_17'!D$20)-AH$28</f>
        <v>0.29850133208724755</v>
      </c>
      <c r="AI61" s="63">
        <f>$AE61*(1+'Census 2011_17'!E$20)-AI$28</f>
        <v>0.30838372420746074</v>
      </c>
      <c r="AJ61" s="63">
        <f>$AE61*(1+'Census 2011_17'!F$20)-AJ$28</f>
        <v>0.31726611632767387</v>
      </c>
      <c r="AK61" s="607">
        <f>AJ61/2</f>
        <v>0.15863305816383694</v>
      </c>
      <c r="AL61" s="607">
        <v>0</v>
      </c>
      <c r="AM61"/>
      <c r="AN61"/>
      <c r="AO61" s="179" t="s">
        <v>484</v>
      </c>
      <c r="AP61" s="496">
        <f>E61</f>
        <v>0.44</v>
      </c>
      <c r="AQ61"/>
      <c r="AR61"/>
      <c r="AS61"/>
      <c r="AT61"/>
      <c r="AU61"/>
      <c r="AV61"/>
      <c r="AW61"/>
      <c r="AX61"/>
      <c r="AY61"/>
      <c r="AZ61"/>
      <c r="BA61"/>
      <c r="BB61"/>
      <c r="BC61"/>
      <c r="BD61"/>
    </row>
    <row r="62" spans="1:3695" ht="15.5" outlineLevel="1">
      <c r="A62" s="108" t="s">
        <v>947</v>
      </c>
      <c r="B62" s="30" t="s">
        <v>332</v>
      </c>
      <c r="C62" s="43" t="s">
        <v>229</v>
      </c>
      <c r="D62" s="43" t="s">
        <v>245</v>
      </c>
      <c r="E62" s="494">
        <v>0.95</v>
      </c>
      <c r="F62" s="557">
        <v>1</v>
      </c>
      <c r="G62" s="557">
        <v>1</v>
      </c>
      <c r="H62" s="557">
        <f>N62/F62*(1+$D$31)</f>
        <v>1.9432853581819236</v>
      </c>
      <c r="I62" s="576">
        <v>1E-3</v>
      </c>
      <c r="J62" s="486">
        <v>0</v>
      </c>
      <c r="K62" s="48"/>
      <c r="L62" s="485">
        <v>1</v>
      </c>
      <c r="M62" s="485">
        <f>IF(C62="","",SUMIFS(Energy_Balance!I$56:I$160,Energy_Balance!$C$56:$C$160,C62,Energy_Balance!$D$56:$D$160,D62)*L62)</f>
        <v>2.0455635349283408</v>
      </c>
      <c r="N62" s="485">
        <f t="shared" ref="N62" si="42">E62*M62</f>
        <v>1.9432853581819236</v>
      </c>
      <c r="O62" s="25"/>
      <c r="P62" s="601">
        <f>E62</f>
        <v>0.95</v>
      </c>
      <c r="Q62" s="360">
        <f>IF($AO62="","",($S62-$P62)*1/3+$P62)</f>
        <v>0.95</v>
      </c>
      <c r="R62" s="360">
        <f>IF($AO62="","",($S62-$P62)*2/3+$P62)</f>
        <v>0.95</v>
      </c>
      <c r="S62" s="360">
        <f>IF($AO62="","",IF($AO62="*",$AP62*(1+$P$29),E62))</f>
        <v>0.95</v>
      </c>
      <c r="T62" s="203"/>
      <c r="U62" s="272"/>
      <c r="V62" s="63">
        <f>IF((IFERROR(IF(N62/(SUMIF(RES!$D$39:$D$146,D62,$N$39:$N$146))=1,1,(N62/(SUMIF(RES!$D$39:$D$146,D62,$N$39:$N$146))+$V$29)),0))&lt;1,(IFERROR(IF(N62/(SUMIF(RES!$D$39:$D$146,D62,$N$39:$N$146))=1,1,(N62/(SUMIF(RES!$D$39:$D$146,D62,$N$39:$N$146))+$V$29)),0)),1)</f>
        <v>0.38021075818625094</v>
      </c>
      <c r="W62" s="63">
        <f>$V62-$V$61*'Census 2011_17'!B$20*RES!$V62/(1-RES!$V$61)+RES!W$29</f>
        <v>0.37891118312241884</v>
      </c>
      <c r="X62" s="63">
        <f>$V62-$V$61*'Census 2011_17'!C$20*RES!$V62/(1-RES!$V$61)+RES!X$29</f>
        <v>0.37224483122328395</v>
      </c>
      <c r="Y62" s="63">
        <f>$V62-$V$61*'Census 2011_17'!D$20*RES!$V62/(1-RES!$V$61)+RES!Y$29</f>
        <v>0.36757847932414911</v>
      </c>
      <c r="Z62" s="63">
        <f>$V62-$V$61*'Census 2011_17'!E$20*RES!$V62/(1-RES!$V$61)+RES!Z$29</f>
        <v>0.36241212742501422</v>
      </c>
      <c r="AA62" s="607">
        <f>MIN(1,$V62*(1+'Census 2011_17'!F$20)+AA$28*1.5)</f>
        <v>0.50657707323670587</v>
      </c>
      <c r="AB62" s="607">
        <f>MIN(1,$V62*(1+'Census 2011_17'!G$20)+AB$28*1.5)</f>
        <v>0.59657707323670583</v>
      </c>
      <c r="AC62" s="607">
        <f>MIN(1,$V62*(1+'Census 2011_17'!H$20)+AC$28*1.5)</f>
        <v>0.71657707323670583</v>
      </c>
      <c r="AD62" s="272"/>
      <c r="AE62" s="63">
        <f>(IFERROR(IF($N62/(SUMIF(RES!$D$39:$D$146,$D62,$N$39:$N$146))=1,1,($N62/(SUMIF(RES!$D$39:$D$146,$D62,$N$39:$N$146)))),0))-AE$29</f>
        <v>0.37911075818625095</v>
      </c>
      <c r="AF62" s="63">
        <f>IF(W62-AF$29&lt;0,0,W62-AF$29)</f>
        <v>0.37391118312241883</v>
      </c>
      <c r="AG62" s="63">
        <f t="shared" ref="AG62:AG65" si="43">IF(X62-AG$29&lt;0,0,X62-AG$29)</f>
        <v>0.36874483122328394</v>
      </c>
      <c r="AH62" s="63">
        <f t="shared" ref="AH62:AH65" si="44">IF(Y62-AH$29&lt;0,0,Y62-AH$29)</f>
        <v>0.3575784793241491</v>
      </c>
      <c r="AI62" s="607">
        <v>0.33144065380879295</v>
      </c>
      <c r="AJ62" s="607">
        <v>0.29588180708480727</v>
      </c>
      <c r="AK62" s="607">
        <v>0.15888180708480726</v>
      </c>
      <c r="AL62" s="607">
        <v>8.3881807084807192E-2</v>
      </c>
      <c r="AO62" s="179" t="s">
        <v>484</v>
      </c>
      <c r="AP62" s="496">
        <f>E62</f>
        <v>0.95</v>
      </c>
    </row>
    <row r="63" spans="1:3695" ht="15.5" outlineLevel="1">
      <c r="A63" s="108" t="s">
        <v>948</v>
      </c>
      <c r="B63" s="30" t="s">
        <v>336</v>
      </c>
      <c r="C63" s="43" t="s">
        <v>232</v>
      </c>
      <c r="D63" s="43" t="s">
        <v>245</v>
      </c>
      <c r="E63" s="486">
        <v>0.11</v>
      </c>
      <c r="F63" s="557">
        <v>1</v>
      </c>
      <c r="G63" s="557">
        <v>1</v>
      </c>
      <c r="H63" s="557">
        <f>N63/F63*(1+$D$31)</f>
        <v>1.0765628451260547</v>
      </c>
      <c r="I63" s="576">
        <v>1E-3</v>
      </c>
      <c r="J63" s="486">
        <v>0</v>
      </c>
      <c r="K63" s="48"/>
      <c r="L63" s="485">
        <v>1</v>
      </c>
      <c r="M63" s="485">
        <f>IF(C63="","",SUMIFS(Energy_Balance!I$56:I$160,Energy_Balance!$C$56:$C$160,C63,Energy_Balance!$D$56:$D$160,D63)*L63)</f>
        <v>9.7869349556914056</v>
      </c>
      <c r="N63" s="485">
        <f t="shared" si="16"/>
        <v>1.0765628451260547</v>
      </c>
      <c r="O63" s="25"/>
      <c r="P63" s="601">
        <f>E63</f>
        <v>0.11</v>
      </c>
      <c r="Q63" s="360">
        <f>IF($AO63="","",($S63-$P63)*1/3+$P63)</f>
        <v>0.11</v>
      </c>
      <c r="R63" s="360">
        <f>IF($AO63="","",($S63-$P63)*2/3+$P63)</f>
        <v>0.11</v>
      </c>
      <c r="S63" s="360">
        <f>IF($AO63="","",IF($AO63="*",$AP63*(1+$P$29),E63))</f>
        <v>0.11</v>
      </c>
      <c r="T63" s="203"/>
      <c r="U63" s="272"/>
      <c r="V63" s="599">
        <f>IF((IFERROR(IF(N63/(SUMIF(RES!$D$39:$D$146,D63,$N$39:$N$146))=1,1,(N63/(SUMIF(RES!$D$39:$D$146,D63,$N$39:$N$146))+$V$29)),0))&lt;1,(IFERROR(IF(N63/(SUMIF(RES!$D$39:$D$146,D63,$N$39:$N$146))=1,1,(N63/(SUMIF(RES!$D$39:$D$146,D63,$N$39:$N$146))+$V$29)),0)),1)</f>
        <v>0.21107939519358035</v>
      </c>
      <c r="W63" s="63">
        <f>$V63-$V$61*'Census 2011_17'!B$20*RES!$V63/(1-RES!$V$61)+RES!W$29</f>
        <v>0.21258209674575773</v>
      </c>
      <c r="X63" s="63">
        <f>$V63-$V$61*'Census 2011_17'!C$20*RES!$V63/(1-RES!$V$61)+RES!X$29</f>
        <v>0.20799150530292615</v>
      </c>
      <c r="Y63" s="63">
        <f>$V63-$V$61*'Census 2011_17'!D$20*RES!$V63/(1-RES!$V$61)+RES!Y$29</f>
        <v>0.2054009138600946</v>
      </c>
      <c r="Z63" s="63">
        <f>$V63-$V$61*'Census 2011_17'!E$20*RES!$V63/(1-RES!$V$61)+RES!Z$29</f>
        <v>0.20231032241726302</v>
      </c>
      <c r="AA63" s="63">
        <f>$V63-$V$61*'Census 2011_17'!F$20*RES!$V63/(1-RES!$V$61)+RES!AA$29</f>
        <v>0.19721973097443143</v>
      </c>
      <c r="AB63" s="63">
        <f>$V63-$V$61*'Census 2011_17'!G$20*RES!$V63/(1-RES!$V$61)+RES!AB$29</f>
        <v>0.19721973097443143</v>
      </c>
      <c r="AC63" s="607">
        <v>0.25</v>
      </c>
      <c r="AD63" s="272"/>
      <c r="AE63" s="63">
        <f>(IFERROR(IF($N63/(SUMIF(RES!$D$39:$D$146,$D63,$N$39:$N$146))=1,1,($N63/(SUMIF(RES!$D$39:$D$146,$D63,$N$39:$N$146)))),0))-AE$29</f>
        <v>0.20997939519358036</v>
      </c>
      <c r="AF63" s="63">
        <f t="shared" ref="AF63:AF65" si="45">IF(W63-AF$29&lt;0,0,W63-AF$29)</f>
        <v>0.20758209674575773</v>
      </c>
      <c r="AG63" s="63">
        <f t="shared" si="43"/>
        <v>0.20449150530292615</v>
      </c>
      <c r="AH63" s="63">
        <f t="shared" si="44"/>
        <v>0.19540091386009459</v>
      </c>
      <c r="AI63" s="63">
        <f t="shared" ref="AI63" si="46">IF(Z63-AI$29&lt;0,0,Z63-AI$29*AI26)</f>
        <v>0.17231032241726302</v>
      </c>
      <c r="AJ63" s="63">
        <f t="shared" ref="AJ63" si="47">IF(AA63-AJ$29&lt;0,0,AA63-AJ$29*AJ26)</f>
        <v>0.15321973097443142</v>
      </c>
      <c r="AK63" s="63">
        <f t="shared" ref="AK63" si="48">IF(AB63-AK$29&lt;0,0,AB63-AK$29*AK26)</f>
        <v>8.4719730974431445E-2</v>
      </c>
      <c r="AL63" s="63">
        <f t="shared" ref="AL63" si="49">IF(AC63-AL$29&lt;0,0,AC63-AL$29*AL26)</f>
        <v>9.9999999999999978E-2</v>
      </c>
      <c r="AO63" s="179" t="s">
        <v>484</v>
      </c>
      <c r="AP63" s="496">
        <f>E63</f>
        <v>0.11</v>
      </c>
    </row>
    <row r="64" spans="1:3695" s="14" customFormat="1" ht="15.5" outlineLevel="1">
      <c r="A64" s="246" t="s">
        <v>949</v>
      </c>
      <c r="B64" s="246" t="s">
        <v>382</v>
      </c>
      <c r="C64" s="247" t="s">
        <v>233</v>
      </c>
      <c r="D64" s="247" t="s">
        <v>245</v>
      </c>
      <c r="E64" s="486">
        <v>0.11</v>
      </c>
      <c r="F64" s="557">
        <v>1</v>
      </c>
      <c r="G64" s="557">
        <v>1</v>
      </c>
      <c r="H64" s="557">
        <f>N64/F64*(1+$D$31)</f>
        <v>6.5346441334334329E-2</v>
      </c>
      <c r="I64" s="576">
        <v>1E-3</v>
      </c>
      <c r="J64" s="486">
        <v>0</v>
      </c>
      <c r="K64" s="48"/>
      <c r="L64" s="485">
        <v>1</v>
      </c>
      <c r="M64" s="485">
        <f>IF(C64="","",SUMIFS(Energy_Balance!I$56:I$160,Energy_Balance!$C$56:$C$160,C64,Energy_Balance!$D$56:$D$160,D64)*L64)</f>
        <v>0.59405855758485748</v>
      </c>
      <c r="N64" s="485">
        <f t="shared" si="16"/>
        <v>6.5346441334334329E-2</v>
      </c>
      <c r="O64" s="25"/>
      <c r="P64" s="601">
        <f>E64</f>
        <v>0.11</v>
      </c>
      <c r="Q64" s="360">
        <f>IF($AO64="","",($S64-$P64)*1/3+$P64)</f>
        <v>0.11</v>
      </c>
      <c r="R64" s="360">
        <f>IF($AO64="","",($S64-$P64)*2/3+$P64)</f>
        <v>0.11</v>
      </c>
      <c r="S64" s="360">
        <f>IF($AO64="","",IF($AO64="*",$AP64*(1+$P$29),E64))</f>
        <v>0.11</v>
      </c>
      <c r="T64" s="203"/>
      <c r="U64" s="272"/>
      <c r="V64" s="599">
        <f>IF((IFERROR(IF(N64/(SUMIF(RES!$D$39:$D$146,D64,$N$39:$N$146))=1,1,(N64/(SUMIF(RES!$D$39:$D$146,D64,$N$39:$N$146))+$V$29)),0))&lt;1,(IFERROR(IF(N64/(SUMIF(RES!$D$39:$D$146,D64,$N$39:$N$146))=1,1,(N64/(SUMIF(RES!$D$39:$D$146,D64,$N$39:$N$146))+$V$29)),0)),1)</f>
        <v>1.3751639103764843E-2</v>
      </c>
      <c r="W64" s="63">
        <f>$V64-$V$61*'Census 2011_17'!B$20*RES!$V64/(1-RES!$V$61)+RES!W$29</f>
        <v>1.8523793150120212E-2</v>
      </c>
      <c r="X64" s="63">
        <f>$V64-$V$61*'Census 2011_17'!C$20*RES!$V64/(1-RES!$V$61)+RES!X$29</f>
        <v>1.6355018369642704E-2</v>
      </c>
      <c r="Y64" s="63">
        <f>$V64-$V$61*'Census 2011_17'!D$20*RES!$V64/(1-RES!$V$61)+RES!Y$29</f>
        <v>1.6186243589165199E-2</v>
      </c>
      <c r="Z64" s="63">
        <f>$V64-$V$61*'Census 2011_17'!E$20*RES!$V64/(1-RES!$V$61)+RES!Z$29</f>
        <v>1.5517468808687693E-2</v>
      </c>
      <c r="AA64" s="63">
        <f>$V64-$V$61*'Census 2011_17'!F$20*RES!$V64/(1-RES!$V$61)+RES!AA$29</f>
        <v>1.2848694028210187E-2</v>
      </c>
      <c r="AB64" s="63">
        <f>$V64-$V$61*'Census 2011_17'!G$20*RES!$V64/(1-RES!$V$61)+RES!AB$29</f>
        <v>1.2848694028210187E-2</v>
      </c>
      <c r="AC64" s="63">
        <f>$V64-$V$61*'Census 2011_17'!H$20*RES!$V64/(1-RES!$V$61)+RES!AC$29</f>
        <v>1.2848694028210187E-2</v>
      </c>
      <c r="AD64" s="272"/>
      <c r="AE64" s="63">
        <f>(IFERROR(IF($N64/(SUMIF(RES!$D$39:$D$146,$D64,$N$39:$N$146))=1,1,($N64/(SUMIF(RES!$D$39:$D$146,$D64,$N$39:$N$146)))),0))-AE$29</f>
        <v>1.2651639103764845E-2</v>
      </c>
      <c r="AF64" s="63">
        <f t="shared" si="45"/>
        <v>1.3523793150120211E-2</v>
      </c>
      <c r="AG64" s="63">
        <f t="shared" si="43"/>
        <v>1.2855018369642705E-2</v>
      </c>
      <c r="AH64" s="63">
        <f t="shared" si="44"/>
        <v>6.1862435891651985E-3</v>
      </c>
      <c r="AI64" s="63">
        <f t="shared" ref="AI64:AI65" si="50">IF(Z64-AI$29&lt;0,0,Z64-AI$29)</f>
        <v>5.5174688086876925E-3</v>
      </c>
      <c r="AJ64" s="63">
        <f t="shared" ref="AJ64:AJ65" si="51">IF(AA64-AJ$29&lt;0,0,AA64-AJ$29)</f>
        <v>1.8486940282101873E-3</v>
      </c>
      <c r="AK64" s="63">
        <f t="shared" ref="AK64" si="52">IF(AB64-AK$29&lt;0,0,AB64-AK$29)</f>
        <v>0</v>
      </c>
      <c r="AL64" s="63">
        <f t="shared" ref="AL64" si="53">IF(AC64-AL$29&lt;0,0,AC64-AL$29)</f>
        <v>0</v>
      </c>
      <c r="AM64"/>
      <c r="AN64"/>
      <c r="AO64" s="179" t="s">
        <v>484</v>
      </c>
      <c r="AP64" s="496">
        <f>E64</f>
        <v>0.11</v>
      </c>
      <c r="AQ64"/>
      <c r="AR64"/>
      <c r="AS64"/>
      <c r="AT64"/>
      <c r="AU64"/>
      <c r="AV64"/>
      <c r="AW64"/>
      <c r="AX64"/>
      <c r="AY64"/>
      <c r="AZ64"/>
      <c r="BA64"/>
      <c r="BB64"/>
      <c r="BC64"/>
      <c r="BD64"/>
    </row>
    <row r="65" spans="1:3695" ht="15.5" outlineLevel="1">
      <c r="A65" s="108" t="s">
        <v>950</v>
      </c>
      <c r="B65" s="30" t="s">
        <v>337</v>
      </c>
      <c r="C65" s="43" t="s">
        <v>230</v>
      </c>
      <c r="D65" s="43" t="s">
        <v>245</v>
      </c>
      <c r="E65" s="486">
        <v>0.61</v>
      </c>
      <c r="F65" s="557">
        <v>1</v>
      </c>
      <c r="G65" s="557">
        <v>1</v>
      </c>
      <c r="H65" s="557">
        <f>N65/F65*(1+$D$31)</f>
        <v>0.64370981778600578</v>
      </c>
      <c r="I65" s="576">
        <v>1E-3</v>
      </c>
      <c r="J65" s="486">
        <v>0</v>
      </c>
      <c r="K65" s="48"/>
      <c r="L65" s="485">
        <v>1</v>
      </c>
      <c r="M65" s="485">
        <f>IF(C65="","",SUMIFS(Energy_Balance!I$56:I$160,Energy_Balance!$C$56:$C$160,C65,Energy_Balance!$D$56:$D$160,D65)*L65)</f>
        <v>1.0552619963705012</v>
      </c>
      <c r="N65" s="485">
        <f t="shared" si="16"/>
        <v>0.64370981778600578</v>
      </c>
      <c r="O65" s="25"/>
      <c r="P65" s="601">
        <f>E65</f>
        <v>0.61</v>
      </c>
      <c r="Q65" s="360">
        <f>IF($AO65="","",($S65-$P65)*1/3+$P65)</f>
        <v>0.61</v>
      </c>
      <c r="R65" s="360">
        <f>IF($AO65="","",($S65-$P65)*2/3+$P65)</f>
        <v>0.61</v>
      </c>
      <c r="S65" s="360">
        <f>IF($AO65="","",IF($AO65="*",$AP65*(1+$P$29),E65))</f>
        <v>0.61</v>
      </c>
      <c r="T65" s="203"/>
      <c r="U65" s="272"/>
      <c r="V65" s="599">
        <f>IF((IFERROR(IF(N65/(SUMIF(RES!$D$39:$D$146,D65,$N$39:$N$146))=1,1,(N65/(SUMIF(RES!$D$39:$D$146,D65,$N$39:$N$146))+$V$29)),0))&lt;1,(IFERROR(IF(N65/(SUMIF(RES!$D$39:$D$146,D65,$N$39:$N$146))=1,1,(N65/(SUMIF(RES!$D$39:$D$146,D65,$N$39:$N$146))+$V$29)),0)),1)</f>
        <v>0.12661288903187051</v>
      </c>
      <c r="W65" s="63">
        <f>$V65-$V$61*'Census 2011_17'!B$20*RES!$V65/(1-RES!$V$61)+RES!W$29</f>
        <v>0.12951508569166573</v>
      </c>
      <c r="X65" s="63">
        <f>$V65-$V$61*'Census 2011_17'!C$20*RES!$V65/(1-RES!$V$61)+RES!X$29</f>
        <v>0.12596115729151403</v>
      </c>
      <c r="Y65" s="63">
        <f>$V65-$V$61*'Census 2011_17'!D$20*RES!$V65/(1-RES!$V$61)+RES!Y$29</f>
        <v>0.12440722889136234</v>
      </c>
      <c r="Z65" s="63">
        <f>$V65-$V$61*'Census 2011_17'!E$20*RES!$V65/(1-RES!$V$61)+RES!Z$29</f>
        <v>0.12235330049121065</v>
      </c>
      <c r="AA65" s="63">
        <f>$V65-$V$61*'Census 2011_17'!F$20*RES!$V65/(1-RES!$V$61)+RES!AA$29</f>
        <v>0.11829937209105895</v>
      </c>
      <c r="AB65" s="63">
        <f>$V65-$V$61*'Census 2011_17'!G$20*RES!$V65/(1-RES!$V$61)+RES!AB$29</f>
        <v>0.11829937209105895</v>
      </c>
      <c r="AC65" s="63">
        <f>$V65-$V$61*'Census 2011_17'!H$20*RES!$V65/(1-RES!$V$61)+RES!AC$29</f>
        <v>0.11829937209105895</v>
      </c>
      <c r="AD65" s="272"/>
      <c r="AE65" s="63">
        <f>(IFERROR(IF($N65/(SUMIF(RES!$D$39:$D$146,$D65,$N$39:$N$146))=1,1,($N65/(SUMIF(RES!$D$39:$D$146,$D65,$N$39:$N$146)))),0))-AE$29</f>
        <v>0.12551288903187052</v>
      </c>
      <c r="AF65" s="63">
        <f t="shared" si="45"/>
        <v>0.12451508569166572</v>
      </c>
      <c r="AG65" s="63">
        <f t="shared" si="43"/>
        <v>0.12246115729151402</v>
      </c>
      <c r="AH65" s="63">
        <f t="shared" si="44"/>
        <v>0.11440722889136234</v>
      </c>
      <c r="AI65" s="63">
        <f t="shared" si="50"/>
        <v>0.11235330049121066</v>
      </c>
      <c r="AJ65" s="63">
        <f t="shared" si="51"/>
        <v>0.10729937209105896</v>
      </c>
      <c r="AK65" s="63">
        <f>AJ65/2</f>
        <v>5.3649686045529478E-2</v>
      </c>
      <c r="AL65" s="63">
        <v>0</v>
      </c>
      <c r="AO65" s="179" t="s">
        <v>484</v>
      </c>
      <c r="AP65" s="496">
        <f>E65</f>
        <v>0.61</v>
      </c>
    </row>
    <row r="66" spans="1:3695" s="191" customFormat="1" ht="15.5" outlineLevel="1">
      <c r="A66" s="524" t="s">
        <v>926</v>
      </c>
      <c r="B66" s="525"/>
      <c r="C66" s="526"/>
      <c r="D66" s="526"/>
      <c r="E66" s="527" t="str">
        <f>IF(D66="","",IF(COUNTIF(#REF!,$B66)=1,SUMIF(#REF!,RES!B66,#REF!),SUMIF(#REF!,RES!$B66,#REF!)))</f>
        <v/>
      </c>
      <c r="F66" s="527"/>
      <c r="G66" s="527"/>
      <c r="H66" s="527"/>
      <c r="I66" s="577"/>
      <c r="J66" s="527"/>
      <c r="K66" s="528"/>
      <c r="L66" s="529"/>
      <c r="M66" s="529">
        <f>SUM(M61:M65)</f>
        <v>16.653745918982633</v>
      </c>
      <c r="N66" s="529">
        <f>SUM(N61:N65)</f>
        <v>5.1245522871676306</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4">SUM(W61:W65)</f>
        <v>1.025917156801482</v>
      </c>
      <c r="X66" s="532">
        <f t="shared" si="54"/>
        <v>1.0193557914692462</v>
      </c>
      <c r="Y66" s="532">
        <f t="shared" si="54"/>
        <v>1.0197944261370107</v>
      </c>
      <c r="Z66" s="532">
        <f t="shared" si="54"/>
        <v>1.0347330608047749</v>
      </c>
      <c r="AA66" s="532">
        <f t="shared" si="54"/>
        <v>1.1960029931833658</v>
      </c>
      <c r="AB66" s="532">
        <f t="shared" si="54"/>
        <v>1.3460029931833659</v>
      </c>
      <c r="AC66" s="532">
        <f t="shared" si="54"/>
        <v>1.5987832622089344</v>
      </c>
      <c r="AD66" s="532"/>
      <c r="AE66" s="533">
        <f t="shared" ref="AE66:AL66" si="55">SUM(AE61:AE65)</f>
        <v>0.99950000000000017</v>
      </c>
      <c r="AF66" s="533">
        <f t="shared" si="55"/>
        <v>0.99876870655678385</v>
      </c>
      <c r="AG66" s="533">
        <f t="shared" si="55"/>
        <v>0.99817145215440117</v>
      </c>
      <c r="AH66" s="533">
        <f t="shared" si="55"/>
        <v>0.97207419775201875</v>
      </c>
      <c r="AI66" s="533">
        <f t="shared" si="55"/>
        <v>0.93000546973341491</v>
      </c>
      <c r="AJ66" s="533">
        <f t="shared" si="55"/>
        <v>0.87551572050618176</v>
      </c>
      <c r="AK66" s="533">
        <f t="shared" si="55"/>
        <v>0.45588428226860517</v>
      </c>
      <c r="AL66" s="533">
        <f t="shared" si="55"/>
        <v>0.18388180708480717</v>
      </c>
    </row>
    <row r="67" spans="1:3695" s="232" customFormat="1" ht="15.5">
      <c r="A67" s="537" t="s">
        <v>951</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4"/>
      <c r="AF67" s="554"/>
      <c r="AG67" s="554"/>
      <c r="AH67" s="554"/>
      <c r="AI67" s="554"/>
      <c r="AJ67" s="554"/>
      <c r="AK67" s="554"/>
      <c r="AL67" s="554"/>
      <c r="AO67" s="546"/>
    </row>
    <row r="68" spans="1:3695" s="165" customFormat="1" ht="15.5" outlineLevel="1">
      <c r="A68" s="108" t="s">
        <v>952</v>
      </c>
      <c r="B68" s="30" t="s">
        <v>338</v>
      </c>
      <c r="C68" s="43" t="s">
        <v>229</v>
      </c>
      <c r="D68" s="43" t="s">
        <v>246</v>
      </c>
      <c r="E68" s="494">
        <f>INDEX('Electrical efficiency'!$L$8:$L$23,MATCH(RES!D68,'Electrical efficiency'!$K$8:$K$23,0))</f>
        <v>0.4</v>
      </c>
      <c r="F68" s="557">
        <v>1</v>
      </c>
      <c r="G68" s="557">
        <v>1</v>
      </c>
      <c r="H68" s="557">
        <f>N68/F68*(1+$D$31)</f>
        <v>4.4084424977710182</v>
      </c>
      <c r="I68" s="576">
        <v>1E-3</v>
      </c>
      <c r="J68" s="486">
        <v>0</v>
      </c>
      <c r="K68" s="48" t="s">
        <v>889</v>
      </c>
      <c r="L68" s="485">
        <v>1</v>
      </c>
      <c r="M68" s="485">
        <f>IF(C68="","",SUMIFS(Energy_Balance!I$56:I$160,Energy_Balance!$C$56:$C$160,C68,Energy_Balance!$D$56:$D$160,D68)*L68)</f>
        <v>11.021106244427544</v>
      </c>
      <c r="N68" s="485">
        <f t="shared" si="16"/>
        <v>4.4084424977710182</v>
      </c>
      <c r="O68" s="25"/>
      <c r="P68" s="601">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(IFERROR(IF(N68/(SUMIF(RES!$D$39:$D$146,D68,$N$39:$N$146))=1,1,(N68/(SUMIF(RES!$D$39:$D$146,D68,$N$39:$N$146))+#REF!)),0))</f>
        <v>1</v>
      </c>
      <c r="W68" s="50">
        <f>V68</f>
        <v>1</v>
      </c>
      <c r="X68" s="50">
        <f t="shared" ref="X68:AC68" si="56">W68</f>
        <v>1</v>
      </c>
      <c r="Y68" s="50">
        <f t="shared" si="56"/>
        <v>1</v>
      </c>
      <c r="Z68" s="50">
        <f t="shared" si="56"/>
        <v>1</v>
      </c>
      <c r="AA68" s="50">
        <f t="shared" si="56"/>
        <v>1</v>
      </c>
      <c r="AB68" s="50">
        <f t="shared" si="56"/>
        <v>1</v>
      </c>
      <c r="AC68" s="50">
        <f t="shared" si="56"/>
        <v>1</v>
      </c>
      <c r="AD68" s="50"/>
      <c r="AE68" s="272">
        <f>(IFERROR(IF($N68/(SUMIF(RES!$D$39:$D$146,$D68,$N$39:$N$146))=1,1,($N68/(SUMIF(RES!$D$39:$D$146,$D68,$N$39:$N$146))-$AE$28)),0))</f>
        <v>1</v>
      </c>
      <c r="AF68" s="50">
        <f>AE68</f>
        <v>1</v>
      </c>
      <c r="AG68" s="50">
        <f t="shared" ref="AG68:AL68" si="57">AF68</f>
        <v>1</v>
      </c>
      <c r="AH68" s="50">
        <f t="shared" si="57"/>
        <v>1</v>
      </c>
      <c r="AI68" s="50">
        <f t="shared" si="57"/>
        <v>1</v>
      </c>
      <c r="AJ68" s="50">
        <f t="shared" si="57"/>
        <v>1</v>
      </c>
      <c r="AK68" s="50">
        <f t="shared" si="57"/>
        <v>1</v>
      </c>
      <c r="AL68" s="50">
        <f t="shared" si="57"/>
        <v>1</v>
      </c>
      <c r="AM68"/>
      <c r="AN68"/>
      <c r="AO68" s="249" t="s">
        <v>110</v>
      </c>
      <c r="AP68" s="496">
        <f>E68</f>
        <v>0.4</v>
      </c>
      <c r="AQ68"/>
      <c r="AR68"/>
      <c r="AS68"/>
      <c r="AT68"/>
      <c r="AU68"/>
      <c r="AV68"/>
      <c r="AW68"/>
      <c r="AX68"/>
      <c r="AY68"/>
      <c r="AZ68"/>
      <c r="BA68"/>
      <c r="BB68"/>
      <c r="BC68"/>
      <c r="BD68"/>
    </row>
    <row r="69" spans="1:3695" s="191" customFormat="1" ht="15.5" outlineLevel="1">
      <c r="A69" s="524" t="s">
        <v>926</v>
      </c>
      <c r="B69" s="525"/>
      <c r="C69" s="526"/>
      <c r="D69" s="526"/>
      <c r="E69" s="527" t="str">
        <f>IF(D69="","",IF(COUNTIF(#REF!,$B69)=1,SUMIF(#REF!,RES!B69,#REF!),SUMIF(#REF!,RES!$B69,#REF!)))</f>
        <v/>
      </c>
      <c r="F69" s="527"/>
      <c r="G69" s="527"/>
      <c r="H69" s="527"/>
      <c r="I69" s="577"/>
      <c r="J69" s="527"/>
      <c r="K69" s="528"/>
      <c r="L69" s="529"/>
      <c r="M69" s="529">
        <f>SUM(M68:M68)</f>
        <v>11.021106244427544</v>
      </c>
      <c r="N69" s="529">
        <f>SUM(N68:N68)</f>
        <v>4.4084424977710182</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5">
      <c r="A70" s="537" t="s">
        <v>953</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4"/>
      <c r="AF70" s="554"/>
      <c r="AG70" s="554"/>
      <c r="AH70" s="554"/>
      <c r="AI70" s="554"/>
      <c r="AJ70" s="554"/>
      <c r="AK70" s="554"/>
      <c r="AL70" s="554"/>
      <c r="AO70" s="546"/>
    </row>
    <row r="71" spans="1:3695" s="165" customFormat="1" ht="15.5" outlineLevel="1">
      <c r="A71" s="108" t="s">
        <v>954</v>
      </c>
      <c r="B71" s="30" t="s">
        <v>339</v>
      </c>
      <c r="C71" s="43" t="s">
        <v>229</v>
      </c>
      <c r="D71" s="43" t="s">
        <v>247</v>
      </c>
      <c r="E71" s="494">
        <f>INDEX('Electrical efficiency'!$L$8:$L$23,MATCH(RES!D71,'Electrical efficiency'!$K$8:$K$23,0))</f>
        <v>0.8</v>
      </c>
      <c r="F71" s="557">
        <v>1</v>
      </c>
      <c r="G71" s="557">
        <v>1</v>
      </c>
      <c r="H71" s="557">
        <f>N71/F71*(1+$D$31)</f>
        <v>5.9546671109755804</v>
      </c>
      <c r="I71" s="576">
        <v>1E-3</v>
      </c>
      <c r="J71" s="486">
        <v>0</v>
      </c>
      <c r="K71" s="48" t="s">
        <v>889</v>
      </c>
      <c r="L71" s="485">
        <v>1</v>
      </c>
      <c r="M71" s="485">
        <f>IF(C71="","",SUMIFS(Energy_Balance!I$56:I$160,Energy_Balance!$C$56:$C$160,C71,Energy_Balance!$D$56:$D$160,D71)*L71)</f>
        <v>7.4433338887194749</v>
      </c>
      <c r="N71" s="485">
        <f t="shared" si="16"/>
        <v>5.9546671109755804</v>
      </c>
      <c r="O71" s="25"/>
      <c r="P71" s="601">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(IFERROR(IF(N71/(SUMIF(RES!$D$39:$D$146,D71,$N$39:$N$146))=1,1,(N71/(SUMIF(RES!$D$39:$D$146,D71,$N$39:$N$146))+#REF!)),0))</f>
        <v>1</v>
      </c>
      <c r="W71" s="50">
        <f>V71</f>
        <v>1</v>
      </c>
      <c r="X71" s="50">
        <f t="shared" ref="X71:AC71" si="58">W71</f>
        <v>1</v>
      </c>
      <c r="Y71" s="50">
        <f t="shared" si="58"/>
        <v>1</v>
      </c>
      <c r="Z71" s="50">
        <f t="shared" si="58"/>
        <v>1</v>
      </c>
      <c r="AA71" s="50">
        <f t="shared" si="58"/>
        <v>1</v>
      </c>
      <c r="AB71" s="50">
        <f t="shared" si="58"/>
        <v>1</v>
      </c>
      <c r="AC71" s="50">
        <f t="shared" si="58"/>
        <v>1</v>
      </c>
      <c r="AD71" s="50"/>
      <c r="AE71" s="272">
        <f>(IFERROR(IF($N71/(SUMIF(RES!$D$39:$D$146,$D71,$N$39:$N$146))=1,1,($N71/(SUMIF(RES!$D$39:$D$146,$D71,$N$39:$N$146))-$AE$28)),0))</f>
        <v>1</v>
      </c>
      <c r="AF71" s="50">
        <f>AE71</f>
        <v>1</v>
      </c>
      <c r="AG71" s="50">
        <f t="shared" ref="AG71:AL71" si="59">AF71</f>
        <v>1</v>
      </c>
      <c r="AH71" s="50">
        <f t="shared" si="59"/>
        <v>1</v>
      </c>
      <c r="AI71" s="50">
        <f t="shared" si="59"/>
        <v>1</v>
      </c>
      <c r="AJ71" s="50">
        <f t="shared" si="59"/>
        <v>1</v>
      </c>
      <c r="AK71" s="50">
        <f t="shared" si="59"/>
        <v>1</v>
      </c>
      <c r="AL71" s="50">
        <f t="shared" si="59"/>
        <v>1</v>
      </c>
      <c r="AM71"/>
      <c r="AN71"/>
      <c r="AO71" s="249" t="s">
        <v>110</v>
      </c>
      <c r="AP71" s="496">
        <f>E71</f>
        <v>0.8</v>
      </c>
      <c r="AQ71"/>
      <c r="AR71"/>
      <c r="AS71"/>
      <c r="AT71"/>
      <c r="AU71"/>
      <c r="AV71"/>
      <c r="AW71"/>
      <c r="AX71"/>
      <c r="AY71"/>
      <c r="AZ71"/>
      <c r="BA71"/>
      <c r="BB71"/>
      <c r="BC71"/>
      <c r="BD71"/>
    </row>
    <row r="72" spans="1:3695" ht="15.5" outlineLevel="1">
      <c r="A72" s="108" t="s">
        <v>955</v>
      </c>
      <c r="B72" s="30" t="s">
        <v>340</v>
      </c>
      <c r="C72" s="43" t="s">
        <v>231</v>
      </c>
      <c r="D72" s="43" t="s">
        <v>287</v>
      </c>
      <c r="E72" s="486">
        <v>1</v>
      </c>
      <c r="F72" s="557">
        <v>1</v>
      </c>
      <c r="G72" s="557">
        <v>1</v>
      </c>
      <c r="H72" s="557">
        <f>N72/F72*(1+$D$31)</f>
        <v>0</v>
      </c>
      <c r="I72" s="576">
        <v>1E-3</v>
      </c>
      <c r="J72" s="486">
        <v>0</v>
      </c>
      <c r="K72" s="48"/>
      <c r="L72" s="485">
        <v>1</v>
      </c>
      <c r="M72" s="485">
        <f>IF(C72="","",SUMIFS(Energy_Balance!I$56:I$160,Energy_Balance!$C$56:$C$160,C72,Energy_Balance!$D$56:$D$160,D72)*L72)</f>
        <v>0</v>
      </c>
      <c r="N72" s="485">
        <f t="shared" si="16"/>
        <v>0</v>
      </c>
      <c r="O72" s="25"/>
      <c r="P72" s="601">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5" outlineLevel="1">
      <c r="A73" s="524" t="s">
        <v>926</v>
      </c>
      <c r="B73" s="525"/>
      <c r="C73" s="526"/>
      <c r="D73" s="526"/>
      <c r="E73" s="527" t="str">
        <f>IF(D73="","",IF(COUNTIF(#REF!,$B73)=1,SUMIF(#REF!,RES!B73,#REF!),SUMIF(#REF!,RES!$B73,#REF!)))</f>
        <v/>
      </c>
      <c r="F73" s="527"/>
      <c r="G73" s="527"/>
      <c r="H73" s="527"/>
      <c r="I73" s="577"/>
      <c r="J73" s="527"/>
      <c r="K73" s="528"/>
      <c r="L73" s="529"/>
      <c r="M73" s="529">
        <f>SUM(M71:M72)</f>
        <v>7.4433338887194749</v>
      </c>
      <c r="N73" s="529">
        <f>SUM(N71:N72)</f>
        <v>5.9546671109755804</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5">
      <c r="A74" s="537" t="s">
        <v>956</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4"/>
      <c r="AF74" s="554"/>
      <c r="AG74" s="554"/>
      <c r="AH74" s="554"/>
      <c r="AI74" s="554"/>
      <c r="AJ74" s="554"/>
      <c r="AK74" s="554"/>
      <c r="AL74" s="554"/>
      <c r="AO74" s="546"/>
    </row>
    <row r="75" spans="1:3695" s="165" customFormat="1" ht="15.75" customHeight="1" outlineLevel="2">
      <c r="A75" s="108" t="s">
        <v>957</v>
      </c>
      <c r="B75" s="30" t="s">
        <v>341</v>
      </c>
      <c r="C75" s="43" t="s">
        <v>229</v>
      </c>
      <c r="D75" s="43" t="s">
        <v>248</v>
      </c>
      <c r="E75" s="557">
        <f>INDEX(Lighting!$V$25:$V$35,MATCH(RES!D75,Lighting!$E$25:$E$35,0))</f>
        <v>3.5618185364705877</v>
      </c>
      <c r="F75" s="557">
        <v>1</v>
      </c>
      <c r="G75" s="557">
        <v>1</v>
      </c>
      <c r="H75" s="557">
        <f>N75/F75*(1+$D$31)</f>
        <v>15.194647753812083</v>
      </c>
      <c r="I75" s="576">
        <v>1E-3</v>
      </c>
      <c r="J75" s="486">
        <v>0</v>
      </c>
      <c r="K75" s="48" t="s">
        <v>430</v>
      </c>
      <c r="L75" s="485">
        <v>1</v>
      </c>
      <c r="M75" s="485">
        <f>IF(C75="","",SUMIFS(Energy_Balance!I$56:I$160,Energy_Balance!$C$56:$C$160,C75,Energy_Balance!$D$56:$D$160,D75)*L75)</f>
        <v>4.265980312649079</v>
      </c>
      <c r="N75" s="485">
        <f t="shared" si="16"/>
        <v>15.194647753812083</v>
      </c>
      <c r="O75" s="25"/>
      <c r="P75" s="601">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(IFERROR(IF(N75/(SUMIF(RES!$D$39:$D$146,D75,$N$39:$N$146))=1,1,(N75/(SUMIF(RES!$D$39:$D$146,D75,$N$39:$N$146))+#REF!)),0))</f>
        <v>1</v>
      </c>
      <c r="W75" s="50">
        <f>V75</f>
        <v>1</v>
      </c>
      <c r="X75" s="50">
        <f t="shared" ref="X75:AC76" si="60">W75</f>
        <v>1</v>
      </c>
      <c r="Y75" s="50">
        <f t="shared" si="60"/>
        <v>1</v>
      </c>
      <c r="Z75" s="50">
        <f t="shared" si="60"/>
        <v>1</v>
      </c>
      <c r="AA75" s="50">
        <f t="shared" si="60"/>
        <v>1</v>
      </c>
      <c r="AB75" s="50">
        <f t="shared" si="60"/>
        <v>1</v>
      </c>
      <c r="AC75" s="50">
        <f t="shared" si="60"/>
        <v>1</v>
      </c>
      <c r="AD75" s="50"/>
      <c r="AE75" s="272">
        <f>(IFERROR(IF($N75/(SUMIF(RES!$D$39:$D$146,$D75,$N$39:$N$146))=1,1,($N75/(SUMIF(RES!$D$39:$D$146,$D75,$N$39:$N$146))-$AE$28)),0))</f>
        <v>1</v>
      </c>
      <c r="AF75" s="50">
        <f>AE75</f>
        <v>1</v>
      </c>
      <c r="AG75" s="50">
        <f t="shared" ref="AG75:AL76" si="61">AF75</f>
        <v>1</v>
      </c>
      <c r="AH75" s="50">
        <f t="shared" si="61"/>
        <v>1</v>
      </c>
      <c r="AI75" s="50">
        <f t="shared" si="61"/>
        <v>1</v>
      </c>
      <c r="AJ75" s="50">
        <f t="shared" si="61"/>
        <v>1</v>
      </c>
      <c r="AK75" s="50">
        <f t="shared" si="61"/>
        <v>1</v>
      </c>
      <c r="AL75" s="50">
        <f t="shared" si="61"/>
        <v>1</v>
      </c>
      <c r="AM75"/>
      <c r="AN75"/>
      <c r="AO75" s="169" t="s">
        <v>484</v>
      </c>
      <c r="AP75" s="496">
        <f>E75</f>
        <v>3.5618185364705877</v>
      </c>
      <c r="AQ75"/>
      <c r="AR75"/>
      <c r="AS75"/>
      <c r="AT75"/>
      <c r="AU75"/>
      <c r="AV75"/>
      <c r="AW75"/>
      <c r="AX75"/>
      <c r="AY75"/>
      <c r="AZ75"/>
      <c r="BA75"/>
      <c r="BB75"/>
      <c r="BC75"/>
      <c r="BD75"/>
    </row>
    <row r="76" spans="1:3695" s="165" customFormat="1" ht="15.5" outlineLevel="2">
      <c r="A76" s="246" t="s">
        <v>1061</v>
      </c>
      <c r="B76" s="30" t="s">
        <v>823</v>
      </c>
      <c r="C76" s="43" t="s">
        <v>231</v>
      </c>
      <c r="D76" s="43" t="s">
        <v>271</v>
      </c>
      <c r="E76" s="486">
        <v>0.1</v>
      </c>
      <c r="F76" s="557">
        <v>1</v>
      </c>
      <c r="G76" s="557">
        <v>1</v>
      </c>
      <c r="H76" s="557">
        <f>N76/F76*(1+$D$31)</f>
        <v>7.4748267504449573E-2</v>
      </c>
      <c r="I76" s="576">
        <v>1E-3</v>
      </c>
      <c r="J76" s="486">
        <v>0</v>
      </c>
      <c r="K76" s="48"/>
      <c r="L76" s="486">
        <v>1</v>
      </c>
      <c r="M76" s="485">
        <f>IF(C76="","",SUMIFS(Energy_Balance!I$56:I$160,Energy_Balance!$C$56:$C$160,C76,Energy_Balance!$D$56:$D$160,D76)*L76)</f>
        <v>0.74748267504449573</v>
      </c>
      <c r="N76" s="485">
        <f t="shared" si="16"/>
        <v>7.4748267504449573E-2</v>
      </c>
      <c r="O76" s="25"/>
      <c r="P76" s="601">
        <f>E76</f>
        <v>0.1</v>
      </c>
      <c r="Q76" s="360">
        <f>IF($AO76="","",($S76-$P76)*1/3+$P76)</f>
        <v>0.1</v>
      </c>
      <c r="R76" s="360">
        <f>IF($AO76="","",($S76-$P76)*2/3+$P76)</f>
        <v>0.1</v>
      </c>
      <c r="S76" s="360">
        <f>IF($AO76="","",IF($AO76="*",$AP76*(1+$P$29),E76))</f>
        <v>0.1</v>
      </c>
      <c r="T76" s="203"/>
      <c r="U76" s="50"/>
      <c r="V76" s="50">
        <f>(IFERROR(IF(N76/(SUMIF(RES!$D$39:$D$146,D76,$N$39:$N$146))=1,1,(N76/(SUMIF(RES!$D$39:$D$146,D76,$N$39:$N$146))+#REF!)),0))</f>
        <v>1</v>
      </c>
      <c r="W76" s="50">
        <f>V76</f>
        <v>1</v>
      </c>
      <c r="X76" s="50">
        <f t="shared" si="60"/>
        <v>1</v>
      </c>
      <c r="Y76" s="50">
        <f t="shared" si="60"/>
        <v>1</v>
      </c>
      <c r="Z76" s="50">
        <f t="shared" si="60"/>
        <v>1</v>
      </c>
      <c r="AA76" s="50">
        <f t="shared" si="60"/>
        <v>1</v>
      </c>
      <c r="AB76" s="50">
        <f t="shared" si="60"/>
        <v>1</v>
      </c>
      <c r="AC76" s="50">
        <f t="shared" si="60"/>
        <v>1</v>
      </c>
      <c r="AD76" s="50"/>
      <c r="AE76" s="272">
        <f>(IFERROR(IF($N76/(SUMIF(RES!$D$39:$D$146,$D76,$N$39:$N$146))=1,1,($N76/(SUMIF(RES!$D$39:$D$146,$D76,$N$39:$N$146))-$AE$28)),0))</f>
        <v>1</v>
      </c>
      <c r="AF76" s="50">
        <f>AE76</f>
        <v>1</v>
      </c>
      <c r="AG76" s="50">
        <f t="shared" si="61"/>
        <v>1</v>
      </c>
      <c r="AH76" s="50">
        <f t="shared" si="61"/>
        <v>1</v>
      </c>
      <c r="AI76" s="50">
        <f t="shared" si="61"/>
        <v>1</v>
      </c>
      <c r="AJ76" s="50">
        <f t="shared" si="61"/>
        <v>1</v>
      </c>
      <c r="AK76" s="50">
        <f t="shared" si="61"/>
        <v>1</v>
      </c>
      <c r="AL76" s="50">
        <f t="shared" si="61"/>
        <v>1</v>
      </c>
      <c r="AM76"/>
      <c r="AN76"/>
      <c r="AO76" s="165" t="s">
        <v>484</v>
      </c>
      <c r="AP76" s="496">
        <f>E76</f>
        <v>0.1</v>
      </c>
      <c r="AQ76"/>
      <c r="AR76"/>
      <c r="AS76"/>
      <c r="AT76"/>
      <c r="AU76"/>
      <c r="AV76"/>
      <c r="AW76"/>
      <c r="AX76"/>
      <c r="AY76"/>
      <c r="AZ76"/>
      <c r="BA76"/>
      <c r="BB76"/>
      <c r="BC76"/>
      <c r="BD76"/>
    </row>
    <row r="77" spans="1:3695" s="191" customFormat="1" ht="15.5" outlineLevel="1">
      <c r="A77" s="524" t="s">
        <v>926</v>
      </c>
      <c r="B77" s="525"/>
      <c r="C77" s="526"/>
      <c r="D77" s="526"/>
      <c r="E77" s="527" t="str">
        <f>IF(D77="","",IF(COUNTIF(#REF!,$B77)=1,SUMIF(#REF!,RES!B77,#REF!),SUMIF(#REF!,RES!$B77,#REF!)))</f>
        <v/>
      </c>
      <c r="F77" s="527"/>
      <c r="G77" s="527"/>
      <c r="H77" s="527"/>
      <c r="I77" s="577"/>
      <c r="J77" s="527"/>
      <c r="K77" s="528"/>
      <c r="L77" s="529"/>
      <c r="M77" s="529">
        <f>SUM(M75:M76)</f>
        <v>5.0134629876935746</v>
      </c>
      <c r="N77" s="529">
        <f>SUM(N75:N76)</f>
        <v>15.269396021316533</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5">
      <c r="A78" s="537" t="s">
        <v>958</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5" outlineLevel="1">
      <c r="A79" s="108" t="s">
        <v>959</v>
      </c>
      <c r="B79" s="30" t="s">
        <v>342</v>
      </c>
      <c r="C79" s="43" t="s">
        <v>229</v>
      </c>
      <c r="D79" s="43" t="s">
        <v>249</v>
      </c>
      <c r="E79" s="494">
        <f>INDEX('Electrical efficiency'!$L$8:$L$23,MATCH(RES!D79,'Electrical efficiency'!$K$8:$K$23,0))</f>
        <v>0.65</v>
      </c>
      <c r="F79" s="557">
        <v>1</v>
      </c>
      <c r="G79" s="557">
        <v>1</v>
      </c>
      <c r="H79" s="557">
        <f t="shared" ref="H79:H84" si="62">N79/F79*(1+$D$31)</f>
        <v>5.0911626222118365</v>
      </c>
      <c r="I79" s="576">
        <v>1E-3</v>
      </c>
      <c r="J79" s="486">
        <v>0</v>
      </c>
      <c r="K79" s="48" t="s">
        <v>889</v>
      </c>
      <c r="L79" s="485">
        <v>1</v>
      </c>
      <c r="M79" s="485">
        <f>IF(C79="","",SUMIFS(Energy_Balance!I$56:I$160,Energy_Balance!$C$56:$C$160,C79,Energy_Balance!$D$56:$D$160,D79)*L79)</f>
        <v>7.8325578803259024</v>
      </c>
      <c r="N79" s="485">
        <f t="shared" si="16"/>
        <v>5.0911626222118365</v>
      </c>
      <c r="O79" s="25"/>
      <c r="P79" s="601">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(IFERROR(IF(N79/(SUMIF(RES!$D$39:$D$146,D79,$N$39:$N$146))=1,1,(N79/(SUMIF(RES!$D$39:$D$146,D79,$N$39:$N$146))+$V$28)),0))</f>
        <v>0.49806810335902335</v>
      </c>
      <c r="W79" s="63">
        <f>IF($V79*(1+'Census 2011_17'!B$20)+W$28&lt;1,$V79*(1+'Census 2011_17'!B$20)+W$28,1)</f>
        <v>0.52100585016276502</v>
      </c>
      <c r="X79" s="63">
        <f>IF($V79*(1+'Census 2011_17'!C$20)+X$28&lt;1,$V79*(1+'Census 2011_17'!C$20)+X$28,1)</f>
        <v>0.53875603298035135</v>
      </c>
      <c r="Y79" s="63">
        <f>IF($V79*(1+'Census 2011_17'!D$20)+Y$28&lt;1,$V79*(1+'Census 2011_17'!D$20)+Y$28,1)</f>
        <v>0.5555062157979378</v>
      </c>
      <c r="Z79" s="63">
        <f>IF($V79*(1+'Census 2011_17'!E$20)+Z$28&lt;1,$V79*(1+'Census 2011_17'!E$20)+Z$28,1)</f>
        <v>0.58875639861552431</v>
      </c>
      <c r="AA79" s="63">
        <f>IF($V79*(1+'Census 2011_17'!F$20)+AA$28&lt;1,$V79*(1+'Census 2011_17'!F$20)+AA$28,1)</f>
        <v>0.62500658143311061</v>
      </c>
      <c r="AB79" s="63">
        <f>IF($V79*(1+'Census 2011_17'!G$20)+AB$28&lt;1,$V79*(1+'Census 2011_17'!G$20)+AB$28,1)</f>
        <v>0.68500658143311055</v>
      </c>
      <c r="AC79" s="63">
        <f>IF($V79*(1+'Census 2011_17'!H$20)+AC$28&lt;1,$V79*(1+'Census 2011_17'!H$20)+AC$28,1)</f>
        <v>0.76500658143311062</v>
      </c>
      <c r="AD79" s="50"/>
      <c r="AE79" s="63">
        <f>(IFERROR(IF($N79/(SUMIF(RES!$D$39:$D$146,$D79,$N$39:$N$146))=1,1,($N79/(SUMIF(RES!$D$39:$D$146,$D79,$N$39:$N$146))-AE$28)),0))</f>
        <v>0.49696810335902336</v>
      </c>
      <c r="AF79" s="63">
        <f>$AE79*(1+'Census 2011_17'!B$20)-AF$28</f>
        <v>0.51385739991806689</v>
      </c>
      <c r="AG79" s="63">
        <f>$AE79*(1+'Census 2011_17'!C$20)-AG$28</f>
        <v>0.5315716936655065</v>
      </c>
      <c r="AH79" s="63">
        <f>$AE79*(1+'Census 2011_17'!D$20)-AH$28</f>
        <v>0.54778598741294604</v>
      </c>
      <c r="AI79" s="63">
        <f>$AE79*(1+'Census 2011_17'!E$20)-AI$28</f>
        <v>0.5650002811603857</v>
      </c>
      <c r="AJ79" s="63">
        <f>$AE79*(1+'Census 2011_17'!F$20)-AJ$28</f>
        <v>0.58121457490782513</v>
      </c>
      <c r="AK79" s="63">
        <f>$AE79*(1+'Census 2011_17'!G$20)-AK$28</f>
        <v>0.58121457490782513</v>
      </c>
      <c r="AL79" s="63">
        <f>$AE79*(1+'Census 2011_17'!H$20)-AL$28</f>
        <v>0.58121457490782513</v>
      </c>
      <c r="AO79" s="249" t="s">
        <v>110</v>
      </c>
      <c r="AP79" s="496">
        <f t="shared" ref="AP79:AP84" si="63">E79</f>
        <v>0.65</v>
      </c>
    </row>
    <row r="80" spans="1:3695" s="35" customFormat="1" ht="15.5" outlineLevel="1">
      <c r="A80" s="108" t="s">
        <v>960</v>
      </c>
      <c r="B80" s="30" t="s">
        <v>343</v>
      </c>
      <c r="C80" s="43" t="s">
        <v>230</v>
      </c>
      <c r="D80" s="43" t="s">
        <v>249</v>
      </c>
      <c r="E80" s="486">
        <v>0.61</v>
      </c>
      <c r="F80" s="557">
        <v>1</v>
      </c>
      <c r="G80" s="557">
        <v>1</v>
      </c>
      <c r="H80" s="557">
        <f t="shared" si="62"/>
        <v>0.59259076553380763</v>
      </c>
      <c r="I80" s="576">
        <v>1E-3</v>
      </c>
      <c r="J80" s="486">
        <v>0</v>
      </c>
      <c r="K80" s="48"/>
      <c r="L80" s="485">
        <v>1</v>
      </c>
      <c r="M80" s="485">
        <f>IF(C80="","",SUMIFS(Energy_Balance!I$56:I$160,Energy_Balance!$C$56:$C$160,C80,Energy_Balance!$D$56:$D$160,D80)*L80)</f>
        <v>0.97146027136689783</v>
      </c>
      <c r="N80" s="485">
        <f t="shared" si="16"/>
        <v>0.59259076553380763</v>
      </c>
      <c r="O80" s="25"/>
      <c r="P80" s="601">
        <f>E80</f>
        <v>0.61</v>
      </c>
      <c r="Q80" s="360">
        <f>IF($AO80="","",($S80-$P80)*1/3+$P80)</f>
        <v>0.61</v>
      </c>
      <c r="R80" s="360">
        <f>IF($AO80="","",($S80-$P80)*2/3+$P80)</f>
        <v>0.61</v>
      </c>
      <c r="S80" s="360">
        <f>IF($AO80="","",IF($AO80="*",$AP80*(1+$P$29),E80))</f>
        <v>0.61</v>
      </c>
      <c r="T80" s="203"/>
      <c r="U80" s="50"/>
      <c r="V80" s="63">
        <f>(IFERROR(IF(N80/(SUMIF(RES!$D$39:$D$146,D80,$N$39:$N$146))=1,1,(N80/(SUMIF(RES!$D$39:$D$146,D80,$N$39:$N$146))+$V$28)),0))</f>
        <v>5.8856719525488634E-2</v>
      </c>
      <c r="W80" s="63">
        <f>$V80-$V$79*'Census 2011_17'!B$20*RES!$V80/(1-RES!$V$79)+RES!W$29</f>
        <v>6.1284291235336408E-2</v>
      </c>
      <c r="X80" s="63">
        <f>$V80-$V$79*'Census 2011_17'!C$20*RES!$V80/(1-RES!$V$79)+RES!X$29</f>
        <v>5.7378788798186628E-2</v>
      </c>
      <c r="Y80" s="63">
        <f>$V80-$V$79*'Census 2011_17'!D$20*RES!$V80/(1-RES!$V$79)+RES!Y$29</f>
        <v>5.5473286361036836E-2</v>
      </c>
      <c r="Z80" s="63">
        <f>$V80-$V$79*'Census 2011_17'!E$20*RES!$V80/(1-RES!$V$79)+RES!Z$29</f>
        <v>5.3067783923887051E-2</v>
      </c>
      <c r="AA80" s="63">
        <f>$V80-$V$79*'Census 2011_17'!F$20*RES!$V80/(1-RES!$V$79)+RES!AA$29</f>
        <v>4.8662281486737249E-2</v>
      </c>
      <c r="AB80" s="63">
        <f>$V80-$V$79*'Census 2011_17'!G$20*RES!$V80/(1-RES!$V$79)+RES!AB$29</f>
        <v>4.8662281486737249E-2</v>
      </c>
      <c r="AC80" s="63">
        <f>$V80-$V$79*'Census 2011_17'!H$20*RES!$V80/(1-RES!$V$79)+RES!AC$29</f>
        <v>4.8662281486737249E-2</v>
      </c>
      <c r="AD80" s="50"/>
      <c r="AE80" s="63">
        <f>(IFERROR(IF($N80/(SUMIF(RES!$D$39:$D$146,$D80,$N$39:$N$146))=1,1,($N80/(SUMIF(RES!$D$39:$D$146,$D80,$N$39:$N$146)))),0))-AE$29</f>
        <v>5.775671952548863E-2</v>
      </c>
      <c r="AF80" s="63">
        <f t="shared" ref="AF80:AF83" si="64">IF(W80-AF$29&lt;0,0,W80-AF$29)</f>
        <v>5.628429123533641E-2</v>
      </c>
      <c r="AG80" s="63">
        <f t="shared" ref="AG80:AG83" si="65">IF(X80-AG$29&lt;0,0,X80-AG$29)</f>
        <v>5.3878788798186625E-2</v>
      </c>
      <c r="AH80" s="63">
        <f t="shared" ref="AH80:AH83" si="66">IF(Y80-AH$29&lt;0,0,Y80-AH$29)</f>
        <v>4.5473286361036834E-2</v>
      </c>
      <c r="AI80" s="63">
        <f t="shared" ref="AI80:AI83" si="67">IF(Z80-AI$29&lt;0,0,Z80-AI$29)</f>
        <v>4.3067783923887049E-2</v>
      </c>
      <c r="AJ80" s="607">
        <f>AI80*0.5</f>
        <v>2.1533891961943524E-2</v>
      </c>
      <c r="AK80" s="607">
        <f>AJ80*0.5</f>
        <v>1.0766945980971762E-2</v>
      </c>
      <c r="AL80" s="607">
        <v>0</v>
      </c>
      <c r="AM80"/>
      <c r="AN80"/>
      <c r="AO80" s="21" t="s">
        <v>484</v>
      </c>
      <c r="AP80" s="496">
        <f t="shared" si="63"/>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5" outlineLevel="1">
      <c r="A81" s="108" t="s">
        <v>961</v>
      </c>
      <c r="B81" s="30" t="s">
        <v>344</v>
      </c>
      <c r="C81" s="43" t="s">
        <v>232</v>
      </c>
      <c r="D81" s="43" t="s">
        <v>249</v>
      </c>
      <c r="E81" s="486">
        <v>0.26</v>
      </c>
      <c r="F81" s="557">
        <v>1</v>
      </c>
      <c r="G81" s="557">
        <v>1</v>
      </c>
      <c r="H81" s="557">
        <f t="shared" si="62"/>
        <v>4.2822624443716775</v>
      </c>
      <c r="I81" s="576">
        <v>1E-3</v>
      </c>
      <c r="J81" s="486">
        <v>0</v>
      </c>
      <c r="K81" s="48"/>
      <c r="L81" s="485">
        <v>1</v>
      </c>
      <c r="M81" s="485">
        <f>IF(C81="","",SUMIFS(Energy_Balance!I$56:I$160,Energy_Balance!$C$56:$C$160,C81,Energy_Balance!$D$56:$D$160,D81)*L81)</f>
        <v>16.470240170660297</v>
      </c>
      <c r="N81" s="485">
        <f t="shared" si="16"/>
        <v>4.2822624443716775</v>
      </c>
      <c r="O81" s="25"/>
      <c r="P81" s="601">
        <f>E81</f>
        <v>0.26</v>
      </c>
      <c r="Q81" s="360">
        <f>IF($AO81="","",($S81-$P81)*1/3+$P81)</f>
        <v>0.26</v>
      </c>
      <c r="R81" s="360">
        <f>IF($AO81="","",($S81-$P81)*2/3+$P81)</f>
        <v>0.26</v>
      </c>
      <c r="S81" s="360">
        <f>IF($AO81="","",IF($AO81="*",$AP81*(1+$P$29),E81))</f>
        <v>0.26</v>
      </c>
      <c r="T81" s="203"/>
      <c r="U81" s="50"/>
      <c r="V81" s="63">
        <f>IF((IFERROR(IF(N81/(SUMIF(RES!$D$39:$D$146,D81,$N$39:$N$146))=1,1,(N81/(SUMIF(RES!$D$39:$D$146,D81,$N$39:$N$146))+$V$29)),0))&lt;1,(IFERROR(IF(N81/(SUMIF(RES!$D$39:$D$146,D81,$N$39:$N$146))=1,1,(N81/(SUMIF(RES!$D$39:$D$146,D81,$N$39:$N$146))+$V$29)),0)),1)</f>
        <v>0.41909233553507136</v>
      </c>
      <c r="W81" s="63">
        <f>$V81-$V$79*'Census 2011_17'!B$20*RES!$V81/(1-RES!$V$79)+RES!W$29</f>
        <v>0.40577522597123461</v>
      </c>
      <c r="X81" s="63">
        <f>$V81-$V$79*'Census 2011_17'!C$20*RES!$V81/(1-RES!$V$79)+RES!X$29</f>
        <v>0.39020699666468894</v>
      </c>
      <c r="Y81" s="63">
        <f>$V81-$V$79*'Census 2011_17'!D$20*RES!$V81/(1-RES!$V$79)+RES!Y$29</f>
        <v>0.37663876735814322</v>
      </c>
      <c r="Z81" s="63">
        <f>$V81-$V$79*'Census 2011_17'!E$20*RES!$V81/(1-RES!$V$79)+RES!Z$29</f>
        <v>0.3625705380515975</v>
      </c>
      <c r="AA81" s="63">
        <f>$V81-$V$79*'Census 2011_17'!F$20*RES!$V81/(1-RES!$V$79)+RES!AA$29</f>
        <v>0.34650230874505178</v>
      </c>
      <c r="AB81" s="63">
        <f>$V81-$V$79*'Census 2011_17'!G$20*RES!$V81/(1-RES!$V$79)+RES!AB$29</f>
        <v>0.34650230874505178</v>
      </c>
      <c r="AC81" s="63">
        <f>$V81-$V$79*'Census 2011_17'!H$20*RES!$V81/(1-RES!$V$79)+RES!AC$29</f>
        <v>0.34650230874505178</v>
      </c>
      <c r="AD81" s="50"/>
      <c r="AE81" s="63">
        <f>(IFERROR(IF($N81/(SUMIF(RES!$D$39:$D$146,$D81,$N$39:$N$146))=1,1,($N81/(SUMIF(RES!$D$39:$D$146,$D81,$N$39:$N$146)))),0))-AE$29</f>
        <v>0.41799233553507137</v>
      </c>
      <c r="AF81" s="63">
        <f t="shared" si="64"/>
        <v>0.40077522597123461</v>
      </c>
      <c r="AG81" s="63">
        <f t="shared" si="65"/>
        <v>0.38670699666468894</v>
      </c>
      <c r="AH81" s="63">
        <f t="shared" si="66"/>
        <v>0.36663876735814321</v>
      </c>
      <c r="AI81" s="63">
        <f t="shared" si="67"/>
        <v>0.35257053805159749</v>
      </c>
      <c r="AJ81" s="63">
        <f t="shared" ref="AJ81:AJ83" si="68">IF(AA81-AJ$29&lt;0,0,AA81-AJ$29)</f>
        <v>0.33550230874505177</v>
      </c>
      <c r="AK81" s="63">
        <f t="shared" ref="AK81:AK83" si="69">IF(AB81-AK$29&lt;0,0,AB81-AK$29)</f>
        <v>0.32400230874505176</v>
      </c>
      <c r="AL81" s="63">
        <f t="shared" ref="AL81:AL83" si="70">IF(AC81-AL$29&lt;0,0,AC81-AL$29)</f>
        <v>0.32150230874505176</v>
      </c>
      <c r="AO81" s="249" t="s">
        <v>110</v>
      </c>
      <c r="AP81" s="496">
        <f t="shared" si="63"/>
        <v>0.26</v>
      </c>
    </row>
    <row r="82" spans="1:56" ht="15.5" outlineLevel="1">
      <c r="A82" s="108" t="s">
        <v>962</v>
      </c>
      <c r="B82" s="30" t="s">
        <v>383</v>
      </c>
      <c r="C82" s="43" t="s">
        <v>233</v>
      </c>
      <c r="D82" s="43" t="s">
        <v>249</v>
      </c>
      <c r="E82" s="486">
        <v>0.11</v>
      </c>
      <c r="F82" s="557">
        <v>1</v>
      </c>
      <c r="G82" s="557">
        <v>1</v>
      </c>
      <c r="H82" s="557">
        <f t="shared" si="62"/>
        <v>0.18226024363174242</v>
      </c>
      <c r="I82" s="576">
        <v>1E-3</v>
      </c>
      <c r="J82" s="486">
        <v>0</v>
      </c>
      <c r="K82" s="48"/>
      <c r="L82" s="485">
        <v>1</v>
      </c>
      <c r="M82" s="485">
        <f>IF(C82="","",SUMIFS(Energy_Balance!I$56:I$160,Energy_Balance!$C$56:$C$160,C82,Energy_Balance!$D$56:$D$160,D82)*L82)</f>
        <v>1.6569113057431128</v>
      </c>
      <c r="N82" s="485">
        <f t="shared" si="16"/>
        <v>0.18226024363174242</v>
      </c>
      <c r="O82" s="25"/>
      <c r="P82" s="601">
        <f>E82</f>
        <v>0.11</v>
      </c>
      <c r="Q82" s="360">
        <f>IF($AO82="","",($S82-$P82)*1/3+$P82)</f>
        <v>0.11</v>
      </c>
      <c r="R82" s="360">
        <f>IF($AO82="","",($S82-$P82)*2/3+$P82)</f>
        <v>0.11</v>
      </c>
      <c r="S82" s="360">
        <f>IF($AO82="","",IF($AO82="*",$AP82*(1+$P$29),E82))</f>
        <v>0.11</v>
      </c>
      <c r="T82" s="203"/>
      <c r="U82" s="50"/>
      <c r="V82" s="63">
        <f>IF((IFERROR(IF(N82/(SUMIF(RES!$D$39:$D$146,D82,$N$39:$N$146))=1,1,(N82/(SUMIF(RES!$D$39:$D$146,D82,$N$39:$N$146))+$V$29)),0))&lt;1,(IFERROR(IF(N82/(SUMIF(RES!$D$39:$D$146,D82,$N$39:$N$146))=1,1,(N82/(SUMIF(RES!$D$39:$D$146,D82,$N$39:$N$146))+$V$29)),0)),1)</f>
        <v>1.8794708270470594E-2</v>
      </c>
      <c r="W82" s="63">
        <f>$V82-$V$79*'Census 2011_17'!B$20*RES!$V82/(1-RES!$V$79)+RES!W$29</f>
        <v>2.2973255093162968E-2</v>
      </c>
      <c r="X82" s="63">
        <f>$V82-$V$79*'Census 2011_17'!C$20*RES!$V82/(1-RES!$V$79)+RES!X$29</f>
        <v>2.0364771258120282E-2</v>
      </c>
      <c r="Y82" s="63">
        <f>$V82-$V$79*'Census 2011_17'!D$20*RES!$V82/(1-RES!$V$79)+RES!Y$29</f>
        <v>1.9756287423077598E-2</v>
      </c>
      <c r="Z82" s="63">
        <f>$V82-$V$79*'Census 2011_17'!E$20*RES!$V82/(1-RES!$V$79)+RES!Z$29</f>
        <v>1.864780358803491E-2</v>
      </c>
      <c r="AA82" s="63">
        <f>$V82-$V$79*'Census 2011_17'!F$20*RES!$V82/(1-RES!$V$79)+RES!AA$29</f>
        <v>1.5539319752992225E-2</v>
      </c>
      <c r="AB82" s="63">
        <f>$V82-$V$79*'Census 2011_17'!G$20*RES!$V82/(1-RES!$V$79)+RES!AB$29</f>
        <v>1.5539319752992225E-2</v>
      </c>
      <c r="AC82" s="63">
        <f>$V82-$V$79*'Census 2011_17'!H$20*RES!$V82/(1-RES!$V$79)+RES!AC$29</f>
        <v>1.5539319752992225E-2</v>
      </c>
      <c r="AD82" s="50"/>
      <c r="AE82" s="63">
        <f>(IFERROR(IF($N82/(SUMIF(RES!$D$39:$D$146,$D82,$N$39:$N$146))=1,1,($N82/(SUMIF(RES!$D$39:$D$146,$D82,$N$39:$N$146)))),0))-AE$29</f>
        <v>1.7694708270470594E-2</v>
      </c>
      <c r="AF82" s="63">
        <f t="shared" si="64"/>
        <v>1.7973255093162967E-2</v>
      </c>
      <c r="AG82" s="63">
        <f t="shared" si="65"/>
        <v>1.6864771258120283E-2</v>
      </c>
      <c r="AH82" s="63">
        <f t="shared" si="66"/>
        <v>9.7562874230775979E-3</v>
      </c>
      <c r="AI82" s="63">
        <f t="shared" si="67"/>
        <v>8.6478035880349097E-3</v>
      </c>
      <c r="AJ82" s="607">
        <f>AI82*0.5</f>
        <v>4.3239017940174549E-3</v>
      </c>
      <c r="AK82" s="607">
        <f>AJ82*0.5</f>
        <v>2.1619508970087274E-3</v>
      </c>
      <c r="AL82" s="607">
        <v>0</v>
      </c>
      <c r="AO82" s="249" t="s">
        <v>110</v>
      </c>
      <c r="AP82" s="496">
        <f t="shared" si="63"/>
        <v>0.11</v>
      </c>
    </row>
    <row r="83" spans="1:56" s="165" customFormat="1" ht="15.5" outlineLevel="1">
      <c r="A83" s="108" t="s">
        <v>963</v>
      </c>
      <c r="B83" s="30" t="s">
        <v>345</v>
      </c>
      <c r="C83" s="43" t="s">
        <v>231</v>
      </c>
      <c r="D83" s="43" t="s">
        <v>249</v>
      </c>
      <c r="E83" s="486">
        <v>0.44</v>
      </c>
      <c r="F83" s="557">
        <v>1</v>
      </c>
      <c r="G83" s="557">
        <v>1</v>
      </c>
      <c r="H83" s="557">
        <f t="shared" si="62"/>
        <v>9.4108393919032682E-2</v>
      </c>
      <c r="I83" s="576">
        <v>1E-3</v>
      </c>
      <c r="J83" s="486">
        <v>0</v>
      </c>
      <c r="K83" s="48"/>
      <c r="L83" s="485">
        <v>1</v>
      </c>
      <c r="M83" s="485">
        <f>IF(C83="","",SUMIFS(Energy_Balance!I$56:I$160,Energy_Balance!$C$56:$C$160,C83,Energy_Balance!$D$56:$D$160,D83)*L83)</f>
        <v>0.213882713452347</v>
      </c>
      <c r="N83" s="485">
        <f t="shared" si="16"/>
        <v>9.4108393919032682E-2</v>
      </c>
      <c r="O83" s="25"/>
      <c r="P83" s="601">
        <f>E83</f>
        <v>0.44</v>
      </c>
      <c r="Q83" s="360">
        <f>IF($AO83="","",($S83-$P83)*1/3+$P83)</f>
        <v>0.44</v>
      </c>
      <c r="R83" s="360">
        <f>IF($AO83="","",($S83-$P83)*2/3+$P83)</f>
        <v>0.44</v>
      </c>
      <c r="S83" s="360">
        <f>IF($AO83="","",IF($AO83="*",$AP83*(1+$P$29),E83))</f>
        <v>0.44</v>
      </c>
      <c r="T83" s="203"/>
      <c r="U83" s="63"/>
      <c r="V83" s="63">
        <f>IF((IFERROR(IF(N83/(SUMIF(RES!$D$39:$D$146,D83,$N$39:$N$146))=1,1,(N83/(SUMIF(RES!$D$39:$D$146,D83,$N$39:$N$146))+$V$29)),0))&lt;1,(IFERROR(IF(N83/(SUMIF(RES!$D$39:$D$146,D83,$N$39:$N$146))=1,1,(N83/(SUMIF(RES!$D$39:$D$146,D83,$N$39:$N$146))+$V$29)),0)),1)</f>
        <v>1.0188133309946161E-2</v>
      </c>
      <c r="W83" s="63">
        <f>$V83-$V$79*'Census 2011_17'!B$20*RES!$V83/(1-RES!$V$79)+RES!W$29</f>
        <v>1.4742844436192368E-2</v>
      </c>
      <c r="X83" s="63">
        <f>$V83-$V$79*'Census 2011_17'!C$20*RES!$V83/(1-RES!$V$79)+RES!X$29</f>
        <v>1.2413000826004376E-2</v>
      </c>
      <c r="Y83" s="63">
        <f>$V83-$V$79*'Census 2011_17'!D$20*RES!$V83/(1-RES!$V$79)+RES!Y$29</f>
        <v>1.2083157215816379E-2</v>
      </c>
      <c r="Z83" s="63">
        <f>$V83-$V$79*'Census 2011_17'!E$20*RES!$V83/(1-RES!$V$79)+RES!Z$29</f>
        <v>1.1253313605628387E-2</v>
      </c>
      <c r="AA83" s="63">
        <f>$V83-$V$79*'Census 2011_17'!F$20*RES!$V83/(1-RES!$V$79)+RES!AA$29</f>
        <v>8.4234699954403927E-3</v>
      </c>
      <c r="AB83" s="63">
        <f>$V83-$V$79*'Census 2011_17'!G$20*RES!$V83/(1-RES!$V$79)+RES!AB$29</f>
        <v>8.4234699954403927E-3</v>
      </c>
      <c r="AC83" s="63">
        <f>$V83-$V$79*'Census 2011_17'!H$20*RES!$V83/(1-RES!$V$79)+RES!AC$29</f>
        <v>8.4234699954403927E-3</v>
      </c>
      <c r="AD83" s="63"/>
      <c r="AE83" s="63">
        <f>(IFERROR(IF($N83/(SUMIF(RES!$D$39:$D$146,$D83,$N$39:$N$146))=1,1,($N83/(SUMIF(RES!$D$39:$D$146,$D83,$N$39:$N$146)))),0))-AE$29</f>
        <v>9.0881333099461625E-3</v>
      </c>
      <c r="AF83" s="63">
        <f t="shared" si="64"/>
        <v>9.7428444361923675E-3</v>
      </c>
      <c r="AG83" s="63">
        <f t="shared" si="65"/>
        <v>8.9130008260043768E-3</v>
      </c>
      <c r="AH83" s="63">
        <f t="shared" si="66"/>
        <v>2.0831572158163791E-3</v>
      </c>
      <c r="AI83" s="63">
        <f t="shared" si="67"/>
        <v>1.2533136056283867E-3</v>
      </c>
      <c r="AJ83" s="63">
        <f t="shared" si="68"/>
        <v>0</v>
      </c>
      <c r="AK83" s="63">
        <f t="shared" si="69"/>
        <v>0</v>
      </c>
      <c r="AL83" s="63">
        <f t="shared" si="70"/>
        <v>0</v>
      </c>
      <c r="AM83"/>
      <c r="AN83"/>
      <c r="AO83" s="169" t="s">
        <v>484</v>
      </c>
      <c r="AP83" s="496">
        <f t="shared" si="63"/>
        <v>0.44</v>
      </c>
      <c r="AQ83"/>
      <c r="AR83"/>
      <c r="AS83"/>
      <c r="AT83"/>
      <c r="AU83"/>
      <c r="AV83"/>
      <c r="AW83"/>
      <c r="AX83"/>
      <c r="AY83"/>
      <c r="AZ83"/>
      <c r="BA83"/>
      <c r="BB83"/>
      <c r="BC83"/>
      <c r="BD83"/>
    </row>
    <row r="84" spans="1:56" ht="15.5" outlineLevel="1">
      <c r="A84" s="108" t="s">
        <v>964</v>
      </c>
      <c r="B84" s="30" t="s">
        <v>346</v>
      </c>
      <c r="C84" s="43" t="s">
        <v>161</v>
      </c>
      <c r="D84" s="43" t="s">
        <v>249</v>
      </c>
      <c r="E84" s="486">
        <v>0.9</v>
      </c>
      <c r="F84" s="557">
        <v>1</v>
      </c>
      <c r="G84" s="557">
        <v>1</v>
      </c>
      <c r="H84" s="557">
        <f t="shared" si="62"/>
        <v>0</v>
      </c>
      <c r="I84" s="576">
        <v>1E-3</v>
      </c>
      <c r="J84" s="486">
        <v>0</v>
      </c>
      <c r="K84" s="48"/>
      <c r="L84" s="485">
        <v>1</v>
      </c>
      <c r="M84" s="485">
        <f>IF(C84="","",SUMIFS(Energy_Balance!I$56:I$160,Energy_Balance!$C$56:$C$160,C84,Energy_Balance!$D$56:$D$160,D84)*L84)</f>
        <v>0</v>
      </c>
      <c r="N84" s="485">
        <f t="shared" si="16"/>
        <v>0</v>
      </c>
      <c r="O84" s="25"/>
      <c r="P84" s="601">
        <f>E84</f>
        <v>0.9</v>
      </c>
      <c r="Q84" s="360">
        <f>IF($AO84="","",($S84-$P84)*1/3+$P84)</f>
        <v>0.9</v>
      </c>
      <c r="R84" s="360">
        <f>IF($AO84="","",($S84-$P84)*2/3+$P84)</f>
        <v>0.9</v>
      </c>
      <c r="S84" s="360">
        <f>IF($AO84="","",IF($AO84="*",$AP84*(1+$P$29),E84))</f>
        <v>0.9</v>
      </c>
      <c r="T84" s="203"/>
      <c r="U84" s="50"/>
      <c r="V84" s="63">
        <f>IF((IFERROR(IF(N84/(SUMIF(RES!$D$39:$D$146,D84,$N$39:$N$146))=1,1,(N84/(SUMIF(RES!$D$39:$D$146,D84,$N$39:$N$146))+$V$29)),0))&lt;1,(IFERROR(IF(N84/(SUMIF(RES!$D$39:$D$146,D84,$N$39:$N$146))=1,1,(N84/(SUMIF(RES!$D$39:$D$146,D84,$N$39:$N$146))+$V$29)),0)),1)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0.10117455138662317</v>
      </c>
      <c r="AC84" s="63">
        <f>IF($V84*(1+'Census 2011_17'!H$20)+AC$28&lt;1,$V84*(1+'Census 2011_17'!H$20)+AC$28,1)</f>
        <v>0.18117455138662317</v>
      </c>
      <c r="AD84" s="50"/>
      <c r="AE84" s="63">
        <f>(IFERROR(IF($N84/(SUMIF(RES!$D$39:$D$146,$D84,$N$39:$N$146))=1,1,IF(($N84/(SUMIF(RES!$D$39:$D$146,$D84,$N$39:$N$146))-AE$28)&lt;0,0,$N84/(SUMIF(RES!$D$39:$D$146,$D84,$N$39:$N$146))-AE$28)),0))</f>
        <v>0</v>
      </c>
      <c r="AF84" s="63">
        <f>(IFERROR(IF($N84/(SUMIF(RES!$D$39:$D$146,$D84,$N$39:$N$146))=1,1,IF(($N84/(SUMIF(RES!$D$39:$D$146,$D84,$N$39:$N$146))-AF$28)&lt;0,0,$N84/(SUMIF(RES!$D$39:$D$146,$D84,$N$39:$N$146))-AF$28)),0))</f>
        <v>0</v>
      </c>
      <c r="AG84" s="63">
        <f>(IFERROR(IF($N84/(SUMIF(RES!$D$39:$D$146,$D84,$N$39:$N$146))=1,1,IF(($N84/(SUMIF(RES!$D$39:$D$146,$D84,$N$39:$N$146))-AG$28)&lt;0,0,$N84/(SUMIF(RES!$D$39:$D$146,$D84,$N$39:$N$146))-AG$28)),0))</f>
        <v>0</v>
      </c>
      <c r="AH84" s="63">
        <f>(IFERROR(IF($N84/(SUMIF(RES!$D$39:$D$146,$D84,$N$39:$N$146))=1,1,IF(($N84/(SUMIF(RES!$D$39:$D$146,$D84,$N$39:$N$146))-AH$28)&lt;0,0,$N84/(SUMIF(RES!$D$39:$D$146,$D84,$N$39:$N$146))-AH$28)),0))</f>
        <v>0</v>
      </c>
      <c r="AI84" s="63">
        <f>(IFERROR(IF($N84/(SUMIF(RES!$D$39:$D$146,$D84,$N$39:$N$146))=1,1,IF(($N84/(SUMIF(RES!$D$39:$D$146,$D84,$N$39:$N$146))-AI$28)&lt;0,0,$N84/(SUMIF(RES!$D$39:$D$146,$D84,$N$39:$N$146))-AI$28)),0))</f>
        <v>0</v>
      </c>
      <c r="AJ84" s="63">
        <f>(IFERROR(IF($N84/(SUMIF(RES!$D$39:$D$146,$D84,$N$39:$N$146))=1,1,IF(($N84/(SUMIF(RES!$D$39:$D$146,$D84,$N$39:$N$146))-AJ$28)&lt;0,0,$N84/(SUMIF(RES!$D$39:$D$146,$D84,$N$39:$N$146))-AJ$28)),0))</f>
        <v>0</v>
      </c>
      <c r="AK84" s="63">
        <f>(IFERROR(IF($N84/(SUMIF(RES!$D$39:$D$146,$D84,$N$39:$N$146))=1,1,IF(($N84/(SUMIF(RES!$D$39:$D$146,$D84,$N$39:$N$146))-AK$28)&lt;0,0,$N84/(SUMIF(RES!$D$39:$D$146,$D84,$N$39:$N$146))-AK$28)),0))</f>
        <v>0</v>
      </c>
      <c r="AL84" s="63">
        <f>(IFERROR(IF($N84/(SUMIF(RES!$D$39:$D$146,$D84,$N$39:$N$146))=1,1,IF(($N84/(SUMIF(RES!$D$39:$D$146,$D84,$N$39:$N$146))-AL$28)&lt;0,0,$N84/(SUMIF(RES!$D$39:$D$146,$D84,$N$39:$N$146))-AL$28)),0))</f>
        <v>0</v>
      </c>
      <c r="AO84" s="21" t="s">
        <v>484</v>
      </c>
      <c r="AP84" s="496">
        <f t="shared" si="63"/>
        <v>0.9</v>
      </c>
    </row>
    <row r="85" spans="1:56" s="191" customFormat="1" ht="15.5" outlineLevel="1">
      <c r="A85" s="524" t="s">
        <v>926</v>
      </c>
      <c r="B85" s="525"/>
      <c r="C85" s="526"/>
      <c r="D85" s="526"/>
      <c r="E85" s="527" t="str">
        <f>IF(D85="","",IF(COUNTIF(#REF!,$B85)=1,SUMIF(#REF!,RES!B85,#REF!),SUMIF(#REF!,RES!$B85,#REF!)))</f>
        <v/>
      </c>
      <c r="F85" s="527"/>
      <c r="G85" s="527"/>
      <c r="H85" s="527"/>
      <c r="I85" s="577"/>
      <c r="J85" s="527"/>
      <c r="K85" s="528"/>
      <c r="L85" s="529"/>
      <c r="M85" s="529">
        <f>SUM(M79:M84)</f>
        <v>27.145052341548556</v>
      </c>
      <c r="N85" s="529">
        <f>SUM(N79:N84)</f>
        <v>10.242384469668096</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71">SUM(W79:W84)</f>
        <v>1.0278255125756897</v>
      </c>
      <c r="X85" s="533">
        <f t="shared" si="71"/>
        <v>1.0226962626317562</v>
      </c>
      <c r="Y85" s="533">
        <f>SUM(Y79:Y84)</f>
        <v>1.0235670126878227</v>
      </c>
      <c r="Z85" s="533">
        <f t="shared" si="71"/>
        <v>1.0554377627438891</v>
      </c>
      <c r="AA85" s="533">
        <f t="shared" si="71"/>
        <v>1.0853085127999553</v>
      </c>
      <c r="AB85" s="533">
        <f t="shared" si="71"/>
        <v>1.2053085127999554</v>
      </c>
      <c r="AC85" s="533">
        <f t="shared" si="71"/>
        <v>1.3653085127999556</v>
      </c>
      <c r="AD85" s="532"/>
      <c r="AE85" s="533">
        <f>SUM(AE79:AE84)</f>
        <v>0.99950000000000006</v>
      </c>
      <c r="AF85" s="533">
        <f t="shared" ref="AF85:AL85" si="72">SUM(AF79:AF84)</f>
        <v>0.99863301665399318</v>
      </c>
      <c r="AG85" s="533">
        <f t="shared" si="72"/>
        <v>0.99793525121250659</v>
      </c>
      <c r="AH85" s="533">
        <f t="shared" si="72"/>
        <v>0.97173748577102004</v>
      </c>
      <c r="AI85" s="533">
        <f t="shared" si="72"/>
        <v>0.97053972032953362</v>
      </c>
      <c r="AJ85" s="533">
        <f t="shared" si="72"/>
        <v>0.94257467740883782</v>
      </c>
      <c r="AK85" s="533">
        <f t="shared" si="72"/>
        <v>0.91814578053085738</v>
      </c>
      <c r="AL85" s="533">
        <f t="shared" si="72"/>
        <v>0.90271688365287694</v>
      </c>
      <c r="AO85" s="534"/>
    </row>
    <row r="86" spans="1:56" s="232" customFormat="1" ht="15.5">
      <c r="A86" s="537" t="s">
        <v>965</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4"/>
      <c r="AF86" s="554"/>
      <c r="AG86" s="554"/>
      <c r="AH86" s="554"/>
      <c r="AI86" s="554"/>
      <c r="AJ86" s="554"/>
      <c r="AK86" s="554"/>
      <c r="AL86" s="554"/>
      <c r="AO86" s="546"/>
    </row>
    <row r="87" spans="1:56" s="165" customFormat="1" ht="15.5" outlineLevel="1">
      <c r="A87" s="108" t="s">
        <v>966</v>
      </c>
      <c r="B87" s="30" t="s">
        <v>347</v>
      </c>
      <c r="C87" s="43" t="s">
        <v>229</v>
      </c>
      <c r="D87" s="43" t="s">
        <v>250</v>
      </c>
      <c r="E87" s="494">
        <f>INDEX('Electrical efficiency'!$L$8:$L$23,MATCH(RES!D87,'Electrical efficiency'!$K$8:$K$23,0))</f>
        <v>0.94750000000000012</v>
      </c>
      <c r="F87" s="557">
        <v>1</v>
      </c>
      <c r="G87" s="557">
        <v>1</v>
      </c>
      <c r="H87" s="557">
        <f t="shared" ref="H87:H92" si="73">N87/F87*(1+$D$31)</f>
        <v>1.8322886099461879</v>
      </c>
      <c r="I87" s="576">
        <v>1E-3</v>
      </c>
      <c r="J87" s="486">
        <v>0</v>
      </c>
      <c r="K87" s="48" t="s">
        <v>889</v>
      </c>
      <c r="L87" s="485">
        <v>1</v>
      </c>
      <c r="M87" s="485">
        <f>IF(C87="","",SUMIFS(Energy_Balance!I$56:I$160,Energy_Balance!$C$56:$C$160,C87,Energy_Balance!$D$56:$D$160,D87)*L87)</f>
        <v>1.9338138363548154</v>
      </c>
      <c r="N87" s="485">
        <f>E87*M87</f>
        <v>1.8322886099461879</v>
      </c>
      <c r="O87" s="25"/>
      <c r="P87" s="601">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(IFERROR(IF(N87/(SUMIF(RES!$D$39:$D$146,D87,$N$39:$N$146))=1,1,(N87/(SUMIF(RES!$D$39:$D$146,D87,$N$39:$N$146))+$V$28)),0))</f>
        <v>0.19992634427885794</v>
      </c>
      <c r="W87" s="63">
        <f>IF($V87*(1+'Census 2011_17'!B$20)+W$28&lt;1,$V87*(1+'Census 2011_17'!B$20)+W$28,1)</f>
        <v>0.2097322354624292</v>
      </c>
      <c r="X87" s="63">
        <f>IF($V87*(1+'Census 2011_17'!C$20)+X$28&lt;1,$V87*(1+'Census 2011_17'!C$20)+X$28,1)</f>
        <v>0.21775511782063009</v>
      </c>
      <c r="Y87" s="63">
        <f>IF($V87*(1+'Census 2011_17'!D$20)+Y$28&lt;1,$V87*(1+'Census 2011_17'!D$20)+Y$28,1)</f>
        <v>0.22477800017883098</v>
      </c>
      <c r="Z87" s="63">
        <f>IF($V87*(1+'Census 2011_17'!E$20)+Z$28&lt;1,$V87*(1+'Census 2011_17'!E$20)+Z$28,1)</f>
        <v>0.24830088253703192</v>
      </c>
      <c r="AA87" s="607">
        <f>MIN(1,$V87*(1+'Census 2011_17'!F$20)+AA$28*2.5)</f>
        <v>0.3348237648952328</v>
      </c>
      <c r="AB87" s="607">
        <f>MIN(1,$V87*(1+'Census 2011_17'!G$20)+AB$28*2.5)</f>
        <v>0.48482376489523282</v>
      </c>
      <c r="AC87" s="607">
        <f>MIN(1,$V87*(1+'Census 2011_17'!H$20)+AC$28*3)</f>
        <v>0.77482376489523286</v>
      </c>
      <c r="AD87" s="50"/>
      <c r="AE87" s="63">
        <f>(IFERROR(IF($N87/(SUMIF(RES!$D$39:$D$146,$D87,$N$39:$N$146))=1,1,($N87/(SUMIF(RES!$D$39:$D$146,$D87,$N$39:$N$146))-AE$28)),0))</f>
        <v>0.19882634427885795</v>
      </c>
      <c r="AF87" s="63">
        <f>$AE87*(1+'Census 2011_17'!B$20)-AF$28</f>
        <v>0.20258378521773099</v>
      </c>
      <c r="AG87" s="63">
        <f>$AE87*(1+'Census 2011_17'!C$20)-AG$28</f>
        <v>0.21057077850578507</v>
      </c>
      <c r="AH87" s="63">
        <f>$AE87*(1+'Census 2011_17'!D$20)-AH$28</f>
        <v>0.21705777179383914</v>
      </c>
      <c r="AI87" s="63">
        <f>$AE87*(1+'Census 2011_17'!E$20)-AI$28</f>
        <v>0.22454476508189328</v>
      </c>
      <c r="AJ87" s="63">
        <f>$AE87*(1+'Census 2011_17'!F$20)-AJ$28</f>
        <v>0.23103175836994733</v>
      </c>
      <c r="AK87" s="63">
        <f>$AE87*(1+'Census 2011_17'!G$20)-AK$28</f>
        <v>0.23103175836994733</v>
      </c>
      <c r="AL87" s="63">
        <f>$AE87*(1+'Census 2011_17'!H$20)-AL$28</f>
        <v>0.23103175836994733</v>
      </c>
      <c r="AM87"/>
      <c r="AN87"/>
      <c r="AO87" s="179" t="s">
        <v>484</v>
      </c>
      <c r="AP87" s="496">
        <f t="shared" ref="AP87:AP92" si="74">E87</f>
        <v>0.94750000000000012</v>
      </c>
      <c r="AQ87"/>
      <c r="AR87"/>
      <c r="AS87"/>
      <c r="AT87"/>
      <c r="AU87"/>
      <c r="AV87"/>
      <c r="AW87"/>
      <c r="AX87"/>
      <c r="AY87"/>
      <c r="AZ87"/>
      <c r="BA87"/>
      <c r="BB87"/>
      <c r="BC87"/>
      <c r="BD87"/>
    </row>
    <row r="88" spans="1:56" ht="15.5" outlineLevel="1">
      <c r="A88" s="108" t="s">
        <v>967</v>
      </c>
      <c r="B88" s="30" t="s">
        <v>348</v>
      </c>
      <c r="C88" s="43" t="s">
        <v>231</v>
      </c>
      <c r="D88" s="43" t="s">
        <v>250</v>
      </c>
      <c r="E88" s="486">
        <v>0.73</v>
      </c>
      <c r="F88" s="557">
        <v>1</v>
      </c>
      <c r="G88" s="557">
        <v>1</v>
      </c>
      <c r="H88" s="557">
        <f t="shared" si="73"/>
        <v>0.55690095902286985</v>
      </c>
      <c r="I88" s="576">
        <v>1E-3</v>
      </c>
      <c r="J88" s="486">
        <v>0</v>
      </c>
      <c r="K88" s="48"/>
      <c r="L88" s="485">
        <v>1</v>
      </c>
      <c r="M88" s="485">
        <f>IF(C88="","",SUMIFS(Energy_Balance!I$56:I$160,Energy_Balance!$C$56:$C$160,C88,Energy_Balance!$D$56:$D$160,D88)*L88)</f>
        <v>0.7628780260587259</v>
      </c>
      <c r="N88" s="485">
        <f t="shared" ref="N88:N92" si="75">E88*M88</f>
        <v>0.55690095902286985</v>
      </c>
      <c r="O88" s="25"/>
      <c r="P88" s="601">
        <f>E88</f>
        <v>0.73</v>
      </c>
      <c r="Q88" s="360">
        <f>IF($AO88="","",($S88-$P88)*1/3+$P88)</f>
        <v>0.73</v>
      </c>
      <c r="R88" s="360">
        <f>IF($AO88="","",($S88-$P88)*2/3+$P88)</f>
        <v>0.73</v>
      </c>
      <c r="S88" s="360">
        <f>IF($AO88="","",IF($AO88="*",$AP88*(1+$P$29),E88))</f>
        <v>0.73</v>
      </c>
      <c r="T88" s="203"/>
      <c r="U88" s="50"/>
      <c r="V88" s="63">
        <f>IF((IFERROR(IF(N88/(SUMIF(RES!$D$39:$D$146,D88,$N$39:$N$146))=1,1,(N88/(SUMIF(RES!$D$39:$D$146,D88,$N$39:$N$146))+$V$29)),0))&lt;1,(IFERROR(IF(N88/(SUMIF(RES!$D$39:$D$146,D88,$N$39:$N$146))=1,1,(N88/(SUMIF(RES!$D$39:$D$146,D88,$N$39:$N$146))+$V$29)),0)),1)</f>
        <v>6.1461147497425692E-2</v>
      </c>
      <c r="W88" s="63">
        <f>$V88-$V$87*'Census 2011_17'!B$20*RES!$V88/(1-RES!$V$87)+RES!W$29</f>
        <v>6.5784684558033032E-2</v>
      </c>
      <c r="X88" s="63">
        <f>$V88-$V$87*'Census 2011_17'!C$20*RES!$V88/(1-RES!$V$87)+RES!X$29</f>
        <v>6.3283600899223663E-2</v>
      </c>
      <c r="Y88" s="63">
        <f>$V88-$V$87*'Census 2011_17'!D$20*RES!$V88/(1-RES!$V$87)+RES!Y$29</f>
        <v>6.2782517240414282E-2</v>
      </c>
      <c r="Z88" s="63">
        <f>$V88-$V$87*'Census 2011_17'!E$20*RES!$V88/(1-RES!$V$87)+RES!Z$29</f>
        <v>6.1781433581604914E-2</v>
      </c>
      <c r="AA88" s="63">
        <f>$V88-$V$87*'Census 2011_17'!F$20*RES!$V88/(1-RES!$V$87)+RES!AA$29</f>
        <v>5.8780349922795537E-2</v>
      </c>
      <c r="AB88" s="63">
        <f>$V88-$V$87*'Census 2011_17'!G$20*RES!$V88/(1-RES!$V$87)+RES!AB$29</f>
        <v>5.8780349922795537E-2</v>
      </c>
      <c r="AC88" s="63">
        <f>$V88-$V$87*'Census 2011_17'!H$20*RES!$V88/(1-RES!$V$87)+RES!AC$29</f>
        <v>5.8780349922795537E-2</v>
      </c>
      <c r="AD88" s="50"/>
      <c r="AE88" s="63">
        <f>(IFERROR(IF($N88/(SUMIF(RES!$D$39:$D$146,$D88,$N$39:$N$146))=1,1,($N88/(SUMIF(RES!$D$39:$D$146,$D88,$N$39:$N$146)))),0))-AE$29</f>
        <v>6.0361147497425688E-2</v>
      </c>
      <c r="AF88" s="63">
        <f t="shared" ref="AF88:AF89" si="76">IF(W88-AF$29&lt;0,0,W88-AF$29)</f>
        <v>6.0784684558033035E-2</v>
      </c>
      <c r="AG88" s="63">
        <f t="shared" ref="AG88:AG89" si="77">IF(X88-AG$29&lt;0,0,X88-AG$29)</f>
        <v>5.978360089922366E-2</v>
      </c>
      <c r="AH88" s="63">
        <f t="shared" ref="AH88:AH89" si="78">IF(Y88-AH$29&lt;0,0,Y88-AH$29)</f>
        <v>5.278251724041428E-2</v>
      </c>
      <c r="AI88" s="63">
        <f t="shared" ref="AI88:AI89" si="79">IF(Z88-AI$29&lt;0,0,Z88-AI$29)</f>
        <v>5.1781433581604912E-2</v>
      </c>
      <c r="AJ88" s="607">
        <f>AI88*0.5</f>
        <v>2.5890716790802456E-2</v>
      </c>
      <c r="AK88" s="607">
        <f>AJ88*0.5</f>
        <v>1.2945358395401228E-2</v>
      </c>
      <c r="AL88" s="607">
        <v>0</v>
      </c>
      <c r="AO88" s="179" t="s">
        <v>484</v>
      </c>
      <c r="AP88" s="496">
        <f t="shared" si="74"/>
        <v>0.73</v>
      </c>
      <c r="AR88" s="1" t="s">
        <v>1059</v>
      </c>
    </row>
    <row r="89" spans="1:56" ht="15.5" outlineLevel="1">
      <c r="A89" s="108" t="s">
        <v>968</v>
      </c>
      <c r="B89" s="30" t="s">
        <v>349</v>
      </c>
      <c r="C89" s="43" t="s">
        <v>232</v>
      </c>
      <c r="D89" s="43" t="s">
        <v>250</v>
      </c>
      <c r="E89" s="486">
        <v>0.59</v>
      </c>
      <c r="F89" s="557">
        <v>1</v>
      </c>
      <c r="G89" s="557">
        <v>1</v>
      </c>
      <c r="H89" s="557">
        <f t="shared" si="73"/>
        <v>2.9023735702764784</v>
      </c>
      <c r="I89" s="576">
        <v>1E-3</v>
      </c>
      <c r="J89" s="486">
        <v>0</v>
      </c>
      <c r="K89" s="48"/>
      <c r="L89" s="485">
        <v>1</v>
      </c>
      <c r="M89" s="485">
        <f>IF(C89="","",SUMIFS(Energy_Balance!I$56:I$160,Energy_Balance!$C$56:$C$160,C89,Energy_Balance!$D$56:$D$160,D89)*L89)</f>
        <v>4.9192772377567433</v>
      </c>
      <c r="N89" s="485">
        <f t="shared" si="75"/>
        <v>2.9023735702764784</v>
      </c>
      <c r="O89" s="25"/>
      <c r="P89" s="601">
        <f>E89</f>
        <v>0.59</v>
      </c>
      <c r="Q89" s="360">
        <f>IF($AO89="","",($S89-$P89)*1/3+$P89)</f>
        <v>0.59</v>
      </c>
      <c r="R89" s="360">
        <f>IF($AO89="","",($S89-$P89)*2/3+$P89)</f>
        <v>0.59</v>
      </c>
      <c r="S89" s="360">
        <f>IF($AO89="","",IF($AO89="*",$AP89*(1+$P$29),E89))</f>
        <v>0.59</v>
      </c>
      <c r="T89" s="203"/>
      <c r="U89" s="50"/>
      <c r="V89" s="63">
        <f>IF((IFERROR(IF(N89/(SUMIF(RES!$D$39:$D$146,D89,$N$39:$N$146))=1,1,(N89/(SUMIF(RES!$D$39:$D$146,D89,$N$39:$N$146))+$V$29)),0))&lt;1,(IFERROR(IF(N89/(SUMIF(RES!$D$39:$D$146,D89,$N$39:$N$146))=1,1,(N89/(SUMIF(RES!$D$39:$D$146,D89,$N$39:$N$146))+$V$29)),0)),1)</f>
        <v>0.31610241396066591</v>
      </c>
      <c r="W89" s="63">
        <f>$V89-$V$87*'Census 2011_17'!B$20*RES!$V89/(1-RES!$V$87)+RES!W$29</f>
        <v>0.31762327995806855</v>
      </c>
      <c r="X89" s="63">
        <f>$V89-$V$87*'Census 2011_17'!C$20*RES!$V89/(1-RES!$V$87)+RES!X$29</f>
        <v>0.31304614365984823</v>
      </c>
      <c r="Y89" s="63">
        <f>$V89-$V$87*'Census 2011_17'!D$20*RES!$V89/(1-RES!$V$87)+RES!Y$29</f>
        <v>0.31046900736162797</v>
      </c>
      <c r="Z89" s="63">
        <f>$V89-$V$87*'Census 2011_17'!E$20*RES!$V89/(1-RES!$V$87)+RES!Z$29</f>
        <v>0.30739187106340771</v>
      </c>
      <c r="AA89" s="63">
        <f>$V89-$V$87*'Census 2011_17'!F$20*RES!$V89/(1-RES!$V$87)+RES!AA$29</f>
        <v>0.30231473476518744</v>
      </c>
      <c r="AB89" s="63">
        <f>$V89-$V$87*'Census 2011_17'!G$20*RES!$V89/(1-RES!$V$87)+RES!AB$29</f>
        <v>0.30231473476518744</v>
      </c>
      <c r="AC89" s="607">
        <f>MIN(1,$V89*(1+'Census 2011_17'!H$20))</f>
        <v>0.37127852863242977</v>
      </c>
      <c r="AD89" s="50"/>
      <c r="AE89" s="63">
        <f>(IFERROR(IF($N89/(SUMIF(RES!$D$39:$D$146,$D89,$N$39:$N$146))=1,1,($N89/(SUMIF(RES!$D$39:$D$146,$D89,$N$39:$N$146)))),0))-AE$29</f>
        <v>0.31500241396066592</v>
      </c>
      <c r="AF89" s="63">
        <f t="shared" si="76"/>
        <v>0.31262327995806855</v>
      </c>
      <c r="AG89" s="63">
        <f t="shared" si="77"/>
        <v>0.30954614365984823</v>
      </c>
      <c r="AH89" s="63">
        <f t="shared" si="78"/>
        <v>0.30046900736162796</v>
      </c>
      <c r="AI89" s="63">
        <f t="shared" si="79"/>
        <v>0.2973918710634077</v>
      </c>
      <c r="AJ89" s="63">
        <f t="shared" ref="AJ89" si="80">IF(AA89-AJ$29&lt;0,0,AA89-AJ$29)</f>
        <v>0.29131473476518743</v>
      </c>
      <c r="AK89" s="63">
        <f t="shared" ref="AK89" si="81">IF(AB89-AK$29&lt;0,0,AB89-AK$29)</f>
        <v>0.27981473476518742</v>
      </c>
      <c r="AL89" s="63">
        <f>IF(AC89-AL$29&lt;0,0,AC89-AL$29)</f>
        <v>0.34627852863242975</v>
      </c>
      <c r="AO89" s="179" t="s">
        <v>484</v>
      </c>
      <c r="AP89" s="496">
        <f t="shared" si="74"/>
        <v>0.59</v>
      </c>
    </row>
    <row r="90" spans="1:56" ht="15.5" outlineLevel="1">
      <c r="A90" s="108" t="s">
        <v>969</v>
      </c>
      <c r="B90" s="30" t="s">
        <v>350</v>
      </c>
      <c r="C90" s="43" t="s">
        <v>233</v>
      </c>
      <c r="D90" s="43" t="s">
        <v>250</v>
      </c>
      <c r="E90" s="486">
        <v>0.59</v>
      </c>
      <c r="F90" s="557">
        <v>1</v>
      </c>
      <c r="G90" s="557">
        <v>1</v>
      </c>
      <c r="H90" s="557">
        <f t="shared" si="73"/>
        <v>2.9830223522826245</v>
      </c>
      <c r="I90" s="576">
        <v>1E-3</v>
      </c>
      <c r="J90" s="486">
        <v>0</v>
      </c>
      <c r="K90" s="48"/>
      <c r="L90" s="485">
        <v>1</v>
      </c>
      <c r="M90" s="485">
        <f>IF(C90="","",SUMIFS(Energy_Balance!I$56:I$160,Energy_Balance!$C$56:$C$160,C90,Energy_Balance!$D$56:$D$160,D90)*L90)</f>
        <v>5.0559700886146182</v>
      </c>
      <c r="N90" s="485">
        <f t="shared" si="75"/>
        <v>2.9830223522826245</v>
      </c>
      <c r="O90" s="25"/>
      <c r="P90" s="601">
        <f>E90</f>
        <v>0.59</v>
      </c>
      <c r="Q90" s="360">
        <f>IF($AO90="","",($S90-$P90)*1/3+$P90)</f>
        <v>0.59</v>
      </c>
      <c r="R90" s="360">
        <f>IF($AO90="","",($S90-$P90)*2/3+$P90)</f>
        <v>0.59</v>
      </c>
      <c r="S90" s="360">
        <f>IF($AO90="","",IF($AO90="*",$AP90*(1+$P$29),E90))</f>
        <v>0.59</v>
      </c>
      <c r="T90" s="203"/>
      <c r="U90" s="50"/>
      <c r="V90" s="63">
        <f>IF((IFERROR(IF(N90/(SUMIF(RES!$D$39:$D$146,D90,$N$39:$N$146))=1,1,(N90/(SUMIF(RES!$D$39:$D$146,D90,$N$39:$N$146))+$V$29)),0))&lt;1,(IFERROR(IF(N90/(SUMIF(RES!$D$39:$D$146,D90,$N$39:$N$146))=1,1,(N90/(SUMIF(RES!$D$39:$D$146,D90,$N$39:$N$146))+$V$29)),0)),1)</f>
        <v>0.32485822201838033</v>
      </c>
      <c r="W90" s="63">
        <f>$V90-$V$87*'Census 2011_17'!B$20*RES!$V90/(1-RES!$V$87)+RES!W$29</f>
        <v>0.32628271852226304</v>
      </c>
      <c r="X90" s="63">
        <f>$V90-$V$87*'Census 2011_17'!C$20*RES!$V90/(1-RES!$V$87)+RES!X$29</f>
        <v>0.32163419741402799</v>
      </c>
      <c r="Y90" s="63">
        <f>$V90-$V$87*'Census 2011_17'!D$20*RES!$V90/(1-RES!$V$87)+RES!Y$29</f>
        <v>0.318985676305793</v>
      </c>
      <c r="Z90" s="63">
        <f>$V90-$V$87*'Census 2011_17'!E$20*RES!$V90/(1-RES!$V$87)+RES!Z$29</f>
        <v>0.31583715519755795</v>
      </c>
      <c r="AA90" s="63">
        <f>$V90-$V$87*'Census 2011_17'!F$20*RES!$V90/(1-RES!$V$87)+RES!AA$29</f>
        <v>0.31068863408932296</v>
      </c>
      <c r="AB90" s="63">
        <f>$V90-$V$87*'Census 2011_17'!G$20*RES!$V90/(1-RES!$V$87)+RES!AB$29</f>
        <v>0.31068863408932296</v>
      </c>
      <c r="AC90" s="63">
        <f>$V90-$V$87*'Census 2011_17'!H$20*RES!$V90/(1-RES!$V$87)+RES!AC$29</f>
        <v>0.31068863408932296</v>
      </c>
      <c r="AD90" s="50"/>
      <c r="AE90" s="63">
        <f>(IFERROR(IF($N90/(SUMIF(RES!$D$39:$D$146,$D90,$N$39:$N$146))=1,1,($N90/(SUMIF(RES!$D$39:$D$146,$D90,$N$39:$N$146)))),0))-AE$29</f>
        <v>0.32375822201838034</v>
      </c>
      <c r="AF90" s="607">
        <f>MIN(W90-0.5%,$AE90*(1+'Census 2011_17'!B$20)-AF$28)</f>
        <v>0.32128271852226303</v>
      </c>
      <c r="AG90" s="607">
        <f>MIN(X90-0.5%,$AE90*(1+'Census 2011_17'!C$20)-AG$28-0.04)</f>
        <v>0.30508144621881084</v>
      </c>
      <c r="AH90" s="607">
        <f>MIN(Y90-0.5%,$AE90*(1+'Census 2011_17'!D$20)-AH$28)</f>
        <v>0.31398567630579299</v>
      </c>
      <c r="AI90" s="607">
        <f>MIN(Z90-0.5%,$AE90*(1+'Census 2011_17'!E$20)-AI$28)</f>
        <v>0.31083715519755795</v>
      </c>
      <c r="AJ90" s="607">
        <f>AI90*0.5</f>
        <v>0.15541857759877897</v>
      </c>
      <c r="AK90" s="607">
        <f>AJ90*0.5</f>
        <v>7.7709288799389487E-2</v>
      </c>
      <c r="AL90" s="607">
        <v>0</v>
      </c>
      <c r="AO90" s="179" t="s">
        <v>484</v>
      </c>
      <c r="AP90" s="496">
        <f t="shared" si="74"/>
        <v>0.59</v>
      </c>
      <c r="AR90" s="1" t="s">
        <v>1058</v>
      </c>
    </row>
    <row r="91" spans="1:56" ht="15.5" outlineLevel="1">
      <c r="A91" s="108" t="s">
        <v>970</v>
      </c>
      <c r="B91" s="30" t="s">
        <v>351</v>
      </c>
      <c r="C91" s="43" t="s">
        <v>230</v>
      </c>
      <c r="D91" s="43" t="s">
        <v>250</v>
      </c>
      <c r="E91" s="486">
        <v>0.79</v>
      </c>
      <c r="F91" s="557">
        <v>1</v>
      </c>
      <c r="G91" s="557">
        <v>1</v>
      </c>
      <c r="H91" s="557">
        <f t="shared" si="73"/>
        <v>0.93630418016689798</v>
      </c>
      <c r="I91" s="576">
        <v>1E-3</v>
      </c>
      <c r="J91" s="486">
        <v>0</v>
      </c>
      <c r="K91" s="48"/>
      <c r="L91" s="485">
        <v>1</v>
      </c>
      <c r="M91" s="485">
        <f>IF(C91="","",SUMIFS(Energy_Balance!I$56:I$160,Energy_Balance!$C$56:$C$160,C91,Energy_Balance!$D$56:$D$160,D91)*L91)</f>
        <v>1.1851951647682253</v>
      </c>
      <c r="N91" s="485">
        <f t="shared" si="75"/>
        <v>0.93630418016689798</v>
      </c>
      <c r="O91" s="25"/>
      <c r="P91" s="601">
        <f>E91</f>
        <v>0.79</v>
      </c>
      <c r="Q91" s="360">
        <f>IF($AO91="","",($S91-$P91)*1/3+$P91)</f>
        <v>0.79</v>
      </c>
      <c r="R91" s="360">
        <f>IF($AO91="","",($S91-$P91)*2/3+$P91)</f>
        <v>0.79</v>
      </c>
      <c r="S91" s="360">
        <f>IF($AO91="","",IF($AO91="*",$AP91*(1+$P$29),E91))</f>
        <v>0.79</v>
      </c>
      <c r="T91" s="203"/>
      <c r="U91" s="50"/>
      <c r="V91" s="63">
        <f>IF((IFERROR(IF(N91/(SUMIF(RES!$D$39:$D$146,D91,$N$39:$N$146))=1,1,(N91/(SUMIF(RES!$D$39:$D$146,D91,$N$39:$N$146))+$V$29)),0))&lt;1,(IFERROR(IF(N91/(SUMIF(RES!$D$39:$D$146,D91,$N$39:$N$146))=1,1,(N91/(SUMIF(RES!$D$39:$D$146,D91,$N$39:$N$146))+$V$29)),0)),1)</f>
        <v>0.10265187224467016</v>
      </c>
      <c r="W91" s="63">
        <f>IF($V91*(1+'Census 2011_17'!B$20)+W$28&lt;1,$V91*(1+'Census 2011_17'!B$20)+W$28,1)</f>
        <v>0.10817324345283673</v>
      </c>
      <c r="X91" s="63">
        <f>IF($V91*(1+'Census 2011_17'!C$20)+X$28&lt;1,$V91*(1+'Census 2011_17'!C$20)+X$28,1)</f>
        <v>0.11302240731073787</v>
      </c>
      <c r="Y91" s="63">
        <f>IF($V91*(1+'Census 2011_17'!D$20)+Y$28&lt;1,$V91*(1+'Census 2011_17'!D$20)+Y$28,1)</f>
        <v>0.116871571168639</v>
      </c>
      <c r="Z91" s="63">
        <f>IF($V91*(1+'Census 2011_17'!E$20)+Z$28&lt;1,$V91*(1+'Census 2011_17'!E$20)+Z$28,1)</f>
        <v>0.13722073502654017</v>
      </c>
      <c r="AA91" s="63">
        <f>IF($V91*(1+'Census 2011_17'!F$20)+AA$28&lt;1,$V91*(1+'Census 2011_17'!F$20)+AA$28,1)</f>
        <v>0.16056989888444129</v>
      </c>
      <c r="AB91" s="63">
        <f>IF($V91*(1+'Census 2011_17'!G$20)+AB$28&lt;1,$V91*(1+'Census 2011_17'!G$20)+AB$28,1)</f>
        <v>0.22056989888444128</v>
      </c>
      <c r="AC91" s="63">
        <f>IF($V91*(1+'Census 2011_17'!H$20)+AC$28&lt;1,$V91*(1+'Census 2011_17'!H$20)+AC$28,1)</f>
        <v>0.3005698988844413</v>
      </c>
      <c r="AD91" s="50"/>
      <c r="AE91" s="63">
        <f>(IFERROR(IF($N91/(SUMIF(RES!$D$39:$D$146,$D91,$N$39:$N$146))=1,1,($N91/(SUMIF(RES!$D$39:$D$146,$D91,$N$39:$N$146))-AE$28)),0))</f>
        <v>0.10155187224467016</v>
      </c>
      <c r="AF91" s="63">
        <f>$AE91*(1+'Census 2011_17'!B$20)-AF$28</f>
        <v>0.10102479320813851</v>
      </c>
      <c r="AG91" s="63">
        <f>$AE91*(1+'Census 2011_17'!C$20)-AG$28</f>
        <v>0.10583806799589283</v>
      </c>
      <c r="AH91" s="63">
        <f>$AE91*(1+'Census 2011_17'!D$20)-AH$28</f>
        <v>0.10915134278364715</v>
      </c>
      <c r="AI91" s="63">
        <f>$AE91*(1+'Census 2011_17'!E$20)-AI$28</f>
        <v>0.11346461757140149</v>
      </c>
      <c r="AJ91" s="607">
        <f>AI91*0.5</f>
        <v>5.6732308785700743E-2</v>
      </c>
      <c r="AK91" s="607">
        <f>AJ91*0.5</f>
        <v>2.8366154392850371E-2</v>
      </c>
      <c r="AL91" s="607">
        <v>0</v>
      </c>
      <c r="AO91" s="179" t="s">
        <v>484</v>
      </c>
      <c r="AP91" s="496">
        <f t="shared" si="74"/>
        <v>0.79</v>
      </c>
    </row>
    <row r="92" spans="1:56" ht="15.5" outlineLevel="1">
      <c r="A92" s="108" t="s">
        <v>971</v>
      </c>
      <c r="B92" s="30" t="s">
        <v>352</v>
      </c>
      <c r="C92" s="43" t="s">
        <v>161</v>
      </c>
      <c r="D92" s="43" t="s">
        <v>250</v>
      </c>
      <c r="E92" s="486">
        <v>0.96</v>
      </c>
      <c r="F92" s="557">
        <v>1</v>
      </c>
      <c r="G92" s="557">
        <v>1</v>
      </c>
      <c r="H92" s="557">
        <f t="shared" si="73"/>
        <v>0</v>
      </c>
      <c r="I92" s="576">
        <v>1E-3</v>
      </c>
      <c r="J92" s="486">
        <v>0</v>
      </c>
      <c r="K92" s="48"/>
      <c r="L92" s="485">
        <v>0.6</v>
      </c>
      <c r="M92" s="485">
        <f>IF(C92="","",SUMIFS(Energy_Balance!I$56:I$160,Energy_Balance!$C$56:$C$160,C92,Energy_Balance!$D$56:$D$160,D92)*L92)</f>
        <v>0</v>
      </c>
      <c r="N92" s="485">
        <f t="shared" si="75"/>
        <v>0</v>
      </c>
      <c r="O92" s="25"/>
      <c r="P92" s="601">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4"/>
        <v>0.96</v>
      </c>
    </row>
    <row r="93" spans="1:56" s="191" customFormat="1" ht="15.5" outlineLevel="1">
      <c r="A93" s="524" t="s">
        <v>926</v>
      </c>
      <c r="B93" s="525"/>
      <c r="C93" s="526"/>
      <c r="D93" s="526"/>
      <c r="F93" s="527"/>
      <c r="G93" s="527"/>
      <c r="H93" s="527"/>
      <c r="I93" s="577"/>
      <c r="J93" s="527"/>
      <c r="K93" s="528"/>
      <c r="L93" s="529"/>
      <c r="M93" s="529">
        <f>SUM(M87:M92)</f>
        <v>13.857134353553128</v>
      </c>
      <c r="N93" s="529">
        <f>SUM(N87:N92)</f>
        <v>9.2108896716950586</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82">SUM(W87:W92)</f>
        <v>1.0275961619536305</v>
      </c>
      <c r="X93" s="532">
        <f t="shared" si="82"/>
        <v>1.0287414671044677</v>
      </c>
      <c r="Y93" s="532">
        <f t="shared" si="82"/>
        <v>1.0338867722553053</v>
      </c>
      <c r="Z93" s="532">
        <f t="shared" si="82"/>
        <v>1.0705320774061426</v>
      </c>
      <c r="AA93" s="532">
        <f t="shared" si="82"/>
        <v>1.16717738255698</v>
      </c>
      <c r="AB93" s="532">
        <f t="shared" si="82"/>
        <v>1.3771773825569802</v>
      </c>
      <c r="AC93" s="532">
        <f t="shared" si="82"/>
        <v>1.8161411764242223</v>
      </c>
      <c r="AD93" s="532"/>
      <c r="AE93" s="533">
        <f>SUM(AE87:AE92)</f>
        <v>0.99950000000000006</v>
      </c>
      <c r="AF93" s="533">
        <f t="shared" ref="AF93:AL93" si="83">SUM(AF87:AF92)</f>
        <v>0.99829926146423409</v>
      </c>
      <c r="AG93" s="533">
        <f t="shared" si="83"/>
        <v>0.99082003727956058</v>
      </c>
      <c r="AH93" s="533">
        <f t="shared" si="83"/>
        <v>0.99344631548532147</v>
      </c>
      <c r="AI93" s="533">
        <f t="shared" si="83"/>
        <v>0.99801984249586528</v>
      </c>
      <c r="AJ93" s="533">
        <f t="shared" si="83"/>
        <v>0.76038809631041693</v>
      </c>
      <c r="AK93" s="533">
        <f t="shared" si="83"/>
        <v>0.62986729472277592</v>
      </c>
      <c r="AL93" s="533">
        <f t="shared" si="83"/>
        <v>0.57731028700237708</v>
      </c>
      <c r="AO93" s="534"/>
    </row>
    <row r="94" spans="1:56" s="232" customFormat="1" ht="15.5">
      <c r="A94" s="555" t="s">
        <v>972</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4"/>
      <c r="AF94" s="554"/>
      <c r="AG94" s="554"/>
      <c r="AH94" s="554"/>
      <c r="AI94" s="554"/>
      <c r="AJ94" s="554"/>
      <c r="AK94" s="554"/>
      <c r="AL94" s="554"/>
      <c r="AO94" s="546"/>
    </row>
    <row r="95" spans="1:56" s="165" customFormat="1" ht="15.5" outlineLevel="2">
      <c r="A95" s="108" t="s">
        <v>973</v>
      </c>
      <c r="B95" s="30" t="s">
        <v>353</v>
      </c>
      <c r="C95" s="43" t="s">
        <v>229</v>
      </c>
      <c r="D95" s="43" t="s">
        <v>558</v>
      </c>
      <c r="E95" s="486">
        <f>'Electrical efficiency'!M13</f>
        <v>0.73684210526315785</v>
      </c>
      <c r="F95" s="557">
        <v>1</v>
      </c>
      <c r="G95" s="557">
        <v>1</v>
      </c>
      <c r="H95" s="557">
        <f>N95/F95*(1+$D$31)</f>
        <v>7.0484057278689347</v>
      </c>
      <c r="I95" s="576">
        <v>1E-3</v>
      </c>
      <c r="J95" s="486">
        <v>0</v>
      </c>
      <c r="K95" s="48"/>
      <c r="L95" s="485">
        <f>1-'access to services'!C203</f>
        <v>0.96971825737966844</v>
      </c>
      <c r="M95" s="485">
        <f>N95/E95</f>
        <v>9.5656934878221254</v>
      </c>
      <c r="N95" s="485">
        <f>Energy_Balance!F28/((1-'access to services'!C203)/RES!E95+'access to services'!C203/RES!E96)*L95</f>
        <v>7.0484057278689347</v>
      </c>
      <c r="O95" s="25"/>
      <c r="P95" s="601">
        <f>E95</f>
        <v>0.73684210526315785</v>
      </c>
      <c r="Q95" s="360">
        <f>IF($AO95="","",($S95-$P95)*1/3+$P95)</f>
        <v>0.73684210526315785</v>
      </c>
      <c r="R95" s="360">
        <f>IF($AO95="","",($S95-$P95)*2/3+$P95)</f>
        <v>0.73684210526315785</v>
      </c>
      <c r="S95" s="360">
        <f>IF($AO95="","",IF($AO95="*",$AP95*(1+$P$29),E95))</f>
        <v>0.73684210526315785</v>
      </c>
      <c r="T95" s="203"/>
      <c r="U95" s="272"/>
      <c r="V95" s="63">
        <f>(IFERROR(IF(N95/(SUMIF(RES!$D$39:$D$146,D95,$N$39:$N$146))=1,1,(N95/(SUMIF(RES!$D$39:$D$146,D95,$N$39:$N$146))+$V$28)),0))</f>
        <v>0.97071825737966855</v>
      </c>
      <c r="W95" s="63">
        <f>V95</f>
        <v>0.97071825737966855</v>
      </c>
      <c r="X95" s="63">
        <f>(W95+Y95)/2</f>
        <v>0.91986187242001016</v>
      </c>
      <c r="Y95" s="63">
        <f>1-'access to services'!D203+0.001</f>
        <v>0.86900548746035178</v>
      </c>
      <c r="Z95" s="63">
        <f>(Y95+AA95)/2</f>
        <v>0.8641384891363002</v>
      </c>
      <c r="AA95" s="63">
        <f>1-'access to services'!E203</f>
        <v>0.85927149081224874</v>
      </c>
      <c r="AB95" s="63">
        <f>(AA95+AC95)/2</f>
        <v>0.85136452089433501</v>
      </c>
      <c r="AC95" s="63">
        <f>1-'access to services'!F203</f>
        <v>0.84345755097642128</v>
      </c>
      <c r="AD95" s="272"/>
      <c r="AE95" s="63">
        <f>V95-0.001</f>
        <v>0.96971825737966855</v>
      </c>
      <c r="AF95" s="63">
        <f t="shared" ref="AF95:AL95" si="84">W95-0.001</f>
        <v>0.96971825737966855</v>
      </c>
      <c r="AG95" s="63">
        <f t="shared" si="84"/>
        <v>0.91886187242001016</v>
      </c>
      <c r="AH95" s="63">
        <f t="shared" si="84"/>
        <v>0.86800548746035178</v>
      </c>
      <c r="AI95" s="63">
        <f t="shared" si="84"/>
        <v>0.8631384891363002</v>
      </c>
      <c r="AJ95" s="63">
        <f t="shared" si="84"/>
        <v>0.85827149081224874</v>
      </c>
      <c r="AK95" s="63">
        <f t="shared" si="84"/>
        <v>0.85036452089433501</v>
      </c>
      <c r="AL95" s="63">
        <f t="shared" si="84"/>
        <v>0.84245755097642128</v>
      </c>
      <c r="AM95"/>
      <c r="AN95"/>
      <c r="AO95" s="249" t="s">
        <v>110</v>
      </c>
      <c r="AP95" s="496">
        <f>E95</f>
        <v>0.73684210526315785</v>
      </c>
      <c r="AQ95"/>
      <c r="AR95"/>
      <c r="AS95"/>
      <c r="AT95"/>
      <c r="AU95"/>
      <c r="AV95"/>
      <c r="AW95"/>
      <c r="AX95"/>
      <c r="AY95"/>
      <c r="AZ95"/>
      <c r="BA95"/>
      <c r="BB95"/>
      <c r="BC95"/>
      <c r="BD95"/>
    </row>
    <row r="96" spans="1:56" ht="15.5" outlineLevel="2">
      <c r="A96" s="556" t="s">
        <v>974</v>
      </c>
      <c r="B96" s="30" t="s">
        <v>354</v>
      </c>
      <c r="C96" s="43" t="s">
        <v>229</v>
      </c>
      <c r="D96" s="43" t="s">
        <v>558</v>
      </c>
      <c r="E96" s="486">
        <v>2.15</v>
      </c>
      <c r="F96" s="557">
        <v>1</v>
      </c>
      <c r="G96" s="557">
        <v>1</v>
      </c>
      <c r="H96" s="557">
        <f>N96/F96*(1+$D$31)</f>
        <v>0.2201031139825507</v>
      </c>
      <c r="I96" s="576">
        <v>1E-3</v>
      </c>
      <c r="J96" s="486">
        <v>0</v>
      </c>
      <c r="K96" s="48"/>
      <c r="L96" s="485">
        <f>'access to services'!C203</f>
        <v>3.028174262033153E-2</v>
      </c>
      <c r="M96" s="485">
        <f>N96/E96</f>
        <v>0.10237354138723288</v>
      </c>
      <c r="N96" s="485">
        <f>Energy_Balance!F28/((1-'access to services'!C203)/RES!E95+'access to services'!C203/RES!E96)*L96</f>
        <v>0.2201031139825507</v>
      </c>
      <c r="O96" s="25"/>
      <c r="P96" s="601">
        <f>E96</f>
        <v>2.15</v>
      </c>
      <c r="Q96" s="360">
        <f>IF($AO96="","",($S96-$P96)*1/3+$P96)</f>
        <v>2.15</v>
      </c>
      <c r="R96" s="360">
        <f>IF($AO96="","",($S96-$P96)*2/3+$P96)</f>
        <v>2.15</v>
      </c>
      <c r="S96" s="360">
        <f>IF($AO96="","",IF($AO96="*",$AP96*(1+$P$29),E96))</f>
        <v>2.15</v>
      </c>
      <c r="T96" s="203"/>
      <c r="U96" s="272"/>
      <c r="V96" s="63">
        <f>1-V95+0.001</f>
        <v>3.0281742620331453E-2</v>
      </c>
      <c r="W96" s="63">
        <f t="shared" ref="W96:AC96" si="85">1-W95+0.001</f>
        <v>3.0281742620331453E-2</v>
      </c>
      <c r="X96" s="63">
        <f t="shared" si="85"/>
        <v>8.1138127579989838E-2</v>
      </c>
      <c r="Y96" s="63">
        <f t="shared" si="85"/>
        <v>0.13199451253964822</v>
      </c>
      <c r="Z96" s="63">
        <f t="shared" si="85"/>
        <v>0.1368615108636998</v>
      </c>
      <c r="AA96" s="63">
        <f t="shared" si="85"/>
        <v>0.14172850918775126</v>
      </c>
      <c r="AB96" s="63">
        <f t="shared" si="85"/>
        <v>0.14963547910566499</v>
      </c>
      <c r="AC96" s="63">
        <f t="shared" si="85"/>
        <v>0.15754244902357872</v>
      </c>
      <c r="AD96" s="272"/>
      <c r="AE96" s="63">
        <f>V96-0.001</f>
        <v>2.9281742620331452E-2</v>
      </c>
      <c r="AF96" s="63">
        <f t="shared" ref="AF96" si="86">W96-0.001</f>
        <v>2.9281742620331452E-2</v>
      </c>
      <c r="AG96" s="63">
        <f t="shared" ref="AG96" si="87">X96-0.001</f>
        <v>8.0138127579989837E-2</v>
      </c>
      <c r="AH96" s="63">
        <f t="shared" ref="AH96" si="88">Y96-0.001</f>
        <v>0.13099451253964822</v>
      </c>
      <c r="AI96" s="63">
        <f t="shared" ref="AI96" si="89">Z96-0.001</f>
        <v>0.1358615108636998</v>
      </c>
      <c r="AJ96" s="63">
        <f t="shared" ref="AJ96" si="90">AA96-0.001</f>
        <v>0.14072850918775126</v>
      </c>
      <c r="AK96" s="63">
        <f t="shared" ref="AK96" si="91">AB96-0.001</f>
        <v>0.14863547910566499</v>
      </c>
      <c r="AL96" s="63">
        <f t="shared" ref="AL96" si="92">AC96-0.001</f>
        <v>0.15654244902357872</v>
      </c>
      <c r="AO96" s="249" t="s">
        <v>110</v>
      </c>
      <c r="AP96" s="496">
        <f>E96</f>
        <v>2.15</v>
      </c>
    </row>
    <row r="97" spans="1:56" s="191" customFormat="1" ht="15.5">
      <c r="A97" s="524" t="s">
        <v>926</v>
      </c>
      <c r="B97" s="525"/>
      <c r="C97" s="526"/>
      <c r="D97" s="526"/>
      <c r="E97" s="527" t="str">
        <f>IF(D97="","",IF(COUNTIF(#REF!,$B97)=1,SUMIF(#REF!,RES!B97,#REF!),SUMIF(#REF!,RES!$B97,#REF!)))</f>
        <v/>
      </c>
      <c r="F97" s="527"/>
      <c r="G97" s="527"/>
      <c r="H97" s="527"/>
      <c r="I97" s="577"/>
      <c r="J97" s="527"/>
      <c r="K97" s="528"/>
      <c r="L97" s="529"/>
      <c r="M97" s="529">
        <f>SUM(M95:M96)</f>
        <v>9.6680670292093591</v>
      </c>
      <c r="N97" s="529">
        <f>SUM(N95:N96)</f>
        <v>7.2685088418514852</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0">
        <f>SUM(AE95:AE96)</f>
        <v>0.999</v>
      </c>
      <c r="AF97" s="63">
        <f>AE97</f>
        <v>0.999</v>
      </c>
      <c r="AG97" s="63">
        <f t="shared" ref="AG97:AL97" si="93">AF97</f>
        <v>0.999</v>
      </c>
      <c r="AH97" s="63">
        <f t="shared" si="93"/>
        <v>0.999</v>
      </c>
      <c r="AI97" s="63">
        <f t="shared" si="93"/>
        <v>0.999</v>
      </c>
      <c r="AJ97" s="63">
        <f t="shared" si="93"/>
        <v>0.999</v>
      </c>
      <c r="AK97" s="63">
        <f t="shared" si="93"/>
        <v>0.999</v>
      </c>
      <c r="AL97" s="63">
        <f t="shared" si="93"/>
        <v>0.999</v>
      </c>
      <c r="AO97" s="534"/>
    </row>
    <row r="98" spans="1:56" s="232" customFormat="1" ht="15.5">
      <c r="A98" s="555" t="s">
        <v>975</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4"/>
      <c r="AF98" s="554"/>
      <c r="AG98" s="554"/>
      <c r="AH98" s="554"/>
      <c r="AI98" s="554"/>
      <c r="AJ98" s="554"/>
      <c r="AK98" s="554"/>
      <c r="AL98" s="554"/>
      <c r="AO98" s="546"/>
    </row>
    <row r="99" spans="1:56" s="165" customFormat="1" ht="15.5" outlineLevel="1">
      <c r="A99" s="556" t="s">
        <v>976</v>
      </c>
      <c r="B99" s="30" t="s">
        <v>433</v>
      </c>
      <c r="C99" s="43" t="s">
        <v>229</v>
      </c>
      <c r="D99" s="43" t="s">
        <v>251</v>
      </c>
      <c r="E99" s="486">
        <v>0.95</v>
      </c>
      <c r="F99" s="557">
        <v>1</v>
      </c>
      <c r="G99" s="557">
        <v>1</v>
      </c>
      <c r="H99" s="557">
        <f t="shared" ref="H99:H104" si="94">N99/F99*(1+$D$31)</f>
        <v>0</v>
      </c>
      <c r="I99" s="576">
        <v>1E-3</v>
      </c>
      <c r="J99" s="486">
        <v>0</v>
      </c>
      <c r="K99" s="48"/>
      <c r="L99" s="485">
        <v>1</v>
      </c>
      <c r="M99" s="485">
        <f>IF(C99="","",SUMIFS(Energy_Balance!I$56:I$160,Energy_Balance!$C$56:$C$160,C99,Energy_Balance!$D$56:$D$160,D99)*L99)</f>
        <v>0</v>
      </c>
      <c r="N99" s="485">
        <f>E99*M99</f>
        <v>0</v>
      </c>
      <c r="O99" s="25"/>
      <c r="P99" s="601">
        <f t="shared" ref="P99:P104" si="95">E99</f>
        <v>0.95</v>
      </c>
      <c r="Q99" s="360">
        <f>IF($AO99="","",($S99-$P99)*1/3+$P99)</f>
        <v>0.95</v>
      </c>
      <c r="R99" s="360">
        <f>IF($AO99="","",($S99-$P99)*2/3+$P99)</f>
        <v>0.95</v>
      </c>
      <c r="S99" s="360">
        <f>IF($AO99="","",IF($AO99="*",$AP99*(1+$P$29),E99))</f>
        <v>0.95</v>
      </c>
      <c r="T99" s="203"/>
      <c r="U99" s="272"/>
      <c r="V99" s="63">
        <f>(IFERROR(IF(N99/(SUMIF(RES!$D$39:$D$146,D99,$N$39:$N$146))=1,1,(N99/(SUMIF(RES!$D$39:$D$146,D99,$N$39:$N$146))+$V$28)),0))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07">
        <f>MIN(1,$V99*(1+'Census 2011_17'!F$20)+AA$28*2.5)</f>
        <v>0.10117455138662317</v>
      </c>
      <c r="AB99" s="607">
        <f>MIN(1,$V99*(1+'Census 2011_17'!G$20)+AB$28*2.5)</f>
        <v>0.25117455138662315</v>
      </c>
      <c r="AC99" s="607">
        <f>MIN(1,$V99*(1+'Census 2011_17'!H$20)+AC$28*3)</f>
        <v>0.54117455138662318</v>
      </c>
      <c r="AD99" s="272"/>
      <c r="AE99" s="607">
        <f>MAX((IFERROR(IF($N99/(SUMIF(RES!$D$39:$D$146,$D99,$N$39:$N$146))=1,1,($N99/(SUMIF(RES!$D$39:$D$146,$D99,$N$39:$N$146))-AE$28)),0)),0)</f>
        <v>0</v>
      </c>
      <c r="AF99" s="607">
        <f>MAX((IFERROR(IF($N99/(SUMIF(RES!$D$39:$D$146,$D99,$N$39:$N$146))=1,1,($N99/(SUMIF(RES!$D$39:$D$146,$D99,$N$39:$N$146))-AF$28)),0)),0)</f>
        <v>0</v>
      </c>
      <c r="AG99" s="607">
        <f>MAX((IFERROR(IF($N99/(SUMIF(RES!$D$39:$D$146,$D99,$N$39:$N$146))=1,1,($N99/(SUMIF(RES!$D$39:$D$146,$D99,$N$39:$N$146))-AG$28)),0)),0)</f>
        <v>0</v>
      </c>
      <c r="AH99" s="607">
        <f>MAX((IFERROR(IF($N99/(SUMIF(RES!$D$39:$D$146,$D99,$N$39:$N$146))=1,1,($N99/(SUMIF(RES!$D$39:$D$146,$D99,$N$39:$N$146))-AH$28)),0)),0)</f>
        <v>0</v>
      </c>
      <c r="AI99" s="607">
        <f>MAX((IFERROR(IF($N99/(SUMIF(RES!$D$39:$D$146,$D99,$N$39:$N$146))=1,1,($N99/(SUMIF(RES!$D$39:$D$146,$D99,$N$39:$N$146))-AI$28)),0)),0)</f>
        <v>0</v>
      </c>
      <c r="AJ99" s="607">
        <f>MAX((IFERROR(IF($N99/(SUMIF(RES!$D$39:$D$146,$D99,$N$39:$N$146))=1,1,($N99/(SUMIF(RES!$D$39:$D$146,$D99,$N$39:$N$146))-AJ$28)),0)),0)</f>
        <v>0</v>
      </c>
      <c r="AK99" s="607">
        <f>MAX((IFERROR(IF($N99/(SUMIF(RES!$D$39:$D$146,$D99,$N$39:$N$146))=1,1,($N99/(SUMIF(RES!$D$39:$D$146,$D99,$N$39:$N$146))-AK$28)),0)),0)</f>
        <v>0</v>
      </c>
      <c r="AL99" s="607">
        <f>MAX((IFERROR(IF($N99/(SUMIF(RES!$D$39:$D$146,$D99,$N$39:$N$146))=1,1,($N99/(SUMIF(RES!$D$39:$D$146,$D99,$N$39:$N$146))-AL$28)),0)),0)</f>
        <v>0</v>
      </c>
      <c r="AM99"/>
      <c r="AN99"/>
      <c r="AO99" s="179" t="s">
        <v>484</v>
      </c>
      <c r="AP99" s="496">
        <f t="shared" ref="AP99:AP104" si="96">E99</f>
        <v>0.95</v>
      </c>
      <c r="AQ99"/>
      <c r="AR99"/>
      <c r="AS99"/>
      <c r="AT99"/>
      <c r="AU99"/>
      <c r="AV99"/>
      <c r="AW99"/>
      <c r="AX99"/>
      <c r="AY99"/>
      <c r="AZ99"/>
      <c r="BA99"/>
      <c r="BB99"/>
      <c r="BC99"/>
      <c r="BD99"/>
    </row>
    <row r="100" spans="1:56" ht="15.5" outlineLevel="1">
      <c r="A100" s="108" t="s">
        <v>977</v>
      </c>
      <c r="B100" s="30" t="s">
        <v>355</v>
      </c>
      <c r="C100" s="43" t="s">
        <v>231</v>
      </c>
      <c r="D100" s="43" t="s">
        <v>251</v>
      </c>
      <c r="E100" s="486">
        <v>0.56999999999999995</v>
      </c>
      <c r="F100" s="557">
        <v>1</v>
      </c>
      <c r="G100" s="557">
        <v>1</v>
      </c>
      <c r="H100" s="557">
        <f t="shared" si="94"/>
        <v>1.2469374353886715</v>
      </c>
      <c r="I100" s="576">
        <v>1E-3</v>
      </c>
      <c r="J100" s="486">
        <v>0</v>
      </c>
      <c r="K100" s="48"/>
      <c r="L100" s="485">
        <v>1</v>
      </c>
      <c r="M100" s="485">
        <f>IF(C100="","",SUMIFS(Energy_Balance!I$56:I$160,Energy_Balance!$C$56:$C$160,C100,Energy_Balance!$D$56:$D$160,D100)*L100)</f>
        <v>2.1876095357695995</v>
      </c>
      <c r="N100" s="485">
        <f t="shared" ref="N100:N129" si="97">E100*M100</f>
        <v>1.2469374353886715</v>
      </c>
      <c r="O100" s="25"/>
      <c r="P100" s="601">
        <f t="shared" si="95"/>
        <v>0.56999999999999995</v>
      </c>
      <c r="Q100" s="360">
        <f>IF($AO100="","",($S100-$P100)*1/3+$P100)</f>
        <v>0.56999999999999995</v>
      </c>
      <c r="R100" s="360">
        <f>IF($AO100="","",($S100-$P100)*2/3+$P100)</f>
        <v>0.56999999999999995</v>
      </c>
      <c r="S100" s="360">
        <f>IF($AO100="","",IF($AO100="*",$AP100*(1+$P$29),E100))</f>
        <v>0.56999999999999995</v>
      </c>
      <c r="T100" s="203"/>
      <c r="U100" s="272"/>
      <c r="V100" s="63">
        <f>IF((IFERROR(IF(N100/(SUMIF(RES!$D$39:$D$146,D100,$N$39:$N$146))=1,1,(N100/(SUMIF(RES!$D$39:$D$146,D100,$N$39:$N$146))+$V$29)),0))&lt;1,(IFERROR(IF(N100/(SUMIF(RES!$D$39:$D$146,D100,$N$39:$N$146))=1,1,(N100/(SUMIF(RES!$D$39:$D$146,D100,$N$39:$N$146))+$V$29)),0)),1)</f>
        <v>0.23476799219359945</v>
      </c>
      <c r="W100" s="63">
        <f>$V100-$V$99*'Census 2011_17'!B$20*RES!$V100/(1-RES!$V$99)+RES!W$29</f>
        <v>0.23975764132757971</v>
      </c>
      <c r="X100" s="63">
        <f>$V100-$V$99*'Census 2011_17'!C$20*RES!$V100/(1-RES!$V$99)+RES!X$29</f>
        <v>0.23774997401941694</v>
      </c>
      <c r="Y100" s="63">
        <f>$V100-$V$99*'Census 2011_17'!D$20*RES!$V100/(1-RES!$V$99)+RES!Y$29</f>
        <v>0.23774230671125418</v>
      </c>
      <c r="Z100" s="63">
        <f>$V100-$V$99*'Census 2011_17'!E$20*RES!$V100/(1-RES!$V$99)+RES!Z$29</f>
        <v>0.23723463940309142</v>
      </c>
      <c r="AA100" s="63">
        <f>$V100-$V$99*'Census 2011_17'!F$20*RES!$V100/(1-RES!$V$99)+RES!AA$29</f>
        <v>0.23472697209492865</v>
      </c>
      <c r="AB100" s="63">
        <f>$V100-$V$99*'Census 2011_17'!G$20*RES!$V100/(1-RES!$V$99)+RES!AB$29</f>
        <v>0.23472697209492865</v>
      </c>
      <c r="AC100" s="63">
        <f>$V100-$V$99*'Census 2011_17'!H$20*RES!$V100/(1-RES!$V$99)+RES!AC$29</f>
        <v>0.23472697209492865</v>
      </c>
      <c r="AD100" s="272"/>
      <c r="AE100" s="63">
        <f>(IFERROR(IF($N100/(SUMIF(RES!$D$39:$D$146,$D100,$N$39:$N$146))=1,1,($N100/(SUMIF(RES!$D$39:$D$146,$D100,$N$39:$N$146)))),0))-AE$29</f>
        <v>0.23366799219359946</v>
      </c>
      <c r="AF100" s="63">
        <f>IF(W100-AF$29&lt;0,0,W100-AF$29*2)</f>
        <v>0.2297576413275797</v>
      </c>
      <c r="AG100" s="63">
        <f t="shared" ref="AG100:AI100" si="98">IF(X100-AG$29&lt;0,0,X100-AG$29*2)</f>
        <v>0.23074997401941694</v>
      </c>
      <c r="AH100" s="63">
        <f t="shared" si="98"/>
        <v>0.21774230671125419</v>
      </c>
      <c r="AI100" s="63">
        <f t="shared" si="98"/>
        <v>0.21723463940309143</v>
      </c>
      <c r="AJ100" s="607">
        <f>AI100*0.5</f>
        <v>0.10861731970154571</v>
      </c>
      <c r="AK100" s="607">
        <f>AJ100*0.5</f>
        <v>5.4308659850772857E-2</v>
      </c>
      <c r="AL100" s="607">
        <v>0</v>
      </c>
      <c r="AO100" s="179" t="s">
        <v>484</v>
      </c>
      <c r="AP100" s="496">
        <f t="shared" si="96"/>
        <v>0.56999999999999995</v>
      </c>
    </row>
    <row r="101" spans="1:56" ht="15.5" outlineLevel="1">
      <c r="A101" s="108" t="s">
        <v>978</v>
      </c>
      <c r="B101" s="30" t="s">
        <v>356</v>
      </c>
      <c r="C101" s="43" t="s">
        <v>232</v>
      </c>
      <c r="D101" s="43" t="s">
        <v>251</v>
      </c>
      <c r="E101" s="486">
        <v>0.25</v>
      </c>
      <c r="F101" s="557">
        <v>1</v>
      </c>
      <c r="G101" s="557">
        <v>1</v>
      </c>
      <c r="H101" s="557">
        <f t="shared" si="94"/>
        <v>1.4859785860409809</v>
      </c>
      <c r="I101" s="576">
        <v>1E-3</v>
      </c>
      <c r="J101" s="486">
        <v>0</v>
      </c>
      <c r="K101" s="48"/>
      <c r="L101" s="485">
        <v>1</v>
      </c>
      <c r="M101" s="485">
        <f>IF(C101="","",SUMIFS(Energy_Balance!I$56:I$160,Energy_Balance!$C$56:$C$160,C101,Energy_Balance!$D$56:$D$160,D101)*L101)</f>
        <v>5.9439143441639235</v>
      </c>
      <c r="N101" s="485">
        <f t="shared" si="97"/>
        <v>1.4859785860409809</v>
      </c>
      <c r="O101" s="25"/>
      <c r="P101" s="601">
        <f t="shared" si="95"/>
        <v>0.25</v>
      </c>
      <c r="Q101" s="360">
        <f>IF($AO101="","",($S101-$P101)*1/3+$P101)</f>
        <v>0.25</v>
      </c>
      <c r="R101" s="360">
        <f>IF($AO101="","",($S101-$P101)*2/3+$P101)</f>
        <v>0.25</v>
      </c>
      <c r="S101" s="360">
        <f>IF($AO101="","",IF($AO101="*",$AP101*(1+$P$29),E101))</f>
        <v>0.25</v>
      </c>
      <c r="T101" s="203"/>
      <c r="U101" s="272"/>
      <c r="V101" s="63">
        <f>IF((IFERROR(IF(N101/(SUMIF(RES!$D$39:$D$146,D101,$N$39:$N$146))=1,1,(N101/(SUMIF(RES!$D$39:$D$146,D101,$N$39:$N$146))+$V$29)),0))&lt;1,(IFERROR(IF(N101/(SUMIF(RES!$D$39:$D$146,D101,$N$39:$N$146))=1,1,(N101/(SUMIF(RES!$D$39:$D$146,D101,$N$39:$N$146))+$V$29)),0)),1)</f>
        <v>0.2795819245158897</v>
      </c>
      <c r="W101" s="63">
        <f>$V101-$V$99*'Census 2011_17'!B$20*RES!$V101/(1-RES!$V$99)+RES!W$29</f>
        <v>0.28456959781404606</v>
      </c>
      <c r="X101" s="63">
        <f>$V101-$V$99*'Census 2011_17'!C$20*RES!$V101/(1-RES!$V$99)+RES!X$29</f>
        <v>0.2825604669237915</v>
      </c>
      <c r="Y101" s="63">
        <f>$V101-$V$99*'Census 2011_17'!D$20*RES!$V101/(1-RES!$V$99)+RES!Y$29</f>
        <v>0.28255133603353694</v>
      </c>
      <c r="Z101" s="63">
        <f>$V101-$V$99*'Census 2011_17'!E$20*RES!$V101/(1-RES!$V$99)+RES!Z$29</f>
        <v>0.28204220514328238</v>
      </c>
      <c r="AA101" s="607">
        <f>MIN(1,$V101*(1+'Census 2011_17'!F$20)+AA$28)</f>
        <v>0.36838333711491122</v>
      </c>
      <c r="AB101" s="607">
        <f>MIN(1,$V101*(1+'Census 2011_17'!G$20)+AB$28)</f>
        <v>0.42838333711491128</v>
      </c>
      <c r="AC101" s="607">
        <f>MIN(1,$V101*(1+'Census 2011_17'!H$20)+AC$28)</f>
        <v>0.50838333711491124</v>
      </c>
      <c r="AD101" s="272"/>
      <c r="AE101" s="63">
        <f>(IFERROR(IF($N101/(SUMIF(RES!$D$39:$D$146,$D101,$N$39:$N$146))=1,1,($N101/(SUMIF(RES!$D$39:$D$146,$D101,$N$39:$N$146)))),0))-AE$29</f>
        <v>0.27848192451588971</v>
      </c>
      <c r="AF101" s="63">
        <f>IF(W101-AF$29&lt;0,0,W101-AF$29*2)</f>
        <v>0.27456959781404605</v>
      </c>
      <c r="AG101" s="63">
        <f t="shared" ref="AG101:AG102" si="99">IF(X101-AG$29&lt;0,0,X101-AG$29*2)</f>
        <v>0.27556046692379149</v>
      </c>
      <c r="AH101" s="63">
        <f t="shared" ref="AH101:AH102" si="100">IF(Y101-AH$29&lt;0,0,Y101-AH$29*2)</f>
        <v>0.26255133603353692</v>
      </c>
      <c r="AI101" s="63">
        <f t="shared" ref="AI101:AI102" si="101">IF(Z101-AI$29&lt;0,0,Z101-AI$29*2)</f>
        <v>0.26204220514328236</v>
      </c>
      <c r="AJ101" s="607">
        <v>0.32895047041589742</v>
      </c>
      <c r="AK101" s="607">
        <v>0.30595047041589746</v>
      </c>
      <c r="AL101" s="607">
        <v>0.30095047041589745</v>
      </c>
      <c r="AO101" s="179" t="s">
        <v>484</v>
      </c>
      <c r="AP101" s="496">
        <f t="shared" si="96"/>
        <v>0.25</v>
      </c>
    </row>
    <row r="102" spans="1:56" s="14" customFormat="1" ht="15.5" outlineLevel="1">
      <c r="A102" s="246" t="s">
        <v>979</v>
      </c>
      <c r="B102" s="246" t="s">
        <v>384</v>
      </c>
      <c r="C102" s="247" t="s">
        <v>233</v>
      </c>
      <c r="D102" s="247" t="s">
        <v>251</v>
      </c>
      <c r="E102" s="486">
        <v>0.25</v>
      </c>
      <c r="F102" s="557">
        <v>1</v>
      </c>
      <c r="G102" s="557">
        <v>1</v>
      </c>
      <c r="H102" s="557">
        <f t="shared" si="94"/>
        <v>0.2429199621234093</v>
      </c>
      <c r="I102" s="576">
        <v>1E-3</v>
      </c>
      <c r="J102" s="486">
        <v>0</v>
      </c>
      <c r="K102" s="48"/>
      <c r="L102" s="485">
        <v>1</v>
      </c>
      <c r="M102" s="485">
        <f>IF(C102="","",SUMIFS(Energy_Balance!I$56:I$160,Energy_Balance!$C$56:$C$160,C102,Energy_Balance!$D$56:$D$160,D102)*L102)</f>
        <v>0.9716798484936372</v>
      </c>
      <c r="N102" s="485">
        <f t="shared" ref="N102" si="102">E102*M102</f>
        <v>0.2429199621234093</v>
      </c>
      <c r="O102" s="25"/>
      <c r="P102" s="601">
        <f t="shared" si="95"/>
        <v>0.25</v>
      </c>
      <c r="Q102" s="360">
        <f>IF($AO102="","",($S102-$P102)*1/3+$P102)</f>
        <v>0.25</v>
      </c>
      <c r="R102" s="360">
        <f>IF($AO102="","",($S102-$P102)*2/3+$P102)</f>
        <v>0.25</v>
      </c>
      <c r="S102" s="360">
        <f>IF($AO102="","",IF($AO102="*",$AP102*(1+$P$29),E102))</f>
        <v>0.25</v>
      </c>
      <c r="T102" s="203"/>
      <c r="U102" s="272"/>
      <c r="V102" s="63">
        <f>IF((IFERROR(IF(N102/(SUMIF(RES!$D$39:$D$146,D102,$N$39:$N$146))=1,1,(N102/(SUMIF(RES!$D$39:$D$146,D102,$N$39:$N$146))+$V$29)),0))&lt;1,(IFERROR(IF(N102/(SUMIF(RES!$D$39:$D$146,D102,$N$39:$N$146))=1,1,(N102/(SUMIF(RES!$D$39:$D$146,D102,$N$39:$N$146))+$V$29)),0)),1)</f>
        <v>4.654110751485626E-2</v>
      </c>
      <c r="W102" s="63">
        <f>$V102-$V$99*'Census 2011_17'!B$20*RES!$V102/(1-RES!$V$99)+RES!W$29</f>
        <v>5.1539055528280933E-2</v>
      </c>
      <c r="X102" s="63">
        <f>$V102-$V$99*'Census 2011_17'!C$20*RES!$V102/(1-RES!$V$99)+RES!X$29</f>
        <v>4.9537535538225146E-2</v>
      </c>
      <c r="Y102" s="63">
        <f>$V102-$V$99*'Census 2011_17'!D$20*RES!$V102/(1-RES!$V$99)+RES!Y$29</f>
        <v>4.9536015548169353E-2</v>
      </c>
      <c r="Z102" s="63">
        <f>$V102-$V$99*'Census 2011_17'!E$20*RES!$V102/(1-RES!$V$99)+RES!Z$29</f>
        <v>4.903449555811356E-2</v>
      </c>
      <c r="AA102" s="63">
        <f>$V102-$V$99*'Census 2011_17'!F$20*RES!$V102/(1-RES!$V$99)+RES!AA$29</f>
        <v>4.6532975568057765E-2</v>
      </c>
      <c r="AB102" s="63">
        <f>$V102-$V$99*'Census 2011_17'!G$20*RES!$V102/(1-RES!$V$99)+RES!AB$29</f>
        <v>4.6532975568057765E-2</v>
      </c>
      <c r="AC102" s="63">
        <f>$V102-$V$99*'Census 2011_17'!H$20*RES!$V102/(1-RES!$V$99)+RES!AC$29</f>
        <v>4.6532975568057765E-2</v>
      </c>
      <c r="AD102" s="272"/>
      <c r="AE102" s="63">
        <f>(IFERROR(IF($N102/(SUMIF(RES!$D$39:$D$146,$D102,$N$39:$N$146))=1,1,($N102/(SUMIF(RES!$D$39:$D$146,$D102,$N$39:$N$146)))),0))-AE$29</f>
        <v>4.5441107514856256E-2</v>
      </c>
      <c r="AF102" s="63">
        <f>IF(W102-AF$29&lt;0,0,W102-AF$29*2)</f>
        <v>4.1539055528280931E-2</v>
      </c>
      <c r="AG102" s="63">
        <f t="shared" si="99"/>
        <v>4.2537535538225146E-2</v>
      </c>
      <c r="AH102" s="63">
        <f t="shared" si="100"/>
        <v>2.9536015548169352E-2</v>
      </c>
      <c r="AI102" s="63">
        <f t="shared" si="101"/>
        <v>2.9034495558113559E-2</v>
      </c>
      <c r="AJ102" s="63">
        <f t="shared" ref="AJ102" si="103">IF(AA102-AJ$29&lt;0,0,AA102-AJ$29*2)</f>
        <v>2.4532975568057766E-2</v>
      </c>
      <c r="AK102" s="63">
        <f t="shared" ref="AK102" si="104">IF(AB102-AK$29&lt;0,0,AB102-AK$29*2)</f>
        <v>1.5329755680577664E-3</v>
      </c>
      <c r="AL102" s="607">
        <v>0</v>
      </c>
      <c r="AM102"/>
      <c r="AN102"/>
      <c r="AO102" s="179" t="s">
        <v>484</v>
      </c>
      <c r="AP102" s="496">
        <f t="shared" si="96"/>
        <v>0.25</v>
      </c>
      <c r="AQ102"/>
      <c r="AS102"/>
      <c r="AT102"/>
      <c r="AU102"/>
      <c r="AV102"/>
      <c r="AW102"/>
      <c r="AX102"/>
      <c r="AY102"/>
      <c r="AZ102"/>
      <c r="BA102"/>
      <c r="BB102"/>
      <c r="BC102"/>
      <c r="BD102"/>
    </row>
    <row r="103" spans="1:56" ht="15.5" outlineLevel="1">
      <c r="A103" s="108" t="s">
        <v>980</v>
      </c>
      <c r="B103" s="30" t="s">
        <v>357</v>
      </c>
      <c r="C103" s="43" t="s">
        <v>230</v>
      </c>
      <c r="D103" s="43" t="s">
        <v>251</v>
      </c>
      <c r="E103" s="486">
        <v>0.61</v>
      </c>
      <c r="F103" s="557">
        <v>1</v>
      </c>
      <c r="G103" s="557">
        <v>1</v>
      </c>
      <c r="H103" s="557">
        <f t="shared" si="94"/>
        <v>2.3582451440120686</v>
      </c>
      <c r="I103" s="576">
        <v>1E-3</v>
      </c>
      <c r="J103" s="486">
        <v>0</v>
      </c>
      <c r="K103" s="48"/>
      <c r="L103" s="485">
        <v>1</v>
      </c>
      <c r="M103" s="485">
        <f>IF(C103="","",SUMIFS(Energy_Balance!I$56:I$160,Energy_Balance!$C$56:$C$160,C103,Energy_Balance!$D$56:$D$160,D103)*L103)</f>
        <v>3.8659756459214241</v>
      </c>
      <c r="N103" s="485">
        <f t="shared" si="97"/>
        <v>2.3582451440120686</v>
      </c>
      <c r="O103" s="25"/>
      <c r="P103" s="601">
        <f t="shared" si="95"/>
        <v>0.61</v>
      </c>
      <c r="Q103" s="360">
        <f>IF($AO103="","",($R103-$AP103)*15/25+$AP103)</f>
        <v>0.61</v>
      </c>
      <c r="R103" s="360">
        <f>IF($AO103="","",IF($AO103="*",$AP103*(1+$P$29),E103))</f>
        <v>0.61</v>
      </c>
      <c r="S103" s="360">
        <f t="shared" ref="S103:S104" si="105">R103</f>
        <v>0.61</v>
      </c>
      <c r="T103" s="203"/>
      <c r="U103" s="272"/>
      <c r="V103" s="63">
        <f>(IFERROR(IF(N103/(SUMIF(RES!$D$39:$D$146,D103,$N$39:$N$146))=1,1,(N103/(SUMIF(RES!$D$39:$D$146,D103,$N$39:$N$146))+$V$28)),0))</f>
        <v>0.44310897577565461</v>
      </c>
      <c r="W103" s="63">
        <f>$V103-$V$99*'Census 2011_17'!B$20*RES!$V103/(1-RES!$V$99)+RES!W$29</f>
        <v>0.44808943920426114</v>
      </c>
      <c r="X103" s="63">
        <f>$V103-$V$99*'Census 2011_17'!C$20*RES!$V103/(1-RES!$V$99)+RES!X$29</f>
        <v>0.44607496766989557</v>
      </c>
      <c r="Y103" s="63">
        <f>$V103-$V$99*'Census 2011_17'!D$20*RES!$V103/(1-RES!$V$99)+RES!Y$29</f>
        <v>0.44606049613553006</v>
      </c>
      <c r="Z103" s="63">
        <f>$V103-$V$99*'Census 2011_17'!E$20*RES!$V103/(1-RES!$V$99)+RES!Z$29</f>
        <v>0.44554602460116449</v>
      </c>
      <c r="AA103" s="63">
        <f>$V103-$V$99*'Census 2011_17'!F$20*RES!$V103/(1-RES!$V$99)+RES!AA$29</f>
        <v>0.44303155306679892</v>
      </c>
      <c r="AB103" s="63">
        <f>$V103-$V$99*'Census 2011_17'!G$20*RES!$V103/(1-RES!$V$99)+RES!AB$29</f>
        <v>0.44303155306679892</v>
      </c>
      <c r="AC103" s="63">
        <f>$V103-$V$99*'Census 2011_17'!H$20*RES!$V103/(1-RES!$V$99)+RES!AC$29</f>
        <v>0.44303155306679892</v>
      </c>
      <c r="AD103" s="272"/>
      <c r="AE103" s="63">
        <f>(IFERROR(IF($N103/(SUMIF(RES!$D$39:$D$146,$D103,$N$39:$N$146))=1,1,($N103/(SUMIF(RES!$D$39:$D$146,$D103,$N$39:$N$146)))),0))-AE$29</f>
        <v>0.44200897577565462</v>
      </c>
      <c r="AF103" s="607">
        <f>MIN(W103-0.5%,$AE103*(1+'Census 2011_17'!B$20)-AF$28)</f>
        <v>0.44308943920426114</v>
      </c>
      <c r="AG103" s="607">
        <f>MIN(X103-0.5%,$AE103*(1+'Census 2011_17'!C$20)-AG$28)</f>
        <v>0.44107496766989557</v>
      </c>
      <c r="AH103" s="607">
        <f>MIN(Y103-0.5%,$AE103*(1+'Census 2011_17'!D$20)-AH$28)</f>
        <v>0.44106049613553006</v>
      </c>
      <c r="AI103" s="607">
        <f>MIN(Z103-0.5%,$AE103*(1+'Census 2011_17'!E$20)-AI$28)</f>
        <v>0.44054602460116449</v>
      </c>
      <c r="AJ103" s="607">
        <f>AI103*0.5</f>
        <v>0.22027301230058224</v>
      </c>
      <c r="AK103" s="607">
        <f>AJ103*0.5</f>
        <v>0.11013650615029112</v>
      </c>
      <c r="AL103" s="607">
        <v>0</v>
      </c>
      <c r="AO103" s="179" t="s">
        <v>484</v>
      </c>
      <c r="AP103" s="496">
        <f t="shared" si="96"/>
        <v>0.61</v>
      </c>
      <c r="AR103" s="1" t="s">
        <v>1058</v>
      </c>
    </row>
    <row r="104" spans="1:56" s="157" customFormat="1" ht="17.149999999999999" customHeight="1" outlineLevel="1">
      <c r="A104" s="108" t="s">
        <v>981</v>
      </c>
      <c r="B104" s="30" t="s">
        <v>358</v>
      </c>
      <c r="C104" s="43" t="s">
        <v>161</v>
      </c>
      <c r="D104" s="43" t="s">
        <v>251</v>
      </c>
      <c r="E104" s="486">
        <v>0.86</v>
      </c>
      <c r="F104" s="557">
        <v>1</v>
      </c>
      <c r="G104" s="557">
        <v>1</v>
      </c>
      <c r="H104" s="557">
        <f t="shared" si="94"/>
        <v>0</v>
      </c>
      <c r="I104" s="576">
        <v>1E-3</v>
      </c>
      <c r="J104" s="486">
        <v>0</v>
      </c>
      <c r="K104" s="48"/>
      <c r="L104" s="485">
        <v>0</v>
      </c>
      <c r="M104" s="485">
        <f>IF(C104="","",SUMIFS(Energy_Balance!I$56:I$160,Energy_Balance!$C$56:$C$160,C104,Energy_Balance!$D$56:$D$160,D104)*L104)</f>
        <v>0</v>
      </c>
      <c r="N104" s="485">
        <f t="shared" si="97"/>
        <v>0</v>
      </c>
      <c r="O104" s="25"/>
      <c r="P104" s="601">
        <f t="shared" si="95"/>
        <v>0.86</v>
      </c>
      <c r="Q104" s="360">
        <f>IF($AO104="","",($R104-$AP104)*15/25+$AP104)</f>
        <v>0.86</v>
      </c>
      <c r="R104" s="360">
        <f>IF($AO104="","",IF($AO104="*",$AP104*(1+$P$29),E104))</f>
        <v>0.86</v>
      </c>
      <c r="S104" s="360">
        <f t="shared" si="105"/>
        <v>0.86</v>
      </c>
      <c r="T104" s="203"/>
      <c r="U104" s="272"/>
      <c r="V104" s="63">
        <f>IF((IFERROR(IF(N104/(SUMIF(RES!$D$39:$D$146,D104,$N$39:$N$146))=1,1,(N104/(SUMIF(RES!$D$39:$D$146,D104,$N$39:$N$146))+$V$29)),0))&lt;1,(IFERROR(IF(N104/(SUMIF(RES!$D$39:$D$146,D104,$N$39:$N$146))=1,1,(N104/(SUMIF(RES!$D$39:$D$146,D104,$N$39:$N$146))+$V$29)),0)),1)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0.10117455138662317</v>
      </c>
      <c r="AC104" s="63">
        <f>IF($V104*(1+'Census 2011_17'!H$20)+AC$28&lt;1,$V104*(1+'Census 2011_17'!H$20)+AC$28,1)</f>
        <v>0.18117455138662317</v>
      </c>
      <c r="AD104" s="272"/>
      <c r="AE104" s="50">
        <v>0</v>
      </c>
      <c r="AF104" s="50">
        <v>0</v>
      </c>
      <c r="AG104" s="50">
        <v>0</v>
      </c>
      <c r="AH104" s="50">
        <v>0</v>
      </c>
      <c r="AI104" s="50">
        <v>0</v>
      </c>
      <c r="AJ104" s="50">
        <f t="shared" ref="AJ104:AL104" si="106">AI104</f>
        <v>0</v>
      </c>
      <c r="AK104" s="50">
        <f t="shared" si="106"/>
        <v>0</v>
      </c>
      <c r="AL104" s="50">
        <f t="shared" si="106"/>
        <v>0</v>
      </c>
      <c r="AM104"/>
      <c r="AN104"/>
      <c r="AO104" s="179" t="s">
        <v>484</v>
      </c>
      <c r="AP104" s="496">
        <f t="shared" si="96"/>
        <v>0.86</v>
      </c>
      <c r="AQ104"/>
      <c r="AR104"/>
      <c r="AS104"/>
      <c r="AT104"/>
      <c r="AU104"/>
      <c r="AV104"/>
      <c r="AW104"/>
      <c r="AX104"/>
      <c r="AY104"/>
      <c r="AZ104"/>
      <c r="BA104"/>
      <c r="BB104"/>
      <c r="BC104"/>
      <c r="BD104"/>
    </row>
    <row r="105" spans="1:56" s="191" customFormat="1" ht="15.5" outlineLevel="1">
      <c r="A105" s="524" t="s">
        <v>926</v>
      </c>
      <c r="B105" s="525"/>
      <c r="C105" s="526"/>
      <c r="D105" s="526"/>
      <c r="E105" s="527" t="str">
        <f>IF(D105="","",IF(COUNTIF(#REF!,$B105)=1,SUMIF(#REF!,RES!B105,#REF!),SUMIF(#REF!,RES!$B105,#REF!)))</f>
        <v/>
      </c>
      <c r="F105" s="527"/>
      <c r="G105" s="527"/>
      <c r="H105" s="527"/>
      <c r="I105" s="577"/>
      <c r="J105" s="527"/>
      <c r="K105" s="528"/>
      <c r="L105" s="529"/>
      <c r="M105" s="529">
        <f>SUM(M99:M104)</f>
        <v>12.969179374348585</v>
      </c>
      <c r="N105" s="529">
        <f>SUM(N99:N104)</f>
        <v>5.3340811275651303</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107">SUM(W99:W104)</f>
        <v>1.0280438252281647</v>
      </c>
      <c r="X105" s="533">
        <f t="shared" si="107"/>
        <v>1.0230762883601383</v>
      </c>
      <c r="Y105" s="533">
        <f t="shared" si="107"/>
        <v>1.0241087514921121</v>
      </c>
      <c r="Z105" s="533">
        <f t="shared" si="107"/>
        <v>1.0561412146240858</v>
      </c>
      <c r="AA105" s="533">
        <f t="shared" si="107"/>
        <v>1.2350239406179429</v>
      </c>
      <c r="AB105" s="533">
        <f t="shared" si="107"/>
        <v>1.5050239406179429</v>
      </c>
      <c r="AC105" s="533">
        <f t="shared" si="107"/>
        <v>1.9550239406179428</v>
      </c>
      <c r="AD105" s="533"/>
      <c r="AE105" s="533">
        <f>SUM(AE99:AE104)</f>
        <v>0.99960000000000004</v>
      </c>
      <c r="AF105" s="533">
        <f t="shared" ref="AF105:AL105" si="108">SUM(AF99:AF104)</f>
        <v>0.98895573387416791</v>
      </c>
      <c r="AG105" s="533">
        <f t="shared" si="108"/>
        <v>0.98992294415132909</v>
      </c>
      <c r="AH105" s="533">
        <f t="shared" si="108"/>
        <v>0.95089015442849045</v>
      </c>
      <c r="AI105" s="533">
        <f t="shared" si="108"/>
        <v>0.94885736470565174</v>
      </c>
      <c r="AJ105" s="533">
        <f t="shared" si="108"/>
        <v>0.68237377798608312</v>
      </c>
      <c r="AK105" s="533">
        <f t="shared" si="108"/>
        <v>0.47192861198501923</v>
      </c>
      <c r="AL105" s="533">
        <f t="shared" si="108"/>
        <v>0.30095047041589745</v>
      </c>
    </row>
    <row r="106" spans="1:56" s="232" customFormat="1" ht="15.5">
      <c r="A106" s="537" t="s">
        <v>982</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4"/>
      <c r="AF106" s="594"/>
      <c r="AG106" s="554"/>
      <c r="AH106" s="554"/>
      <c r="AI106" s="554"/>
      <c r="AJ106" s="554"/>
      <c r="AK106" s="554"/>
      <c r="AL106" s="554"/>
      <c r="AO106" s="546"/>
    </row>
    <row r="107" spans="1:56" s="165" customFormat="1" ht="15.5" outlineLevel="1">
      <c r="A107" s="108" t="s">
        <v>983</v>
      </c>
      <c r="B107" s="30" t="s">
        <v>359</v>
      </c>
      <c r="C107" s="43" t="s">
        <v>229</v>
      </c>
      <c r="D107" s="43" t="s">
        <v>252</v>
      </c>
      <c r="E107" s="494">
        <f>INDEX('Electrical efficiency'!$L$8:$L$23,MATCH(RES!D107,'Electrical efficiency'!$K$8:$K$23,0))</f>
        <v>0.64200000000000002</v>
      </c>
      <c r="F107" s="557">
        <v>1</v>
      </c>
      <c r="G107" s="557">
        <v>1</v>
      </c>
      <c r="H107" s="557">
        <f>N107/F107*(1+$D$31)</f>
        <v>6.3166247598023233</v>
      </c>
      <c r="I107" s="576">
        <v>1E-3</v>
      </c>
      <c r="J107" s="486">
        <v>0</v>
      </c>
      <c r="K107" s="48" t="s">
        <v>889</v>
      </c>
      <c r="L107" s="485">
        <v>1</v>
      </c>
      <c r="M107" s="485">
        <f>IF(C107="","",SUMIFS(Energy_Balance!I$56:I$160,Energy_Balance!$C$56:$C$160,C107,Energy_Balance!$D$56:$D$160,D107)*L107)</f>
        <v>9.8389793766391325</v>
      </c>
      <c r="N107" s="485">
        <f t="shared" si="97"/>
        <v>6.3166247598023233</v>
      </c>
      <c r="O107" s="25"/>
      <c r="P107" s="601">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(IFERROR(IF(N107/(SUMIF(RES!$D$39:$D$146,D107,$N$39:$N$146))=1,1,(N107/(SUMIF(RES!$D$39:$D$146,D107,$N$39:$N$146))+#REF!)),0))</f>
        <v>1</v>
      </c>
      <c r="W107" s="50">
        <f>V107</f>
        <v>1</v>
      </c>
      <c r="X107" s="50">
        <f t="shared" ref="X107:AC107" si="109">W107</f>
        <v>1</v>
      </c>
      <c r="Y107" s="50">
        <f t="shared" si="109"/>
        <v>1</v>
      </c>
      <c r="Z107" s="50">
        <f t="shared" si="109"/>
        <v>1</v>
      </c>
      <c r="AA107" s="50">
        <f t="shared" si="109"/>
        <v>1</v>
      </c>
      <c r="AB107" s="50">
        <f t="shared" si="109"/>
        <v>1</v>
      </c>
      <c r="AC107" s="50">
        <f t="shared" si="109"/>
        <v>1</v>
      </c>
      <c r="AD107" s="50"/>
      <c r="AE107" s="272">
        <f>(IFERROR(IF($N107/(SUMIF(RES!$D$39:$D$146,$D107,$N$39:$N$146))=1,1,($N107/(SUMIF(RES!$D$39:$D$146,$D107,$N$39:$N$146))-$AE$28)),0))</f>
        <v>1</v>
      </c>
      <c r="AF107" s="50">
        <f>AE107</f>
        <v>1</v>
      </c>
      <c r="AG107" s="50">
        <f t="shared" ref="AG107:AL107" si="110">AF107</f>
        <v>1</v>
      </c>
      <c r="AH107" s="50">
        <f t="shared" si="110"/>
        <v>1</v>
      </c>
      <c r="AI107" s="50">
        <f t="shared" si="110"/>
        <v>1</v>
      </c>
      <c r="AJ107" s="50">
        <f t="shared" si="110"/>
        <v>1</v>
      </c>
      <c r="AK107" s="50">
        <f t="shared" si="110"/>
        <v>1</v>
      </c>
      <c r="AL107" s="50">
        <f t="shared" si="110"/>
        <v>1</v>
      </c>
      <c r="AM107"/>
      <c r="AN107"/>
      <c r="AO107" s="249" t="s">
        <v>110</v>
      </c>
      <c r="AP107" s="496">
        <f>E107</f>
        <v>0.64200000000000002</v>
      </c>
      <c r="AQ107"/>
      <c r="AR107"/>
      <c r="AS107"/>
      <c r="AT107"/>
      <c r="AU107"/>
      <c r="AV107"/>
      <c r="AW107"/>
      <c r="AX107"/>
      <c r="AY107"/>
      <c r="AZ107"/>
      <c r="BA107"/>
      <c r="BB107"/>
      <c r="BC107"/>
      <c r="BD107"/>
    </row>
    <row r="108" spans="1:56" s="191" customFormat="1" ht="15.5" outlineLevel="1">
      <c r="A108" s="524" t="s">
        <v>926</v>
      </c>
      <c r="B108" s="525"/>
      <c r="C108" s="526"/>
      <c r="D108" s="526"/>
      <c r="E108" s="527" t="str">
        <f>IF(D108="","",IF(COUNTIF(#REF!,$B108)=1,SUMIF(#REF!,RES!B108,#REF!),SUMIF(#REF!,RES!$B108,#REF!)))</f>
        <v/>
      </c>
      <c r="F108" s="527"/>
      <c r="G108" s="527"/>
      <c r="H108" s="527"/>
      <c r="I108" s="577"/>
      <c r="J108" s="527"/>
      <c r="K108" s="528"/>
      <c r="L108" s="529"/>
      <c r="M108" s="529">
        <f>SUM(M107:M107)</f>
        <v>9.8389793766391325</v>
      </c>
      <c r="N108" s="529">
        <f>SUM(N107:N107)</f>
        <v>6.3166247598023233</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5">
      <c r="A109" s="537" t="s">
        <v>984</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4"/>
      <c r="AF109" s="554"/>
      <c r="AG109" s="554"/>
      <c r="AH109" s="554"/>
      <c r="AI109" s="554"/>
      <c r="AJ109" s="554"/>
      <c r="AK109" s="554"/>
      <c r="AL109" s="554"/>
      <c r="AO109" s="546"/>
    </row>
    <row r="110" spans="1:56" s="165" customFormat="1" ht="15.5" outlineLevel="1">
      <c r="A110" s="108" t="s">
        <v>985</v>
      </c>
      <c r="B110" s="30" t="s">
        <v>360</v>
      </c>
      <c r="C110" s="43" t="s">
        <v>229</v>
      </c>
      <c r="D110" s="43" t="s">
        <v>253</v>
      </c>
      <c r="E110" s="494">
        <f>INDEX('Electrical efficiency'!$L$8:$L$23,MATCH(RES!D110,'Electrical efficiency'!$K$8:$K$23,0))</f>
        <v>0.8</v>
      </c>
      <c r="F110" s="557">
        <v>1</v>
      </c>
      <c r="G110" s="557">
        <v>1</v>
      </c>
      <c r="H110" s="557">
        <f>N110/F110*(1+$D$31)</f>
        <v>7.6709333297459112</v>
      </c>
      <c r="I110" s="576">
        <v>1E-3</v>
      </c>
      <c r="J110" s="486">
        <v>0</v>
      </c>
      <c r="K110" s="48" t="s">
        <v>889</v>
      </c>
      <c r="L110" s="485">
        <v>1</v>
      </c>
      <c r="M110" s="485">
        <f>IF(C110="","",SUMIFS(Energy_Balance!I$56:I$160,Energy_Balance!$C$56:$C$160,C110,Energy_Balance!$D$56:$D$160,D110)*L110)</f>
        <v>9.5886666621823888</v>
      </c>
      <c r="N110" s="485">
        <f t="shared" si="97"/>
        <v>7.6709333297459112</v>
      </c>
      <c r="O110" s="25"/>
      <c r="P110" s="601">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(IFERROR(IF(N110/(SUMIF(RES!$D$39:$D$146,D110,$N$39:$N$146))=1,1,(N110/(SUMIF(RES!$D$39:$D$146,D110,$N$39:$N$146))+#REF!)),0))</f>
        <v>1</v>
      </c>
      <c r="W110" s="50">
        <f>V110</f>
        <v>1</v>
      </c>
      <c r="X110" s="50">
        <f t="shared" ref="X110:AC110" si="111">W110</f>
        <v>1</v>
      </c>
      <c r="Y110" s="50">
        <f t="shared" si="111"/>
        <v>1</v>
      </c>
      <c r="Z110" s="50">
        <f t="shared" si="111"/>
        <v>1</v>
      </c>
      <c r="AA110" s="50">
        <f t="shared" si="111"/>
        <v>1</v>
      </c>
      <c r="AB110" s="50">
        <f t="shared" si="111"/>
        <v>1</v>
      </c>
      <c r="AC110" s="50">
        <f t="shared" si="111"/>
        <v>1</v>
      </c>
      <c r="AD110" s="50"/>
      <c r="AE110" s="272">
        <f>(IFERROR(IF($N110/(SUMIF(RES!$D$39:$D$146,$D110,$N$39:$N$146))=1,1,($N110/(SUMIF(RES!$D$39:$D$146,$D110,$N$39:$N$146))-$AE$28)),0))</f>
        <v>1</v>
      </c>
      <c r="AF110" s="50">
        <f>AE110</f>
        <v>1</v>
      </c>
      <c r="AG110" s="50">
        <f t="shared" ref="AG110:AL111" si="112">AF110</f>
        <v>1</v>
      </c>
      <c r="AH110" s="50">
        <f t="shared" si="112"/>
        <v>1</v>
      </c>
      <c r="AI110" s="50">
        <f t="shared" si="112"/>
        <v>1</v>
      </c>
      <c r="AJ110" s="50">
        <f t="shared" si="112"/>
        <v>1</v>
      </c>
      <c r="AK110" s="50">
        <f t="shared" si="112"/>
        <v>1</v>
      </c>
      <c r="AL110" s="50">
        <f t="shared" si="112"/>
        <v>1</v>
      </c>
      <c r="AM110"/>
      <c r="AN110"/>
      <c r="AO110" s="249" t="s">
        <v>110</v>
      </c>
      <c r="AP110" s="496">
        <f>E110</f>
        <v>0.8</v>
      </c>
      <c r="AQ110"/>
      <c r="AR110"/>
      <c r="AS110"/>
      <c r="AT110"/>
      <c r="AU110"/>
      <c r="AV110"/>
      <c r="AW110"/>
      <c r="AX110"/>
      <c r="AY110"/>
      <c r="AZ110"/>
      <c r="BA110"/>
      <c r="BB110"/>
      <c r="BC110"/>
      <c r="BD110"/>
    </row>
    <row r="111" spans="1:56" ht="15.5" outlineLevel="1">
      <c r="A111" s="108" t="s">
        <v>986</v>
      </c>
      <c r="B111" s="30" t="s">
        <v>361</v>
      </c>
      <c r="C111" s="43" t="s">
        <v>231</v>
      </c>
      <c r="D111" s="43" t="s">
        <v>288</v>
      </c>
      <c r="E111" s="486">
        <v>1</v>
      </c>
      <c r="F111" s="557">
        <v>1</v>
      </c>
      <c r="G111" s="557">
        <v>1</v>
      </c>
      <c r="H111" s="557">
        <f>N111/F111*(1+$D$31)</f>
        <v>0</v>
      </c>
      <c r="I111" s="576">
        <v>1E-3</v>
      </c>
      <c r="J111" s="486">
        <v>0</v>
      </c>
      <c r="K111" s="48"/>
      <c r="L111" s="485">
        <v>1</v>
      </c>
      <c r="M111" s="485">
        <f>IF(C111="","",SUMIFS(Energy_Balance!I$56:I$160,Energy_Balance!$C$56:$C$160,C111,Energy_Balance!$D$56:$D$160,D111)*L111)</f>
        <v>0</v>
      </c>
      <c r="N111" s="485">
        <f t="shared" si="97"/>
        <v>0</v>
      </c>
      <c r="O111" s="25"/>
      <c r="P111" s="601">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12"/>
        <v>0</v>
      </c>
      <c r="AK111" s="50">
        <f t="shared" si="112"/>
        <v>0</v>
      </c>
      <c r="AL111" s="50">
        <f t="shared" si="112"/>
        <v>0</v>
      </c>
      <c r="AO111" s="21" t="s">
        <v>484</v>
      </c>
      <c r="AP111" s="496">
        <f>E111</f>
        <v>1</v>
      </c>
    </row>
    <row r="112" spans="1:56" s="191" customFormat="1" ht="15.5" outlineLevel="1">
      <c r="A112" s="524" t="s">
        <v>926</v>
      </c>
      <c r="B112" s="525"/>
      <c r="C112" s="526"/>
      <c r="D112" s="526"/>
      <c r="E112" s="527" t="str">
        <f>IF(D112="","",IF(COUNTIF(#REF!,$B112)=1,SUMIF(#REF!,RES!B112,#REF!),SUMIF(#REF!,RES!$B112,#REF!)))</f>
        <v/>
      </c>
      <c r="F112" s="527"/>
      <c r="G112" s="527"/>
      <c r="H112" s="527"/>
      <c r="I112" s="577"/>
      <c r="J112" s="527"/>
      <c r="K112" s="528"/>
      <c r="L112" s="529"/>
      <c r="M112" s="573">
        <f>SUM(M110:M111)</f>
        <v>9.5886666621823888</v>
      </c>
      <c r="N112" s="573">
        <f>SUM(N110:N111)</f>
        <v>7.6709333297459112</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5">
      <c r="A113" s="537" t="s">
        <v>987</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4"/>
      <c r="AF113" s="554"/>
      <c r="AG113" s="554"/>
      <c r="AH113" s="554"/>
      <c r="AI113" s="554"/>
      <c r="AJ113" s="554"/>
      <c r="AK113" s="554"/>
      <c r="AL113" s="554"/>
      <c r="AO113" s="546"/>
    </row>
    <row r="114" spans="1:56" s="165" customFormat="1" ht="15.5" outlineLevel="1">
      <c r="A114" s="108" t="s">
        <v>988</v>
      </c>
      <c r="B114" s="30" t="s">
        <v>362</v>
      </c>
      <c r="C114" s="43" t="s">
        <v>229</v>
      </c>
      <c r="D114" s="43" t="s">
        <v>254</v>
      </c>
      <c r="E114" s="557">
        <f>INDEX(Lighting!$V$25:$V$35,MATCH(RES!D114,Lighting!$E$25:$E$35,0))</f>
        <v>3.5618185364705877</v>
      </c>
      <c r="F114" s="557">
        <v>1</v>
      </c>
      <c r="G114" s="557">
        <v>1</v>
      </c>
      <c r="H114" s="557">
        <f>N114/F114*(1+$D$31)</f>
        <v>19.920681071926168</v>
      </c>
      <c r="I114" s="576">
        <v>1E-3</v>
      </c>
      <c r="J114" s="486">
        <v>0</v>
      </c>
      <c r="K114" s="48" t="s">
        <v>430</v>
      </c>
      <c r="L114" s="485">
        <v>1</v>
      </c>
      <c r="M114" s="485">
        <f>IF(C114="","",SUMIFS(Energy_Balance!I$56:I$160,Energy_Balance!$C$56:$C$160,C114,Energy_Balance!$D$56:$D$160,D114)*L114)</f>
        <v>5.5928399686710613</v>
      </c>
      <c r="N114" s="485">
        <f t="shared" si="97"/>
        <v>19.920681071926168</v>
      </c>
      <c r="O114" s="25"/>
      <c r="P114" s="601">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(IFERROR(IF(N114/(SUMIF(RES!$D$39:$D$146,D114,$N$39:$N$146))=1,1,(N114/(SUMIF(RES!$D$39:$D$146,D114,$N$39:$N$146))+#REF!)),0))</f>
        <v>1</v>
      </c>
      <c r="W114" s="50">
        <f>V114</f>
        <v>1</v>
      </c>
      <c r="X114" s="50">
        <f t="shared" ref="X114:AC114" si="113">W114</f>
        <v>1</v>
      </c>
      <c r="Y114" s="50">
        <f t="shared" si="113"/>
        <v>1</v>
      </c>
      <c r="Z114" s="50">
        <f t="shared" si="113"/>
        <v>1</v>
      </c>
      <c r="AA114" s="50">
        <f t="shared" si="113"/>
        <v>1</v>
      </c>
      <c r="AB114" s="50">
        <f t="shared" si="113"/>
        <v>1</v>
      </c>
      <c r="AC114" s="50">
        <f t="shared" si="113"/>
        <v>1</v>
      </c>
      <c r="AD114" s="50"/>
      <c r="AE114" s="272">
        <f>(IFERROR(IF($N114/(SUMIF(RES!$D$39:$D$146,$D114,$N$39:$N$146))=1,1,($N114/(SUMIF(RES!$D$39:$D$146,$D114,$N$39:$N$146))-$AE$28)),0))</f>
        <v>1</v>
      </c>
      <c r="AF114" s="50">
        <f>AE114</f>
        <v>1</v>
      </c>
      <c r="AG114" s="50">
        <f t="shared" ref="AG114:AL114" si="114">AF114</f>
        <v>1</v>
      </c>
      <c r="AH114" s="50">
        <f t="shared" si="114"/>
        <v>1</v>
      </c>
      <c r="AI114" s="50">
        <f t="shared" si="114"/>
        <v>1</v>
      </c>
      <c r="AJ114" s="50">
        <f t="shared" si="114"/>
        <v>1</v>
      </c>
      <c r="AK114" s="50">
        <f t="shared" si="114"/>
        <v>1</v>
      </c>
      <c r="AL114" s="50">
        <f t="shared" si="114"/>
        <v>1</v>
      </c>
      <c r="AM114"/>
      <c r="AN114"/>
      <c r="AO114" s="169" t="s">
        <v>484</v>
      </c>
      <c r="AP114" s="496">
        <f>E114</f>
        <v>3.5618185364705877</v>
      </c>
      <c r="AQ114"/>
      <c r="AR114"/>
      <c r="AS114"/>
      <c r="AT114"/>
      <c r="AU114"/>
      <c r="AV114"/>
      <c r="AW114"/>
      <c r="AX114"/>
      <c r="AY114"/>
      <c r="AZ114"/>
      <c r="BA114"/>
      <c r="BB114"/>
      <c r="BC114"/>
      <c r="BD114"/>
    </row>
    <row r="115" spans="1:56" s="191" customFormat="1" ht="15.5" outlineLevel="1">
      <c r="A115" s="574" t="s">
        <v>926</v>
      </c>
      <c r="B115" s="525"/>
      <c r="C115" s="526"/>
      <c r="D115" s="526"/>
      <c r="E115" s="527" t="str">
        <f>IF(D115="","",IF(COUNTIF(#REF!,$B115)=1,SUMIF(#REF!,RES!B115,#REF!),SUMIF(#REF!,RES!$B115,#REF!)))</f>
        <v/>
      </c>
      <c r="F115" s="527"/>
      <c r="G115" s="527"/>
      <c r="H115" s="527"/>
      <c r="I115" s="577"/>
      <c r="J115" s="527"/>
      <c r="K115" s="528"/>
      <c r="L115" s="529"/>
      <c r="M115" s="529">
        <f>SUM(M114:M114)</f>
        <v>5.5928399686710613</v>
      </c>
      <c r="N115" s="529">
        <f>SUM(N114:N114)</f>
        <v>19.920681071926168</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5">
      <c r="A116" s="537" t="s">
        <v>989</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4"/>
      <c r="AF116" s="554"/>
      <c r="AG116" s="554"/>
      <c r="AH116" s="554"/>
      <c r="AI116" s="554"/>
      <c r="AJ116" s="554"/>
      <c r="AK116" s="554"/>
      <c r="AL116" s="554"/>
      <c r="AO116" s="546"/>
    </row>
    <row r="117" spans="1:56" ht="15.5" outlineLevel="1">
      <c r="A117" s="108" t="s">
        <v>990</v>
      </c>
      <c r="B117" s="30" t="s">
        <v>363</v>
      </c>
      <c r="C117" s="43" t="s">
        <v>229</v>
      </c>
      <c r="D117" s="43" t="s">
        <v>255</v>
      </c>
      <c r="E117" s="494">
        <f>INDEX('Electrical efficiency'!$L$8:$L$23,MATCH(RES!D117,'Electrical efficiency'!$K$8:$K$23,0))</f>
        <v>0.65</v>
      </c>
      <c r="F117" s="557">
        <v>1</v>
      </c>
      <c r="G117" s="557">
        <v>1</v>
      </c>
      <c r="H117" s="557">
        <f>N117/F117*(1+$D$31)</f>
        <v>5.7949990515984302</v>
      </c>
      <c r="I117" s="576">
        <v>1E-3</v>
      </c>
      <c r="J117" s="486">
        <v>0</v>
      </c>
      <c r="K117" s="48" t="s">
        <v>889</v>
      </c>
      <c r="L117" s="485">
        <v>1</v>
      </c>
      <c r="M117" s="485">
        <f>IF(C117="","",SUMIFS(Energy_Balance!I$56:I$160,Energy_Balance!$C$56:$C$160,C117,Energy_Balance!$D$56:$D$160,D117)*L117)</f>
        <v>8.9153831563052766</v>
      </c>
      <c r="N117" s="485">
        <f t="shared" si="97"/>
        <v>5.7949990515984302</v>
      </c>
      <c r="O117" s="25"/>
      <c r="P117" s="601">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(IFERROR(IF(N117/(SUMIF(RES!$D$39:$D$146,D117,$N$39:$N$146))=1,1,(N117/(SUMIF(RES!$D$39:$D$146,D117,$N$39:$N$146))+$V$28)),0))</f>
        <v>0.67391324711946143</v>
      </c>
      <c r="W117" s="63">
        <f>IF($V117*(1+'Census 2011_17'!B$20)+W$28&lt;1,$V117*(1+'Census 2011_17'!B$20)+W$28,1)</f>
        <v>0.70459621232700709</v>
      </c>
      <c r="X117" s="63">
        <f>IF($V117*(1+'Census 2011_17'!C$20)+X$28&lt;1,$V117*(1+'Census 2011_17'!C$20)+X$28,1)</f>
        <v>0.72808359396222599</v>
      </c>
      <c r="Y117" s="63">
        <f>IF($V117*(1+'Census 2011_17'!D$20)+Y$28&lt;1,$V117*(1+'Census 2011_17'!D$20)+Y$28,1)</f>
        <v>0.7505709755974449</v>
      </c>
      <c r="Z117" s="63">
        <f>IF($V117*(1+'Census 2011_17'!E$20)+Z$28&lt;1,$V117*(1+'Census 2011_17'!E$20)+Z$28,1)</f>
        <v>0.78955835723266399</v>
      </c>
      <c r="AA117" s="63">
        <f>IF($V117*(1+'Census 2011_17'!F$20)+AA$28&lt;1,$V117*(1+'Census 2011_17'!F$20)+AA$28,1)</f>
        <v>0.83154573886788297</v>
      </c>
      <c r="AB117" s="63">
        <f>IF($V117*(1+'Census 2011_17'!G$20)+AB$28&lt;1,$V117*(1+'Census 2011_17'!G$20)+AB$28,1)</f>
        <v>0.89154573886788291</v>
      </c>
      <c r="AC117" s="63">
        <f>IF($V117*(1+'Census 2011_17'!H$20)+AC$28&lt;1,$V117*(1+'Census 2011_17'!H$20)+AC$28,1)</f>
        <v>0.97154573886788298</v>
      </c>
      <c r="AD117" s="272"/>
      <c r="AE117" s="63">
        <f>(IFERROR(IF($N117/(SUMIF(RES!$D$39:$D$146,$D117,$N$39:$N$146))=1,1,($N117/(SUMIF(RES!$D$39:$D$146,$D117,$N$39:$N$146))-AE$28)),0))</f>
        <v>0.67281324711946144</v>
      </c>
      <c r="AF117" s="63">
        <f>AE117</f>
        <v>0.67281324711946144</v>
      </c>
      <c r="AG117" s="63">
        <f t="shared" ref="AG117:AL118" si="115">AF117</f>
        <v>0.67281324711946144</v>
      </c>
      <c r="AH117" s="63">
        <f t="shared" si="115"/>
        <v>0.67281324711946144</v>
      </c>
      <c r="AI117" s="63">
        <f t="shared" si="115"/>
        <v>0.67281324711946144</v>
      </c>
      <c r="AJ117" s="63">
        <f t="shared" si="115"/>
        <v>0.67281324711946144</v>
      </c>
      <c r="AK117" s="63">
        <f t="shared" si="115"/>
        <v>0.67281324711946144</v>
      </c>
      <c r="AL117" s="63">
        <f t="shared" si="115"/>
        <v>0.67281324711946144</v>
      </c>
      <c r="AO117" s="249" t="s">
        <v>110</v>
      </c>
      <c r="AP117" s="496">
        <f>E117</f>
        <v>0.65</v>
      </c>
    </row>
    <row r="118" spans="1:56" ht="15.5" outlineLevel="1">
      <c r="A118" s="108" t="s">
        <v>991</v>
      </c>
      <c r="B118" s="30" t="s">
        <v>364</v>
      </c>
      <c r="C118" s="43" t="s">
        <v>230</v>
      </c>
      <c r="D118" s="43" t="s">
        <v>255</v>
      </c>
      <c r="E118" s="486">
        <v>0.61</v>
      </c>
      <c r="F118" s="557">
        <v>1</v>
      </c>
      <c r="G118" s="557">
        <v>1</v>
      </c>
      <c r="H118" s="557">
        <f>N118/F118*(1+$D$31)</f>
        <v>2.5164285822711316</v>
      </c>
      <c r="I118" s="576">
        <v>1E-3</v>
      </c>
      <c r="J118" s="486">
        <v>0</v>
      </c>
      <c r="K118" s="48"/>
      <c r="L118" s="485">
        <v>1</v>
      </c>
      <c r="M118" s="485">
        <f>IF(C118="","",SUMIFS(Energy_Balance!I$56:I$160,Energy_Balance!$C$56:$C$160,C118,Energy_Balance!$D$56:$D$160,D118)*L118)</f>
        <v>4.1252927578215273</v>
      </c>
      <c r="N118" s="485">
        <f t="shared" si="97"/>
        <v>2.5164285822711316</v>
      </c>
      <c r="O118" s="25"/>
      <c r="P118" s="601">
        <f>E118</f>
        <v>0.61</v>
      </c>
      <c r="Q118" s="360">
        <f t="shared" ref="Q118:Q123" si="116">IF($AO118="","",($R118-$AP118)*15/25+$AP118)</f>
        <v>0.61</v>
      </c>
      <c r="R118" s="360">
        <f t="shared" ref="R118:R123" si="117">IF($AO118="","",IF($AO118="*",$AP118*(1+$P$29),E118))</f>
        <v>0.61</v>
      </c>
      <c r="S118" s="360">
        <f t="shared" ref="S118:S121" si="118">R118</f>
        <v>0.61</v>
      </c>
      <c r="T118" s="203"/>
      <c r="U118" s="272"/>
      <c r="V118" s="63">
        <f>IF((IFERROR(IF(N118/(SUMIF(RES!$D$39:$D$146,D118,$N$39:$N$146))=1,1,(N118/(SUMIF(RES!$D$39:$D$146,D118,$N$39:$N$146))+$V$29)),0))&lt;1,(IFERROR(IF(N118/(SUMIF(RES!$D$39:$D$146,D118,$N$39:$N$146))=1,1,(N118/(SUMIF(RES!$D$39:$D$146,D118,$N$39:$N$146))+$V$29)),0)),1)</f>
        <v>0.2932067999257425</v>
      </c>
      <c r="W118" s="63">
        <f>IF($V118*(1+'Census 2011_17'!B$20)+W$28/2&lt;1,$V118*(1+'Census 2011_17'!B$20)+W$28/2,1)</f>
        <v>0.30662129192899712</v>
      </c>
      <c r="X118" s="63">
        <f>IF($V118*(1+'Census 2011_17'!C$20)+X$28/2&lt;1,$V118*(1+'Census 2011_17'!C$20)+X$28/2,1)</f>
        <v>0.31693758230177821</v>
      </c>
      <c r="Y118" s="63">
        <f>IF($V118*(1+'Census 2011_17'!D$20)+Y$28/2&lt;1,$V118*(1+'Census 2011_17'!D$20)+Y$28/2,1)</f>
        <v>0.32675387267455935</v>
      </c>
      <c r="Z118" s="63">
        <f>IF($V118*(1+'Census 2011_17'!E$20)+Z$28/2&lt;1,$V118*(1+'Census 2011_17'!E$20)+Z$28/2,1)</f>
        <v>0.34482016304734059</v>
      </c>
      <c r="AA118" s="63">
        <f>IF($V118*(1+'Census 2011_17'!F$20)+AA$28/2&lt;1,$V118*(1+'Census 2011_17'!F$20)+AA$28/2,1)</f>
        <v>0.36438645342012171</v>
      </c>
      <c r="AB118" s="63">
        <f>IF($V118*(1+'Census 2011_17'!G$20)+AB$28/2&lt;1,$V118*(1+'Census 2011_17'!G$20)+AB$28/2,1)</f>
        <v>0.39438645342012169</v>
      </c>
      <c r="AC118" s="63">
        <f>IF($V118*(1+'Census 2011_17'!H$20)+AC$28/2&lt;1,$V118*(1+'Census 2011_17'!H$20)+AC$28/2,1)</f>
        <v>0.43438645342012172</v>
      </c>
      <c r="AD118" s="272"/>
      <c r="AE118" s="63">
        <f>(IFERROR(IF($N118/(SUMIF(RES!$D$39:$D$146,$D118,$N$39:$N$146))=1,1,($N118/(SUMIF(RES!$D$39:$D$146,$D118,$N$39:$N$146))-AE$28*4)),0))</f>
        <v>0.29180679992574249</v>
      </c>
      <c r="AF118" s="63">
        <f>AE118</f>
        <v>0.29180679992574249</v>
      </c>
      <c r="AG118" s="63">
        <f t="shared" si="115"/>
        <v>0.29180679992574249</v>
      </c>
      <c r="AH118" s="63">
        <f t="shared" si="115"/>
        <v>0.29180679992574249</v>
      </c>
      <c r="AI118" s="63">
        <f t="shared" si="115"/>
        <v>0.29180679992574249</v>
      </c>
      <c r="AJ118" s="607">
        <f>AI118*0.5</f>
        <v>0.14590339996287124</v>
      </c>
      <c r="AK118" s="607">
        <f>AJ118*0.5</f>
        <v>7.2951699981435622E-2</v>
      </c>
      <c r="AL118" s="607">
        <v>0</v>
      </c>
      <c r="AO118" s="21" t="s">
        <v>484</v>
      </c>
      <c r="AP118" s="496">
        <f>E118</f>
        <v>0.61</v>
      </c>
    </row>
    <row r="119" spans="1:56" ht="15.5" outlineLevel="1">
      <c r="A119" s="108" t="s">
        <v>992</v>
      </c>
      <c r="B119" s="30" t="s">
        <v>365</v>
      </c>
      <c r="C119" s="43" t="s">
        <v>232</v>
      </c>
      <c r="D119" s="43" t="s">
        <v>255</v>
      </c>
      <c r="E119" s="486">
        <v>0.26</v>
      </c>
      <c r="F119" s="557">
        <v>1</v>
      </c>
      <c r="G119" s="557">
        <v>1</v>
      </c>
      <c r="H119" s="557">
        <f>N119/F119*(1+$D$31)</f>
        <v>0.25625782955897108</v>
      </c>
      <c r="I119" s="576">
        <v>1E-3</v>
      </c>
      <c r="J119" s="486">
        <v>0</v>
      </c>
      <c r="K119" s="48"/>
      <c r="L119" s="485">
        <v>1</v>
      </c>
      <c r="M119" s="485">
        <f>IF(C119="","",SUMIFS(Energy_Balance!I$56:I$160,Energy_Balance!$C$56:$C$160,C119,Energy_Balance!$D$56:$D$160,D119)*L119)</f>
        <v>0.98560703676527339</v>
      </c>
      <c r="N119" s="485">
        <f t="shared" si="97"/>
        <v>0.25625782955897108</v>
      </c>
      <c r="O119" s="25"/>
      <c r="P119" s="601">
        <f>E119</f>
        <v>0.26</v>
      </c>
      <c r="Q119" s="360">
        <f t="shared" si="116"/>
        <v>0.26</v>
      </c>
      <c r="R119" s="360">
        <f t="shared" si="117"/>
        <v>0.26</v>
      </c>
      <c r="S119" s="360">
        <f t="shared" si="118"/>
        <v>0.26</v>
      </c>
      <c r="T119" s="203"/>
      <c r="U119" s="272"/>
      <c r="V119" s="63">
        <f>IF((IFERROR(IF(N119/(SUMIF(RES!$D$39:$D$146,D119,$N$39:$N$146))=1,1,(N119/(SUMIF(RES!$D$39:$D$146,D119,$N$39:$N$146))+$V$29)),0))&lt;1,(IFERROR(IF(N119/(SUMIF(RES!$D$39:$D$146,D119,$N$39:$N$146))=1,1,(N119/(SUMIF(RES!$D$39:$D$146,D119,$N$39:$N$146))+$V$29)),0)),1)</f>
        <v>3.0756568836840269E-2</v>
      </c>
      <c r="W119" s="63">
        <f>V119*0.9</f>
        <v>2.7680911953156244E-2</v>
      </c>
      <c r="X119" s="63">
        <f t="shared" ref="X119:AC119" si="119">W119*0.9</f>
        <v>2.4912820757840619E-2</v>
      </c>
      <c r="Y119" s="63">
        <f t="shared" si="119"/>
        <v>2.2421538682056558E-2</v>
      </c>
      <c r="Z119" s="63">
        <f t="shared" si="119"/>
        <v>2.0179384813850901E-2</v>
      </c>
      <c r="AA119" s="63">
        <f t="shared" si="119"/>
        <v>1.8161446332465813E-2</v>
      </c>
      <c r="AB119" s="63">
        <f t="shared" si="119"/>
        <v>1.6345301699219231E-2</v>
      </c>
      <c r="AC119" s="63">
        <f t="shared" si="119"/>
        <v>1.4710771529297308E-2</v>
      </c>
      <c r="AD119" s="63"/>
      <c r="AE119" s="63">
        <f>(IFERROR(IF($N119/(SUMIF(RES!$D$39:$D$146,$D119,$N$39:$N$146))=1,1,($N119/(SUMIF(RES!$D$39:$D$146,$D119,$N$39:$N$146)))),0))-AE$29</f>
        <v>2.9656568836840268E-2</v>
      </c>
      <c r="AF119" s="63">
        <f>AE119*0.7</f>
        <v>2.0759598185788188E-2</v>
      </c>
      <c r="AG119" s="63">
        <f t="shared" ref="AG119:AL120" si="120">AF119*0.7</f>
        <v>1.453171873005173E-2</v>
      </c>
      <c r="AH119" s="63">
        <f t="shared" si="120"/>
        <v>1.0172203111036211E-2</v>
      </c>
      <c r="AI119" s="63">
        <f t="shared" si="120"/>
        <v>7.1205421777253471E-3</v>
      </c>
      <c r="AJ119" s="63">
        <f t="shared" si="120"/>
        <v>4.9843795244077426E-3</v>
      </c>
      <c r="AK119" s="63">
        <f t="shared" si="120"/>
        <v>3.4890656670854194E-3</v>
      </c>
      <c r="AL119" s="63">
        <f t="shared" si="120"/>
        <v>2.4423459669597933E-3</v>
      </c>
      <c r="AO119" s="249" t="s">
        <v>110</v>
      </c>
      <c r="AP119" s="496">
        <f>E119</f>
        <v>0.26</v>
      </c>
    </row>
    <row r="120" spans="1:56" s="165" customFormat="1" ht="15.5" outlineLevel="1">
      <c r="A120" s="108" t="s">
        <v>993</v>
      </c>
      <c r="B120" s="30" t="s">
        <v>366</v>
      </c>
      <c r="C120" s="43" t="s">
        <v>231</v>
      </c>
      <c r="D120" s="43" t="s">
        <v>255</v>
      </c>
      <c r="E120" s="486">
        <v>0.45</v>
      </c>
      <c r="F120" s="557">
        <v>1</v>
      </c>
      <c r="G120" s="557">
        <v>1</v>
      </c>
      <c r="H120" s="557">
        <f>N120/F120*(1+$D$31)</f>
        <v>4.4121595512679551E-2</v>
      </c>
      <c r="I120" s="576">
        <v>1E-3</v>
      </c>
      <c r="J120" s="486">
        <v>0</v>
      </c>
      <c r="K120" s="48"/>
      <c r="L120" s="485">
        <v>1</v>
      </c>
      <c r="M120" s="485">
        <f>IF(C120="","",SUMIFS(Energy_Balance!I$56:I$160,Energy_Balance!$C$56:$C$160,C120,Energy_Balance!$D$56:$D$160,D120)*L120)</f>
        <v>9.8047990028176782E-2</v>
      </c>
      <c r="N120" s="485">
        <f t="shared" si="97"/>
        <v>4.4121595512679551E-2</v>
      </c>
      <c r="O120" s="25"/>
      <c r="P120" s="601">
        <f>E120</f>
        <v>0.45</v>
      </c>
      <c r="Q120" s="360">
        <f t="shared" si="116"/>
        <v>0.45</v>
      </c>
      <c r="R120" s="360">
        <f t="shared" si="117"/>
        <v>0.45</v>
      </c>
      <c r="S120" s="360">
        <f t="shared" si="118"/>
        <v>0.45</v>
      </c>
      <c r="T120" s="203"/>
      <c r="U120" s="50"/>
      <c r="V120" s="63">
        <f>IF((IFERROR(IF(N120/(SUMIF(RES!$D$39:$D$146,D120,$N$39:$N$146))=1,1,(N120/(SUMIF(RES!$D$39:$D$146,D120,$N$39:$N$146))+$V$29)),0))&lt;1,(IFERROR(IF(N120/(SUMIF(RES!$D$39:$D$146,D120,$N$39:$N$146))=1,1,(N120/(SUMIF(RES!$D$39:$D$146,D120,$N$39:$N$146))+$V$29)),0)),1)</f>
        <v>6.1233841179558577E-3</v>
      </c>
      <c r="W120" s="63">
        <f>V120*0.9</f>
        <v>5.5110457061602718E-3</v>
      </c>
      <c r="X120" s="63">
        <f t="shared" ref="X120:AC120" si="121">W120*0.9</f>
        <v>4.9599411355442449E-3</v>
      </c>
      <c r="Y120" s="63">
        <f t="shared" si="121"/>
        <v>4.4639470219898208E-3</v>
      </c>
      <c r="Z120" s="63">
        <f t="shared" si="121"/>
        <v>4.0175523197908385E-3</v>
      </c>
      <c r="AA120" s="63">
        <f t="shared" si="121"/>
        <v>3.6157970878117549E-3</v>
      </c>
      <c r="AB120" s="63">
        <f t="shared" si="121"/>
        <v>3.2542173790305793E-3</v>
      </c>
      <c r="AC120" s="63">
        <f t="shared" si="121"/>
        <v>2.9287956411275214E-3</v>
      </c>
      <c r="AD120" s="63"/>
      <c r="AE120" s="63">
        <f>(IFERROR(IF($N120/(SUMIF(RES!$D$39:$D$146,$D120,$N$39:$N$146))=1,1,($N120/(SUMIF(RES!$D$39:$D$146,$D120,$N$39:$N$146)))),0))-AE$29</f>
        <v>5.0233841179558574E-3</v>
      </c>
      <c r="AF120" s="63">
        <f>AE120*0.7</f>
        <v>3.5163688825691E-3</v>
      </c>
      <c r="AG120" s="63">
        <f t="shared" si="120"/>
        <v>2.4614582177983698E-3</v>
      </c>
      <c r="AH120" s="63">
        <f t="shared" si="120"/>
        <v>1.7230207524588587E-3</v>
      </c>
      <c r="AI120" s="63">
        <f t="shared" si="120"/>
        <v>1.206114526721201E-3</v>
      </c>
      <c r="AJ120" s="607">
        <f>AI120*0.5</f>
        <v>6.0305726336060052E-4</v>
      </c>
      <c r="AK120" s="607">
        <f>AJ120*0.5</f>
        <v>3.0152863168030026E-4</v>
      </c>
      <c r="AL120" s="607">
        <v>0</v>
      </c>
      <c r="AM120"/>
      <c r="AN120"/>
      <c r="AO120" s="249" t="s">
        <v>110</v>
      </c>
      <c r="AP120" s="496">
        <f>E120</f>
        <v>0.45</v>
      </c>
      <c r="AQ120"/>
      <c r="AR120"/>
      <c r="AS120"/>
      <c r="AT120"/>
      <c r="AU120"/>
      <c r="AV120"/>
      <c r="AW120"/>
      <c r="AX120"/>
      <c r="AY120"/>
      <c r="AZ120"/>
      <c r="BA120"/>
      <c r="BB120"/>
      <c r="BC120"/>
      <c r="BD120"/>
    </row>
    <row r="121" spans="1:56" ht="15.5" outlineLevel="1">
      <c r="A121" s="108" t="s">
        <v>994</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IF(C121="","",SUMIFS(Energy_Balance!I$56:I$160,Energy_Balance!$C$56:$C$160,C121,Energy_Balance!$D$56:$D$160,D121)*L121)</f>
        <v>0</v>
      </c>
      <c r="N121" s="485">
        <f t="shared" si="97"/>
        <v>0</v>
      </c>
      <c r="O121" s="25"/>
      <c r="P121" s="601">
        <f>E121</f>
        <v>0.9</v>
      </c>
      <c r="Q121" s="360">
        <f t="shared" si="116"/>
        <v>0.9</v>
      </c>
      <c r="R121" s="360">
        <f t="shared" si="117"/>
        <v>0.9</v>
      </c>
      <c r="S121" s="360">
        <f t="shared" si="118"/>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5" outlineLevel="1">
      <c r="A122" s="524" t="s">
        <v>926</v>
      </c>
      <c r="B122" s="525"/>
      <c r="C122" s="526"/>
      <c r="D122" s="526"/>
      <c r="E122" s="527" t="str">
        <f>IF(D122="","",IF(COUNTIF(#REF!,$B122)=1,SUMIF(#REF!,RES!B122,#REF!),SUMIF(#REF!,RES!$B122,#REF!)))</f>
        <v/>
      </c>
      <c r="F122" s="527"/>
      <c r="G122" s="527"/>
      <c r="H122" s="527"/>
      <c r="I122" s="577"/>
      <c r="J122" s="527"/>
      <c r="K122" s="528"/>
      <c r="L122" s="529"/>
      <c r="M122" s="529">
        <f>SUM(M117:M121)</f>
        <v>14.124330940920254</v>
      </c>
      <c r="N122" s="529">
        <f>SUM(N117:N121)</f>
        <v>8.6118070589412117</v>
      </c>
      <c r="O122" s="192"/>
      <c r="P122" s="530"/>
      <c r="Q122" s="530" t="str">
        <f t="shared" si="116"/>
        <v/>
      </c>
      <c r="R122" s="530" t="str">
        <f t="shared" si="117"/>
        <v/>
      </c>
      <c r="S122" s="530" t="str">
        <f>IF(G122="","",IF(COUNTIF(#REF!,$B122)=1,SUMIF(#REF!,RES!$B122,#REF!),SUMIF(#REF!,RES!$B122,#REF!)))</f>
        <v/>
      </c>
      <c r="T122" s="531"/>
      <c r="U122" s="532"/>
      <c r="V122" s="533">
        <f t="shared" ref="V122:AC122" si="122">SUM(V117:V121)</f>
        <v>1.004</v>
      </c>
      <c r="W122" s="533">
        <f t="shared" si="122"/>
        <v>1.0444094619153208</v>
      </c>
      <c r="X122" s="533">
        <f t="shared" si="122"/>
        <v>1.0748939381573892</v>
      </c>
      <c r="Y122" s="533">
        <f t="shared" si="122"/>
        <v>1.1042103339760505</v>
      </c>
      <c r="Z122" s="533">
        <f t="shared" si="122"/>
        <v>1.1585754574136462</v>
      </c>
      <c r="AA122" s="533">
        <f t="shared" si="122"/>
        <v>1.2177094357082821</v>
      </c>
      <c r="AB122" s="533">
        <f t="shared" si="122"/>
        <v>1.3055317113662543</v>
      </c>
      <c r="AC122" s="533">
        <f t="shared" si="122"/>
        <v>1.4235717594584294</v>
      </c>
      <c r="AD122" s="532"/>
      <c r="AE122" s="533">
        <f>SUM(AE117:AE121)</f>
        <v>0.99930000000000019</v>
      </c>
      <c r="AF122" s="533">
        <f t="shared" ref="AF122:AL122" si="123">SUM(AF117:AF121)</f>
        <v>0.98889601411356132</v>
      </c>
      <c r="AG122" s="533">
        <f t="shared" si="123"/>
        <v>0.98161322399305417</v>
      </c>
      <c r="AH122" s="533">
        <f t="shared" si="123"/>
        <v>0.97651527090869905</v>
      </c>
      <c r="AI122" s="533">
        <f t="shared" si="123"/>
        <v>0.97294670374965053</v>
      </c>
      <c r="AJ122" s="533">
        <f t="shared" si="123"/>
        <v>0.82430408387010112</v>
      </c>
      <c r="AK122" s="533">
        <f t="shared" si="123"/>
        <v>0.74955554139966274</v>
      </c>
      <c r="AL122" s="533">
        <f t="shared" si="123"/>
        <v>0.67525559308642125</v>
      </c>
      <c r="AO122" s="534"/>
    </row>
    <row r="123" spans="1:56" s="232" customFormat="1" ht="15.5">
      <c r="A123" s="537" t="s">
        <v>995</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IF(C123="","",IF(COUNTIF(#REF!,$B123)=1,SUMIF(#REF!,RES!$B123,#REF!),SUMIFS(Energy_Balance!I$160:I$160,Energy_Balance!$C$56:$C$160,C123,Energy_Balance!$D$56:$D$160,D123)*L123))</f>
        <v/>
      </c>
      <c r="N123" s="551"/>
      <c r="O123" s="544"/>
      <c r="P123" s="552"/>
      <c r="Q123" s="552" t="str">
        <f t="shared" si="116"/>
        <v/>
      </c>
      <c r="R123" s="552" t="str">
        <f t="shared" si="117"/>
        <v/>
      </c>
      <c r="S123" s="552" t="str">
        <f>IF(G123="","",IF(COUNTIF(#REF!,$B123)=1,SUMIF(#REF!,RES!$B123,#REF!),SUMIF(#REF!,RES!$B123,#REF!)))</f>
        <v/>
      </c>
      <c r="T123" s="553"/>
      <c r="U123" s="554"/>
      <c r="V123" s="554"/>
      <c r="W123" s="554"/>
      <c r="X123" s="554"/>
      <c r="Y123" s="554"/>
      <c r="Z123" s="554"/>
      <c r="AA123" s="554"/>
      <c r="AB123" s="554"/>
      <c r="AC123" s="554"/>
      <c r="AD123" s="554"/>
      <c r="AE123" s="594"/>
      <c r="AF123" s="554"/>
      <c r="AG123" s="554"/>
      <c r="AH123" s="554"/>
      <c r="AI123" s="554"/>
      <c r="AJ123" s="554"/>
      <c r="AK123" s="554"/>
      <c r="AL123" s="554"/>
      <c r="AO123" s="546"/>
    </row>
    <row r="124" spans="1:56" s="165" customFormat="1" ht="15.5" outlineLevel="1">
      <c r="A124" s="108" t="s">
        <v>996</v>
      </c>
      <c r="B124" s="30" t="s">
        <v>368</v>
      </c>
      <c r="C124" s="43" t="s">
        <v>229</v>
      </c>
      <c r="D124" s="43" t="s">
        <v>239</v>
      </c>
      <c r="E124" s="494">
        <f>INDEX('Electrical efficiency'!$L$8:$L$23,MATCH(RES!D124,'Electrical efficiency'!$K$8:$K$23,0))</f>
        <v>0.97249999999999992</v>
      </c>
      <c r="F124" s="557">
        <v>1</v>
      </c>
      <c r="G124" s="557">
        <v>1</v>
      </c>
      <c r="H124" s="557">
        <f t="shared" ref="H124:H129" si="124">N124/F124*(1+$D$31)</f>
        <v>2.5024732066535864</v>
      </c>
      <c r="I124" s="576">
        <v>1E-3</v>
      </c>
      <c r="J124" s="486">
        <v>0</v>
      </c>
      <c r="K124" s="48" t="s">
        <v>889</v>
      </c>
      <c r="L124" s="485">
        <v>1</v>
      </c>
      <c r="M124" s="485">
        <f>IF(C124="","",SUMIFS(Energy_Balance!I$56:I$160,Energy_Balance!$C$56:$C$160,C124,Energy_Balance!$D$56:$D$160,D124)*L124)</f>
        <v>2.5732372304921198</v>
      </c>
      <c r="N124" s="485">
        <f t="shared" si="97"/>
        <v>2.5024732066535864</v>
      </c>
      <c r="O124" s="25"/>
      <c r="P124" s="601">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(IFERROR(IF(N124/(SUMIF(RES!$D$39:$D$146,D124,$N$39:$N$146))=1,1,(N124/(SUMIF(RES!$D$39:$D$146,D124,$N$39:$N$146))+$V$28)),0))</f>
        <v>0.39920720784576136</v>
      </c>
      <c r="W124" s="63">
        <f>IF($V124*(1+'Census 2011_17'!B$20)+W$28&lt;1,$V124*(1+'Census 2011_17'!B$20)+W$28,1)</f>
        <v>0.41779055957795647</v>
      </c>
      <c r="X124" s="607">
        <f>MIN(1,$V124*(1+'Census 2011_17'!C$20)+X$28*3)</f>
        <v>0.43731526456476755</v>
      </c>
      <c r="Y124" s="607">
        <f>MIN(1,$V124*(1+'Census 2011_17'!D$20)+Y$28*3)</f>
        <v>0.45183996955157862</v>
      </c>
      <c r="Z124" s="607">
        <f>MIN(1,$V124*(1+'Census 2011_17'!E$20)+Z$28*2.5)</f>
        <v>0.50586467453838979</v>
      </c>
      <c r="AA124" s="607">
        <f>MIN(1,$V124*(1+'Census 2011_17'!F$20)+AA$28*2.5)</f>
        <v>0.56888937952520091</v>
      </c>
      <c r="AB124" s="607">
        <f>MIN(1,$V124*(1+'Census 2011_17'!G$20)+AB$28*2.5)</f>
        <v>0.71888937952520093</v>
      </c>
      <c r="AC124" s="607">
        <f>MIN(1,$V124*(1+'Census 2011_17'!H$20)+AC$28*2.5)</f>
        <v>0.91888937952520089</v>
      </c>
      <c r="AD124" s="50"/>
      <c r="AE124" s="63">
        <f>(IFERROR(IF($N124/(SUMIF(RES!$D$39:$D$146,$D124,$N$39:$N$146))=1,1,($N124/(SUMIF(RES!$D$39:$D$146,$D124,$N$39:$N$146))-AE$28)),0))</f>
        <v>0.39810720784576137</v>
      </c>
      <c r="AF124" s="63">
        <f>$AE124*(1+'Census 2011_17'!B$20)-AF$28*4</f>
        <v>0.39564210933325822</v>
      </c>
      <c r="AG124" s="63">
        <f>$AE124*(1+'Census 2011_17'!C$20)-AG$28*4</f>
        <v>0.41463092524992251</v>
      </c>
      <c r="AH124" s="63">
        <f>$AE124*(1+'Census 2011_17'!D$20)-AH$28*4</f>
        <v>0.4276197411665868</v>
      </c>
      <c r="AI124" s="63">
        <f>$AE124*(1+'Census 2011_17'!E$20)-AI$28*4</f>
        <v>0.44460855708325114</v>
      </c>
      <c r="AJ124" s="63">
        <f>$AE124*(1+'Census 2011_17'!F$20)-AJ$28*4</f>
        <v>0.45759737299991543</v>
      </c>
      <c r="AK124" s="63">
        <f>$AE124*(1+'Census 2011_17'!G$20)-AK$28*4</f>
        <v>0.45759737299991543</v>
      </c>
      <c r="AL124" s="63">
        <f>$AE124*(1+'Census 2011_17'!H$20)-AL$28*4</f>
        <v>0.45759737299991543</v>
      </c>
      <c r="AM124"/>
      <c r="AN124" s="125">
        <f t="shared" ref="AN124:AN129" si="125">H124/SUM($H$124:$H$129)</f>
        <v>0.39820720784576136</v>
      </c>
      <c r="AO124" s="249" t="s">
        <v>110</v>
      </c>
      <c r="AP124" s="496">
        <f t="shared" ref="AP124:AP129" si="126">E124</f>
        <v>0.97249999999999992</v>
      </c>
      <c r="AQ124"/>
      <c r="AR124"/>
      <c r="AS124"/>
      <c r="AT124"/>
      <c r="AU124"/>
      <c r="AV124"/>
      <c r="AW124"/>
      <c r="AX124"/>
      <c r="AY124"/>
      <c r="AZ124"/>
      <c r="BA124"/>
      <c r="BB124"/>
      <c r="BC124"/>
      <c r="BD124"/>
    </row>
    <row r="125" spans="1:56" ht="15.5" outlineLevel="1">
      <c r="A125" s="108" t="s">
        <v>997</v>
      </c>
      <c r="B125" s="30" t="s">
        <v>369</v>
      </c>
      <c r="C125" s="43" t="s">
        <v>231</v>
      </c>
      <c r="D125" s="43" t="s">
        <v>239</v>
      </c>
      <c r="E125" s="486">
        <v>0.73</v>
      </c>
      <c r="F125" s="557">
        <v>1</v>
      </c>
      <c r="G125" s="557">
        <v>1</v>
      </c>
      <c r="H125" s="557">
        <f t="shared" si="124"/>
        <v>1.9348709263415097E-2</v>
      </c>
      <c r="I125" s="576">
        <v>1E-3</v>
      </c>
      <c r="J125" s="486">
        <v>0</v>
      </c>
      <c r="K125" s="48"/>
      <c r="L125" s="485">
        <v>1</v>
      </c>
      <c r="M125" s="485">
        <f>IF(C125="","",SUMIFS(Energy_Balance!I$56:I$160,Energy_Balance!$C$56:$C$160,C125,Energy_Balance!$D$56:$D$160,D125)*L125)</f>
        <v>2.6505081182760407E-2</v>
      </c>
      <c r="N125" s="485">
        <f t="shared" si="97"/>
        <v>1.9348709263415097E-2</v>
      </c>
      <c r="O125" s="25"/>
      <c r="P125" s="601">
        <f>E125</f>
        <v>0.73</v>
      </c>
      <c r="Q125" s="360">
        <f t="shared" ref="Q125:Q140" si="127">IF($AO125="","",($R125-$AP125)*15/25+$AP125)</f>
        <v>0.73</v>
      </c>
      <c r="R125" s="360">
        <f t="shared" ref="R125:R140" si="128">IF($AO125="","",IF($AO125="*",$AP125*(1+$P$29),E125))</f>
        <v>0.73</v>
      </c>
      <c r="S125" s="360">
        <f t="shared" ref="S125:S129" si="129">R125</f>
        <v>0.73</v>
      </c>
      <c r="T125" s="203"/>
      <c r="U125" s="50"/>
      <c r="V125" s="63">
        <f>IF((IFERROR(IF(N125/(SUMIF(RES!$D$39:$D$146,D125,$N$39:$N$146))=1,1,(N125/(SUMIF(RES!$D$39:$D$146,D125,$N$39:$N$146))+$V$29)),0))&lt;1,(IFERROR(IF(N125/(SUMIF(RES!$D$39:$D$146,D125,$N$39:$N$146))=1,1,(N125/(SUMIF(RES!$D$39:$D$146,D125,$N$39:$N$146))+$V$29)),0)),1)</f>
        <v>4.0788723214771694E-3</v>
      </c>
      <c r="W125" s="63">
        <f>V125</f>
        <v>4.0788723214771694E-3</v>
      </c>
      <c r="X125" s="63">
        <f t="shared" ref="X125:AC129" si="130">W125</f>
        <v>4.0788723214771694E-3</v>
      </c>
      <c r="Y125" s="63">
        <f t="shared" si="130"/>
        <v>4.0788723214771694E-3</v>
      </c>
      <c r="Z125" s="63">
        <f t="shared" si="130"/>
        <v>4.0788723214771694E-3</v>
      </c>
      <c r="AA125" s="63">
        <f t="shared" si="130"/>
        <v>4.0788723214771694E-3</v>
      </c>
      <c r="AB125" s="63">
        <f t="shared" si="130"/>
        <v>4.0788723214771694E-3</v>
      </c>
      <c r="AC125" s="63">
        <f t="shared" si="130"/>
        <v>4.0788723214771694E-3</v>
      </c>
      <c r="AD125" s="50"/>
      <c r="AE125" s="63">
        <f>(IFERROR(IF($N125/(SUMIF(RES!$D$39:$D$146,$D125,$N$39:$N$146))=1,1,($N125/(SUMIF(RES!$D$39:$D$146,$D125,$N$39:$N$146)))),0))-AE$29</f>
        <v>2.9788723214771696E-3</v>
      </c>
      <c r="AF125" s="63">
        <f>AE125</f>
        <v>2.9788723214771696E-3</v>
      </c>
      <c r="AG125" s="63">
        <v>0</v>
      </c>
      <c r="AH125" s="63">
        <v>0</v>
      </c>
      <c r="AI125" s="63">
        <v>0</v>
      </c>
      <c r="AJ125" s="63">
        <v>0</v>
      </c>
      <c r="AK125" s="63">
        <v>0</v>
      </c>
      <c r="AL125" s="63">
        <v>0</v>
      </c>
      <c r="AN125" s="125">
        <f t="shared" si="125"/>
        <v>3.0788723214771694E-3</v>
      </c>
      <c r="AO125" s="21" t="s">
        <v>484</v>
      </c>
      <c r="AP125" s="496">
        <f t="shared" si="126"/>
        <v>0.73</v>
      </c>
    </row>
    <row r="126" spans="1:56" ht="15.5" outlineLevel="1">
      <c r="A126" s="108" t="s">
        <v>998</v>
      </c>
      <c r="B126" s="30" t="s">
        <v>370</v>
      </c>
      <c r="C126" s="43" t="s">
        <v>232</v>
      </c>
      <c r="D126" s="43" t="s">
        <v>239</v>
      </c>
      <c r="E126" s="486">
        <v>0.59</v>
      </c>
      <c r="F126" s="557">
        <v>1</v>
      </c>
      <c r="G126" s="557">
        <v>1</v>
      </c>
      <c r="H126" s="557">
        <f t="shared" si="124"/>
        <v>0.14067962743235529</v>
      </c>
      <c r="I126" s="576">
        <v>1E-3</v>
      </c>
      <c r="J126" s="486">
        <v>0</v>
      </c>
      <c r="K126" s="48"/>
      <c r="L126" s="485">
        <v>1</v>
      </c>
      <c r="M126" s="485">
        <f>IF(C126="","",SUMIFS(Energy_Balance!I$56:I$160,Energy_Balance!$C$56:$C$160,C126,Energy_Balance!$D$56:$D$160,D126)*L126)</f>
        <v>0.23844004649551748</v>
      </c>
      <c r="N126" s="485">
        <f t="shared" si="97"/>
        <v>0.14067962743235529</v>
      </c>
      <c r="O126" s="25"/>
      <c r="P126" s="601">
        <f>E126</f>
        <v>0.59</v>
      </c>
      <c r="Q126" s="360">
        <f t="shared" si="127"/>
        <v>0.59</v>
      </c>
      <c r="R126" s="360">
        <f t="shared" si="128"/>
        <v>0.59</v>
      </c>
      <c r="S126" s="360">
        <f t="shared" si="129"/>
        <v>0.59</v>
      </c>
      <c r="T126" s="203"/>
      <c r="U126" s="50"/>
      <c r="V126" s="63">
        <f>IF((IFERROR(IF(N126/(SUMIF(RES!$D$39:$D$146,D126,$N$39:$N$146))=1,1,(N126/(SUMIF(RES!$D$39:$D$146,D126,$N$39:$N$146))+$V$29)),0))&lt;1,(IFERROR(IF(N126/(SUMIF(RES!$D$39:$D$146,D126,$N$39:$N$146))=1,1,(N126/(SUMIF(RES!$D$39:$D$146,D126,$N$39:$N$146))+$V$29)),0)),1)</f>
        <v>2.3385710860629762E-2</v>
      </c>
      <c r="W126" s="63">
        <f>V126</f>
        <v>2.3385710860629762E-2</v>
      </c>
      <c r="X126" s="63">
        <f t="shared" si="130"/>
        <v>2.3385710860629762E-2</v>
      </c>
      <c r="Y126" s="63">
        <f t="shared" si="130"/>
        <v>2.3385710860629762E-2</v>
      </c>
      <c r="Z126" s="63">
        <f t="shared" si="130"/>
        <v>2.3385710860629762E-2</v>
      </c>
      <c r="AA126" s="63">
        <f t="shared" si="130"/>
        <v>2.3385710860629762E-2</v>
      </c>
      <c r="AB126" s="63">
        <f t="shared" si="130"/>
        <v>2.3385710860629762E-2</v>
      </c>
      <c r="AC126" s="63">
        <f t="shared" si="130"/>
        <v>2.3385710860629762E-2</v>
      </c>
      <c r="AD126" s="50"/>
      <c r="AE126" s="63">
        <f>(IFERROR(IF($N126/(SUMIF(RES!$D$39:$D$146,$D126,$N$39:$N$146))=1,1,($N126/(SUMIF(RES!$D$39:$D$146,$D126,$N$39:$N$146)))),0))-AE$29</f>
        <v>2.2285710860629762E-2</v>
      </c>
      <c r="AF126" s="63">
        <f>IF(W126-AF$29&lt;0,0,W126-AF$29*2)</f>
        <v>1.3385710860629762E-2</v>
      </c>
      <c r="AG126" s="63">
        <f t="shared" ref="AG126" si="131">IF(X126-AG$29&lt;0,0,X126-AG$29*2)</f>
        <v>1.6385710860629763E-2</v>
      </c>
      <c r="AH126" s="63">
        <f t="shared" ref="AH126" si="132">IF(Y126-AH$29&lt;0,0,Y126-AH$29*2)</f>
        <v>3.385710860629762E-3</v>
      </c>
      <c r="AI126" s="63">
        <v>0</v>
      </c>
      <c r="AJ126" s="63">
        <v>0</v>
      </c>
      <c r="AK126" s="63">
        <v>0</v>
      </c>
      <c r="AL126" s="63">
        <v>0</v>
      </c>
      <c r="AN126" s="125">
        <f t="shared" si="125"/>
        <v>2.2385710860629762E-2</v>
      </c>
      <c r="AO126" s="21" t="s">
        <v>484</v>
      </c>
      <c r="AP126" s="496">
        <f t="shared" si="126"/>
        <v>0.59</v>
      </c>
    </row>
    <row r="127" spans="1:56" ht="15.5" outlineLevel="1">
      <c r="A127" s="108" t="s">
        <v>999</v>
      </c>
      <c r="B127" s="30" t="s">
        <v>371</v>
      </c>
      <c r="C127" s="43" t="s">
        <v>233</v>
      </c>
      <c r="D127" s="43" t="s">
        <v>239</v>
      </c>
      <c r="E127" s="486">
        <v>0.59</v>
      </c>
      <c r="F127" s="557">
        <v>1</v>
      </c>
      <c r="G127" s="557">
        <v>1</v>
      </c>
      <c r="H127" s="557">
        <f t="shared" si="124"/>
        <v>0.7255393692180071</v>
      </c>
      <c r="I127" s="576">
        <v>1E-3</v>
      </c>
      <c r="J127" s="486">
        <v>0</v>
      </c>
      <c r="K127" s="48"/>
      <c r="L127" s="485">
        <v>1</v>
      </c>
      <c r="M127" s="485">
        <f>IF(C127="","",SUMIFS(Energy_Balance!I$56:I$160,Energy_Balance!$C$56:$C$160,C127,Energy_Balance!$D$56:$D$160,D127)*L127)</f>
        <v>1.2297277444373003</v>
      </c>
      <c r="N127" s="485">
        <f t="shared" si="97"/>
        <v>0.7255393692180071</v>
      </c>
      <c r="O127" s="25"/>
      <c r="P127" s="601">
        <f>E127</f>
        <v>0.59</v>
      </c>
      <c r="Q127" s="360">
        <f t="shared" si="127"/>
        <v>0.59</v>
      </c>
      <c r="R127" s="360">
        <f t="shared" si="128"/>
        <v>0.59</v>
      </c>
      <c r="S127" s="360">
        <f t="shared" si="129"/>
        <v>0.59</v>
      </c>
      <c r="T127" s="203"/>
      <c r="U127" s="50"/>
      <c r="V127" s="63">
        <f>IF((IFERROR(IF(N127/(SUMIF(RES!$D$39:$D$146,D127,$N$39:$N$146))=1,1,(N127/(SUMIF(RES!$D$39:$D$146,D127,$N$39:$N$146))+$V$29)),0))&lt;1,(IFERROR(IF(N127/(SUMIF(RES!$D$39:$D$146,D127,$N$39:$N$146))=1,1,(N127/(SUMIF(RES!$D$39:$D$146,D127,$N$39:$N$146))+$V$29)),0)),1)</f>
        <v>0.11645178810718497</v>
      </c>
      <c r="W127" s="63">
        <f>V127</f>
        <v>0.11645178810718497</v>
      </c>
      <c r="X127" s="63">
        <f t="shared" si="130"/>
        <v>0.11645178810718497</v>
      </c>
      <c r="Y127" s="63">
        <f t="shared" si="130"/>
        <v>0.11645178810718497</v>
      </c>
      <c r="Z127" s="607">
        <f>Y127/2</f>
        <v>5.8225894053592485E-2</v>
      </c>
      <c r="AA127" s="607">
        <f>Z127/2</f>
        <v>2.9112947026796242E-2</v>
      </c>
      <c r="AB127" s="607">
        <f>AA127/2</f>
        <v>1.4556473513398121E-2</v>
      </c>
      <c r="AC127" s="607">
        <f>AB127/2</f>
        <v>7.2782367566990606E-3</v>
      </c>
      <c r="AD127" s="50"/>
      <c r="AE127" s="63">
        <f>(IFERROR(IF($N127/(SUMIF(RES!$D$39:$D$146,$D127,$N$39:$N$146))=1,1,($N127/(SUMIF(RES!$D$39:$D$146,$D127,$N$39:$N$146)))),0))-AE$29*2</f>
        <v>0.11525178810718496</v>
      </c>
      <c r="AF127" s="63">
        <f>IF(W127-AF$29&lt;0,0,W127-AF$29*2)</f>
        <v>0.10645178810718497</v>
      </c>
      <c r="AG127" s="63">
        <f>IF(X127-AG$29&lt;0,0,X127-AG$29*5)</f>
        <v>9.8951788107184968E-2</v>
      </c>
      <c r="AH127" s="607">
        <f>IF(Y127-AH$29&lt;0,0,Y127-AH$29*5)*0.9</f>
        <v>5.9806609296466473E-2</v>
      </c>
      <c r="AI127" s="607">
        <v>0</v>
      </c>
      <c r="AJ127" s="607">
        <v>0</v>
      </c>
      <c r="AK127" s="607">
        <v>0</v>
      </c>
      <c r="AL127" s="63">
        <v>0</v>
      </c>
      <c r="AN127" s="125">
        <f t="shared" si="125"/>
        <v>0.11545178810718497</v>
      </c>
      <c r="AO127" s="21" t="s">
        <v>484</v>
      </c>
      <c r="AP127" s="496">
        <f t="shared" si="126"/>
        <v>0.59</v>
      </c>
    </row>
    <row r="128" spans="1:56" ht="15.5" outlineLevel="1">
      <c r="A128" s="108" t="s">
        <v>1000</v>
      </c>
      <c r="B128" s="30" t="s">
        <v>372</v>
      </c>
      <c r="C128" s="43" t="s">
        <v>230</v>
      </c>
      <c r="D128" s="43" t="s">
        <v>239</v>
      </c>
      <c r="E128" s="486">
        <v>0.79</v>
      </c>
      <c r="F128" s="557">
        <v>1</v>
      </c>
      <c r="G128" s="557">
        <v>1</v>
      </c>
      <c r="H128" s="557">
        <f t="shared" si="124"/>
        <v>2.8963084345767385</v>
      </c>
      <c r="I128" s="576">
        <v>1E-3</v>
      </c>
      <c r="J128" s="486">
        <v>0</v>
      </c>
      <c r="K128" s="48"/>
      <c r="L128" s="485">
        <v>1</v>
      </c>
      <c r="M128" s="485">
        <f>IF(C128="","",SUMIFS(Energy_Balance!I$56:I$160,Energy_Balance!$C$56:$C$160,C128,Energy_Balance!$D$56:$D$160,D128)*L128)</f>
        <v>3.6662132083249852</v>
      </c>
      <c r="N128" s="485">
        <f t="shared" si="97"/>
        <v>2.8963084345767385</v>
      </c>
      <c r="O128" s="25"/>
      <c r="P128" s="601">
        <f>E128</f>
        <v>0.79</v>
      </c>
      <c r="Q128" s="360">
        <f t="shared" si="127"/>
        <v>0.79</v>
      </c>
      <c r="R128" s="360">
        <f t="shared" si="128"/>
        <v>0.79</v>
      </c>
      <c r="S128" s="360">
        <f t="shared" si="129"/>
        <v>0.79</v>
      </c>
      <c r="T128" s="203"/>
      <c r="U128" s="50"/>
      <c r="V128" s="63">
        <f>(IFERROR(IF(N128/(SUMIF(RES!$D$39:$D$146,D128,$N$39:$N$146))=1,1,(N128/(SUMIF(RES!$D$39:$D$146,D128,$N$39:$N$146))+$V$28)),0))</f>
        <v>0.46187642086494674</v>
      </c>
      <c r="W128" s="63">
        <f>IF($V128*(1+'Census 2011_17'!B$20)+W$28/2&lt;1,$V128*(1+'Census 2011_17'!B$20)+W$28/2,1)</f>
        <v>0.48272008051152682</v>
      </c>
      <c r="X128" s="63">
        <f>IF($V128*(1+'Census 2011_17'!C$20)+X$28/2&lt;1,$V128*(1+'Census 2011_17'!C$20)+X$28/2,1)</f>
        <v>0.49853945802751198</v>
      </c>
      <c r="Y128" s="63">
        <f>IF($V128*(1+'Census 2011_17'!D$20)+Y$28/2&lt;1,$V128*(1+'Census 2011_17'!D$20)+Y$28/2,1)</f>
        <v>0.51385883554349709</v>
      </c>
      <c r="Z128" s="63">
        <f>IF($V128*(1+'Census 2011_17'!E$20)+Z$28/2&lt;1,$V128*(1+'Census 2011_17'!E$20)+Z$28/2,1)</f>
        <v>0.53742821305948241</v>
      </c>
      <c r="AA128" s="63">
        <f>IF($V128*(1+'Census 2011_17'!F$20)+AA$28/2&lt;1,$V128*(1+'Census 2011_17'!F$20)+AA$28/2,1)</f>
        <v>0.56249759057546767</v>
      </c>
      <c r="AB128" s="63">
        <f>IF($V128*(1+'Census 2011_17'!G$20)+AB$28/2&lt;1,$V128*(1+'Census 2011_17'!G$20)+AB$28/2,1)</f>
        <v>0.59249759057546769</v>
      </c>
      <c r="AC128" s="63">
        <f>IF($V128*(1+'Census 2011_17'!H$20)+AC$28/2&lt;1,$V128*(1+'Census 2011_17'!H$20)+AC$28/2,1)</f>
        <v>0.63249759057546762</v>
      </c>
      <c r="AD128" s="50"/>
      <c r="AE128" s="63">
        <f>(IFERROR(IF($N128/(SUMIF(RES!$D$39:$D$146,$D128,$N$39:$N$146))=1,1,($N128/(SUMIF(RES!$D$39:$D$146,$D128,$N$39:$N$146))-AE$28)),0))</f>
        <v>0.46077642086494675</v>
      </c>
      <c r="AF128" s="63">
        <f>AE128</f>
        <v>0.46077642086494675</v>
      </c>
      <c r="AG128" s="63">
        <f>AF128</f>
        <v>0.46077642086494675</v>
      </c>
      <c r="AH128" s="63">
        <f>$AE128*(1+'Census 2011_17'!D$20)-AH$28</f>
        <v>0.50763860715850539</v>
      </c>
      <c r="AI128" s="63">
        <f>$AE128*(1+'Census 2011_17'!E$20)-AI$28</f>
        <v>0.5236720956043438</v>
      </c>
      <c r="AJ128" s="63">
        <f>$AE128*(1+'Census 2011_17'!F$20)-AJ$28</f>
        <v>0.53870558405018221</v>
      </c>
      <c r="AK128" s="607">
        <f>AJ128*0.5</f>
        <v>0.2693527920250911</v>
      </c>
      <c r="AL128" s="607">
        <v>0</v>
      </c>
      <c r="AN128" s="125">
        <f t="shared" si="125"/>
        <v>0.46087642086494673</v>
      </c>
      <c r="AO128" s="21" t="s">
        <v>484</v>
      </c>
      <c r="AP128" s="496">
        <f t="shared" si="126"/>
        <v>0.79</v>
      </c>
    </row>
    <row r="129" spans="1:56" s="157" customFormat="1" ht="15.5" outlineLevel="1">
      <c r="A129" s="108" t="s">
        <v>1001</v>
      </c>
      <c r="B129" s="30" t="s">
        <v>373</v>
      </c>
      <c r="C129" s="43" t="s">
        <v>161</v>
      </c>
      <c r="D129" s="43" t="s">
        <v>239</v>
      </c>
      <c r="E129" s="486">
        <v>0.96</v>
      </c>
      <c r="F129" s="557">
        <v>1</v>
      </c>
      <c r="G129" s="557">
        <v>1</v>
      </c>
      <c r="H129" s="557">
        <f t="shared" si="124"/>
        <v>0</v>
      </c>
      <c r="I129" s="576">
        <v>1E-3</v>
      </c>
      <c r="J129" s="486">
        <v>0</v>
      </c>
      <c r="K129" s="48"/>
      <c r="L129" s="485">
        <v>1</v>
      </c>
      <c r="M129" s="485">
        <f>IF(C129="","",SUMIFS(Energy_Balance!I$56:I$160,Energy_Balance!$C$56:$C$160,C129,Energy_Balance!$D$56:$D$160,D129)*L129)</f>
        <v>0</v>
      </c>
      <c r="N129" s="485">
        <f t="shared" si="97"/>
        <v>0</v>
      </c>
      <c r="O129" s="25"/>
      <c r="P129" s="601">
        <f>E129</f>
        <v>0.96</v>
      </c>
      <c r="Q129" s="360">
        <f t="shared" si="127"/>
        <v>0.96</v>
      </c>
      <c r="R129" s="360">
        <f t="shared" si="128"/>
        <v>0.96</v>
      </c>
      <c r="S129" s="360">
        <f t="shared" si="129"/>
        <v>0.96</v>
      </c>
      <c r="T129" s="203"/>
      <c r="U129" s="50"/>
      <c r="V129" s="63">
        <f>IF((IFERROR(IF(N129/(SUMIF(RES!$D$39:$D$146,D129,$N$39:$N$146))=1,1,(N129/(SUMIF(RES!$D$39:$D$146,D129,$N$39:$N$146))+$V$29)),0))&lt;1,(IFERROR(IF(N129/(SUMIF(RES!$D$39:$D$146,D129,$N$39:$N$146))=1,1,(N129/(SUMIF(RES!$D$39:$D$146,D129,$N$39:$N$146))+$V$29)),0)),1)</f>
        <v>1E-3</v>
      </c>
      <c r="W129" s="50">
        <f>V129</f>
        <v>1E-3</v>
      </c>
      <c r="X129" s="50">
        <f t="shared" si="130"/>
        <v>1E-3</v>
      </c>
      <c r="Y129" s="50">
        <f t="shared" si="130"/>
        <v>1E-3</v>
      </c>
      <c r="Z129" s="50">
        <f t="shared" si="130"/>
        <v>1E-3</v>
      </c>
      <c r="AA129" s="50">
        <f t="shared" si="130"/>
        <v>1E-3</v>
      </c>
      <c r="AB129" s="50">
        <f t="shared" si="130"/>
        <v>1E-3</v>
      </c>
      <c r="AC129" s="50">
        <f t="shared" si="130"/>
        <v>1E-3</v>
      </c>
      <c r="AD129" s="50"/>
      <c r="AE129" s="63">
        <v>0</v>
      </c>
      <c r="AF129" s="50">
        <f>AE129</f>
        <v>0</v>
      </c>
      <c r="AG129" s="50">
        <f t="shared" ref="AG129:AL129" si="133">AF129</f>
        <v>0</v>
      </c>
      <c r="AH129" s="50">
        <f t="shared" si="133"/>
        <v>0</v>
      </c>
      <c r="AI129" s="50">
        <f t="shared" si="133"/>
        <v>0</v>
      </c>
      <c r="AJ129" s="50">
        <f t="shared" si="133"/>
        <v>0</v>
      </c>
      <c r="AK129" s="50">
        <f t="shared" si="133"/>
        <v>0</v>
      </c>
      <c r="AL129" s="50">
        <f t="shared" si="133"/>
        <v>0</v>
      </c>
      <c r="AM129"/>
      <c r="AN129" s="125">
        <f t="shared" si="125"/>
        <v>0</v>
      </c>
      <c r="AO129" s="158" t="s">
        <v>484</v>
      </c>
      <c r="AP129" s="496">
        <f t="shared" si="126"/>
        <v>0.96</v>
      </c>
      <c r="AQ129"/>
      <c r="AR129"/>
      <c r="AS129"/>
      <c r="AT129"/>
      <c r="AU129"/>
      <c r="AV129"/>
      <c r="AW129"/>
      <c r="AX129"/>
      <c r="AY129"/>
      <c r="AZ129"/>
      <c r="BA129"/>
      <c r="BB129"/>
      <c r="BC129"/>
      <c r="BD129"/>
    </row>
    <row r="130" spans="1:56" s="191" customFormat="1" ht="15.5" outlineLevel="1">
      <c r="A130" s="524" t="s">
        <v>926</v>
      </c>
      <c r="B130" s="525"/>
      <c r="C130" s="526"/>
      <c r="D130" s="526"/>
      <c r="E130" s="527" t="str">
        <f>IF(D130="","",IF(COUNTIF(#REF!,$B130)=1,SUMIF(#REF!,RES!B130,#REF!),SUMIF(#REF!,RES!$B130,#REF!)))</f>
        <v/>
      </c>
      <c r="F130" s="527"/>
      <c r="G130" s="527"/>
      <c r="H130" s="527"/>
      <c r="I130" s="577"/>
      <c r="J130" s="527"/>
      <c r="K130" s="528"/>
      <c r="L130" s="529"/>
      <c r="M130" s="529">
        <f>SUM(M124:M129)</f>
        <v>7.7341233109326826</v>
      </c>
      <c r="N130" s="529">
        <f>SUM(N124:N129)</f>
        <v>6.2843493471441025</v>
      </c>
      <c r="O130" s="192"/>
      <c r="P130" s="530"/>
      <c r="Q130" s="530" t="str">
        <f t="shared" si="127"/>
        <v/>
      </c>
      <c r="R130" s="530" t="str">
        <f t="shared" si="128"/>
        <v/>
      </c>
      <c r="S130" s="530" t="str">
        <f>IF(G130="","",IF(COUNTIF(#REF!,$B130)=1,SUMIF(#REF!,RES!$B130,#REF!),SUMIF(#REF!,RES!$B130,#REF!)))</f>
        <v/>
      </c>
      <c r="T130" s="531"/>
      <c r="U130" s="532"/>
      <c r="V130" s="533">
        <f>SUM(V124:V129)</f>
        <v>1.0059999999999998</v>
      </c>
      <c r="W130" s="533">
        <f t="shared" ref="W130:AC130" si="134">SUM(W124:W129)</f>
        <v>1.0454270113787749</v>
      </c>
      <c r="X130" s="533">
        <f t="shared" si="134"/>
        <v>1.0807710938815713</v>
      </c>
      <c r="Y130" s="533">
        <f t="shared" si="134"/>
        <v>1.1106151763843675</v>
      </c>
      <c r="Z130" s="533">
        <f t="shared" si="134"/>
        <v>1.1299833648335715</v>
      </c>
      <c r="AA130" s="533">
        <f t="shared" si="134"/>
        <v>1.1889645003095717</v>
      </c>
      <c r="AB130" s="533">
        <f t="shared" si="134"/>
        <v>1.3544080267961736</v>
      </c>
      <c r="AC130" s="533">
        <f t="shared" si="134"/>
        <v>1.5871297900394743</v>
      </c>
      <c r="AD130" s="532"/>
      <c r="AE130" s="533">
        <f>SUM(AE124:AE129)</f>
        <v>0.99939999999999996</v>
      </c>
      <c r="AF130" s="533">
        <f t="shared" ref="AF130:AL130" si="135">SUM(AF124:AF129)</f>
        <v>0.97923490148749681</v>
      </c>
      <c r="AG130" s="533">
        <f t="shared" si="135"/>
        <v>0.99074484508268401</v>
      </c>
      <c r="AH130" s="533">
        <f t="shared" si="135"/>
        <v>0.99845066848218844</v>
      </c>
      <c r="AI130" s="533">
        <f t="shared" si="135"/>
        <v>0.96828065268759489</v>
      </c>
      <c r="AJ130" s="533">
        <f t="shared" si="135"/>
        <v>0.99630295705009764</v>
      </c>
      <c r="AK130" s="533">
        <f t="shared" si="135"/>
        <v>0.72695016502500653</v>
      </c>
      <c r="AL130" s="533">
        <f t="shared" si="135"/>
        <v>0.45759737299991543</v>
      </c>
      <c r="AO130" s="534"/>
    </row>
    <row r="131" spans="1:56" s="232" customFormat="1" ht="15.5">
      <c r="A131" s="537" t="s">
        <v>1002</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IF(C131="","",IF(COUNTIF(#REF!,$B131)=1,SUMIF(#REF!,RES!$B131,#REF!),SUMIFS(Energy_Balance!I$160:I$160,Energy_Balance!$C$56:$C$160,C131,Energy_Balance!$D$56:$D$160,D131)*L131))</f>
        <v/>
      </c>
      <c r="N131" s="551"/>
      <c r="O131" s="544"/>
      <c r="P131" s="552"/>
      <c r="Q131" s="552" t="str">
        <f t="shared" si="127"/>
        <v/>
      </c>
      <c r="R131" s="552" t="str">
        <f t="shared" si="128"/>
        <v/>
      </c>
      <c r="S131" s="552" t="str">
        <f>IF(G131="","",IF(COUNTIF(#REF!,$B131)=1,SUMIF(#REF!,RES!$B131,#REF!),SUMIF(#REF!,RES!$B131,#REF!)))</f>
        <v/>
      </c>
      <c r="T131" s="553"/>
      <c r="U131" s="554"/>
      <c r="V131" s="554"/>
      <c r="W131" s="554"/>
      <c r="X131" s="554"/>
      <c r="Y131" s="554"/>
      <c r="Z131" s="554"/>
      <c r="AA131" s="554"/>
      <c r="AB131" s="554"/>
      <c r="AC131" s="554"/>
      <c r="AD131" s="554"/>
      <c r="AE131" s="594"/>
      <c r="AF131" s="554"/>
      <c r="AG131" s="554"/>
      <c r="AH131" s="554"/>
      <c r="AI131" s="554"/>
      <c r="AJ131" s="554"/>
      <c r="AK131" s="554"/>
      <c r="AL131" s="554"/>
      <c r="AO131" s="546"/>
    </row>
    <row r="132" spans="1:56" s="165" customFormat="1" ht="15.5" outlineLevel="2">
      <c r="A132" s="108" t="s">
        <v>1003</v>
      </c>
      <c r="B132" s="30" t="s">
        <v>374</v>
      </c>
      <c r="C132" s="43" t="s">
        <v>229</v>
      </c>
      <c r="D132" s="43" t="s">
        <v>561</v>
      </c>
      <c r="E132" s="486">
        <v>0.75</v>
      </c>
      <c r="F132" s="557">
        <v>1</v>
      </c>
      <c r="G132" s="557">
        <v>1</v>
      </c>
      <c r="H132" s="557">
        <f t="shared" ref="H132:H138" si="136">N132/F132*(1+$D$31)</f>
        <v>32.264807286698641</v>
      </c>
      <c r="I132" s="576">
        <v>1E-3</v>
      </c>
      <c r="J132" s="486">
        <v>0</v>
      </c>
      <c r="K132" s="48"/>
      <c r="L132" s="485">
        <v>0.94</v>
      </c>
      <c r="M132" s="485">
        <f>N132/E132</f>
        <v>43.019743048931524</v>
      </c>
      <c r="N132" s="485">
        <f>Energy_Balance!F35/('access to services'!C217/RES!E132+'access to services'!C215/RES!E133+'access to services'!C216/RES!E134)*'access to services'!C214</f>
        <v>32.264807286698641</v>
      </c>
      <c r="O132" s="25"/>
      <c r="P132" s="601">
        <f t="shared" ref="P132:P138" si="137">E132</f>
        <v>0.75</v>
      </c>
      <c r="Q132" s="360">
        <f t="shared" si="127"/>
        <v>0.75</v>
      </c>
      <c r="R132" s="360">
        <f t="shared" si="128"/>
        <v>0.75</v>
      </c>
      <c r="S132" s="360">
        <f t="shared" ref="S132:S138" si="138">R132</f>
        <v>0.75</v>
      </c>
      <c r="T132" s="203"/>
      <c r="U132" s="272"/>
      <c r="V132" s="63">
        <f>(IFERROR(IF(N132/(SUMIF(RES!$D$39:$D$146,D132,$N$39:$N$146))=1,1,(N132/(SUMIF(RES!$D$39:$D$146,D132,$N$39:$N$146)))),0))+0.001</f>
        <v>0.91543810630538791</v>
      </c>
      <c r="W132" s="63">
        <f>V132</f>
        <v>0.91543810630538791</v>
      </c>
      <c r="X132" s="63">
        <f>(W132+Y132)/2</f>
        <v>0.84480735520657491</v>
      </c>
      <c r="Y132" s="63">
        <f>'access to services'!D214+0.001</f>
        <v>0.77417660410776179</v>
      </c>
      <c r="Z132" s="63">
        <f>(Y132+AA132)/2</f>
        <v>0.73032375974234953</v>
      </c>
      <c r="AA132" s="63">
        <f>'access to services'!E214+0.001</f>
        <v>0.68647091537693739</v>
      </c>
      <c r="AB132" s="63">
        <f>(AA132+AC132)/2</f>
        <v>0.67571121110221277</v>
      </c>
      <c r="AC132" s="63">
        <f>'access to services'!F214+0.001</f>
        <v>0.66495150682748816</v>
      </c>
      <c r="AD132" s="63"/>
      <c r="AE132" s="607">
        <f>V132-0.001</f>
        <v>0.91443810630538791</v>
      </c>
      <c r="AF132" s="607">
        <f>W132-0.001-AF$137/3</f>
        <v>0.90797679455939628</v>
      </c>
      <c r="AG132" s="607">
        <f>X132-0.002-X$137/2</f>
        <v>0.8323096285590178</v>
      </c>
      <c r="AH132" s="607">
        <f t="shared" ref="AH132:AL132" si="139">Y132-0.002-Y$137/2</f>
        <v>0.76136394566077803</v>
      </c>
      <c r="AI132" s="607">
        <f t="shared" si="139"/>
        <v>0.71718672154195617</v>
      </c>
      <c r="AJ132" s="607">
        <f t="shared" si="139"/>
        <v>0.67299976603053224</v>
      </c>
      <c r="AK132" s="607">
        <f t="shared" si="139"/>
        <v>0.66189592727541546</v>
      </c>
      <c r="AL132" s="607">
        <f t="shared" si="139"/>
        <v>0.65078176448588698</v>
      </c>
      <c r="AM132"/>
      <c r="AN132"/>
      <c r="AO132" s="249" t="s">
        <v>110</v>
      </c>
      <c r="AP132" s="496">
        <f t="shared" ref="AP132:AP138" si="140">E132</f>
        <v>0.75</v>
      </c>
      <c r="AQ132"/>
      <c r="AR132" s="1" t="s">
        <v>1058</v>
      </c>
      <c r="AS132"/>
      <c r="AT132"/>
      <c r="AU132"/>
      <c r="AV132"/>
      <c r="AW132"/>
      <c r="AX132"/>
      <c r="AY132"/>
      <c r="AZ132"/>
      <c r="BA132"/>
      <c r="BB132"/>
      <c r="BC132"/>
      <c r="BD132"/>
    </row>
    <row r="133" spans="1:56" ht="15.5" outlineLevel="2">
      <c r="A133" s="556" t="s">
        <v>1004</v>
      </c>
      <c r="B133" s="30" t="s">
        <v>378</v>
      </c>
      <c r="C133" s="43" t="s">
        <v>229</v>
      </c>
      <c r="D133" s="43" t="s">
        <v>561</v>
      </c>
      <c r="E133" s="486">
        <v>2.3199999999999998</v>
      </c>
      <c r="F133" s="557">
        <v>1</v>
      </c>
      <c r="G133" s="557">
        <v>1</v>
      </c>
      <c r="H133" s="557">
        <f t="shared" si="136"/>
        <v>0.29187583357301905</v>
      </c>
      <c r="I133" s="576">
        <v>1E-3</v>
      </c>
      <c r="J133" s="486">
        <v>0</v>
      </c>
      <c r="K133" s="48"/>
      <c r="L133" s="485">
        <v>4.2799999999999998E-2</v>
      </c>
      <c r="M133" s="485">
        <f t="shared" ref="M133:M134" si="141">N133/E133</f>
        <v>0.12580854895388752</v>
      </c>
      <c r="N133" s="485">
        <f>Energy_Balance!F35/('access to services'!C217/RES!E132+'access to services'!C215/RES!E133+'access to services'!C216/RES!E134)*'access to services'!C215</f>
        <v>0.29187583357301905</v>
      </c>
      <c r="O133" s="25"/>
      <c r="P133" s="601">
        <f t="shared" si="137"/>
        <v>2.3199999999999998</v>
      </c>
      <c r="Q133" s="360">
        <f t="shared" si="127"/>
        <v>2.3199999999999998</v>
      </c>
      <c r="R133" s="360">
        <f t="shared" si="128"/>
        <v>2.3199999999999998</v>
      </c>
      <c r="S133" s="360">
        <f t="shared" si="138"/>
        <v>2.3199999999999998</v>
      </c>
      <c r="T133" s="203"/>
      <c r="U133" s="272"/>
      <c r="V133" s="63">
        <f>IF((IFERROR(IF(N133/(SUMIF(RES!$D$39:$D$146,D133,$N$39:$N$146))=1,1,(N133/(SUMIF(RES!$D$39:$D$146,D133,$N$39:$N$146)))),0))&lt;1,(IFERROR(IF(N133/(SUMIF(RES!$D$39:$D$146,D133,$N$39:$N$146))=1,1,(N133/(SUMIF(RES!$D$39:$D$146,D133,$N$39:$N$146)))),0)),1)</f>
        <v>8.272244807079639E-3</v>
      </c>
      <c r="W133" s="63">
        <f t="shared" ref="W133:W134" si="142">V133</f>
        <v>8.272244807079639E-3</v>
      </c>
      <c r="X133" s="63">
        <f t="shared" ref="X133:Z134" si="143">(W133+Y133)/2</f>
        <v>1.8312584646804703E-2</v>
      </c>
      <c r="Y133" s="63">
        <f>'access to services'!D215</f>
        <v>2.8352924486529769E-2</v>
      </c>
      <c r="Z133" s="63">
        <f t="shared" si="143"/>
        <v>3.3834530032206295E-2</v>
      </c>
      <c r="AA133" s="63">
        <f>'access to services'!E215</f>
        <v>3.9316135577882827E-2</v>
      </c>
      <c r="AB133" s="63">
        <f t="shared" ref="AB133" si="144">(AA133+AC133)/2</f>
        <v>4.0661098612223411E-2</v>
      </c>
      <c r="AC133" s="63">
        <f>'access to services'!F215</f>
        <v>4.2006061646563994E-2</v>
      </c>
      <c r="AD133" s="63"/>
      <c r="AE133" s="607">
        <f t="shared" ref="AE133:AE134" si="145">V133-0.001</f>
        <v>7.272244807079639E-3</v>
      </c>
      <c r="AF133" s="607">
        <f t="shared" ref="AF133:AF134" si="146">W133-0.001-AF$137/3</f>
        <v>8.1093306108799123E-4</v>
      </c>
      <c r="AG133" s="607">
        <f>X133-0.001-X$137/4</f>
        <v>1.2063721323026154E-2</v>
      </c>
      <c r="AH133" s="607">
        <f t="shared" ref="AH133:AL134" si="147">Y133-0.001-Y$137/4</f>
        <v>2.1946595263037862E-2</v>
      </c>
      <c r="AI133" s="607">
        <f t="shared" si="147"/>
        <v>2.7266010932009629E-2</v>
      </c>
      <c r="AJ133" s="607">
        <f t="shared" si="147"/>
        <v>3.2580560904680263E-2</v>
      </c>
      <c r="AK133" s="607">
        <f t="shared" si="147"/>
        <v>3.375345669882477E-2</v>
      </c>
      <c r="AL133" s="607">
        <f t="shared" si="147"/>
        <v>3.4921190475763392E-2</v>
      </c>
      <c r="AO133" s="249" t="s">
        <v>110</v>
      </c>
      <c r="AP133" s="496">
        <f t="shared" si="140"/>
        <v>2.3199999999999998</v>
      </c>
    </row>
    <row r="134" spans="1:56" ht="15.5" outlineLevel="2">
      <c r="A134" s="108" t="s">
        <v>1005</v>
      </c>
      <c r="B134" s="30" t="s">
        <v>375</v>
      </c>
      <c r="C134" s="43" t="s">
        <v>229</v>
      </c>
      <c r="D134" s="43" t="s">
        <v>561</v>
      </c>
      <c r="E134" s="486">
        <v>2.15</v>
      </c>
      <c r="F134" s="557">
        <v>1</v>
      </c>
      <c r="G134" s="557">
        <v>1</v>
      </c>
      <c r="H134" s="557">
        <f t="shared" si="136"/>
        <v>2.0431308350111337</v>
      </c>
      <c r="I134" s="576">
        <v>1E-3</v>
      </c>
      <c r="J134" s="486">
        <v>0</v>
      </c>
      <c r="K134" s="48"/>
      <c r="L134" s="485">
        <f>1-L132-L133</f>
        <v>1.7200000000000056E-2</v>
      </c>
      <c r="M134" s="485">
        <f t="shared" si="141"/>
        <v>0.95029341163308545</v>
      </c>
      <c r="N134" s="485">
        <f>Energy_Balance!F35/('access to services'!C217/RES!E132+'access to services'!C215/RES!E133+'access to services'!C216/RES!E134)*'access to services'!C216</f>
        <v>2.0431308350111337</v>
      </c>
      <c r="O134" s="25"/>
      <c r="P134" s="601">
        <f t="shared" si="137"/>
        <v>2.15</v>
      </c>
      <c r="Q134" s="360">
        <f t="shared" si="127"/>
        <v>2.15</v>
      </c>
      <c r="R134" s="360">
        <f t="shared" si="128"/>
        <v>2.15</v>
      </c>
      <c r="S134" s="360">
        <f t="shared" si="138"/>
        <v>2.15</v>
      </c>
      <c r="T134" s="203"/>
      <c r="U134" s="272"/>
      <c r="V134" s="63">
        <f>IF((IFERROR(IF(N134/(SUMIF(RES!$D$39:$D$146,D134,$N$39:$N$146))=1,1,(N134/(SUMIF(RES!$D$39:$D$146,D134,$N$39:$N$146))+$V$28)),0))&lt;1,(IFERROR(IF(N134/(SUMIF(RES!$D$39:$D$146,D134,$N$39:$N$146))=1,1,(N134/(SUMIF(RES!$D$39:$D$146,D134,$N$39:$N$146))+$V$28)),0)),1)</f>
        <v>5.8905713649557483E-2</v>
      </c>
      <c r="W134" s="63">
        <f t="shared" si="142"/>
        <v>5.8905713649557483E-2</v>
      </c>
      <c r="X134" s="63">
        <f t="shared" si="143"/>
        <v>0.12868809252763294</v>
      </c>
      <c r="Y134" s="63">
        <f>'access to services'!D216</f>
        <v>0.19847047140570839</v>
      </c>
      <c r="Z134" s="63">
        <f t="shared" si="143"/>
        <v>0.23684171022544409</v>
      </c>
      <c r="AA134" s="63">
        <f>'access to services'!E216</f>
        <v>0.27521294904517979</v>
      </c>
      <c r="AB134" s="63">
        <f t="shared" ref="AB134" si="148">(AA134+AC134)/2</f>
        <v>0.28462769028556389</v>
      </c>
      <c r="AC134" s="63">
        <f>'access to services'!F216</f>
        <v>0.29404243152594794</v>
      </c>
      <c r="AD134" s="63"/>
      <c r="AE134" s="607">
        <f t="shared" si="145"/>
        <v>5.7905713649557482E-2</v>
      </c>
      <c r="AF134" s="607">
        <f t="shared" si="146"/>
        <v>5.1444401903565834E-2</v>
      </c>
      <c r="AG134" s="607">
        <f>X134-0.001-X$137/4</f>
        <v>0.12243922920385439</v>
      </c>
      <c r="AH134" s="607">
        <f t="shared" si="147"/>
        <v>0.19206414218221649</v>
      </c>
      <c r="AI134" s="607">
        <f t="shared" si="147"/>
        <v>0.23027319112524744</v>
      </c>
      <c r="AJ134" s="607">
        <f t="shared" si="147"/>
        <v>0.26847737437197722</v>
      </c>
      <c r="AK134" s="607">
        <f t="shared" si="147"/>
        <v>0.27772004837216524</v>
      </c>
      <c r="AL134" s="607">
        <f t="shared" si="147"/>
        <v>0.28695756035514736</v>
      </c>
      <c r="AO134" s="249" t="s">
        <v>110</v>
      </c>
      <c r="AP134" s="496">
        <f t="shared" si="140"/>
        <v>2.15</v>
      </c>
    </row>
    <row r="135" spans="1:56" s="191" customFormat="1" ht="15.5" outlineLevel="1">
      <c r="A135" s="524" t="s">
        <v>926</v>
      </c>
      <c r="B135" s="525"/>
      <c r="C135" s="526"/>
      <c r="D135" s="526"/>
      <c r="E135" s="527" t="str">
        <f>IF(D135="","",IF(COUNTIF(#REF!,$B135)=1,SUMIF(#REF!,RES!B135,#REF!),SUMIF(#REF!,RES!$B135,#REF!)))</f>
        <v/>
      </c>
      <c r="F135" s="527"/>
      <c r="G135" s="527"/>
      <c r="H135" s="527"/>
      <c r="I135" s="577"/>
      <c r="J135" s="527"/>
      <c r="K135" s="528"/>
      <c r="L135" s="529"/>
      <c r="M135" s="529"/>
      <c r="N135" s="529"/>
      <c r="O135" s="192"/>
      <c r="P135" s="530"/>
      <c r="Q135" s="530" t="str">
        <f t="shared" si="127"/>
        <v/>
      </c>
      <c r="R135" s="530" t="str">
        <f t="shared" ref="R135" si="149">IF($AO135="","",IF($AO135="*",$AP135*(1+$P$29),E135))</f>
        <v/>
      </c>
      <c r="S135" s="530" t="str">
        <f>IF(G135="","",IF(COUNTIF(#REF!,$B135)=1,SUMIF(#REF!,RES!$B135,#REF!),SUMIF(#REF!,RES!$B135,#REF!)))</f>
        <v/>
      </c>
      <c r="T135" s="531"/>
      <c r="U135" s="532"/>
      <c r="V135" s="533"/>
      <c r="W135" s="533"/>
      <c r="X135" s="533"/>
      <c r="Y135" s="533"/>
      <c r="Z135" s="533"/>
      <c r="AA135" s="533"/>
      <c r="AB135" s="533"/>
      <c r="AC135" s="533"/>
      <c r="AD135" s="532"/>
      <c r="AE135" s="533"/>
      <c r="AF135" s="533"/>
      <c r="AG135" s="533"/>
      <c r="AH135" s="533"/>
      <c r="AI135" s="533"/>
      <c r="AJ135" s="533"/>
      <c r="AK135" s="533"/>
      <c r="AL135" s="533"/>
      <c r="AO135" s="534"/>
    </row>
    <row r="136" spans="1:56" ht="15.5" outlineLevel="2">
      <c r="A136" s="108" t="s">
        <v>1006</v>
      </c>
      <c r="B136" s="30" t="s">
        <v>376</v>
      </c>
      <c r="C136" s="43" t="s">
        <v>231</v>
      </c>
      <c r="D136" s="43" t="s">
        <v>256</v>
      </c>
      <c r="E136" s="486">
        <v>0.56999999999999995</v>
      </c>
      <c r="F136" s="557">
        <v>1</v>
      </c>
      <c r="G136" s="557">
        <v>1</v>
      </c>
      <c r="H136" s="557">
        <f t="shared" si="136"/>
        <v>0</v>
      </c>
      <c r="I136" s="576">
        <v>1E-3</v>
      </c>
      <c r="J136" s="486">
        <v>0</v>
      </c>
      <c r="K136" s="48"/>
      <c r="L136" s="485">
        <v>1</v>
      </c>
      <c r="M136" s="485">
        <v>0</v>
      </c>
      <c r="N136" s="485">
        <f t="shared" ref="N136:N144" si="150">E136*M136</f>
        <v>0</v>
      </c>
      <c r="O136" s="25"/>
      <c r="P136" s="601">
        <f t="shared" si="137"/>
        <v>0.56999999999999995</v>
      </c>
      <c r="Q136" s="360">
        <f t="shared" si="127"/>
        <v>0.56999999999999995</v>
      </c>
      <c r="R136" s="360">
        <f t="shared" si="128"/>
        <v>0.56999999999999995</v>
      </c>
      <c r="S136" s="360">
        <f t="shared" si="138"/>
        <v>0.56999999999999995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40"/>
        <v>0.56999999999999995</v>
      </c>
    </row>
    <row r="137" spans="1:56" ht="15.5" outlineLevel="2">
      <c r="A137" s="108" t="s">
        <v>1069</v>
      </c>
      <c r="B137" s="30" t="s">
        <v>377</v>
      </c>
      <c r="C137" s="43" t="s">
        <v>230</v>
      </c>
      <c r="D137" s="43" t="s">
        <v>561</v>
      </c>
      <c r="E137" s="486">
        <v>0.65</v>
      </c>
      <c r="F137" s="557">
        <v>1</v>
      </c>
      <c r="G137" s="557">
        <v>1</v>
      </c>
      <c r="H137" s="557">
        <f t="shared" si="136"/>
        <v>0.68393796211970426</v>
      </c>
      <c r="I137" s="576">
        <v>1E-3</v>
      </c>
      <c r="J137" s="486">
        <v>0</v>
      </c>
      <c r="K137" s="48"/>
      <c r="L137" s="485">
        <v>1</v>
      </c>
      <c r="M137" s="485">
        <f>IF(C137="","",SUMIFS(Energy_Balance!I$56:I$160,Energy_Balance!$C$56:$C$160,C137,Energy_Balance!$D$56:$D$160,D137)*L137)</f>
        <v>1.0522122494149295</v>
      </c>
      <c r="N137" s="485">
        <f t="shared" si="150"/>
        <v>0.68393796211970426</v>
      </c>
      <c r="O137" s="25"/>
      <c r="P137" s="601">
        <f t="shared" si="137"/>
        <v>0.65</v>
      </c>
      <c r="Q137" s="360">
        <f t="shared" si="127"/>
        <v>0.65</v>
      </c>
      <c r="R137" s="360">
        <f t="shared" si="128"/>
        <v>0.65</v>
      </c>
      <c r="S137" s="360">
        <f t="shared" si="138"/>
        <v>0.65</v>
      </c>
      <c r="T137" s="203"/>
      <c r="U137" s="50"/>
      <c r="V137" s="63">
        <f>IF((IFERROR(IF(N137/(SUMIF(RES!$D$39:$D$146,D137,$N$39:$N$146))=1,1,(N137/(SUMIF(RES!$D$39:$D$146,D137,$N$39:$N$146))+$V$28)),0))&lt;1,(IFERROR(IF(N137/(SUMIF(RES!$D$39:$D$146,D137,$N$39:$N$146))=1,1,(N137/(SUMIF(RES!$D$39:$D$146,D137,$N$39:$N$146))+$V$28)),0)),1)</f>
        <v>2.0383935237974944E-2</v>
      </c>
      <c r="W137" s="63">
        <f t="shared" ref="W137" si="151">V137</f>
        <v>2.0383935237974944E-2</v>
      </c>
      <c r="X137" s="63">
        <f>W137*'access to services'!$C$310</f>
        <v>2.0995453295114194E-2</v>
      </c>
      <c r="Y137" s="63">
        <f>X137*'access to services'!$C$310</f>
        <v>2.1625316893967621E-2</v>
      </c>
      <c r="Z137" s="63">
        <f>Y137*'access to services'!$C$310</f>
        <v>2.2274076400786651E-2</v>
      </c>
      <c r="AA137" s="63">
        <f>Z137*'access to services'!$C$310</f>
        <v>2.294229869281025E-2</v>
      </c>
      <c r="AB137" s="63">
        <f>AA137*'access to services'!$C$310</f>
        <v>2.3630567653594559E-2</v>
      </c>
      <c r="AC137" s="63">
        <f t="shared" ref="AC137" si="152">AB137*1.03</f>
        <v>2.4339484683202395E-2</v>
      </c>
      <c r="AD137" s="50"/>
      <c r="AE137" s="607">
        <f>V137-0.001</f>
        <v>1.9383935237974943E-2</v>
      </c>
      <c r="AF137" s="607">
        <f t="shared" ref="AF137:AG137" si="153">W137-0.001</f>
        <v>1.9383935237974943E-2</v>
      </c>
      <c r="AG137" s="607">
        <f t="shared" si="153"/>
        <v>1.9995453295114193E-2</v>
      </c>
      <c r="AH137" s="607">
        <f>AG137-0.002</f>
        <v>1.7995453295114192E-2</v>
      </c>
      <c r="AI137" s="607">
        <f t="shared" ref="AI137:AL137" si="154">AH137-0.002</f>
        <v>1.599545329511419E-2</v>
      </c>
      <c r="AJ137" s="607">
        <f t="shared" si="154"/>
        <v>1.399545329511419E-2</v>
      </c>
      <c r="AK137" s="607">
        <f t="shared" si="154"/>
        <v>1.199545329511419E-2</v>
      </c>
      <c r="AL137" s="607">
        <f t="shared" si="154"/>
        <v>9.9954532951141897E-3</v>
      </c>
      <c r="AO137" s="21" t="s">
        <v>484</v>
      </c>
      <c r="AP137" s="496">
        <f t="shared" si="140"/>
        <v>0.65</v>
      </c>
    </row>
    <row r="138" spans="1:56" s="165" customFormat="1" ht="15.5" outlineLevel="2">
      <c r="A138" s="108" t="s">
        <v>1007</v>
      </c>
      <c r="B138" s="30" t="s">
        <v>379</v>
      </c>
      <c r="C138" s="43" t="s">
        <v>161</v>
      </c>
      <c r="D138" s="43" t="s">
        <v>256</v>
      </c>
      <c r="E138" s="486">
        <v>0.86</v>
      </c>
      <c r="F138" s="557">
        <v>1</v>
      </c>
      <c r="G138" s="557">
        <v>1</v>
      </c>
      <c r="H138" s="557">
        <f t="shared" si="136"/>
        <v>0</v>
      </c>
      <c r="I138" s="576">
        <v>1E-3</v>
      </c>
      <c r="J138" s="486">
        <v>0</v>
      </c>
      <c r="K138" s="48"/>
      <c r="L138" s="485">
        <v>1</v>
      </c>
      <c r="M138" s="485">
        <v>0</v>
      </c>
      <c r="N138" s="485">
        <f t="shared" si="150"/>
        <v>0</v>
      </c>
      <c r="O138" s="25"/>
      <c r="P138" s="601">
        <f t="shared" si="137"/>
        <v>0.86</v>
      </c>
      <c r="Q138" s="360">
        <f t="shared" si="127"/>
        <v>0.86</v>
      </c>
      <c r="R138" s="360">
        <f t="shared" si="128"/>
        <v>0.86</v>
      </c>
      <c r="S138" s="360">
        <f t="shared" si="138"/>
        <v>0.86</v>
      </c>
      <c r="T138" s="203"/>
      <c r="U138" s="50"/>
      <c r="V138" s="50">
        <v>0</v>
      </c>
      <c r="W138" s="50">
        <v>0</v>
      </c>
      <c r="X138" s="50">
        <v>0</v>
      </c>
      <c r="Y138" s="50">
        <v>0</v>
      </c>
      <c r="Z138" s="50">
        <v>0</v>
      </c>
      <c r="AA138" s="50">
        <v>0</v>
      </c>
      <c r="AB138" s="50">
        <v>0</v>
      </c>
      <c r="AC138" s="50">
        <v>0</v>
      </c>
      <c r="AD138" s="50"/>
      <c r="AE138" s="272">
        <v>0</v>
      </c>
      <c r="AF138" s="50">
        <v>0</v>
      </c>
      <c r="AG138" s="50">
        <v>0</v>
      </c>
      <c r="AH138" s="50">
        <v>0</v>
      </c>
      <c r="AI138" s="50">
        <v>0</v>
      </c>
      <c r="AJ138" s="50">
        <v>0</v>
      </c>
      <c r="AK138" s="50">
        <v>0</v>
      </c>
      <c r="AL138" s="50">
        <v>0</v>
      </c>
      <c r="AM138"/>
      <c r="AN138"/>
      <c r="AO138" s="169" t="s">
        <v>484</v>
      </c>
      <c r="AP138" s="496">
        <f t="shared" si="140"/>
        <v>0.86</v>
      </c>
      <c r="AQ138"/>
      <c r="AR138"/>
      <c r="AS138"/>
      <c r="AT138"/>
      <c r="AU138"/>
      <c r="AV138"/>
      <c r="AW138"/>
      <c r="AX138"/>
      <c r="AY138"/>
      <c r="AZ138"/>
      <c r="BA138"/>
      <c r="BB138"/>
      <c r="BC138"/>
      <c r="BD138"/>
    </row>
    <row r="139" spans="1:56" s="191" customFormat="1" ht="15.5">
      <c r="A139" s="524" t="s">
        <v>926</v>
      </c>
      <c r="B139" s="525"/>
      <c r="C139" s="526"/>
      <c r="D139" s="526"/>
      <c r="E139" s="527" t="str">
        <f>IF(D139="","",IF(COUNTIF(#REF!,$B139)=1,SUMIF(#REF!,RES!B139,#REF!),SUMIF(#REF!,RES!$B139,#REF!)))</f>
        <v/>
      </c>
      <c r="F139" s="527"/>
      <c r="G139" s="527"/>
      <c r="H139" s="527"/>
      <c r="I139" s="577"/>
      <c r="J139" s="527"/>
      <c r="K139" s="528"/>
      <c r="L139" s="529"/>
      <c r="M139" s="529">
        <f>M132+M133+M134+M137</f>
        <v>45.14805725893342</v>
      </c>
      <c r="N139" s="529">
        <f>N132+N133+N134+N137</f>
        <v>35.283751917402498</v>
      </c>
      <c r="O139" s="192"/>
      <c r="P139" s="530"/>
      <c r="Q139" s="530" t="str">
        <f t="shared" si="127"/>
        <v/>
      </c>
      <c r="R139" s="530" t="str">
        <f t="shared" si="128"/>
        <v/>
      </c>
      <c r="S139" s="530" t="str">
        <f>IF(G139="","",IF(COUNTIF(#REF!,$B139)=1,SUMIF(#REF!,RES!$B139,#REF!),SUMIF(#REF!,RES!$B139,#REF!)))</f>
        <v/>
      </c>
      <c r="T139" s="531"/>
      <c r="U139" s="532"/>
      <c r="V139" s="533">
        <f>SUM(V132:V138)</f>
        <v>1.0029999999999999</v>
      </c>
      <c r="W139" s="533">
        <f t="shared" ref="W139:AC139" si="155">SUM(W132:W138)</f>
        <v>1.0029999999999999</v>
      </c>
      <c r="X139" s="533">
        <f t="shared" si="155"/>
        <v>1.0128034856761268</v>
      </c>
      <c r="Y139" s="533">
        <f t="shared" si="155"/>
        <v>1.0226253168939674</v>
      </c>
      <c r="Z139" s="533">
        <f t="shared" si="155"/>
        <v>1.0232740764007866</v>
      </c>
      <c r="AA139" s="533">
        <f t="shared" si="155"/>
        <v>1.0239422986928102</v>
      </c>
      <c r="AB139" s="533">
        <f t="shared" si="155"/>
        <v>1.0246305676535947</v>
      </c>
      <c r="AC139" s="533">
        <f t="shared" si="155"/>
        <v>1.0253394846832025</v>
      </c>
      <c r="AD139" s="532"/>
      <c r="AE139" s="533">
        <f>SUM(AE132:AE138)</f>
        <v>0.999</v>
      </c>
      <c r="AF139" s="533">
        <f t="shared" ref="AF139:AL139" si="156">SUM(AF132:AF138)</f>
        <v>0.97961606476202512</v>
      </c>
      <c r="AG139" s="533">
        <f t="shared" si="156"/>
        <v>0.98680803238101256</v>
      </c>
      <c r="AH139" s="533">
        <f t="shared" si="156"/>
        <v>0.99337013640114658</v>
      </c>
      <c r="AI139" s="533">
        <f t="shared" si="156"/>
        <v>0.99072137689432749</v>
      </c>
      <c r="AJ139" s="533">
        <f t="shared" si="156"/>
        <v>0.98805315460230403</v>
      </c>
      <c r="AK139" s="533">
        <f t="shared" si="156"/>
        <v>0.98536488564151969</v>
      </c>
      <c r="AL139" s="533">
        <f t="shared" si="156"/>
        <v>0.98265596861191196</v>
      </c>
      <c r="AO139" s="534"/>
    </row>
    <row r="140" spans="1:56" s="232" customFormat="1" ht="15.5">
      <c r="A140" s="537" t="s">
        <v>927</v>
      </c>
      <c r="B140" s="538" t="s">
        <v>321</v>
      </c>
      <c r="C140" s="547"/>
      <c r="D140" s="547"/>
      <c r="E140" s="549" t="str">
        <f>IF(D140="","",IF(COUNTIF(#REF!,$B140)=1,SUMIF(#REF!,RES!B140,#REF!),SUMIF(#REF!,RES!$B140,#REF!)))</f>
        <v/>
      </c>
      <c r="F140" s="549"/>
      <c r="G140" s="549"/>
      <c r="H140" s="549"/>
      <c r="I140" s="578"/>
      <c r="J140" s="549"/>
      <c r="K140" s="539"/>
      <c r="L140" s="551"/>
      <c r="M140" s="551"/>
      <c r="N140" s="551"/>
      <c r="O140" s="544"/>
      <c r="P140" s="552"/>
      <c r="Q140" s="552" t="str">
        <f t="shared" si="127"/>
        <v/>
      </c>
      <c r="R140" s="552" t="str">
        <f t="shared" si="128"/>
        <v/>
      </c>
      <c r="S140" s="552" t="str">
        <f>IF(G140="","",IF(COUNTIF(#REF!,$B140)=1,SUMIF(#REF!,RES!$B140,#REF!),SUMIF(#REF!,RES!$B140,#REF!)))</f>
        <v/>
      </c>
      <c r="T140" s="553"/>
      <c r="U140" s="554"/>
      <c r="V140" s="554"/>
      <c r="W140" s="554"/>
      <c r="X140" s="554"/>
      <c r="Y140" s="554"/>
      <c r="Z140" s="554"/>
      <c r="AA140" s="554"/>
      <c r="AB140" s="554"/>
      <c r="AC140" s="554"/>
      <c r="AD140" s="554"/>
      <c r="AE140" s="594"/>
      <c r="AF140" s="554"/>
      <c r="AG140" s="554"/>
      <c r="AH140" s="554"/>
      <c r="AI140" s="554"/>
      <c r="AJ140" s="554"/>
      <c r="AK140" s="554"/>
      <c r="AL140" s="554"/>
      <c r="AO140" s="546"/>
    </row>
    <row r="141" spans="1:56" s="165" customFormat="1" ht="15.5" outlineLevel="1">
      <c r="A141" s="108" t="s">
        <v>1060</v>
      </c>
      <c r="B141" s="30" t="s">
        <v>380</v>
      </c>
      <c r="C141" s="43" t="s">
        <v>229</v>
      </c>
      <c r="D141" s="43" t="s">
        <v>257</v>
      </c>
      <c r="E141" s="494">
        <f>INDEX('Electrical efficiency'!$L$8:$L$23,MATCH(RES!D141,'Electrical efficiency'!$K$8:$K$23,0))</f>
        <v>0.64200000000000002</v>
      </c>
      <c r="F141" s="557">
        <v>1</v>
      </c>
      <c r="G141" s="557">
        <v>1</v>
      </c>
      <c r="H141" s="557">
        <f>N141/F141*(1+$D$31)</f>
        <v>7.9624928252973453</v>
      </c>
      <c r="I141" s="576">
        <v>1E-3</v>
      </c>
      <c r="J141" s="494">
        <v>0</v>
      </c>
      <c r="K141" s="48" t="s">
        <v>889</v>
      </c>
      <c r="L141" s="485">
        <v>1</v>
      </c>
      <c r="M141" s="485">
        <f>IF(C141="","",SUMIFS(Energy_Balance!I$56:I$160,Energy_Balance!$C$56:$C$160,C141,Energy_Balance!$D$56:$D$160,D141)*L141)</f>
        <v>12.402636799528574</v>
      </c>
      <c r="N141" s="485">
        <f t="shared" si="150"/>
        <v>7.9624928252973453</v>
      </c>
      <c r="O141" s="25"/>
      <c r="P141" s="601">
        <f>INDEX('Electrical efficiency'!$M$8:$M$23,MATCH(RES!D141,'Electrical efficiency'!$K$8:$K$23,0))</f>
        <v>0.72954545454545461</v>
      </c>
      <c r="Q141" s="360">
        <f>INDEX('Electrical efficiency'!$N$8:$N$23,MATCH(RES!D141,'Electrical efficiency'!$K$8:$K$23,0))</f>
        <v>1.1672727272727272</v>
      </c>
      <c r="R141" s="360">
        <f>INDEX('Electrical efficiency'!$O$8:$O$23,MATCH(RES!D141,'Electrical efficiency'!$K$8:$K$23,0))</f>
        <v>1.3102040816326532</v>
      </c>
      <c r="S141" s="360">
        <f>INDEX('Electrical efficiency'!$P$8:$P$23,MATCH(RES!D141,'Electrical efficiency'!$K$8:$K$23,0))</f>
        <v>1.3102040816326532</v>
      </c>
      <c r="T141" s="203"/>
      <c r="U141" s="50"/>
      <c r="V141" s="50">
        <f>(IFERROR(IF(N141/(SUMIF(RES!$D$39:$D$146,D141,$N$39:$N$146))=1,1,(N141/(SUMIF(RES!$D$39:$D$146,D141,$N$39:$N$146))+#REF!)),0))</f>
        <v>1</v>
      </c>
      <c r="W141" s="50">
        <f>V141</f>
        <v>1</v>
      </c>
      <c r="X141" s="50">
        <f t="shared" ref="X141:AC141" si="157">W141</f>
        <v>1</v>
      </c>
      <c r="Y141" s="50">
        <f t="shared" si="157"/>
        <v>1</v>
      </c>
      <c r="Z141" s="50">
        <f t="shared" si="157"/>
        <v>1</v>
      </c>
      <c r="AA141" s="50">
        <f t="shared" si="157"/>
        <v>1</v>
      </c>
      <c r="AB141" s="50">
        <f t="shared" si="157"/>
        <v>1</v>
      </c>
      <c r="AC141" s="50">
        <f t="shared" si="157"/>
        <v>1</v>
      </c>
      <c r="AD141" s="50"/>
      <c r="AE141" s="272">
        <f>(IFERROR(IF($N141/(SUMIF(RES!$D$39:$D$146,$D141,$N$39:$N$146))=1,1,($N141/(SUMIF(RES!$D$39:$D$146,$D141,$N$39:$N$146))-$AE$28)),0))</f>
        <v>1</v>
      </c>
      <c r="AF141" s="50">
        <f>AE141</f>
        <v>1</v>
      </c>
      <c r="AG141" s="50">
        <f t="shared" ref="AG141:AL141" si="158">AF141</f>
        <v>1</v>
      </c>
      <c r="AH141" s="50">
        <f t="shared" si="158"/>
        <v>1</v>
      </c>
      <c r="AI141" s="50">
        <f t="shared" si="158"/>
        <v>1</v>
      </c>
      <c r="AJ141" s="50">
        <f t="shared" si="158"/>
        <v>1</v>
      </c>
      <c r="AK141" s="50">
        <f t="shared" si="158"/>
        <v>1</v>
      </c>
      <c r="AL141" s="50">
        <f t="shared" si="158"/>
        <v>1</v>
      </c>
      <c r="AM141"/>
      <c r="AN141"/>
      <c r="AO141" s="249" t="s">
        <v>110</v>
      </c>
      <c r="AP141" s="496">
        <f>E141</f>
        <v>0.64200000000000002</v>
      </c>
      <c r="AQ141"/>
      <c r="AR141"/>
      <c r="AS141"/>
      <c r="AT141"/>
      <c r="AU141"/>
      <c r="AV141"/>
      <c r="AW141"/>
      <c r="AX141"/>
      <c r="AY141"/>
      <c r="AZ141"/>
      <c r="BA141"/>
      <c r="BB141"/>
      <c r="BC141"/>
      <c r="BD141"/>
    </row>
    <row r="142" spans="1:56" s="191" customFormat="1" ht="15.5" outlineLevel="1">
      <c r="A142" s="524" t="s">
        <v>926</v>
      </c>
      <c r="B142" s="525"/>
      <c r="C142" s="526"/>
      <c r="D142" s="526"/>
      <c r="E142" s="527" t="str">
        <f>IF(D142="","",IF(COUNTIF(#REF!,$B142)=1,SUMIF(#REF!,RES!B142,#REF!),SUMIF(#REF!,RES!$B142,#REF!)))</f>
        <v/>
      </c>
      <c r="F142" s="527"/>
      <c r="G142" s="527"/>
      <c r="H142" s="527"/>
      <c r="I142" s="577"/>
      <c r="J142" s="527"/>
      <c r="K142" s="528"/>
      <c r="L142" s="529"/>
      <c r="M142" s="529">
        <f>SUM(M141:M141)</f>
        <v>12.402636799528574</v>
      </c>
      <c r="N142" s="529">
        <f>SUM(N141:N141)</f>
        <v>7.9624928252973453</v>
      </c>
      <c r="O142" s="192"/>
      <c r="P142" s="530"/>
      <c r="Q142" s="530" t="str">
        <f>IF($AO142="","",($R142-$AP142)*15/25+$AP142)</f>
        <v/>
      </c>
      <c r="R142" s="530" t="str">
        <f>IF($AO142="","",IF($AO142="*",$AP142*(1+$P$29),E142))</f>
        <v/>
      </c>
      <c r="S142" s="530" t="str">
        <f>IF(G142="","",IF(COUNTIF(#REF!,$B142)=1,SUMIF(#REF!,RES!$B142,#REF!),SUMIF(#REF!,RES!$B142,#REF!)))</f>
        <v/>
      </c>
      <c r="T142" s="531"/>
      <c r="U142" s="532"/>
      <c r="V142" s="532"/>
      <c r="W142" s="532"/>
      <c r="X142" s="532"/>
      <c r="Y142" s="532"/>
      <c r="Z142" s="532"/>
      <c r="AA142" s="532"/>
      <c r="AB142" s="532"/>
      <c r="AC142" s="532"/>
      <c r="AD142" s="532"/>
      <c r="AE142" s="533"/>
      <c r="AF142" s="532"/>
      <c r="AG142" s="532"/>
      <c r="AH142" s="532"/>
      <c r="AI142" s="532"/>
      <c r="AJ142" s="532"/>
      <c r="AK142" s="532"/>
      <c r="AL142" s="532"/>
      <c r="AO142" s="534"/>
    </row>
    <row r="143" spans="1:56" s="232" customFormat="1" ht="15.5">
      <c r="A143" s="537" t="s">
        <v>1008</v>
      </c>
      <c r="B143" s="538" t="s">
        <v>321</v>
      </c>
      <c r="C143" s="547"/>
      <c r="D143" s="547"/>
      <c r="E143" s="549" t="str">
        <f>IF(D143="","",IF(COUNTIF(#REF!,$B143)=1,SUMIF(#REF!,RES!B143,#REF!),SUMIF(#REF!,RES!$B143,#REF!)))</f>
        <v/>
      </c>
      <c r="F143" s="549"/>
      <c r="G143" s="549"/>
      <c r="H143" s="549"/>
      <c r="I143" s="578"/>
      <c r="J143" s="549"/>
      <c r="K143" s="539"/>
      <c r="L143" s="551"/>
      <c r="M143" s="551"/>
      <c r="N143" s="551"/>
      <c r="O143" s="544"/>
      <c r="P143" s="552"/>
      <c r="Q143" s="552" t="str">
        <f>IF($AO143="","",($R143-$AP143)*15/25+$AP143)</f>
        <v/>
      </c>
      <c r="R143" s="552" t="str">
        <f>IF($AO143="","",IF($AO143="*",$AP143*(1+$P$29),E143))</f>
        <v/>
      </c>
      <c r="S143" s="552" t="str">
        <f>IF(G143="","",IF(COUNTIF(#REF!,$B143)=1,SUMIF(#REF!,RES!$B143,#REF!),SUMIF(#REF!,RES!$B143,#REF!)))</f>
        <v/>
      </c>
      <c r="T143" s="553"/>
      <c r="U143" s="554"/>
      <c r="V143" s="554"/>
      <c r="W143" s="554"/>
      <c r="X143" s="554"/>
      <c r="Y143" s="554"/>
      <c r="Z143" s="554"/>
      <c r="AA143" s="554"/>
      <c r="AB143" s="554"/>
      <c r="AC143" s="554"/>
      <c r="AD143" s="554"/>
      <c r="AE143" s="594"/>
      <c r="AF143" s="554"/>
      <c r="AG143" s="554"/>
      <c r="AH143" s="554"/>
      <c r="AI143" s="554"/>
      <c r="AJ143" s="554"/>
      <c r="AK143" s="554"/>
      <c r="AL143" s="554"/>
      <c r="AO143" s="546"/>
    </row>
    <row r="144" spans="1:56" s="165" customFormat="1" ht="15.5" outlineLevel="1">
      <c r="A144" s="108" t="s">
        <v>1009</v>
      </c>
      <c r="B144" s="30" t="s">
        <v>381</v>
      </c>
      <c r="C144" s="43" t="s">
        <v>229</v>
      </c>
      <c r="D144" s="43" t="s">
        <v>258</v>
      </c>
      <c r="E144" s="494">
        <f>INDEX('Electrical efficiency'!$L$8:$L$23,MATCH(RES!D144,'Electrical efficiency'!$K$8:$K$23,0))</f>
        <v>0.8</v>
      </c>
      <c r="F144" s="557">
        <v>1</v>
      </c>
      <c r="G144" s="557">
        <v>1</v>
      </c>
      <c r="H144" s="557">
        <f>N144/F144*(1+$D$31)</f>
        <v>14.156558730157673</v>
      </c>
      <c r="I144" s="576">
        <v>1E-3</v>
      </c>
      <c r="J144" s="486">
        <v>0</v>
      </c>
      <c r="K144" s="48" t="s">
        <v>889</v>
      </c>
      <c r="L144" s="485">
        <v>1</v>
      </c>
      <c r="M144" s="485">
        <f>IF(C144="","",SUMIFS(Energy_Balance!I$56:I$160,Energy_Balance!$C$56:$C$160,C144,Energy_Balance!$D$56:$D$160,D144)*L144)</f>
        <v>17.695698412697091</v>
      </c>
      <c r="N144" s="485">
        <f t="shared" si="150"/>
        <v>14.156558730157673</v>
      </c>
      <c r="O144" s="25"/>
      <c r="P144" s="601">
        <f>INDEX('Electrical efficiency'!$M$8:$M$23,MATCH(RES!D144,'Electrical efficiency'!$K$8:$K$23,0))</f>
        <v>0.82474226804123729</v>
      </c>
      <c r="Q144" s="360">
        <f>INDEX('Electrical efficiency'!$N$8:$N$23,MATCH(RES!D144,'Electrical efficiency'!$K$8:$K$23,0))</f>
        <v>0.88888888888888895</v>
      </c>
      <c r="R144" s="360">
        <f>INDEX('Electrical efficiency'!$O$8:$O$23,MATCH(RES!D144,'Electrical efficiency'!$K$8:$K$23,0))</f>
        <v>0.90909090909090917</v>
      </c>
      <c r="S144" s="360">
        <f>INDEX('Electrical efficiency'!$P$8:$P$23,MATCH(RES!D144,'Electrical efficiency'!$K$8:$K$23,0))</f>
        <v>0.90909090909090917</v>
      </c>
      <c r="T144" s="203"/>
      <c r="U144" s="50"/>
      <c r="V144" s="50">
        <f>(IFERROR(IF(N144/(SUMIF(RES!$D$39:$D$146,D144,$N$39:$N$146))=1,1,(N144/(SUMIF(RES!$D$39:$D$146,D144,$N$39:$N$146))+#REF!)),0))</f>
        <v>1</v>
      </c>
      <c r="W144" s="50">
        <f>V144</f>
        <v>1</v>
      </c>
      <c r="X144" s="50">
        <f t="shared" ref="X144:AC144" si="159">W144</f>
        <v>1</v>
      </c>
      <c r="Y144" s="50">
        <f t="shared" si="159"/>
        <v>1</v>
      </c>
      <c r="Z144" s="50">
        <f t="shared" si="159"/>
        <v>1</v>
      </c>
      <c r="AA144" s="50">
        <f t="shared" si="159"/>
        <v>1</v>
      </c>
      <c r="AB144" s="50">
        <f t="shared" si="159"/>
        <v>1</v>
      </c>
      <c r="AC144" s="50">
        <f t="shared" si="159"/>
        <v>1</v>
      </c>
      <c r="AD144" s="50"/>
      <c r="AE144" s="272">
        <f>(IFERROR(IF($N144/(SUMIF(RES!$D$39:$D$146,$D144,$N$39:$N$146))=1,1,($N144/(SUMIF(RES!$D$39:$D$146,$D144,$N$39:$N$146))-$AE$28)),0))</f>
        <v>1</v>
      </c>
      <c r="AF144" s="50">
        <f>AE144</f>
        <v>1</v>
      </c>
      <c r="AG144" s="50">
        <f t="shared" ref="AG144:AL144" si="160">AF144</f>
        <v>1</v>
      </c>
      <c r="AH144" s="50">
        <f t="shared" si="160"/>
        <v>1</v>
      </c>
      <c r="AI144" s="50">
        <f t="shared" si="160"/>
        <v>1</v>
      </c>
      <c r="AJ144" s="50">
        <f t="shared" si="160"/>
        <v>1</v>
      </c>
      <c r="AK144" s="50">
        <f t="shared" si="160"/>
        <v>1</v>
      </c>
      <c r="AL144" s="50">
        <f t="shared" si="160"/>
        <v>1</v>
      </c>
      <c r="AM144"/>
      <c r="AN144"/>
      <c r="AO144" s="249" t="s">
        <v>110</v>
      </c>
      <c r="AP144" s="496">
        <f>E144</f>
        <v>0.8</v>
      </c>
      <c r="AQ144"/>
      <c r="AR144"/>
      <c r="AS144"/>
      <c r="AT144"/>
      <c r="AU144"/>
      <c r="AV144"/>
      <c r="AW144"/>
      <c r="AX144"/>
      <c r="AY144"/>
      <c r="AZ144"/>
      <c r="BA144"/>
      <c r="BB144"/>
      <c r="BC144"/>
      <c r="BD144"/>
    </row>
    <row r="145" spans="1:41" s="191" customFormat="1" ht="15.5" outlineLevel="1">
      <c r="A145" s="524" t="s">
        <v>926</v>
      </c>
      <c r="B145" s="525"/>
      <c r="C145" s="526"/>
      <c r="D145" s="526"/>
      <c r="E145" s="527" t="str">
        <f>IF(D145="","",IF(COUNTIF(#REF!,$B145)=1,SUMIF(#REF!,RES!B145,#REF!),SUMIF(#REF!,RES!$B145,#REF!)))</f>
        <v/>
      </c>
      <c r="F145" s="527"/>
      <c r="G145" s="527"/>
      <c r="H145" s="527"/>
      <c r="I145" s="527"/>
      <c r="J145" s="527"/>
      <c r="K145" s="528"/>
      <c r="L145" s="529"/>
      <c r="M145" s="529">
        <f>SUM(M144:M144)</f>
        <v>17.695698412697091</v>
      </c>
      <c r="N145" s="529">
        <f>SUM(N144:N144)</f>
        <v>14.156558730157673</v>
      </c>
      <c r="O145" s="192"/>
      <c r="P145" s="530"/>
      <c r="Q145" s="530"/>
      <c r="R145" s="530"/>
      <c r="S145" s="530"/>
      <c r="T145" s="531"/>
      <c r="U145" s="532"/>
      <c r="V145" s="532"/>
      <c r="W145" s="532"/>
      <c r="X145" s="532"/>
      <c r="Y145" s="532"/>
      <c r="Z145" s="532"/>
      <c r="AA145" s="532"/>
      <c r="AB145" s="532"/>
      <c r="AC145" s="532"/>
      <c r="AD145" s="532"/>
      <c r="AE145" s="532"/>
      <c r="AF145" s="532"/>
      <c r="AG145" s="532"/>
      <c r="AH145" s="532"/>
      <c r="AI145" s="532"/>
      <c r="AJ145" s="532"/>
      <c r="AK145" s="532"/>
      <c r="AL145" s="532"/>
      <c r="AO145" s="534"/>
    </row>
    <row r="146" spans="1:41" ht="15.5">
      <c r="A146" s="108" t="s">
        <v>926</v>
      </c>
      <c r="B146" s="30"/>
      <c r="C146" s="43"/>
      <c r="D146" s="43"/>
      <c r="E146" s="557"/>
      <c r="F146" s="201"/>
      <c r="G146" s="201"/>
      <c r="H146" s="201"/>
      <c r="I146" s="201"/>
      <c r="J146" s="201"/>
      <c r="L146" s="40"/>
      <c r="M146" s="40"/>
      <c r="N146" s="40"/>
      <c r="O146" s="25"/>
      <c r="P146" s="360"/>
      <c r="Q146" s="360"/>
      <c r="R146" s="360"/>
      <c r="S146" s="360"/>
      <c r="T146" s="334"/>
      <c r="U146" s="50"/>
      <c r="V146" s="50"/>
      <c r="W146" s="50"/>
      <c r="X146" s="50"/>
      <c r="Y146" s="50"/>
      <c r="Z146" s="50"/>
      <c r="AA146" s="50"/>
      <c r="AB146" s="50"/>
      <c r="AC146" s="50"/>
      <c r="AD146" s="50"/>
      <c r="AE146" s="50"/>
      <c r="AF146" s="50"/>
      <c r="AG146" s="50"/>
      <c r="AH146" s="50"/>
      <c r="AI146" s="50"/>
      <c r="AJ146" s="50"/>
      <c r="AK146" s="50"/>
      <c r="AL146" s="50"/>
      <c r="AO146" s="21"/>
    </row>
    <row r="147" spans="1:41">
      <c r="U147" s="3"/>
      <c r="W147"/>
    </row>
    <row r="148" spans="1:41">
      <c r="U148" s="3"/>
      <c r="W148"/>
      <c r="AC148" s="612"/>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row r="194" spans="21:23">
      <c r="U194" s="3"/>
      <c r="W194"/>
    </row>
  </sheetData>
  <autoFilter ref="A34:T146" xr:uid="{C49839A2-BB7D-455D-9535-B890C5DE3D2B}"/>
  <conditionalFormatting sqref="C34:C39">
    <cfRule type="cellIs" dxfId="53" priority="1219" operator="equal">
      <formula>"RESOKE"</formula>
    </cfRule>
    <cfRule type="cellIs" dxfId="52" priority="1218" operator="equal">
      <formula>"RESCOA"</formula>
    </cfRule>
    <cfRule type="cellIs" dxfId="51" priority="1220" operator="equal">
      <formula>"RESBIW"</formula>
    </cfRule>
  </conditionalFormatting>
  <conditionalFormatting sqref="C41:C146">
    <cfRule type="cellIs" dxfId="50" priority="830" operator="equal">
      <formula>"RESOKE"</formula>
    </cfRule>
    <cfRule type="cellIs" dxfId="49" priority="829" operator="equal">
      <formula>"RESCOA"</formula>
    </cfRule>
    <cfRule type="cellIs" dxfId="48" priority="831" operator="equal">
      <formula>"RESBIW"</formula>
    </cfRule>
  </conditionalFormatting>
  <conditionalFormatting sqref="M41">
    <cfRule type="expression" dxfId="47" priority="1148">
      <formula>$M$48=#REF!</formula>
    </cfRule>
    <cfRule type="expression" dxfId="46" priority="1147">
      <formula>$M$48&lt;&gt;#REF!</formula>
    </cfRule>
  </conditionalFormatting>
  <conditionalFormatting sqref="M48">
    <cfRule type="expression" dxfId="45" priority="1462">
      <formula>$M$48=#REF!</formula>
    </cfRule>
  </conditionalFormatting>
  <conditionalFormatting sqref="M48:N48">
    <cfRule type="expression" dxfId="44" priority="1229">
      <formula>$M$48&lt;&gt;#REF!</formula>
    </cfRule>
  </conditionalFormatting>
  <conditionalFormatting sqref="M55:N55">
    <cfRule type="expression" dxfId="43" priority="1228">
      <formula>$M$55=#REF!</formula>
    </cfRule>
    <cfRule type="expression" dxfId="42" priority="1227">
      <formula>$M$55&lt;&gt;#REF!</formula>
    </cfRule>
  </conditionalFormatting>
  <conditionalFormatting sqref="M59:N59">
    <cfRule type="expression" dxfId="41" priority="1142">
      <formula>$M$66=#REF!</formula>
    </cfRule>
    <cfRule type="expression" dxfId="40" priority="1141">
      <formula>$M$66&lt;&gt;#REF!</formula>
    </cfRule>
  </conditionalFormatting>
  <conditionalFormatting sqref="M66:N66">
    <cfRule type="expression" dxfId="39" priority="1140">
      <formula>$M$66=#REF!</formula>
    </cfRule>
    <cfRule type="expression" dxfId="38" priority="1139">
      <formula>$M$66&lt;&gt;#REF!</formula>
    </cfRule>
  </conditionalFormatting>
  <conditionalFormatting sqref="M69:N69">
    <cfRule type="expression" dxfId="37" priority="1134">
      <formula>$M$69=#REF!</formula>
    </cfRule>
    <cfRule type="expression" dxfId="36" priority="1133">
      <formula>$M$69&lt;&gt;#REF!</formula>
    </cfRule>
  </conditionalFormatting>
  <conditionalFormatting sqref="M73:N73">
    <cfRule type="expression" dxfId="35" priority="1473">
      <formula>$M$73&lt;&gt;SUM(#REF!)</formula>
    </cfRule>
    <cfRule type="expression" dxfId="34" priority="1474">
      <formula>$M$73=SUM(#REF!)</formula>
    </cfRule>
  </conditionalFormatting>
  <conditionalFormatting sqref="M77:N77">
    <cfRule type="expression" dxfId="33" priority="1129">
      <formula>$M$77&lt;&gt;#REF!</formula>
    </cfRule>
    <cfRule type="expression" dxfId="32" priority="1130">
      <formula>$M$77=#REF!</formula>
    </cfRule>
  </conditionalFormatting>
  <conditionalFormatting sqref="M85:N85">
    <cfRule type="expression" dxfId="31" priority="1119">
      <formula>$M$85&lt;&gt;#REF!</formula>
    </cfRule>
    <cfRule type="expression" dxfId="30" priority="1120">
      <formula>$M$85=#REF!</formula>
    </cfRule>
  </conditionalFormatting>
  <conditionalFormatting sqref="M93:N93">
    <cfRule type="expression" dxfId="29" priority="1126">
      <formula>$M$93=#REF!</formula>
    </cfRule>
  </conditionalFormatting>
  <conditionalFormatting sqref="M97:N97">
    <cfRule type="expression" dxfId="28" priority="1137">
      <formula>$M$66&lt;&gt;#REF!</formula>
    </cfRule>
    <cfRule type="expression" dxfId="27" priority="1138">
      <formula>$M$66=#REF!</formula>
    </cfRule>
  </conditionalFormatting>
  <conditionalFormatting sqref="M105:N105">
    <cfRule type="expression" dxfId="26" priority="1106">
      <formula>$M$66=#REF!</formula>
    </cfRule>
    <cfRule type="expression" dxfId="25" priority="1105">
      <formula>$M$66&lt;&gt;#REF!</formula>
    </cfRule>
  </conditionalFormatting>
  <conditionalFormatting sqref="M108:N108">
    <cfRule type="expression" dxfId="24" priority="989">
      <formula>$M$108&lt;&gt;#REF!</formula>
    </cfRule>
    <cfRule type="expression" dxfId="23" priority="990">
      <formula>$M$108=#REF!</formula>
    </cfRule>
  </conditionalFormatting>
  <conditionalFormatting sqref="M112:N112">
    <cfRule type="expression" dxfId="22" priority="1002">
      <formula>$M$112=SUM(#REF!)</formula>
    </cfRule>
    <cfRule type="expression" dxfId="21" priority="1001">
      <formula>$M$112&lt;&gt;SUM(#REF!)</formula>
    </cfRule>
  </conditionalFormatting>
  <conditionalFormatting sqref="M115:N115">
    <cfRule type="expression" dxfId="20" priority="1014">
      <formula>$M$115=#REF!</formula>
    </cfRule>
    <cfRule type="expression" dxfId="19" priority="1013">
      <formula>$M$115&lt;&gt;#REF!</formula>
    </cfRule>
  </conditionalFormatting>
  <conditionalFormatting sqref="M122:N122">
    <cfRule type="expression" dxfId="18" priority="1026">
      <formula>$M$122=#REF!</formula>
    </cfRule>
    <cfRule type="expression" dxfId="17" priority="1025">
      <formula>$M$122&lt;&gt;#REF!</formula>
    </cfRule>
  </conditionalFormatting>
  <conditionalFormatting sqref="M130:N130">
    <cfRule type="expression" dxfId="16" priority="1038">
      <formula>$M$130=#REF!</formula>
    </cfRule>
    <cfRule type="expression" dxfId="15" priority="1037">
      <formula>$M$130&lt;&gt;#REF!</formula>
    </cfRule>
  </conditionalFormatting>
  <conditionalFormatting sqref="M135:N135">
    <cfRule type="expression" dxfId="14" priority="4">
      <formula>$M$130=#REF!</formula>
    </cfRule>
    <cfRule type="expression" dxfId="13" priority="3">
      <formula>$M$130&lt;&gt;#REF!</formula>
    </cfRule>
  </conditionalFormatting>
  <conditionalFormatting sqref="M142:N142">
    <cfRule type="expression" dxfId="12" priority="1049">
      <formula>$M$142&lt;&gt;#REF!</formula>
    </cfRule>
    <cfRule type="expression" dxfId="11" priority="1050">
      <formula>$M$142=#REF!</formula>
    </cfRule>
  </conditionalFormatting>
  <conditionalFormatting sqref="M145:N145">
    <cfRule type="expression" dxfId="10" priority="1185">
      <formula>$M$139=#REF!</formula>
    </cfRule>
    <cfRule type="expression" dxfId="9" priority="1184">
      <formula>$M$139&lt;&gt;#REF!</formula>
    </cfRule>
  </conditionalFormatting>
  <conditionalFormatting sqref="N41">
    <cfRule type="expression" dxfId="8" priority="1145">
      <formula>$M$48&lt;&gt;#REF!</formula>
    </cfRule>
    <cfRule type="expression" dxfId="7" priority="1146">
      <formula>$M$48=#REF!</formula>
    </cfRule>
  </conditionalFormatting>
  <conditionalFormatting sqref="N48">
    <cfRule type="expression" dxfId="6" priority="1230">
      <formula>$M$48=#REF!</formula>
    </cfRule>
  </conditionalFormatting>
  <conditionalFormatting sqref="T39 T41:T146">
    <cfRule type="cellIs" dxfId="5" priority="978" operator="equal">
      <formula>"B"</formula>
    </cfRule>
  </conditionalFormatting>
  <conditionalFormatting sqref="U40">
    <cfRule type="dataBar" priority="5326">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405">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406">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38">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58">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606">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50">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42">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34">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18">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10">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25">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9">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78">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37">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38">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58">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50">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42">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34">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18">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10">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501">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502">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62">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54">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26">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14">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5">
    <cfRule type="dataBar" priority="5">
      <dataBar>
        <cfvo type="min"/>
        <cfvo type="max"/>
        <color rgb="FF008AEF"/>
      </dataBar>
      <extLst>
        <ext xmlns:x14="http://schemas.microsoft.com/office/spreadsheetml/2009/9/main" uri="{B025F937-C7B1-47D3-B67F-A62EFF666E3E}">
          <x14:id>{25368DED-EEF8-4ABE-9DDA-25F0A12191DF}</x14:id>
        </ext>
      </extLst>
    </cfRule>
  </conditionalFormatting>
  <conditionalFormatting sqref="U139">
    <cfRule type="dataBar" priority="406">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40">
    <cfRule type="dataBar" priority="398">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2">
    <cfRule type="dataBar" priority="5565">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3">
    <cfRule type="dataBar" priority="5566">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32:V134">
    <cfRule type="dataBar" priority="9">
      <dataBar>
        <cfvo type="min"/>
        <cfvo type="max"/>
        <color rgb="FF638EC6"/>
      </dataBar>
      <extLst>
        <ext xmlns:x14="http://schemas.microsoft.com/office/spreadsheetml/2009/9/main" uri="{B025F937-C7B1-47D3-B67F-A62EFF666E3E}">
          <x14:id>{D507DC4E-1CF2-465B-B00D-1B53B5AA98F3}</x14:id>
        </ext>
      </extLst>
    </cfRule>
  </conditionalFormatting>
  <conditionalFormatting sqref="V137">
    <cfRule type="dataBar" priority="2">
      <dataBar>
        <cfvo type="min"/>
        <cfvo type="max"/>
        <color rgb="FF638EC6"/>
      </dataBar>
      <extLst>
        <ext xmlns:x14="http://schemas.microsoft.com/office/spreadsheetml/2009/9/main" uri="{B025F937-C7B1-47D3-B67F-A62EFF666E3E}">
          <x14:id>{B4A2AF06-8080-47E7-8C36-E009650B24F1}</x14:id>
        </ext>
      </extLst>
    </cfRule>
  </conditionalFormatting>
  <conditionalFormatting sqref="V146">
    <cfRule type="dataBar" priority="5589">
      <dataBar>
        <cfvo type="min"/>
        <cfvo type="max"/>
        <color rgb="FF008AEF"/>
      </dataBar>
      <extLst>
        <ext xmlns:x14="http://schemas.microsoft.com/office/spreadsheetml/2009/9/main" uri="{B025F937-C7B1-47D3-B67F-A62EFF666E3E}">
          <x14:id>{09A3E289-3491-451C-AE88-3C58137BD597}</x14:id>
        </ext>
      </extLst>
    </cfRule>
  </conditionalFormatting>
  <conditionalFormatting sqref="W132:AD134 V62:AH63 V39:AL61 V135:AL136 V138:AL145 W137:AD137 V64:AL131">
    <cfRule type="dataBar" priority="10">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6">
    <cfRule type="dataBar" priority="4662">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6">
    <cfRule type="dataBar" priority="4682">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6">
    <cfRule type="dataBar" priority="4702">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6">
    <cfRule type="dataBar" priority="5069">
      <dataBar>
        <cfvo type="min"/>
        <cfvo type="max"/>
        <color rgb="FF008AEF"/>
      </dataBar>
      <extLst>
        <ext xmlns:x14="http://schemas.microsoft.com/office/spreadsheetml/2009/9/main" uri="{B025F937-C7B1-47D3-B67F-A62EFF666E3E}">
          <x14:id>{2A16D74A-30B0-4E53-AC5D-22534D7A58BB}</x14:id>
        </ext>
      </extLst>
    </cfRule>
  </conditionalFormatting>
  <conditionalFormatting sqref="AE132:AL134">
    <cfRule type="dataBar" priority="8">
      <dataBar>
        <cfvo type="min"/>
        <cfvo type="max"/>
        <color rgb="FF638EC6"/>
      </dataBar>
      <extLst>
        <ext xmlns:x14="http://schemas.microsoft.com/office/spreadsheetml/2009/9/main" uri="{B025F937-C7B1-47D3-B67F-A62EFF666E3E}">
          <x14:id>{EA0F9333-B9BD-4B7F-A600-AADE2CE7991F}</x14:id>
        </ext>
      </extLst>
    </cfRule>
  </conditionalFormatting>
  <conditionalFormatting sqref="AE137:AL137">
    <cfRule type="dataBar" priority="1">
      <dataBar>
        <cfvo type="min"/>
        <cfvo type="max"/>
        <color rgb="FF638EC6"/>
      </dataBar>
      <extLst>
        <ext xmlns:x14="http://schemas.microsoft.com/office/spreadsheetml/2009/9/main" uri="{B025F937-C7B1-47D3-B67F-A62EFF666E3E}">
          <x14:id>{ADF99802-2CAC-4601-A2D3-0C79668C896F}</x14:id>
        </ext>
      </extLst>
    </cfRule>
  </conditionalFormatting>
  <conditionalFormatting sqref="AG146">
    <cfRule type="dataBar" priority="4722">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6">
    <cfRule type="dataBar" priority="4742">
      <dataBar>
        <cfvo type="min"/>
        <cfvo type="max"/>
        <color rgb="FF008AEF"/>
      </dataBar>
      <extLst>
        <ext xmlns:x14="http://schemas.microsoft.com/office/spreadsheetml/2009/9/main" uri="{B025F937-C7B1-47D3-B67F-A62EFF666E3E}">
          <x14:id>{6260CB01-4863-4D7D-B360-1E844CA6C140}</x14:id>
        </ext>
      </extLst>
    </cfRule>
  </conditionalFormatting>
  <conditionalFormatting sqref="AI62:AL62">
    <cfRule type="dataBar" priority="7">
      <dataBar>
        <cfvo type="min"/>
        <cfvo type="max"/>
        <color rgb="FF638EC6"/>
      </dataBar>
      <extLst>
        <ext xmlns:x14="http://schemas.microsoft.com/office/spreadsheetml/2009/9/main" uri="{B025F937-C7B1-47D3-B67F-A62EFF666E3E}">
          <x14:id>{50D948B1-7A4C-4DAA-A811-3DABBD6BA6A7}</x14:id>
        </ext>
      </extLst>
    </cfRule>
  </conditionalFormatting>
  <conditionalFormatting sqref="AI63:AL63">
    <cfRule type="dataBar" priority="6">
      <dataBar>
        <cfvo type="min"/>
        <cfvo type="max"/>
        <color rgb="FF638EC6"/>
      </dataBar>
      <extLst>
        <ext xmlns:x14="http://schemas.microsoft.com/office/spreadsheetml/2009/9/main" uri="{B025F937-C7B1-47D3-B67F-A62EFF666E3E}">
          <x14:id>{1F316901-E269-4D1E-AA9E-97E92BE0E439}</x14:id>
        </ext>
      </extLst>
    </cfRule>
  </conditionalFormatting>
  <conditionalFormatting sqref="AK146">
    <cfRule type="dataBar" priority="4762">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4:U146 U61:U65 U68:U69 U71:U72 U75 U57:U58 U41:U47 U79:U84 U87:U93 U95:U97 U99:U105 U107:U108 U110:U111 U114 U117:U121 U124:U129 U141 AA146 Y146 W146 AC146:AD146 AL146 AJ146 AH146 AF146 U39 U50:U55 U132:U134 U136:U138">
    <cfRule type="dataBar" priority="4450">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25368DED-EEF8-4ABE-9DDA-25F0A12191DF}">
            <x14:dataBar minLength="0" maxLength="100" border="1" negativeBarBorderColorSameAsPositive="0">
              <x14:cfvo type="autoMin"/>
              <x14:cfvo type="autoMax"/>
              <x14:borderColor rgb="FF008AEF"/>
              <x14:negativeFillColor rgb="FFFF0000"/>
              <x14:negativeBorderColor rgb="FFFF0000"/>
              <x14:axisColor rgb="FF000000"/>
            </x14:dataBar>
          </x14:cfRule>
          <xm:sqref>U135</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U140</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U143</xm:sqref>
        </x14:conditionalFormatting>
        <x14:conditionalFormatting xmlns:xm="http://schemas.microsoft.com/office/excel/2006/main">
          <x14:cfRule type="dataBar" id="{D507DC4E-1CF2-465B-B00D-1B53B5AA98F3}">
            <x14:dataBar minLength="0" maxLength="100" border="1" negativeBarBorderColorSameAsPositive="0">
              <x14:cfvo type="autoMin"/>
              <x14:cfvo type="autoMax"/>
              <x14:borderColor rgb="FF638EC6"/>
              <x14:negativeFillColor rgb="FFFF0000"/>
              <x14:negativeBorderColor rgb="FFFF0000"/>
              <x14:axisColor rgb="FF000000"/>
            </x14:dataBar>
          </x14:cfRule>
          <xm:sqref>V132:V134</xm:sqref>
        </x14:conditionalFormatting>
        <x14:conditionalFormatting xmlns:xm="http://schemas.microsoft.com/office/excel/2006/main">
          <x14:cfRule type="dataBar" id="{B4A2AF06-8080-47E7-8C36-E009650B24F1}">
            <x14:dataBar minLength="0" maxLength="100" border="1" negativeBarBorderColorSameAsPositive="0">
              <x14:cfvo type="autoMin"/>
              <x14:cfvo type="autoMax"/>
              <x14:borderColor rgb="FF638EC6"/>
              <x14:negativeFillColor rgb="FFFF0000"/>
              <x14:negativeBorderColor rgb="FFFF0000"/>
              <x14:axisColor rgb="FF000000"/>
            </x14:dataBar>
          </x14:cfRule>
          <xm:sqref>V137</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V146</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W132:AD134 V62:AH63 V39:AL61 V135:AL136 V138:AL145 W137:AD137 V64:AL131</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X146</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Z146</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AB146</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AE146</xm:sqref>
        </x14:conditionalFormatting>
        <x14:conditionalFormatting xmlns:xm="http://schemas.microsoft.com/office/excel/2006/main">
          <x14:cfRule type="dataBar" id="{EA0F9333-B9BD-4B7F-A600-AADE2CE7991F}">
            <x14:dataBar minLength="0" maxLength="100" border="1" negativeBarBorderColorSameAsPositive="0">
              <x14:cfvo type="autoMin"/>
              <x14:cfvo type="autoMax"/>
              <x14:borderColor rgb="FF638EC6"/>
              <x14:negativeFillColor rgb="FFFF0000"/>
              <x14:negativeBorderColor rgb="FFFF0000"/>
              <x14:axisColor rgb="FF000000"/>
            </x14:dataBar>
          </x14:cfRule>
          <xm:sqref>AE132:AL134</xm:sqref>
        </x14:conditionalFormatting>
        <x14:conditionalFormatting xmlns:xm="http://schemas.microsoft.com/office/excel/2006/main">
          <x14:cfRule type="dataBar" id="{ADF99802-2CAC-4601-A2D3-0C79668C896F}">
            <x14:dataBar minLength="0" maxLength="100" border="1" negativeBarBorderColorSameAsPositive="0">
              <x14:cfvo type="autoMin"/>
              <x14:cfvo type="autoMax"/>
              <x14:borderColor rgb="FF638EC6"/>
              <x14:negativeFillColor rgb="FFFF0000"/>
              <x14:negativeBorderColor rgb="FFFF0000"/>
              <x14:axisColor rgb="FF000000"/>
            </x14:dataBar>
          </x14:cfRule>
          <xm:sqref>AE137:AL137</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AG146</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AI146</xm:sqref>
        </x14:conditionalFormatting>
        <x14:conditionalFormatting xmlns:xm="http://schemas.microsoft.com/office/excel/2006/main">
          <x14:cfRule type="dataBar" id="{50D948B1-7A4C-4DAA-A811-3DABBD6BA6A7}">
            <x14:dataBar minLength="0" maxLength="100" border="1" negativeBarBorderColorSameAsPositive="0">
              <x14:cfvo type="autoMin"/>
              <x14:cfvo type="autoMax"/>
              <x14:borderColor rgb="FF638EC6"/>
              <x14:negativeFillColor rgb="FFFF0000"/>
              <x14:negativeBorderColor rgb="FFFF0000"/>
              <x14:axisColor rgb="FF000000"/>
            </x14:dataBar>
          </x14:cfRule>
          <xm:sqref>AI62:AL62</xm:sqref>
        </x14:conditionalFormatting>
        <x14:conditionalFormatting xmlns:xm="http://schemas.microsoft.com/office/excel/2006/main">
          <x14:cfRule type="dataBar" id="{1F316901-E269-4D1E-AA9E-97E92BE0E439}">
            <x14:dataBar minLength="0" maxLength="100" border="1" negativeBarBorderColorSameAsPositive="0">
              <x14:cfvo type="autoMin"/>
              <x14:cfvo type="autoMax"/>
              <x14:borderColor rgb="FF638EC6"/>
              <x14:negativeFillColor rgb="FFFF0000"/>
              <x14:negativeBorderColor rgb="FFFF0000"/>
              <x14:axisColor rgb="FF000000"/>
            </x14:dataBar>
          </x14:cfRule>
          <xm:sqref>AI63:AL63</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AK146</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U144:U146 U61:U65 U68:U69 U71:U72 U75 U57:U58 U41:U47 U79:U84 U87:U93 U95:U97 U99:U105 U107:U108 U110:U111 U114 U117:U121 U124:U129 U141 AA146 Y146 W146 AC146:AD146 AL146 AJ146 AH146 AF146 U39 U50:U55 U132:U134 U136:U138</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abSelected="1" topLeftCell="A76" workbookViewId="0">
      <selection activeCell="A124" sqref="A124"/>
    </sheetView>
  </sheetViews>
  <sheetFormatPr defaultColWidth="11.453125" defaultRowHeight="10"/>
  <cols>
    <col min="1" max="1" width="12.453125" style="21" customWidth="1"/>
    <col min="2" max="2" width="26.1796875" style="21" customWidth="1"/>
    <col min="3" max="3" width="54.26953125" style="21" customWidth="1"/>
    <col min="4" max="4" width="10.1796875" style="21" customWidth="1"/>
    <col min="5" max="5" width="28.7265625" style="21" customWidth="1"/>
    <col min="6" max="16384" width="11.453125" style="21"/>
  </cols>
  <sheetData>
    <row r="4" spans="1:11">
      <c r="B4" s="21" t="s">
        <v>908</v>
      </c>
    </row>
    <row r="5" spans="1:11" ht="10.5">
      <c r="B5" s="20" t="s">
        <v>82</v>
      </c>
      <c r="C5" s="20" t="s">
        <v>81</v>
      </c>
      <c r="D5" s="20" t="s">
        <v>909</v>
      </c>
      <c r="E5" s="20" t="s">
        <v>910</v>
      </c>
      <c r="F5" s="20" t="s">
        <v>911</v>
      </c>
      <c r="G5" s="20" t="s">
        <v>912</v>
      </c>
      <c r="H5" s="20"/>
      <c r="I5" s="20"/>
      <c r="J5" s="20"/>
      <c r="K5" s="20"/>
    </row>
    <row r="6" spans="1:11" ht="10.5">
      <c r="A6" s="21" t="s">
        <v>110</v>
      </c>
      <c r="B6" s="509"/>
      <c r="C6" s="509"/>
      <c r="D6" s="32"/>
      <c r="E6" s="32"/>
      <c r="F6" s="20"/>
    </row>
    <row r="7" spans="1:11" ht="10.5">
      <c r="A7" s="21" t="s">
        <v>110</v>
      </c>
      <c r="B7" s="509" t="str">
        <f>"ZZ"&amp;ITEMS_Comm!C12</f>
        <v>ZZResidential - Refrigeration - Low income</v>
      </c>
      <c r="C7" s="509" t="str">
        <f>"Backstop - "&amp;ITEMS_Comm!D12</f>
        <v>Backstop - PJ</v>
      </c>
      <c r="D7" s="32" t="s">
        <v>923</v>
      </c>
      <c r="E7" s="32" t="str">
        <f>IF(A7="*","","Pja")</f>
        <v/>
      </c>
      <c r="F7" s="32" t="str">
        <f>IF(A7="*","","DAYNITE")</f>
        <v/>
      </c>
      <c r="G7" s="32" t="str">
        <f>IF(A7="*","","DMD")</f>
        <v/>
      </c>
    </row>
    <row r="8" spans="1:11" ht="10.5">
      <c r="A8" s="21" t="s">
        <v>110</v>
      </c>
      <c r="B8" s="509" t="str">
        <f>"ZZ"&amp;ITEMS_Comm!C13</f>
        <v>ZZResidential - Other - Low income</v>
      </c>
      <c r="C8" s="509" t="str">
        <f>"Backstop - "&amp;ITEMS_Comm!D13</f>
        <v>Backstop - PJ</v>
      </c>
      <c r="D8" s="32" t="s">
        <v>923</v>
      </c>
      <c r="E8" s="32" t="str">
        <f t="shared" ref="E8:E27" si="0">IF(A8="*","","Pja")</f>
        <v/>
      </c>
      <c r="F8" s="32" t="str">
        <f t="shared" ref="F8:F27" si="1">IF(A8="*","","DAYNITE")</f>
        <v/>
      </c>
      <c r="G8" s="32" t="str">
        <f t="shared" ref="G8:G27" si="2">IF(A8="*","","DMD")</f>
        <v/>
      </c>
    </row>
    <row r="9" spans="1:11" ht="10.5">
      <c r="A9" s="21" t="s">
        <v>110</v>
      </c>
      <c r="B9" s="509" t="str">
        <f>"ZZ"&amp;ITEMS_Comm!C14</f>
        <v>ZZResidential - Lighting - Middle income</v>
      </c>
      <c r="C9" s="509" t="str">
        <f>"Backstop - "&amp;ITEMS_Comm!D14</f>
        <v>Backstop - PJ</v>
      </c>
      <c r="D9" s="32" t="s">
        <v>923</v>
      </c>
      <c r="E9" s="32" t="str">
        <f t="shared" si="0"/>
        <v/>
      </c>
      <c r="F9" s="32" t="str">
        <f t="shared" si="1"/>
        <v/>
      </c>
      <c r="G9" s="32" t="str">
        <f t="shared" si="2"/>
        <v/>
      </c>
    </row>
    <row r="10" spans="1:11" ht="10.5">
      <c r="A10" s="21" t="s">
        <v>110</v>
      </c>
      <c r="B10" s="509" t="str">
        <f>"ZZ"&amp;ITEMS_Comm!C15</f>
        <v>ZZResidential - Lighting - Middle income</v>
      </c>
      <c r="C10" s="509" t="str">
        <f>"Backstop - "&amp;ITEMS_Comm!D15</f>
        <v>Backstop - PJ</v>
      </c>
      <c r="D10" s="32" t="s">
        <v>923</v>
      </c>
      <c r="E10" s="32" t="str">
        <f t="shared" si="0"/>
        <v/>
      </c>
      <c r="F10" s="32" t="str">
        <f t="shared" si="1"/>
        <v/>
      </c>
      <c r="G10" s="32" t="str">
        <f t="shared" si="2"/>
        <v/>
      </c>
    </row>
    <row r="11" spans="1:11" ht="10.5">
      <c r="A11" s="21" t="s">
        <v>110</v>
      </c>
      <c r="B11" s="509" t="str">
        <f>"ZZ"&amp;ITEMS_Comm!C16</f>
        <v>ZZResidential - Cooking - Middle income</v>
      </c>
      <c r="C11" s="509" t="str">
        <f>"Backstop - "&amp;ITEMS_Comm!D16</f>
        <v>Backstop - PJ</v>
      </c>
      <c r="D11" s="32" t="s">
        <v>923</v>
      </c>
      <c r="E11" s="32" t="str">
        <f t="shared" si="0"/>
        <v/>
      </c>
      <c r="F11" s="32" t="str">
        <f t="shared" si="1"/>
        <v/>
      </c>
      <c r="G11" s="32" t="str">
        <f t="shared" si="2"/>
        <v/>
      </c>
    </row>
    <row r="12" spans="1:11" ht="10.5">
      <c r="A12" s="21" t="s">
        <v>110</v>
      </c>
      <c r="B12" s="509" t="str">
        <f>"ZZ"&amp;ITEMS_Comm!C17</f>
        <v>ZZResidential - Heating - Middle income</v>
      </c>
      <c r="C12" s="509" t="str">
        <f>"Backstop - "&amp;ITEMS_Comm!D17</f>
        <v>Backstop - PJ</v>
      </c>
      <c r="D12" s="32" t="s">
        <v>923</v>
      </c>
      <c r="E12" s="32" t="str">
        <f t="shared" si="0"/>
        <v/>
      </c>
      <c r="F12" s="32" t="str">
        <f t="shared" si="1"/>
        <v/>
      </c>
      <c r="G12" s="32" t="str">
        <f t="shared" si="2"/>
        <v/>
      </c>
    </row>
    <row r="13" spans="1:11" ht="10.5">
      <c r="A13" s="21" t="s">
        <v>110</v>
      </c>
      <c r="B13" s="509" t="str">
        <f>"ZZ"&amp;ITEMS_Comm!C18</f>
        <v>ZZResidential - Water heating - Middle income</v>
      </c>
      <c r="C13" s="509" t="str">
        <f>"Backstop - "&amp;ITEMS_Comm!D18</f>
        <v>Backstop - PJ</v>
      </c>
      <c r="D13" s="32" t="s">
        <v>923</v>
      </c>
      <c r="E13" s="32" t="str">
        <f t="shared" si="0"/>
        <v/>
      </c>
      <c r="F13" s="32" t="str">
        <f t="shared" si="1"/>
        <v/>
      </c>
      <c r="G13" s="32" t="str">
        <f t="shared" si="2"/>
        <v/>
      </c>
    </row>
    <row r="14" spans="1:11" ht="10.5">
      <c r="A14" s="21" t="s">
        <v>110</v>
      </c>
      <c r="B14" s="509" t="str">
        <f>"ZZ"&amp;ITEMS_Comm!C19</f>
        <v>ZZResidential - Water heating - Middle income</v>
      </c>
      <c r="C14" s="509" t="str">
        <f>"Backstop - "&amp;ITEMS_Comm!D19</f>
        <v>Backstop - PJ</v>
      </c>
      <c r="D14" s="32" t="s">
        <v>923</v>
      </c>
      <c r="E14" s="32" t="str">
        <f t="shared" si="0"/>
        <v/>
      </c>
      <c r="F14" s="32" t="str">
        <f t="shared" si="1"/>
        <v/>
      </c>
      <c r="G14" s="32" t="str">
        <f t="shared" si="2"/>
        <v/>
      </c>
    </row>
    <row r="15" spans="1:11" ht="10.5">
      <c r="A15" s="21" t="s">
        <v>110</v>
      </c>
      <c r="B15" s="509" t="str">
        <f>"ZZ"&amp;ITEMS_Comm!C20</f>
        <v>ZZResidential - Refrigeration - Middle income</v>
      </c>
      <c r="C15" s="509" t="str">
        <f>"Backstop - "&amp;ITEMS_Comm!D20</f>
        <v>Backstop - PJ</v>
      </c>
      <c r="D15" s="32" t="s">
        <v>923</v>
      </c>
      <c r="E15" s="32" t="str">
        <f t="shared" si="0"/>
        <v/>
      </c>
      <c r="F15" s="32" t="str">
        <f t="shared" si="1"/>
        <v/>
      </c>
      <c r="G15" s="32" t="str">
        <f t="shared" si="2"/>
        <v/>
      </c>
    </row>
    <row r="16" spans="1:11" ht="10.5">
      <c r="A16" s="21" t="s">
        <v>110</v>
      </c>
      <c r="B16" s="509" t="str">
        <f>"ZZ"&amp;ITEMS_Comm!C21</f>
        <v>ZZResidential - Other - Middle income</v>
      </c>
      <c r="C16" s="509" t="str">
        <f>"Backstop - "&amp;ITEMS_Comm!D21</f>
        <v>Backstop - PJ</v>
      </c>
      <c r="D16" s="32" t="s">
        <v>923</v>
      </c>
      <c r="E16" s="32" t="str">
        <f t="shared" si="0"/>
        <v/>
      </c>
      <c r="F16" s="32" t="str">
        <f t="shared" si="1"/>
        <v/>
      </c>
      <c r="G16" s="32" t="str">
        <f t="shared" si="2"/>
        <v/>
      </c>
    </row>
    <row r="17" spans="1:7" ht="10.5">
      <c r="A17" s="21" t="s">
        <v>110</v>
      </c>
      <c r="B17" s="509" t="str">
        <f>"ZZ"&amp;ITEMS_Comm!C22</f>
        <v>ZZResidential - Lighting - High income</v>
      </c>
      <c r="C17" s="509" t="str">
        <f>"Backstop - "&amp;ITEMS_Comm!D22</f>
        <v>Backstop - PJ</v>
      </c>
      <c r="D17" s="32" t="s">
        <v>923</v>
      </c>
      <c r="E17" s="32" t="str">
        <f t="shared" si="0"/>
        <v/>
      </c>
      <c r="F17" s="32" t="str">
        <f t="shared" si="1"/>
        <v/>
      </c>
      <c r="G17" s="32" t="str">
        <f t="shared" si="2"/>
        <v/>
      </c>
    </row>
    <row r="18" spans="1:7" ht="10.5">
      <c r="A18" s="21" t="s">
        <v>110</v>
      </c>
      <c r="B18" s="509" t="str">
        <f>"ZZ"&amp;ITEMS_Comm!C23</f>
        <v>ZZResidential - Cooking - High income</v>
      </c>
      <c r="C18" s="509" t="str">
        <f>"Backstop - "&amp;ITEMS_Comm!D23</f>
        <v>Backstop - PJ</v>
      </c>
      <c r="D18" s="32" t="s">
        <v>923</v>
      </c>
      <c r="E18" s="32" t="str">
        <f t="shared" si="0"/>
        <v/>
      </c>
      <c r="F18" s="32" t="str">
        <f t="shared" si="1"/>
        <v/>
      </c>
      <c r="G18" s="32" t="str">
        <f t="shared" si="2"/>
        <v/>
      </c>
    </row>
    <row r="19" spans="1:7" ht="10.5">
      <c r="A19" s="21" t="s">
        <v>110</v>
      </c>
      <c r="B19" s="509" t="str">
        <f>"ZZ"&amp;ITEMS_Comm!C24</f>
        <v>ZZResidential - Heating - High income</v>
      </c>
      <c r="C19" s="509" t="str">
        <f>"Backstop - "&amp;ITEMS_Comm!D24</f>
        <v>Backstop - PJ</v>
      </c>
      <c r="D19" s="32" t="s">
        <v>923</v>
      </c>
      <c r="E19" s="32" t="str">
        <f t="shared" si="0"/>
        <v/>
      </c>
      <c r="F19" s="32" t="str">
        <f t="shared" si="1"/>
        <v/>
      </c>
      <c r="G19" s="32" t="str">
        <f t="shared" si="2"/>
        <v/>
      </c>
    </row>
    <row r="20" spans="1:7" ht="10.5">
      <c r="A20" s="21" t="s">
        <v>110</v>
      </c>
      <c r="B20" s="509" t="str">
        <f>"ZZ"&amp;ITEMS_Comm!C25</f>
        <v>ZZResidential - Water heating - High income</v>
      </c>
      <c r="C20" s="509" t="str">
        <f>"Backstop - "&amp;ITEMS_Comm!D25</f>
        <v>Backstop - PJ</v>
      </c>
      <c r="D20" s="32" t="s">
        <v>923</v>
      </c>
      <c r="E20" s="32" t="str">
        <f t="shared" si="0"/>
        <v/>
      </c>
      <c r="F20" s="32" t="str">
        <f t="shared" si="1"/>
        <v/>
      </c>
      <c r="G20" s="32" t="str">
        <f t="shared" si="2"/>
        <v/>
      </c>
    </row>
    <row r="21" spans="1:7" ht="10.5">
      <c r="A21" s="21" t="s">
        <v>110</v>
      </c>
      <c r="B21" s="509" t="str">
        <f>"ZZ"&amp;ITEMS_Comm!C26</f>
        <v>ZZResidential - Water heating - High income</v>
      </c>
      <c r="C21" s="509" t="str">
        <f>"Backstop - "&amp;ITEMS_Comm!D26</f>
        <v>Backstop - PJ</v>
      </c>
      <c r="D21" s="32" t="s">
        <v>923</v>
      </c>
      <c r="E21" s="32" t="str">
        <f t="shared" si="0"/>
        <v/>
      </c>
      <c r="F21" s="32" t="str">
        <f t="shared" si="1"/>
        <v/>
      </c>
      <c r="G21" s="32" t="str">
        <f t="shared" si="2"/>
        <v/>
      </c>
    </row>
    <row r="22" spans="1:7" ht="10.5">
      <c r="A22" s="21" t="s">
        <v>110</v>
      </c>
      <c r="B22" s="509" t="str">
        <f>"ZZ"&amp;ITEMS_Comm!C27</f>
        <v>ZZResidential - Refrigeration - High income</v>
      </c>
      <c r="C22" s="509" t="str">
        <f>"Backstop - "&amp;ITEMS_Comm!D27</f>
        <v>Backstop - PJ</v>
      </c>
      <c r="D22" s="32" t="s">
        <v>923</v>
      </c>
      <c r="E22" s="32" t="str">
        <f t="shared" si="0"/>
        <v/>
      </c>
      <c r="F22" s="32" t="str">
        <f t="shared" si="1"/>
        <v/>
      </c>
      <c r="G22" s="32" t="str">
        <f t="shared" si="2"/>
        <v/>
      </c>
    </row>
    <row r="23" spans="1:7" ht="10.5">
      <c r="A23" s="21" t="s">
        <v>110</v>
      </c>
      <c r="B23" s="509" t="str">
        <f>"ZZ"&amp;ITEMS_Comm!C28</f>
        <v>ZZResidential - Other - High income</v>
      </c>
      <c r="C23" s="509" t="str">
        <f>"Backstop - "&amp;ITEMS_Comm!D28</f>
        <v>Backstop - PJ</v>
      </c>
      <c r="D23" s="32" t="s">
        <v>923</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ht="10.5">
      <c r="A27" s="21" t="str">
        <f>IF(LEFT(RES!A39,1)="*","*","")</f>
        <v/>
      </c>
      <c r="B27" s="509" t="str">
        <f>IF(A27="*","",RES!B39)</f>
        <v>RLELELCINC-E</v>
      </c>
      <c r="C27" s="21" t="str">
        <f>IF(A27="*","",RES!A39)</f>
        <v>Residential - Lighting - Low Income  - Electricity - INC - E</v>
      </c>
      <c r="D27" s="32" t="s">
        <v>923</v>
      </c>
      <c r="E27" s="32" t="str">
        <f t="shared" si="0"/>
        <v>Pja</v>
      </c>
      <c r="F27" s="32" t="str">
        <f t="shared" si="1"/>
        <v>DAYNITE</v>
      </c>
      <c r="G27" s="32" t="str">
        <f t="shared" si="2"/>
        <v>DMD</v>
      </c>
    </row>
    <row r="28" spans="1:7" ht="10.5">
      <c r="A28" s="21" t="str">
        <f>IF(LEFT(RES!A40,1)="*","*","")</f>
        <v/>
      </c>
      <c r="B28" s="509" t="str">
        <f>IF(A28="*","",RES!B40)</f>
        <v>RLELOKEOKE</v>
      </c>
      <c r="C28" s="21" t="str">
        <f>IF(A28="*","",RES!A40)</f>
        <v>Residential - Lighting - Low Income  -Paraffin - PAR - E</v>
      </c>
      <c r="D28" s="32" t="s">
        <v>923</v>
      </c>
      <c r="E28" s="32" t="str">
        <f t="shared" ref="E28:E91" si="3">IF(A28="*","","Pja")</f>
        <v>Pja</v>
      </c>
      <c r="F28" s="32" t="str">
        <f t="shared" ref="F28:F91" si="4">IF(A28="*","","DAYNITE")</f>
        <v>DAYNITE</v>
      </c>
      <c r="G28" s="32" t="str">
        <f t="shared" ref="G28:G91" si="5">IF(A28="*","","DMD")</f>
        <v>DMD</v>
      </c>
    </row>
    <row r="29" spans="1:7" ht="10.5">
      <c r="A29" s="21" t="str">
        <f>IF(LEFT(RES!A41,1)="*","*","")</f>
        <v>*</v>
      </c>
      <c r="B29" s="509" t="str">
        <f>IF(A29="*","",RES!B41)</f>
        <v/>
      </c>
      <c r="C29" s="21" t="str">
        <f>IF(A29="*","",RES!A41)</f>
        <v/>
      </c>
      <c r="D29" s="32" t="s">
        <v>923</v>
      </c>
      <c r="E29" s="32" t="str">
        <f t="shared" si="3"/>
        <v/>
      </c>
      <c r="F29" s="32" t="str">
        <f t="shared" si="4"/>
        <v/>
      </c>
      <c r="G29" s="32" t="str">
        <f t="shared" si="5"/>
        <v/>
      </c>
    </row>
    <row r="30" spans="1:7" ht="10.5">
      <c r="A30" s="21" t="str">
        <f>IF(LEFT(RES!A42,1)="*","*","")</f>
        <v>*</v>
      </c>
      <c r="B30" s="509" t="str">
        <f>IF(A30="*","",RES!B42)</f>
        <v/>
      </c>
      <c r="C30" s="21" t="str">
        <f>IF(A30="*","",RES!A42)</f>
        <v/>
      </c>
      <c r="D30" s="32" t="s">
        <v>923</v>
      </c>
      <c r="E30" s="32" t="str">
        <f t="shared" si="3"/>
        <v/>
      </c>
      <c r="F30" s="32" t="str">
        <f t="shared" si="4"/>
        <v/>
      </c>
      <c r="G30" s="32" t="str">
        <f t="shared" si="5"/>
        <v/>
      </c>
    </row>
    <row r="31" spans="1:7" ht="10.5">
      <c r="A31" s="21" t="str">
        <f>IF(LEFT(RES!A43,1)="*","*","")</f>
        <v/>
      </c>
      <c r="B31" s="509" t="str">
        <f>IF(A31="*","",RES!B43)</f>
        <v>RLEKELCHOT-E</v>
      </c>
      <c r="C31" s="21" t="str">
        <f>IF(A31="*","",RES!A43)</f>
        <v>Residential - Cooking - Low Income  - Electricity - HOT - E</v>
      </c>
      <c r="D31" s="32" t="s">
        <v>923</v>
      </c>
      <c r="E31" s="32" t="str">
        <f t="shared" si="3"/>
        <v>Pja</v>
      </c>
      <c r="F31" s="32" t="str">
        <f t="shared" si="4"/>
        <v>DAYNITE</v>
      </c>
      <c r="G31" s="32" t="str">
        <f t="shared" si="5"/>
        <v>DMD</v>
      </c>
    </row>
    <row r="32" spans="1:7" ht="10.5">
      <c r="A32" s="21" t="str">
        <f>IF(LEFT(RES!A44,1)="*","*","")</f>
        <v/>
      </c>
      <c r="B32" s="509" t="str">
        <f>IF(A32="*","",RES!B44)</f>
        <v>RLEKOLPRING-E</v>
      </c>
      <c r="C32" s="21" t="str">
        <f>IF(A32="*","",RES!A44)</f>
        <v>Residential - Cooking - Low Income  - Oil LPG - RING - E</v>
      </c>
      <c r="D32" s="32" t="s">
        <v>923</v>
      </c>
      <c r="E32" s="32" t="str">
        <f t="shared" si="3"/>
        <v>Pja</v>
      </c>
      <c r="F32" s="32" t="str">
        <f t="shared" si="4"/>
        <v>DAYNITE</v>
      </c>
      <c r="G32" s="32" t="str">
        <f t="shared" si="5"/>
        <v>DMD</v>
      </c>
    </row>
    <row r="33" spans="1:7" ht="10.5">
      <c r="A33" s="21" t="str">
        <f>IF(LEFT(RES!A45,1)="*","*","")</f>
        <v/>
      </c>
      <c r="B33" s="509" t="str">
        <f>IF(A33="*","",RES!B45)</f>
        <v>RLEKBIWBNM-E</v>
      </c>
      <c r="C33" s="21" t="str">
        <f>IF(A33="*","",RES!A45)</f>
        <v>Residential - Cooking - Low Income  - Biomass Wood - BNM - E</v>
      </c>
      <c r="D33" s="32" t="s">
        <v>923</v>
      </c>
      <c r="E33" s="32" t="str">
        <f t="shared" si="3"/>
        <v>Pja</v>
      </c>
      <c r="F33" s="32" t="str">
        <f t="shared" si="4"/>
        <v>DAYNITE</v>
      </c>
      <c r="G33" s="32" t="str">
        <f t="shared" si="5"/>
        <v>DMD</v>
      </c>
    </row>
    <row r="34" spans="1:7" ht="10.5">
      <c r="A34" s="21" t="str">
        <f>IF(LEFT(RES!A46,1)="*","*","")</f>
        <v/>
      </c>
      <c r="B34" s="509" t="str">
        <f>IF(A34="*","",RES!B46)</f>
        <v>RLEKCOABNM-E</v>
      </c>
      <c r="C34" s="21" t="str">
        <f>IF(A34="*","",RES!A46)</f>
        <v>Residential - Cooking - Low Income  - Coal - BNM - E</v>
      </c>
      <c r="D34" s="32" t="s">
        <v>923</v>
      </c>
      <c r="E34" s="32" t="str">
        <f t="shared" si="3"/>
        <v>Pja</v>
      </c>
      <c r="F34" s="32" t="str">
        <f t="shared" si="4"/>
        <v>DAYNITE</v>
      </c>
      <c r="G34" s="32" t="str">
        <f t="shared" si="5"/>
        <v>DMD</v>
      </c>
    </row>
    <row r="35" spans="1:7" ht="10.5">
      <c r="A35" s="21" t="str">
        <f>IF(LEFT(RES!A47,1)="*","*","")</f>
        <v/>
      </c>
      <c r="B35" s="509" t="str">
        <f>IF(A35="*","",RES!B47)</f>
        <v>RLEKOKEWICK-E</v>
      </c>
      <c r="C35" s="21" t="str">
        <f>IF(A35="*","",RES!A47)</f>
        <v>Residential - Cooking - Low Income  - Oil Paraffin - WICK - E</v>
      </c>
      <c r="D35" s="32" t="s">
        <v>923</v>
      </c>
      <c r="E35" s="32" t="str">
        <f t="shared" si="3"/>
        <v>Pja</v>
      </c>
      <c r="F35" s="32" t="str">
        <f t="shared" si="4"/>
        <v>DAYNITE</v>
      </c>
      <c r="G35" s="32" t="str">
        <f t="shared" si="5"/>
        <v>DMD</v>
      </c>
    </row>
    <row r="36" spans="1:7" ht="10.5">
      <c r="A36" s="21" t="str">
        <f>IF(LEFT(RES!A48,1)="*","*","")</f>
        <v>*</v>
      </c>
      <c r="B36" s="509" t="str">
        <f>IF(A36="*","",RES!B48)</f>
        <v/>
      </c>
      <c r="C36" s="21" t="str">
        <f>IF(A36="*","",RES!A48)</f>
        <v/>
      </c>
      <c r="D36" s="32" t="s">
        <v>923</v>
      </c>
      <c r="E36" s="32" t="str">
        <f t="shared" si="3"/>
        <v/>
      </c>
      <c r="F36" s="32" t="str">
        <f t="shared" si="4"/>
        <v/>
      </c>
      <c r="G36" s="32" t="str">
        <f t="shared" si="5"/>
        <v/>
      </c>
    </row>
    <row r="37" spans="1:7" ht="10.5">
      <c r="A37" s="21" t="str">
        <f>IF(LEFT(RES!A49,1)="*","*","")</f>
        <v>*</v>
      </c>
      <c r="B37" s="509" t="str">
        <f>IF(A37="*","",RES!B49)</f>
        <v/>
      </c>
      <c r="C37" s="21" t="str">
        <f>IF(A37="*","",RES!A49)</f>
        <v/>
      </c>
      <c r="D37" s="32" t="s">
        <v>923</v>
      </c>
      <c r="E37" s="32" t="str">
        <f t="shared" si="3"/>
        <v/>
      </c>
      <c r="F37" s="32" t="str">
        <f t="shared" si="4"/>
        <v/>
      </c>
      <c r="G37" s="32" t="str">
        <f t="shared" si="5"/>
        <v/>
      </c>
    </row>
    <row r="38" spans="1:7" ht="10.5">
      <c r="A38" s="21" t="str">
        <f>IF(LEFT(RES!A50,1)="*","*","")</f>
        <v/>
      </c>
      <c r="B38" s="509" t="str">
        <f>IF(A38="*","",RES!B50)</f>
        <v>RLEHELCHEATBAR-E</v>
      </c>
      <c r="C38" s="21" t="str">
        <f>IF(A38="*","",RES!A50)</f>
        <v>Residential - Space Heating - Low Income  - Electricity - HEATBAR - E</v>
      </c>
      <c r="D38" s="32" t="s">
        <v>923</v>
      </c>
      <c r="E38" s="32" t="str">
        <f t="shared" si="3"/>
        <v>Pja</v>
      </c>
      <c r="F38" s="32" t="str">
        <f t="shared" si="4"/>
        <v>DAYNITE</v>
      </c>
      <c r="G38" s="32" t="str">
        <f t="shared" si="5"/>
        <v>DMD</v>
      </c>
    </row>
    <row r="39" spans="1:7" ht="10.5">
      <c r="A39" s="21" t="str">
        <f>IF(LEFT(RES!A51,1)="*","*","")</f>
        <v/>
      </c>
      <c r="B39" s="509" t="str">
        <f>IF(A39="*","",RES!B51)</f>
        <v>RLEHOKEHEAT-E</v>
      </c>
      <c r="C39" s="21" t="str">
        <f>IF(A39="*","",RES!A51)</f>
        <v>Residential - Space Heating - Low Income  - Oil Paraffin - HEAT - E</v>
      </c>
      <c r="D39" s="32" t="s">
        <v>923</v>
      </c>
      <c r="E39" s="32" t="str">
        <f t="shared" si="3"/>
        <v>Pja</v>
      </c>
      <c r="F39" s="32" t="str">
        <f t="shared" si="4"/>
        <v>DAYNITE</v>
      </c>
      <c r="G39" s="32" t="str">
        <f t="shared" si="5"/>
        <v>DMD</v>
      </c>
    </row>
    <row r="40" spans="1:7" ht="10.5">
      <c r="A40" s="21" t="str">
        <f>IF(LEFT(RES!A52,1)="*","*","")</f>
        <v/>
      </c>
      <c r="B40" s="509" t="str">
        <f>IF(A40="*","",RES!B52)</f>
        <v>RLEHBIWOPEN-E</v>
      </c>
      <c r="C40" s="21" t="str">
        <f>IF(A40="*","",RES!A52)</f>
        <v>Residential - Space Heating - Low Income  - Biomass Wood - OPEN - E</v>
      </c>
      <c r="D40" s="32" t="s">
        <v>923</v>
      </c>
      <c r="E40" s="32" t="str">
        <f t="shared" si="3"/>
        <v>Pja</v>
      </c>
      <c r="F40" s="32" t="str">
        <f t="shared" si="4"/>
        <v>DAYNITE</v>
      </c>
      <c r="G40" s="32" t="str">
        <f t="shared" si="5"/>
        <v>DMD</v>
      </c>
    </row>
    <row r="41" spans="1:7" ht="10.5">
      <c r="A41" s="21" t="str">
        <f>IF(LEFT(RES!A53,1)="*","*","")</f>
        <v/>
      </c>
      <c r="B41" s="509" t="str">
        <f>IF(A41="*","",RES!B53)</f>
        <v>RLEHCOABNM-E</v>
      </c>
      <c r="C41" s="21" t="str">
        <f>IF(A41="*","",RES!A53)</f>
        <v>Residential - Space Heating - Low Income  - Coal - BNM - E</v>
      </c>
      <c r="D41" s="32" t="s">
        <v>923</v>
      </c>
      <c r="E41" s="32" t="str">
        <f t="shared" si="3"/>
        <v>Pja</v>
      </c>
      <c r="F41" s="32" t="str">
        <f t="shared" si="4"/>
        <v>DAYNITE</v>
      </c>
      <c r="G41" s="32" t="str">
        <f t="shared" si="5"/>
        <v>DMD</v>
      </c>
    </row>
    <row r="42" spans="1:7" ht="10.5">
      <c r="A42" s="21" t="str">
        <f>IF(LEFT(RES!A54,1)="*","*","")</f>
        <v/>
      </c>
      <c r="B42" s="509" t="str">
        <f>IF(A42="*","",RES!B54)</f>
        <v>RLEHOLPHET-E</v>
      </c>
      <c r="C42" s="21" t="str">
        <f>IF(A42="*","",RES!A54)</f>
        <v>Residential - Space Heating - Low Income  - Oil LPG - HET - E</v>
      </c>
      <c r="D42" s="32" t="s">
        <v>923</v>
      </c>
      <c r="E42" s="32" t="str">
        <f t="shared" si="3"/>
        <v>Pja</v>
      </c>
      <c r="F42" s="32" t="str">
        <f t="shared" si="4"/>
        <v>DAYNITE</v>
      </c>
      <c r="G42" s="32" t="str">
        <f t="shared" si="5"/>
        <v>DMD</v>
      </c>
    </row>
    <row r="43" spans="1:7" ht="10.5">
      <c r="A43" s="21" t="str">
        <f>IF(LEFT(RES!A55,1)="*","*","")</f>
        <v>*</v>
      </c>
      <c r="B43" s="509" t="str">
        <f>IF(A43="*","",RES!B55)</f>
        <v/>
      </c>
      <c r="C43" s="21" t="str">
        <f>IF(A43="*","",RES!A55)</f>
        <v/>
      </c>
      <c r="D43" s="32" t="s">
        <v>923</v>
      </c>
      <c r="E43" s="32" t="str">
        <f t="shared" si="3"/>
        <v/>
      </c>
      <c r="F43" s="32" t="str">
        <f t="shared" si="4"/>
        <v/>
      </c>
      <c r="G43" s="32" t="str">
        <f t="shared" si="5"/>
        <v/>
      </c>
    </row>
    <row r="44" spans="1:7" ht="10.5">
      <c r="A44" s="21" t="str">
        <f>IF(LEFT(RES!A56,1)="*","*","")</f>
        <v>*</v>
      </c>
      <c r="B44" s="509" t="str">
        <f>IF(A44="*","",RES!B56)</f>
        <v/>
      </c>
      <c r="C44" s="21" t="str">
        <f>IF(A44="*","",RES!A56)</f>
        <v/>
      </c>
      <c r="D44" s="32" t="s">
        <v>923</v>
      </c>
      <c r="E44" s="32" t="str">
        <f t="shared" si="3"/>
        <v/>
      </c>
      <c r="F44" s="32" t="str">
        <f t="shared" si="4"/>
        <v/>
      </c>
      <c r="G44" s="32" t="str">
        <f t="shared" si="5"/>
        <v/>
      </c>
    </row>
    <row r="45" spans="1:7" ht="10.5">
      <c r="A45" s="21" t="str">
        <f>IF(LEFT(RES!A57,1)="*","*","")</f>
        <v>*</v>
      </c>
      <c r="B45" s="509" t="str">
        <f>IF(A45="*","",RES!B57)</f>
        <v/>
      </c>
      <c r="C45" s="21" t="str">
        <f>IF(A45="*","",RES!A57)</f>
        <v/>
      </c>
      <c r="D45" s="32" t="s">
        <v>923</v>
      </c>
      <c r="E45" s="32" t="str">
        <f t="shared" si="3"/>
        <v/>
      </c>
      <c r="F45" s="32" t="str">
        <f t="shared" si="4"/>
        <v/>
      </c>
      <c r="G45" s="32" t="str">
        <f t="shared" si="5"/>
        <v/>
      </c>
    </row>
    <row r="46" spans="1:7" ht="10.5">
      <c r="A46" s="21" t="str">
        <f>IF(LEFT(RES!A58,1)="*","*","")</f>
        <v>*</v>
      </c>
      <c r="B46" s="509" t="str">
        <f>IF(A46="*","",RES!B58)</f>
        <v/>
      </c>
      <c r="C46" s="21" t="str">
        <f>IF(A46="*","",RES!A58)</f>
        <v/>
      </c>
      <c r="D46" s="32" t="s">
        <v>923</v>
      </c>
      <c r="E46" s="32" t="str">
        <f t="shared" si="3"/>
        <v/>
      </c>
      <c r="F46" s="32" t="str">
        <f t="shared" si="4"/>
        <v/>
      </c>
      <c r="G46" s="32" t="str">
        <f t="shared" si="5"/>
        <v/>
      </c>
    </row>
    <row r="47" spans="1:7" ht="10.5">
      <c r="A47" s="21" t="str">
        <f>IF(LEFT(RES!A59,1)="*","*","")</f>
        <v>*</v>
      </c>
      <c r="B47" s="509" t="str">
        <f>IF(A47="*","",RES!B59)</f>
        <v/>
      </c>
      <c r="C47" s="21" t="str">
        <f>IF(A47="*","",RES!A59)</f>
        <v/>
      </c>
      <c r="D47" s="32" t="s">
        <v>923</v>
      </c>
      <c r="E47" s="32" t="str">
        <f t="shared" si="3"/>
        <v/>
      </c>
      <c r="F47" s="32" t="str">
        <f t="shared" si="4"/>
        <v/>
      </c>
      <c r="G47" s="32" t="str">
        <f t="shared" si="5"/>
        <v/>
      </c>
    </row>
    <row r="48" spans="1:7" ht="10.5">
      <c r="A48" s="21" t="str">
        <f>IF(LEFT(RES!A60,1)="*","*","")</f>
        <v>*</v>
      </c>
      <c r="B48" s="509" t="str">
        <f>IF(A48="*","",RES!B60)</f>
        <v/>
      </c>
      <c r="C48" s="21" t="str">
        <f>IF(A48="*","",RES!A60)</f>
        <v/>
      </c>
      <c r="D48" s="32" t="s">
        <v>923</v>
      </c>
      <c r="E48" s="32" t="str">
        <f t="shared" si="3"/>
        <v/>
      </c>
      <c r="F48" s="32" t="str">
        <f t="shared" si="4"/>
        <v/>
      </c>
      <c r="G48" s="32" t="str">
        <f t="shared" si="5"/>
        <v/>
      </c>
    </row>
    <row r="49" spans="1:7" ht="10.5">
      <c r="A49" s="21" t="str">
        <f>IF(LEFT(RES!A61,1)="*","*","")</f>
        <v/>
      </c>
      <c r="B49" s="509" t="str">
        <f>IF(A49="*","",RES!B61)</f>
        <v>RLEWOKEKETWI-E</v>
      </c>
      <c r="C49" s="21" t="str">
        <f>IF(A49="*","",RES!A61)</f>
        <v>Residential - Water Heating - Low Income  - Oil Paraffin - KETWI - E</v>
      </c>
      <c r="D49" s="32" t="s">
        <v>923</v>
      </c>
      <c r="E49" s="32" t="str">
        <f t="shared" si="3"/>
        <v>Pja</v>
      </c>
      <c r="F49" s="32" t="str">
        <f t="shared" si="4"/>
        <v>DAYNITE</v>
      </c>
      <c r="G49" s="32" t="str">
        <f t="shared" si="5"/>
        <v>DMD</v>
      </c>
    </row>
    <row r="50" spans="1:7" ht="10.5">
      <c r="A50" s="21" t="str">
        <f>IF(LEFT(RES!A62,1)="*","*","")</f>
        <v/>
      </c>
      <c r="B50" s="509" t="str">
        <f>IF(A50="*","",RES!B62)</f>
        <v>RLEWELCKET-E</v>
      </c>
      <c r="C50" s="21" t="str">
        <f>IF(A50="*","",RES!A62)</f>
        <v>Residential - Water Heating - Low Income  - Electricity - KET - E</v>
      </c>
      <c r="D50" s="32" t="s">
        <v>923</v>
      </c>
      <c r="E50" s="32" t="str">
        <f t="shared" si="3"/>
        <v>Pja</v>
      </c>
      <c r="F50" s="32" t="str">
        <f t="shared" si="4"/>
        <v>DAYNITE</v>
      </c>
      <c r="G50" s="32" t="str">
        <f t="shared" si="5"/>
        <v>DMD</v>
      </c>
    </row>
    <row r="51" spans="1:7" ht="10.5">
      <c r="A51" s="21" t="str">
        <f>IF(LEFT(RES!A63,1)="*","*","")</f>
        <v/>
      </c>
      <c r="B51" s="509" t="str">
        <f>IF(A51="*","",RES!B63)</f>
        <v>RLEWBIWKETBI-E</v>
      </c>
      <c r="C51" s="21" t="str">
        <f>IF(A51="*","",RES!A63)</f>
        <v>Residential - Water Heating - Low Income  - Biomass Wood - KETBI - E</v>
      </c>
      <c r="D51" s="32" t="s">
        <v>923</v>
      </c>
      <c r="E51" s="32" t="str">
        <f t="shared" si="3"/>
        <v>Pja</v>
      </c>
      <c r="F51" s="32" t="str">
        <f t="shared" si="4"/>
        <v>DAYNITE</v>
      </c>
      <c r="G51" s="32" t="str">
        <f t="shared" si="5"/>
        <v>DMD</v>
      </c>
    </row>
    <row r="52" spans="1:7" ht="10.5">
      <c r="A52" s="21" t="str">
        <f>IF(LEFT(RES!A64,1)="*","*","")</f>
        <v/>
      </c>
      <c r="B52" s="509" t="str">
        <f>IF(A52="*","",RES!B64)</f>
        <v>RLEWCOAKETCOA-E</v>
      </c>
      <c r="C52" s="21" t="str">
        <f>IF(A52="*","",RES!A64)</f>
        <v>Residential - Water Heating - Low Income  - Coal - KETCOA - E</v>
      </c>
      <c r="D52" s="32" t="s">
        <v>923</v>
      </c>
      <c r="E52" s="32" t="str">
        <f t="shared" si="3"/>
        <v>Pja</v>
      </c>
      <c r="F52" s="32" t="str">
        <f t="shared" si="4"/>
        <v>DAYNITE</v>
      </c>
      <c r="G52" s="32" t="str">
        <f t="shared" si="5"/>
        <v>DMD</v>
      </c>
    </row>
    <row r="53" spans="1:7" ht="10.5">
      <c r="A53" s="21" t="str">
        <f>IF(LEFT(RES!A65,1)="*","*","")</f>
        <v/>
      </c>
      <c r="B53" s="509" t="str">
        <f>IF(A53="*","",RES!B65)</f>
        <v>RLEWOLPKETLPG-E</v>
      </c>
      <c r="C53" s="21" t="str">
        <f>IF(A53="*","",RES!A65)</f>
        <v>Residential - Water Heating - Low Income  - Oil LPG - KETLPG - E</v>
      </c>
      <c r="D53" s="32" t="s">
        <v>923</v>
      </c>
      <c r="E53" s="32" t="str">
        <f t="shared" si="3"/>
        <v>Pja</v>
      </c>
      <c r="F53" s="32" t="str">
        <f t="shared" si="4"/>
        <v>DAYNITE</v>
      </c>
      <c r="G53" s="32" t="str">
        <f t="shared" si="5"/>
        <v>DMD</v>
      </c>
    </row>
    <row r="54" spans="1:7" ht="10.5">
      <c r="A54" s="21" t="str">
        <f>IF(LEFT(RES!A66,1)="*","*","")</f>
        <v>*</v>
      </c>
      <c r="B54" s="509" t="str">
        <f>IF(A54="*","",RES!B66)</f>
        <v/>
      </c>
      <c r="C54" s="21" t="str">
        <f>IF(A54="*","",RES!A66)</f>
        <v/>
      </c>
      <c r="D54" s="32" t="s">
        <v>923</v>
      </c>
      <c r="E54" s="32" t="str">
        <f t="shared" si="3"/>
        <v/>
      </c>
      <c r="F54" s="32" t="str">
        <f t="shared" si="4"/>
        <v/>
      </c>
      <c r="G54" s="32" t="str">
        <f t="shared" si="5"/>
        <v/>
      </c>
    </row>
    <row r="55" spans="1:7" ht="10.5">
      <c r="A55" s="21" t="str">
        <f>IF(LEFT(RES!A67,1)="*","*","")</f>
        <v>*</v>
      </c>
      <c r="B55" s="509" t="str">
        <f>IF(A55="*","",RES!B67)</f>
        <v/>
      </c>
      <c r="C55" s="21" t="str">
        <f>IF(A55="*","",RES!A67)</f>
        <v/>
      </c>
      <c r="D55" s="32" t="s">
        <v>923</v>
      </c>
      <c r="E55" s="32" t="str">
        <f t="shared" si="3"/>
        <v/>
      </c>
      <c r="F55" s="32" t="str">
        <f t="shared" si="4"/>
        <v/>
      </c>
      <c r="G55" s="32" t="str">
        <f t="shared" si="5"/>
        <v/>
      </c>
    </row>
    <row r="56" spans="1:7" ht="10.5">
      <c r="A56" s="21" t="str">
        <f>IF(LEFT(RES!A68,1)="*","*","")</f>
        <v/>
      </c>
      <c r="B56" s="509" t="str">
        <f>IF(A56="*","",RES!B68)</f>
        <v>RLERELCREF-E</v>
      </c>
      <c r="C56" s="21" t="str">
        <f>IF(A56="*","",RES!A68)</f>
        <v>Residential - Refrigeration - Low Income  - Electricity - REF - E</v>
      </c>
      <c r="D56" s="32" t="s">
        <v>923</v>
      </c>
      <c r="E56" s="32" t="str">
        <f t="shared" si="3"/>
        <v>Pja</v>
      </c>
      <c r="F56" s="32" t="str">
        <f t="shared" si="4"/>
        <v>DAYNITE</v>
      </c>
      <c r="G56" s="32" t="str">
        <f t="shared" si="5"/>
        <v>DMD</v>
      </c>
    </row>
    <row r="57" spans="1:7" ht="10.5">
      <c r="A57" s="21" t="str">
        <f>IF(LEFT(RES!A69,1)="*","*","")</f>
        <v>*</v>
      </c>
      <c r="B57" s="509" t="str">
        <f>IF(A57="*","",RES!B69)</f>
        <v/>
      </c>
      <c r="C57" s="21" t="str">
        <f>IF(A57="*","",RES!A69)</f>
        <v/>
      </c>
      <c r="D57" s="32" t="s">
        <v>923</v>
      </c>
      <c r="E57" s="32" t="str">
        <f t="shared" si="3"/>
        <v/>
      </c>
      <c r="F57" s="32" t="str">
        <f t="shared" si="4"/>
        <v/>
      </c>
      <c r="G57" s="32" t="str">
        <f t="shared" si="5"/>
        <v/>
      </c>
    </row>
    <row r="58" spans="1:7" ht="10.5">
      <c r="A58" s="21" t="str">
        <f>IF(LEFT(RES!A70,1)="*","*","")</f>
        <v>*</v>
      </c>
      <c r="B58" s="509" t="str">
        <f>IF(A58="*","",RES!B70)</f>
        <v/>
      </c>
      <c r="C58" s="21" t="str">
        <f>IF(A58="*","",RES!A70)</f>
        <v/>
      </c>
      <c r="D58" s="32" t="s">
        <v>923</v>
      </c>
      <c r="E58" s="32" t="str">
        <f t="shared" si="3"/>
        <v/>
      </c>
      <c r="F58" s="32" t="str">
        <f t="shared" si="4"/>
        <v/>
      </c>
      <c r="G58" s="32" t="str">
        <f t="shared" si="5"/>
        <v/>
      </c>
    </row>
    <row r="59" spans="1:7" ht="10.5">
      <c r="A59" s="21" t="str">
        <f>IF(LEFT(RES!A71,1)="*","*","")</f>
        <v/>
      </c>
      <c r="B59" s="509" t="str">
        <f>IF(A59="*","",RES!B71)</f>
        <v>RLEOELCOTH-E</v>
      </c>
      <c r="C59" s="21" t="str">
        <f>IF(A59="*","",RES!A71)</f>
        <v>Residential - Other - Low Income  - Electricity - OTH - E</v>
      </c>
      <c r="D59" s="32" t="s">
        <v>923</v>
      </c>
      <c r="E59" s="32" t="str">
        <f t="shared" si="3"/>
        <v>Pja</v>
      </c>
      <c r="F59" s="32" t="str">
        <f t="shared" si="4"/>
        <v>DAYNITE</v>
      </c>
      <c r="G59" s="32" t="str">
        <f t="shared" si="5"/>
        <v>DMD</v>
      </c>
    </row>
    <row r="60" spans="1:7" ht="10.5">
      <c r="A60" s="21" t="str">
        <f>IF(LEFT(RES!A72,1)="*","*","")</f>
        <v>*</v>
      </c>
      <c r="B60" s="509" t="str">
        <f>IF(A60="*","",RES!B72)</f>
        <v/>
      </c>
      <c r="C60" s="21" t="str">
        <f>IF(A60="*","",RES!A72)</f>
        <v/>
      </c>
      <c r="D60" s="32" t="s">
        <v>923</v>
      </c>
      <c r="E60" s="32" t="str">
        <f t="shared" si="3"/>
        <v/>
      </c>
      <c r="F60" s="32" t="str">
        <f t="shared" si="4"/>
        <v/>
      </c>
      <c r="G60" s="32" t="str">
        <f t="shared" si="5"/>
        <v/>
      </c>
    </row>
    <row r="61" spans="1:7" ht="10.5">
      <c r="A61" s="21" t="str">
        <f>IF(LEFT(RES!A73,1)="*","*","")</f>
        <v>*</v>
      </c>
      <c r="B61" s="509" t="str">
        <f>IF(A61="*","",RES!B73)</f>
        <v/>
      </c>
      <c r="C61" s="21" t="str">
        <f>IF(A61="*","",RES!A73)</f>
        <v/>
      </c>
      <c r="D61" s="32" t="s">
        <v>923</v>
      </c>
      <c r="E61" s="32" t="str">
        <f t="shared" si="3"/>
        <v/>
      </c>
      <c r="F61" s="32" t="str">
        <f t="shared" si="4"/>
        <v/>
      </c>
      <c r="G61" s="32" t="str">
        <f t="shared" si="5"/>
        <v/>
      </c>
    </row>
    <row r="62" spans="1:7" ht="10.5">
      <c r="A62" s="21" t="str">
        <f>IF(LEFT(RES!A74,1)="*","*","")</f>
        <v>*</v>
      </c>
      <c r="B62" s="509" t="str">
        <f>IF(A62="*","",RES!B74)</f>
        <v/>
      </c>
      <c r="C62" s="21" t="str">
        <f>IF(A62="*","",RES!A74)</f>
        <v/>
      </c>
      <c r="D62" s="32" t="s">
        <v>923</v>
      </c>
      <c r="E62" s="32" t="str">
        <f t="shared" si="3"/>
        <v/>
      </c>
      <c r="F62" s="32" t="str">
        <f t="shared" si="4"/>
        <v/>
      </c>
      <c r="G62" s="32" t="str">
        <f t="shared" si="5"/>
        <v/>
      </c>
    </row>
    <row r="63" spans="1:7" ht="10.5">
      <c r="A63" s="21" t="str">
        <f>IF(LEFT(RES!A75,1)="*","*","")</f>
        <v/>
      </c>
      <c r="B63" s="509" t="str">
        <f>IF(A63="*","",RES!B75)</f>
        <v>RMELELCINC-E</v>
      </c>
      <c r="C63" s="21" t="str">
        <f>IF(A63="*","",RES!A75)</f>
        <v>Residential - Lighting - Middle Income  - Electricity - INC - E</v>
      </c>
      <c r="D63" s="32" t="s">
        <v>923</v>
      </c>
      <c r="E63" s="32" t="str">
        <f t="shared" si="3"/>
        <v>Pja</v>
      </c>
      <c r="F63" s="32" t="str">
        <f t="shared" si="4"/>
        <v>DAYNITE</v>
      </c>
      <c r="G63" s="32" t="str">
        <f t="shared" si="5"/>
        <v>DMD</v>
      </c>
    </row>
    <row r="64" spans="1:7" ht="14.5">
      <c r="A64" s="608"/>
      <c r="B64" s="509" t="str">
        <f>IF(A64="*","",RES!B76)</f>
        <v>RMELOKEOKE</v>
      </c>
      <c r="C64" s="21" t="str">
        <f>IF(A64="*","",RES!A76)</f>
        <v>Residential - Lighting - Middle Income  - Oil Paraffin - WICK - E</v>
      </c>
      <c r="D64" s="32" t="s">
        <v>923</v>
      </c>
      <c r="E64" s="32" t="str">
        <f t="shared" si="3"/>
        <v>Pja</v>
      </c>
      <c r="F64" s="32" t="str">
        <f t="shared" si="4"/>
        <v>DAYNITE</v>
      </c>
      <c r="G64" s="32" t="str">
        <f t="shared" si="5"/>
        <v>DMD</v>
      </c>
    </row>
    <row r="65" spans="1:7" ht="10.5">
      <c r="A65" s="21" t="str">
        <f>IF(LEFT(RES!A77,1)="*","*","")</f>
        <v>*</v>
      </c>
      <c r="B65" s="509" t="str">
        <f>IF(A65="*","",RES!B77)</f>
        <v/>
      </c>
      <c r="C65" s="21" t="str">
        <f>IF(A65="*","",RES!A77)</f>
        <v/>
      </c>
      <c r="D65" s="32" t="s">
        <v>923</v>
      </c>
      <c r="E65" s="32" t="str">
        <f t="shared" si="3"/>
        <v/>
      </c>
      <c r="F65" s="32" t="str">
        <f t="shared" si="4"/>
        <v/>
      </c>
      <c r="G65" s="32" t="str">
        <f t="shared" si="5"/>
        <v/>
      </c>
    </row>
    <row r="66" spans="1:7" ht="10.5">
      <c r="A66" s="21" t="str">
        <f>IF(LEFT(RES!A78,1)="*","*","")</f>
        <v>*</v>
      </c>
      <c r="B66" s="509" t="str">
        <f>IF(A66="*","",RES!B78)</f>
        <v/>
      </c>
      <c r="C66" s="21" t="str">
        <f>IF(A66="*","",RES!A78)</f>
        <v/>
      </c>
      <c r="D66" s="32" t="s">
        <v>923</v>
      </c>
      <c r="E66" s="32" t="str">
        <f t="shared" si="3"/>
        <v/>
      </c>
      <c r="F66" s="32" t="str">
        <f t="shared" si="4"/>
        <v/>
      </c>
      <c r="G66" s="32" t="str">
        <f t="shared" si="5"/>
        <v/>
      </c>
    </row>
    <row r="67" spans="1:7" ht="10.5">
      <c r="A67" s="21" t="str">
        <f>IF(LEFT(RES!A79,1)="*","*","")</f>
        <v/>
      </c>
      <c r="B67" s="509" t="str">
        <f>IF(A67="*","",RES!B79)</f>
        <v>RMEKELCSTOV-E</v>
      </c>
      <c r="C67" s="21" t="str">
        <f>IF(A67="*","",RES!A79)</f>
        <v>Residential - Cooking - Middle Income  - Electricity - STOV - E</v>
      </c>
      <c r="D67" s="32" t="s">
        <v>923</v>
      </c>
      <c r="E67" s="32" t="str">
        <f t="shared" si="3"/>
        <v>Pja</v>
      </c>
      <c r="F67" s="32" t="str">
        <f t="shared" si="4"/>
        <v>DAYNITE</v>
      </c>
      <c r="G67" s="32" t="str">
        <f t="shared" si="5"/>
        <v>DMD</v>
      </c>
    </row>
    <row r="68" spans="1:7" ht="10.5">
      <c r="A68" s="21" t="str">
        <f>IF(LEFT(RES!A80,1)="*","*","")</f>
        <v/>
      </c>
      <c r="B68" s="509" t="str">
        <f>IF(A68="*","",RES!B80)</f>
        <v>RMEKOLPSTOV-E</v>
      </c>
      <c r="C68" s="21" t="str">
        <f>IF(A68="*","",RES!A80)</f>
        <v>Residential - Cooking - Middle Income  - Oil LPG - STOV - E</v>
      </c>
      <c r="D68" s="32" t="s">
        <v>923</v>
      </c>
      <c r="E68" s="32" t="str">
        <f t="shared" si="3"/>
        <v>Pja</v>
      </c>
      <c r="F68" s="32" t="str">
        <f t="shared" si="4"/>
        <v>DAYNITE</v>
      </c>
      <c r="G68" s="32" t="str">
        <f t="shared" si="5"/>
        <v>DMD</v>
      </c>
    </row>
    <row r="69" spans="1:7" ht="10.5">
      <c r="A69" s="21" t="str">
        <f>IF(LEFT(RES!A81,1)="*","*","")</f>
        <v/>
      </c>
      <c r="B69" s="509" t="str">
        <f>IF(A69="*","",RES!B81)</f>
        <v>RMEKBIWSTOV-E</v>
      </c>
      <c r="C69" s="21" t="str">
        <f>IF(A69="*","",RES!A81)</f>
        <v>Residential - Cooking - Middle Income  - Biomass Wood - STOV - E</v>
      </c>
      <c r="D69" s="32" t="s">
        <v>923</v>
      </c>
      <c r="E69" s="32" t="str">
        <f t="shared" si="3"/>
        <v>Pja</v>
      </c>
      <c r="F69" s="32" t="str">
        <f t="shared" si="4"/>
        <v>DAYNITE</v>
      </c>
      <c r="G69" s="32" t="str">
        <f t="shared" si="5"/>
        <v>DMD</v>
      </c>
    </row>
    <row r="70" spans="1:7" ht="10.5">
      <c r="A70" s="21" t="str">
        <f>IF(LEFT(RES!A82,1)="*","*","")</f>
        <v/>
      </c>
      <c r="B70" s="509" t="str">
        <f>IF(A70="*","",RES!B82)</f>
        <v>RMEKCOABNM-E</v>
      </c>
      <c r="C70" s="21" t="str">
        <f>IF(A70="*","",RES!A82)</f>
        <v>Residential - Cooking - Middle Income  - Coal - BNM - E</v>
      </c>
      <c r="D70" s="32" t="s">
        <v>923</v>
      </c>
      <c r="E70" s="32" t="str">
        <f t="shared" si="3"/>
        <v>Pja</v>
      </c>
      <c r="F70" s="32" t="str">
        <f t="shared" si="4"/>
        <v>DAYNITE</v>
      </c>
      <c r="G70" s="32" t="str">
        <f t="shared" si="5"/>
        <v>DMD</v>
      </c>
    </row>
    <row r="71" spans="1:7" ht="10.5">
      <c r="A71" s="21" t="str">
        <f>IF(LEFT(RES!A83,1)="*","*","")</f>
        <v/>
      </c>
      <c r="B71" s="509" t="str">
        <f>IF(A71="*","",RES!B83)</f>
        <v>RMEKOKEWICK-E</v>
      </c>
      <c r="C71" s="21" t="str">
        <f>IF(A71="*","",RES!A83)</f>
        <v>Residential - Cooking - Middle Income  - Oil Paraffin - WICK - E</v>
      </c>
      <c r="D71" s="32" t="s">
        <v>923</v>
      </c>
      <c r="E71" s="32" t="str">
        <f t="shared" si="3"/>
        <v>Pja</v>
      </c>
      <c r="F71" s="32" t="str">
        <f t="shared" si="4"/>
        <v>DAYNITE</v>
      </c>
      <c r="G71" s="32" t="str">
        <f t="shared" si="5"/>
        <v>DMD</v>
      </c>
    </row>
    <row r="72" spans="1:7" ht="10.5">
      <c r="A72" s="21" t="str">
        <f>IF(LEFT(RES!A84,1)="*","*","")</f>
        <v/>
      </c>
      <c r="B72" s="509" t="str">
        <f>IF(A72="*","",RES!B84)</f>
        <v>RMEKGASSTOV-E</v>
      </c>
      <c r="C72" s="21" t="str">
        <f>IF(A72="*","",RES!A84)</f>
        <v>Residential - Cooking - Middle Income  - Natural Gas - STOV - E</v>
      </c>
      <c r="D72" s="32" t="s">
        <v>923</v>
      </c>
      <c r="E72" s="32" t="str">
        <f t="shared" si="3"/>
        <v>Pja</v>
      </c>
      <c r="F72" s="32" t="str">
        <f t="shared" si="4"/>
        <v>DAYNITE</v>
      </c>
      <c r="G72" s="32" t="str">
        <f t="shared" si="5"/>
        <v>DMD</v>
      </c>
    </row>
    <row r="73" spans="1:7" ht="10.5">
      <c r="A73" s="21" t="str">
        <f>IF(LEFT(RES!A85,1)="*","*","")</f>
        <v>*</v>
      </c>
      <c r="B73" s="509" t="str">
        <f>IF(A73="*","",RES!B85)</f>
        <v/>
      </c>
      <c r="C73" s="21" t="str">
        <f>IF(A73="*","",RES!A85)</f>
        <v/>
      </c>
      <c r="D73" s="32" t="s">
        <v>923</v>
      </c>
      <c r="E73" s="32" t="str">
        <f t="shared" si="3"/>
        <v/>
      </c>
      <c r="F73" s="32" t="str">
        <f t="shared" si="4"/>
        <v/>
      </c>
      <c r="G73" s="32" t="str">
        <f t="shared" si="5"/>
        <v/>
      </c>
    </row>
    <row r="74" spans="1:7" ht="10.5">
      <c r="A74" s="21" t="str">
        <f>IF(LEFT(RES!A86,1)="*","*","")</f>
        <v>*</v>
      </c>
      <c r="B74" s="509" t="str">
        <f>IF(A74="*","",RES!B86)</f>
        <v/>
      </c>
      <c r="C74" s="21" t="str">
        <f>IF(A74="*","",RES!A86)</f>
        <v/>
      </c>
      <c r="D74" s="32" t="s">
        <v>923</v>
      </c>
      <c r="E74" s="32" t="str">
        <f t="shared" si="3"/>
        <v/>
      </c>
      <c r="F74" s="32" t="str">
        <f t="shared" si="4"/>
        <v/>
      </c>
      <c r="G74" s="32" t="str">
        <f t="shared" si="5"/>
        <v/>
      </c>
    </row>
    <row r="75" spans="1:7" ht="10.5">
      <c r="A75" s="21" t="str">
        <f>IF(LEFT(RES!A87,1)="*","*","")</f>
        <v/>
      </c>
      <c r="B75" s="509" t="str">
        <f>IF(A75="*","",RES!B87)</f>
        <v>RMEHELCHEATFIN-E</v>
      </c>
      <c r="C75" s="21" t="str">
        <f>IF(A75="*","",RES!A87)</f>
        <v>Residential - Space Heating - Middle Income  - Electricity - HEATFIN - E</v>
      </c>
      <c r="D75" s="32" t="s">
        <v>923</v>
      </c>
      <c r="E75" s="32" t="str">
        <f t="shared" si="3"/>
        <v>Pja</v>
      </c>
      <c r="F75" s="32" t="str">
        <f t="shared" si="4"/>
        <v>DAYNITE</v>
      </c>
      <c r="G75" s="32" t="str">
        <f t="shared" si="5"/>
        <v>DMD</v>
      </c>
    </row>
    <row r="76" spans="1:7" ht="10.5">
      <c r="A76" s="21" t="str">
        <f>IF(LEFT(RES!A88,1)="*","*","")</f>
        <v/>
      </c>
      <c r="B76" s="509" t="str">
        <f>IF(A76="*","",RES!B88)</f>
        <v>RMEHOKEHEAT-E</v>
      </c>
      <c r="C76" s="21" t="str">
        <f>IF(A76="*","",RES!A88)</f>
        <v>Residential - Space Heating - Middle Income  - Oil Paraffin - HEAT - E</v>
      </c>
      <c r="D76" s="32" t="s">
        <v>923</v>
      </c>
      <c r="E76" s="32" t="str">
        <f t="shared" si="3"/>
        <v>Pja</v>
      </c>
      <c r="F76" s="32" t="str">
        <f t="shared" si="4"/>
        <v>DAYNITE</v>
      </c>
      <c r="G76" s="32" t="str">
        <f t="shared" si="5"/>
        <v>DMD</v>
      </c>
    </row>
    <row r="77" spans="1:7" ht="10.5">
      <c r="A77" s="21" t="str">
        <f>IF(LEFT(RES!A89,1)="*","*","")</f>
        <v/>
      </c>
      <c r="B77" s="509" t="str">
        <f>IF(A77="*","",RES!B89)</f>
        <v>RMEHBIWSTOV-E</v>
      </c>
      <c r="C77" s="21" t="str">
        <f>IF(A77="*","",RES!A89)</f>
        <v>Residential - Space Heating - Middle Income  - Biomass Wood - STOV - E</v>
      </c>
      <c r="D77" s="32" t="s">
        <v>923</v>
      </c>
      <c r="E77" s="32" t="str">
        <f t="shared" si="3"/>
        <v>Pja</v>
      </c>
      <c r="F77" s="32" t="str">
        <f t="shared" si="4"/>
        <v>DAYNITE</v>
      </c>
      <c r="G77" s="32" t="str">
        <f t="shared" si="5"/>
        <v>DMD</v>
      </c>
    </row>
    <row r="78" spans="1:7" ht="10.5">
      <c r="A78" s="21" t="str">
        <f>IF(LEFT(RES!A90,1)="*","*","")</f>
        <v/>
      </c>
      <c r="B78" s="509" t="str">
        <f>IF(A78="*","",RES!B90)</f>
        <v>RMEHCOASTOV-E</v>
      </c>
      <c r="C78" s="21" t="str">
        <f>IF(A78="*","",RES!A90)</f>
        <v>Residential - Space Heating - Middle Income  - Coal - STOV - E</v>
      </c>
      <c r="D78" s="32" t="s">
        <v>923</v>
      </c>
      <c r="E78" s="32" t="str">
        <f t="shared" si="3"/>
        <v>Pja</v>
      </c>
      <c r="F78" s="32" t="str">
        <f t="shared" si="4"/>
        <v>DAYNITE</v>
      </c>
      <c r="G78" s="32" t="str">
        <f t="shared" si="5"/>
        <v>DMD</v>
      </c>
    </row>
    <row r="79" spans="1:7" ht="10.5">
      <c r="A79" s="21" t="str">
        <f>IF(LEFT(RES!A91,1)="*","*","")</f>
        <v/>
      </c>
      <c r="B79" s="509" t="str">
        <f>IF(A79="*","",RES!B91)</f>
        <v>RMEHOLPHEAT-E</v>
      </c>
      <c r="C79" s="21" t="str">
        <f>IF(A79="*","",RES!A91)</f>
        <v>Residential - Space Heating - Middle Income  - Oil LPG - HEAT - E</v>
      </c>
      <c r="D79" s="32" t="s">
        <v>923</v>
      </c>
      <c r="E79" s="32" t="str">
        <f t="shared" si="3"/>
        <v>Pja</v>
      </c>
      <c r="F79" s="32" t="str">
        <f t="shared" si="4"/>
        <v>DAYNITE</v>
      </c>
      <c r="G79" s="32" t="str">
        <f t="shared" si="5"/>
        <v>DMD</v>
      </c>
    </row>
    <row r="80" spans="1:7" ht="10.5">
      <c r="A80" s="21" t="str">
        <f>IF(LEFT(RES!A92,1)="*","*","")</f>
        <v/>
      </c>
      <c r="B80" s="509" t="str">
        <f>IF(A80="*","",RES!B92)</f>
        <v>RMEHGASHEAT-N</v>
      </c>
      <c r="C80" s="21" t="str">
        <f>IF(A80="*","",RES!A92)</f>
        <v>Residential - Space Heating - Middle Income  - Natural Gas - HEAT - N</v>
      </c>
      <c r="D80" s="32" t="s">
        <v>923</v>
      </c>
      <c r="E80" s="32" t="str">
        <f t="shared" si="3"/>
        <v>Pja</v>
      </c>
      <c r="F80" s="32" t="str">
        <f t="shared" si="4"/>
        <v>DAYNITE</v>
      </c>
      <c r="G80" s="32" t="str">
        <f t="shared" si="5"/>
        <v>DMD</v>
      </c>
    </row>
    <row r="81" spans="1:7" ht="10.5">
      <c r="A81" s="21" t="str">
        <f>IF(LEFT(RES!A93,1)="*","*","")</f>
        <v>*</v>
      </c>
      <c r="B81" s="509" t="str">
        <f>IF(A81="*","",RES!B93)</f>
        <v/>
      </c>
      <c r="C81" s="21" t="str">
        <f>IF(A81="*","",RES!A93)</f>
        <v/>
      </c>
      <c r="D81" s="32" t="s">
        <v>923</v>
      </c>
      <c r="E81" s="32" t="str">
        <f t="shared" si="3"/>
        <v/>
      </c>
      <c r="F81" s="32" t="str">
        <f t="shared" si="4"/>
        <v/>
      </c>
      <c r="G81" s="32" t="str">
        <f t="shared" si="5"/>
        <v/>
      </c>
    </row>
    <row r="82" spans="1:7" ht="10.5">
      <c r="A82" s="21" t="str">
        <f>IF(LEFT(RES!A94,1)="*","*","")</f>
        <v>*</v>
      </c>
      <c r="B82" s="509" t="str">
        <f>IF(A82="*","",RES!B94)</f>
        <v/>
      </c>
      <c r="C82" s="21" t="str">
        <f>IF(A82="*","",RES!A94)</f>
        <v/>
      </c>
      <c r="D82" s="32" t="s">
        <v>923</v>
      </c>
      <c r="E82" s="32" t="str">
        <f t="shared" si="3"/>
        <v/>
      </c>
      <c r="F82" s="32" t="str">
        <f t="shared" si="4"/>
        <v/>
      </c>
      <c r="G82" s="32" t="str">
        <f t="shared" si="5"/>
        <v/>
      </c>
    </row>
    <row r="83" spans="1:7" ht="10.5">
      <c r="A83" s="21" t="str">
        <f>IF(LEFT(RES!A95,1)="*","*","")</f>
        <v/>
      </c>
      <c r="B83" s="509" t="str">
        <f>IF(A83="*","",RES!B95)</f>
        <v>RMEWELCGEY-E</v>
      </c>
      <c r="C83" s="21" t="str">
        <f>IF(A83="*","",RES!A95)</f>
        <v>Residential - Water Heating - Middle Income  - Electricity - GEY - E</v>
      </c>
      <c r="D83" s="32" t="s">
        <v>923</v>
      </c>
      <c r="E83" s="32" t="str">
        <f t="shared" si="3"/>
        <v>Pja</v>
      </c>
      <c r="F83" s="32" t="str">
        <f t="shared" si="4"/>
        <v>DAYNITE</v>
      </c>
      <c r="G83" s="32" t="str">
        <f t="shared" si="5"/>
        <v>DMD</v>
      </c>
    </row>
    <row r="84" spans="1:7" ht="10.5">
      <c r="A84" s="21" t="str">
        <f>IF(LEFT(RES!A96,1)="*","*","")</f>
        <v/>
      </c>
      <c r="B84" s="509" t="str">
        <f>IF(A84="*","",RES!B96)</f>
        <v>RMEWELCSWH-E</v>
      </c>
      <c r="C84" s="21" t="str">
        <f>IF(A84="*","",RES!A96)</f>
        <v>Residential - Water Heating - Middle Income  - Electricity - SWH - Low pressure</v>
      </c>
      <c r="D84" s="32" t="s">
        <v>923</v>
      </c>
      <c r="E84" s="32" t="str">
        <f t="shared" si="3"/>
        <v>Pja</v>
      </c>
      <c r="F84" s="32" t="str">
        <f t="shared" si="4"/>
        <v>DAYNITE</v>
      </c>
      <c r="G84" s="32" t="str">
        <f t="shared" si="5"/>
        <v>DMD</v>
      </c>
    </row>
    <row r="85" spans="1:7" ht="10.5">
      <c r="A85" s="21" t="str">
        <f>IF(LEFT(RES!A97,1)="*","*","")</f>
        <v>*</v>
      </c>
      <c r="B85" s="509" t="str">
        <f>IF(A85="*","",RES!B97)</f>
        <v/>
      </c>
      <c r="C85" s="21" t="str">
        <f>IF(A85="*","",RES!A97)</f>
        <v/>
      </c>
      <c r="D85" s="32" t="s">
        <v>923</v>
      </c>
      <c r="E85" s="32" t="str">
        <f t="shared" si="3"/>
        <v/>
      </c>
      <c r="F85" s="32" t="str">
        <f t="shared" si="4"/>
        <v/>
      </c>
      <c r="G85" s="32" t="str">
        <f t="shared" si="5"/>
        <v/>
      </c>
    </row>
    <row r="86" spans="1:7" ht="10.5">
      <c r="A86" s="21" t="str">
        <f>IF(LEFT(RES!A98,1)="*","*","")</f>
        <v>*</v>
      </c>
      <c r="B86" s="509" t="str">
        <f>IF(A86="*","",RES!B98)</f>
        <v/>
      </c>
      <c r="C86" s="21" t="str">
        <f>IF(A86="*","",RES!A98)</f>
        <v/>
      </c>
      <c r="D86" s="32" t="s">
        <v>923</v>
      </c>
      <c r="E86" s="32" t="str">
        <f t="shared" si="3"/>
        <v/>
      </c>
      <c r="F86" s="32" t="str">
        <f t="shared" si="4"/>
        <v/>
      </c>
      <c r="G86" s="32" t="str">
        <f t="shared" si="5"/>
        <v/>
      </c>
    </row>
    <row r="87" spans="1:7" ht="10.5">
      <c r="A87" s="21" t="str">
        <f>IF(LEFT(RES!A99,1)="*","*","")</f>
        <v/>
      </c>
      <c r="B87" s="509" t="str">
        <f>IF(A87="*","",RES!B99)</f>
        <v>RMEWELCKET-E</v>
      </c>
      <c r="C87" s="21" t="str">
        <f>IF(A87="*","",RES!A99)</f>
        <v>Residential - Water Heating - Middle Income  - Electricity - Kettle - E</v>
      </c>
      <c r="D87" s="32" t="s">
        <v>923</v>
      </c>
      <c r="E87" s="32" t="str">
        <f t="shared" si="3"/>
        <v>Pja</v>
      </c>
      <c r="F87" s="32" t="str">
        <f t="shared" si="4"/>
        <v>DAYNITE</v>
      </c>
      <c r="G87" s="32" t="str">
        <f t="shared" si="5"/>
        <v>DMD</v>
      </c>
    </row>
    <row r="88" spans="1:7" ht="10.5">
      <c r="A88" s="21" t="str">
        <f>IF(LEFT(RES!A100,1)="*","*","")</f>
        <v/>
      </c>
      <c r="B88" s="509" t="str">
        <f>IF(A88="*","",RES!B100)</f>
        <v>RMEWOKEKETPR-E</v>
      </c>
      <c r="C88" s="21" t="str">
        <f>IF(A88="*","",RES!A100)</f>
        <v>Residential - Water Heating - Middle Income  - Oil Paraffin - KETPR - E</v>
      </c>
      <c r="D88" s="32" t="s">
        <v>923</v>
      </c>
      <c r="E88" s="32" t="str">
        <f t="shared" si="3"/>
        <v>Pja</v>
      </c>
      <c r="F88" s="32" t="str">
        <f t="shared" si="4"/>
        <v>DAYNITE</v>
      </c>
      <c r="G88" s="32" t="str">
        <f t="shared" si="5"/>
        <v>DMD</v>
      </c>
    </row>
    <row r="89" spans="1:7" ht="10.5">
      <c r="A89" s="21" t="str">
        <f>IF(LEFT(RES!A101,1)="*","*","")</f>
        <v/>
      </c>
      <c r="B89" s="509" t="str">
        <f>IF(A89="*","",RES!B101)</f>
        <v>RMEWBIWKETBI-E</v>
      </c>
      <c r="C89" s="21" t="str">
        <f>IF(A89="*","",RES!A101)</f>
        <v>Residential - Water Heating - Middle Income  - Biomass Wood - KETBI - E</v>
      </c>
      <c r="D89" s="32" t="s">
        <v>923</v>
      </c>
      <c r="E89" s="32" t="str">
        <f t="shared" si="3"/>
        <v>Pja</v>
      </c>
      <c r="F89" s="32" t="str">
        <f t="shared" si="4"/>
        <v>DAYNITE</v>
      </c>
      <c r="G89" s="32" t="str">
        <f t="shared" si="5"/>
        <v>DMD</v>
      </c>
    </row>
    <row r="90" spans="1:7" ht="10.5">
      <c r="A90" s="21" t="str">
        <f>IF(LEFT(RES!A102,1)="*","*","")</f>
        <v/>
      </c>
      <c r="B90" s="509" t="str">
        <f>IF(A90="*","",RES!B102)</f>
        <v>RMEWCOASTOV-E</v>
      </c>
      <c r="C90" s="21" t="str">
        <f>IF(A90="*","",RES!A102)</f>
        <v>Residential - Water Heating - Middle Income  - Coal - STOV - E</v>
      </c>
      <c r="D90" s="32" t="s">
        <v>923</v>
      </c>
      <c r="E90" s="32" t="str">
        <f t="shared" si="3"/>
        <v>Pja</v>
      </c>
      <c r="F90" s="32" t="str">
        <f t="shared" si="4"/>
        <v>DAYNITE</v>
      </c>
      <c r="G90" s="32" t="str">
        <f t="shared" si="5"/>
        <v>DMD</v>
      </c>
    </row>
    <row r="91" spans="1:7" ht="10.5">
      <c r="A91" s="21" t="str">
        <f>IF(LEFT(RES!A103,1)="*","*","")</f>
        <v/>
      </c>
      <c r="B91" s="509" t="str">
        <f>IF(A91="*","",RES!B103)</f>
        <v>RMEWOLPKETLPG-E</v>
      </c>
      <c r="C91" s="21" t="str">
        <f>IF(A91="*","",RES!A103)</f>
        <v>Residential - Water Heating - Middle Income  - Oil LPG - KETLPG - E</v>
      </c>
      <c r="D91" s="32" t="s">
        <v>923</v>
      </c>
      <c r="E91" s="32" t="str">
        <f t="shared" si="3"/>
        <v>Pja</v>
      </c>
      <c r="F91" s="32" t="str">
        <f t="shared" si="4"/>
        <v>DAYNITE</v>
      </c>
      <c r="G91" s="32" t="str">
        <f t="shared" si="5"/>
        <v>DMD</v>
      </c>
    </row>
    <row r="92" spans="1:7" ht="10.5">
      <c r="A92" s="21" t="str">
        <f>IF(LEFT(RES!A104,1)="*","*","")</f>
        <v/>
      </c>
      <c r="B92" s="509" t="str">
        <f>IF(A92="*","",RES!B104)</f>
        <v>RMEWGASGEY-N</v>
      </c>
      <c r="C92" s="21" t="str">
        <f>IF(A92="*","",RES!A104)</f>
        <v>Residential - Water Heating - Middle Income  - Natural Gas - GEY - N</v>
      </c>
      <c r="D92" s="32" t="s">
        <v>923</v>
      </c>
      <c r="E92" s="32" t="str">
        <f t="shared" ref="E92:E133" si="6">IF(A92="*","","Pja")</f>
        <v>Pja</v>
      </c>
      <c r="F92" s="32" t="str">
        <f t="shared" ref="F92:F133" si="7">IF(A92="*","","DAYNITE")</f>
        <v>DAYNITE</v>
      </c>
      <c r="G92" s="32" t="str">
        <f t="shared" ref="G92:G133" si="8">IF(A92="*","","DMD")</f>
        <v>DMD</v>
      </c>
    </row>
    <row r="93" spans="1:7" ht="10.5">
      <c r="A93" s="21" t="str">
        <f>IF(LEFT(RES!A105,1)="*","*","")</f>
        <v>*</v>
      </c>
      <c r="B93" s="509" t="str">
        <f>IF(A93="*","",RES!B105)</f>
        <v/>
      </c>
      <c r="C93" s="21" t="str">
        <f>IF(A93="*","",RES!A105)</f>
        <v/>
      </c>
      <c r="D93" s="32" t="s">
        <v>923</v>
      </c>
      <c r="E93" s="32" t="str">
        <f t="shared" si="6"/>
        <v/>
      </c>
      <c r="F93" s="32" t="str">
        <f t="shared" si="7"/>
        <v/>
      </c>
      <c r="G93" s="32" t="str">
        <f t="shared" si="8"/>
        <v/>
      </c>
    </row>
    <row r="94" spans="1:7" ht="10.5">
      <c r="A94" s="21" t="str">
        <f>IF(LEFT(RES!A106,1)="*","*","")</f>
        <v>*</v>
      </c>
      <c r="B94" s="509" t="str">
        <f>IF(A94="*","",RES!B106)</f>
        <v/>
      </c>
      <c r="C94" s="21" t="str">
        <f>IF(A94="*","",RES!A106)</f>
        <v/>
      </c>
      <c r="D94" s="32" t="s">
        <v>923</v>
      </c>
      <c r="E94" s="32" t="str">
        <f t="shared" si="6"/>
        <v/>
      </c>
      <c r="F94" s="32" t="str">
        <f t="shared" si="7"/>
        <v/>
      </c>
      <c r="G94" s="32" t="str">
        <f t="shared" si="8"/>
        <v/>
      </c>
    </row>
    <row r="95" spans="1:7" ht="10.5">
      <c r="A95" s="21" t="str">
        <f>IF(LEFT(RES!A107,1)="*","*","")</f>
        <v/>
      </c>
      <c r="B95" s="509" t="str">
        <f>IF(A95="*","",RES!B107)</f>
        <v>RMERELCREF-E</v>
      </c>
      <c r="C95" s="21" t="str">
        <f>IF(A95="*","",RES!A107)</f>
        <v>Residential - Refrigeration - Middle Income  - Electricity - REF - E</v>
      </c>
      <c r="D95" s="32" t="s">
        <v>923</v>
      </c>
      <c r="E95" s="32" t="str">
        <f t="shared" si="6"/>
        <v>Pja</v>
      </c>
      <c r="F95" s="32" t="str">
        <f t="shared" si="7"/>
        <v>DAYNITE</v>
      </c>
      <c r="G95" s="32" t="str">
        <f t="shared" si="8"/>
        <v>DMD</v>
      </c>
    </row>
    <row r="96" spans="1:7" ht="10.5">
      <c r="A96" s="21" t="str">
        <f>IF(LEFT(RES!A108,1)="*","*","")</f>
        <v>*</v>
      </c>
      <c r="B96" s="509" t="str">
        <f>IF(A96="*","",RES!B108)</f>
        <v/>
      </c>
      <c r="C96" s="21" t="str">
        <f>IF(A96="*","",RES!A108)</f>
        <v/>
      </c>
      <c r="D96" s="32" t="s">
        <v>923</v>
      </c>
      <c r="E96" s="32" t="str">
        <f t="shared" si="6"/>
        <v/>
      </c>
      <c r="F96" s="32" t="str">
        <f t="shared" si="7"/>
        <v/>
      </c>
      <c r="G96" s="32" t="str">
        <f t="shared" si="8"/>
        <v/>
      </c>
    </row>
    <row r="97" spans="1:7" ht="10.5">
      <c r="A97" s="21" t="str">
        <f>IF(LEFT(RES!A109,1)="*","*","")</f>
        <v>*</v>
      </c>
      <c r="B97" s="509" t="str">
        <f>IF(A97="*","",RES!B109)</f>
        <v/>
      </c>
      <c r="C97" s="21" t="str">
        <f>IF(A97="*","",RES!A109)</f>
        <v/>
      </c>
      <c r="D97" s="32" t="s">
        <v>923</v>
      </c>
      <c r="E97" s="32" t="str">
        <f t="shared" si="6"/>
        <v/>
      </c>
      <c r="F97" s="32" t="str">
        <f t="shared" si="7"/>
        <v/>
      </c>
      <c r="G97" s="32" t="str">
        <f t="shared" si="8"/>
        <v/>
      </c>
    </row>
    <row r="98" spans="1:7" ht="10.5">
      <c r="A98" s="21" t="str">
        <f>IF(LEFT(RES!A110,1)="*","*","")</f>
        <v/>
      </c>
      <c r="B98" s="509" t="str">
        <f>IF(A98="*","",RES!B110)</f>
        <v>RMEOELCOTH-E</v>
      </c>
      <c r="C98" s="21" t="str">
        <f>IF(A98="*","",RES!A110)</f>
        <v>Residential - Other - Middle Income  - Electricity - OTH - E</v>
      </c>
      <c r="D98" s="32" t="s">
        <v>923</v>
      </c>
      <c r="E98" s="32" t="str">
        <f t="shared" si="6"/>
        <v>Pja</v>
      </c>
      <c r="F98" s="32" t="str">
        <f t="shared" si="7"/>
        <v>DAYNITE</v>
      </c>
      <c r="G98" s="32" t="str">
        <f t="shared" si="8"/>
        <v>DMD</v>
      </c>
    </row>
    <row r="99" spans="1:7" ht="10.5">
      <c r="A99" s="21" t="str">
        <f>IF(LEFT(RES!A111,1)="*","*","")</f>
        <v>*</v>
      </c>
      <c r="B99" s="509" t="str">
        <f>IF(A99="*","",RES!B111)</f>
        <v/>
      </c>
      <c r="C99" s="21" t="str">
        <f>IF(A99="*","",RES!A111)</f>
        <v/>
      </c>
      <c r="D99" s="32" t="s">
        <v>923</v>
      </c>
      <c r="E99" s="32" t="str">
        <f t="shared" si="6"/>
        <v/>
      </c>
      <c r="F99" s="32" t="str">
        <f t="shared" si="7"/>
        <v/>
      </c>
      <c r="G99" s="32" t="str">
        <f t="shared" si="8"/>
        <v/>
      </c>
    </row>
    <row r="100" spans="1:7" ht="10.5">
      <c r="A100" s="21" t="str">
        <f>IF(LEFT(RES!A112,1)="*","*","")</f>
        <v>*</v>
      </c>
      <c r="B100" s="509" t="str">
        <f>IF(A100="*","",RES!B112)</f>
        <v/>
      </c>
      <c r="C100" s="21" t="str">
        <f>IF(A100="*","",RES!A112)</f>
        <v/>
      </c>
      <c r="D100" s="32" t="s">
        <v>923</v>
      </c>
      <c r="E100" s="32" t="str">
        <f t="shared" si="6"/>
        <v/>
      </c>
      <c r="F100" s="32" t="str">
        <f t="shared" si="7"/>
        <v/>
      </c>
      <c r="G100" s="32" t="str">
        <f t="shared" si="8"/>
        <v/>
      </c>
    </row>
    <row r="101" spans="1:7" ht="10.5">
      <c r="A101" s="21" t="str">
        <f>IF(LEFT(RES!A113,1)="*","*","")</f>
        <v>*</v>
      </c>
      <c r="B101" s="509" t="str">
        <f>IF(A101="*","",RES!B113)</f>
        <v/>
      </c>
      <c r="C101" s="21" t="str">
        <f>IF(A101="*","",RES!A113)</f>
        <v/>
      </c>
      <c r="D101" s="32" t="s">
        <v>923</v>
      </c>
      <c r="E101" s="32" t="str">
        <f t="shared" si="6"/>
        <v/>
      </c>
      <c r="F101" s="32" t="str">
        <f t="shared" si="7"/>
        <v/>
      </c>
      <c r="G101" s="32" t="str">
        <f t="shared" si="8"/>
        <v/>
      </c>
    </row>
    <row r="102" spans="1:7" ht="10.5">
      <c r="A102" s="21" t="str">
        <f>IF(LEFT(RES!A114,1)="*","*","")</f>
        <v/>
      </c>
      <c r="B102" s="509" t="str">
        <f>IF(A102="*","",RES!B114)</f>
        <v>RHELELCINC-E</v>
      </c>
      <c r="C102" s="21" t="str">
        <f>IF(A102="*","",RES!A114)</f>
        <v>Residential - Lighting - High Income  - Electricity - INC - E</v>
      </c>
      <c r="D102" s="32" t="s">
        <v>923</v>
      </c>
      <c r="E102" s="32" t="str">
        <f t="shared" si="6"/>
        <v>Pja</v>
      </c>
      <c r="F102" s="32" t="str">
        <f t="shared" si="7"/>
        <v>DAYNITE</v>
      </c>
      <c r="G102" s="32" t="str">
        <f t="shared" si="8"/>
        <v>DMD</v>
      </c>
    </row>
    <row r="103" spans="1:7" ht="10.5">
      <c r="A103" s="21" t="str">
        <f>IF(LEFT(RES!A115,1)="*","*","")</f>
        <v>*</v>
      </c>
      <c r="B103" s="509" t="str">
        <f>IF(A103="*","",RES!B115)</f>
        <v/>
      </c>
      <c r="C103" s="21" t="str">
        <f>IF(A103="*","",RES!A115)</f>
        <v/>
      </c>
      <c r="D103" s="32" t="s">
        <v>923</v>
      </c>
      <c r="E103" s="32" t="str">
        <f t="shared" si="6"/>
        <v/>
      </c>
      <c r="F103" s="32" t="str">
        <f t="shared" si="7"/>
        <v/>
      </c>
      <c r="G103" s="32" t="str">
        <f t="shared" si="8"/>
        <v/>
      </c>
    </row>
    <row r="104" spans="1:7" ht="10.5">
      <c r="A104" s="21" t="str">
        <f>IF(LEFT(RES!A116,1)="*","*","")</f>
        <v>*</v>
      </c>
      <c r="B104" s="509" t="str">
        <f>IF(A104="*","",RES!B116)</f>
        <v/>
      </c>
      <c r="C104" s="21" t="str">
        <f>IF(A104="*","",RES!A116)</f>
        <v/>
      </c>
      <c r="D104" s="32" t="s">
        <v>923</v>
      </c>
      <c r="E104" s="32" t="str">
        <f t="shared" si="6"/>
        <v/>
      </c>
      <c r="F104" s="32" t="str">
        <f t="shared" si="7"/>
        <v/>
      </c>
      <c r="G104" s="32" t="str">
        <f t="shared" si="8"/>
        <v/>
      </c>
    </row>
    <row r="105" spans="1:7" ht="10.5">
      <c r="A105" s="21" t="str">
        <f>IF(LEFT(RES!A117,1)="*","*","")</f>
        <v/>
      </c>
      <c r="B105" s="509" t="str">
        <f>IF(A105="*","",RES!B117)</f>
        <v>RHEKELCSTOV-E</v>
      </c>
      <c r="C105" s="21" t="str">
        <f>IF(A105="*","",RES!A117)</f>
        <v>Residential - Cooking - High Income  - Electricity - STOV - E</v>
      </c>
      <c r="D105" s="32" t="s">
        <v>923</v>
      </c>
      <c r="E105" s="32" t="str">
        <f t="shared" si="6"/>
        <v>Pja</v>
      </c>
      <c r="F105" s="32" t="str">
        <f t="shared" si="7"/>
        <v>DAYNITE</v>
      </c>
      <c r="G105" s="32" t="str">
        <f t="shared" si="8"/>
        <v>DMD</v>
      </c>
    </row>
    <row r="106" spans="1:7" ht="10.5">
      <c r="A106" s="21" t="str">
        <f>IF(LEFT(RES!A118,1)="*","*","")</f>
        <v/>
      </c>
      <c r="B106" s="509" t="str">
        <f>IF(A106="*","",RES!B118)</f>
        <v>RHEKOLPSTOV-E</v>
      </c>
      <c r="C106" s="21" t="str">
        <f>IF(A106="*","",RES!A118)</f>
        <v>Residential - Cooking - High Income  - Oil LPG - STOV - E</v>
      </c>
      <c r="D106" s="32" t="s">
        <v>923</v>
      </c>
      <c r="E106" s="32" t="str">
        <f t="shared" si="6"/>
        <v>Pja</v>
      </c>
      <c r="F106" s="32" t="str">
        <f t="shared" si="7"/>
        <v>DAYNITE</v>
      </c>
      <c r="G106" s="32" t="str">
        <f t="shared" si="8"/>
        <v>DMD</v>
      </c>
    </row>
    <row r="107" spans="1:7" ht="10.5">
      <c r="A107" s="21" t="str">
        <f>IF(LEFT(RES!A119,1)="*","*","")</f>
        <v/>
      </c>
      <c r="B107" s="509" t="str">
        <f>IF(A107="*","",RES!B119)</f>
        <v>RHEKBIWSTOV-E</v>
      </c>
      <c r="C107" s="21" t="str">
        <f>IF(A107="*","",RES!A119)</f>
        <v>Residential - Cooking - High Income  - Biomass Wood - STOV - E</v>
      </c>
      <c r="D107" s="32" t="s">
        <v>923</v>
      </c>
      <c r="E107" s="32" t="str">
        <f t="shared" si="6"/>
        <v>Pja</v>
      </c>
      <c r="F107" s="32" t="str">
        <f t="shared" si="7"/>
        <v>DAYNITE</v>
      </c>
      <c r="G107" s="32" t="str">
        <f t="shared" si="8"/>
        <v>DMD</v>
      </c>
    </row>
    <row r="108" spans="1:7" ht="10.5">
      <c r="A108" s="21" t="str">
        <f>IF(LEFT(RES!A120,1)="*","*","")</f>
        <v/>
      </c>
      <c r="B108" s="509" t="str">
        <f>IF(A108="*","",RES!B120)</f>
        <v>RHEKOKEPRIMUS-E</v>
      </c>
      <c r="C108" s="21" t="str">
        <f>IF(A108="*","",RES!A120)</f>
        <v>Residential - Cooking - High Income  - Oil Paraffin - PRIMUS - E</v>
      </c>
      <c r="D108" s="32" t="s">
        <v>923</v>
      </c>
      <c r="E108" s="32" t="str">
        <f t="shared" si="6"/>
        <v>Pja</v>
      </c>
      <c r="F108" s="32" t="str">
        <f t="shared" si="7"/>
        <v>DAYNITE</v>
      </c>
      <c r="G108" s="32" t="str">
        <f t="shared" si="8"/>
        <v>DMD</v>
      </c>
    </row>
    <row r="109" spans="1:7" ht="10.5">
      <c r="A109" s="21" t="str">
        <f>IF(LEFT(RES!A121,1)="*","*","")</f>
        <v/>
      </c>
      <c r="B109" s="509" t="str">
        <f>IF(A109="*","",RES!B121)</f>
        <v>RHEKGASSTOV-E</v>
      </c>
      <c r="C109" s="21" t="str">
        <f>IF(A109="*","",RES!A121)</f>
        <v>Residential - Cooking - High Income  - Natural Gas - STOV - E</v>
      </c>
      <c r="D109" s="32" t="s">
        <v>923</v>
      </c>
      <c r="E109" s="32" t="str">
        <f t="shared" si="6"/>
        <v>Pja</v>
      </c>
      <c r="F109" s="32" t="str">
        <f t="shared" si="7"/>
        <v>DAYNITE</v>
      </c>
      <c r="G109" s="32" t="str">
        <f t="shared" si="8"/>
        <v>DMD</v>
      </c>
    </row>
    <row r="110" spans="1:7" ht="10.5">
      <c r="A110" s="21" t="str">
        <f>IF(LEFT(RES!A122,1)="*","*","")</f>
        <v>*</v>
      </c>
      <c r="B110" s="509" t="str">
        <f>IF(A110="*","",RES!B122)</f>
        <v/>
      </c>
      <c r="C110" s="21" t="str">
        <f>IF(A110="*","",RES!A122)</f>
        <v/>
      </c>
      <c r="D110" s="32" t="s">
        <v>923</v>
      </c>
      <c r="E110" s="32" t="str">
        <f t="shared" si="6"/>
        <v/>
      </c>
      <c r="F110" s="32" t="str">
        <f t="shared" si="7"/>
        <v/>
      </c>
      <c r="G110" s="32" t="str">
        <f t="shared" si="8"/>
        <v/>
      </c>
    </row>
    <row r="111" spans="1:7" ht="10.5">
      <c r="A111" s="21" t="str">
        <f>IF(LEFT(RES!A123,1)="*","*","")</f>
        <v>*</v>
      </c>
      <c r="B111" s="509" t="str">
        <f>IF(A111="*","",RES!B123)</f>
        <v/>
      </c>
      <c r="C111" s="21" t="str">
        <f>IF(A111="*","",RES!A123)</f>
        <v/>
      </c>
      <c r="D111" s="32" t="s">
        <v>923</v>
      </c>
      <c r="E111" s="32" t="str">
        <f t="shared" si="6"/>
        <v/>
      </c>
      <c r="F111" s="32" t="str">
        <f t="shared" si="7"/>
        <v/>
      </c>
      <c r="G111" s="32" t="str">
        <f t="shared" si="8"/>
        <v/>
      </c>
    </row>
    <row r="112" spans="1:7" ht="10.5">
      <c r="A112" s="21" t="str">
        <f>IF(LEFT(RES!A124,1)="*","*","")</f>
        <v/>
      </c>
      <c r="B112" s="509" t="str">
        <f>IF(A112="*","",RES!B124)</f>
        <v>RHEHELCHEATFIN-E</v>
      </c>
      <c r="C112" s="21" t="str">
        <f>IF(A112="*","",RES!A124)</f>
        <v>Residential - Space Heating - High Income  - Electricity - HEATFIN - E</v>
      </c>
      <c r="D112" s="32" t="s">
        <v>923</v>
      </c>
      <c r="E112" s="32" t="str">
        <f t="shared" si="6"/>
        <v>Pja</v>
      </c>
      <c r="F112" s="32" t="str">
        <f t="shared" si="7"/>
        <v>DAYNITE</v>
      </c>
      <c r="G112" s="32" t="str">
        <f t="shared" si="8"/>
        <v>DMD</v>
      </c>
    </row>
    <row r="113" spans="1:7" ht="10.5">
      <c r="A113" s="21" t="str">
        <f>IF(LEFT(RES!A125,1)="*","*","")</f>
        <v/>
      </c>
      <c r="B113" s="509" t="str">
        <f>IF(A113="*","",RES!B125)</f>
        <v>RHEHOKEHEAT-E</v>
      </c>
      <c r="C113" s="21" t="str">
        <f>IF(A113="*","",RES!A125)</f>
        <v>Residential - Space Heating - High Income  - Oil Paraffin - HEAT - E</v>
      </c>
      <c r="D113" s="32" t="s">
        <v>923</v>
      </c>
      <c r="E113" s="32" t="str">
        <f t="shared" si="6"/>
        <v>Pja</v>
      </c>
      <c r="F113" s="32" t="str">
        <f t="shared" si="7"/>
        <v>DAYNITE</v>
      </c>
      <c r="G113" s="32" t="str">
        <f t="shared" si="8"/>
        <v>DMD</v>
      </c>
    </row>
    <row r="114" spans="1:7" ht="10.5">
      <c r="A114" s="21" t="str">
        <f>IF(LEFT(RES!A126,1)="*","*","")</f>
        <v/>
      </c>
      <c r="B114" s="509" t="str">
        <f>IF(A114="*","",RES!B126)</f>
        <v>RHEHBIWSTOV-E</v>
      </c>
      <c r="C114" s="21" t="str">
        <f>IF(A114="*","",RES!A126)</f>
        <v>Residential - Space Heating - High Income  - Biomass Wood - STOV - E</v>
      </c>
      <c r="D114" s="32" t="s">
        <v>923</v>
      </c>
      <c r="E114" s="32" t="str">
        <f t="shared" si="6"/>
        <v>Pja</v>
      </c>
      <c r="F114" s="32" t="str">
        <f t="shared" si="7"/>
        <v>DAYNITE</v>
      </c>
      <c r="G114" s="32" t="str">
        <f t="shared" si="8"/>
        <v>DMD</v>
      </c>
    </row>
    <row r="115" spans="1:7" ht="10.5">
      <c r="A115" s="21" t="str">
        <f>IF(LEFT(RES!A127,1)="*","*","")</f>
        <v/>
      </c>
      <c r="B115" s="509" t="str">
        <f>IF(A115="*","",RES!B127)</f>
        <v>RHEHCOASTOV-E</v>
      </c>
      <c r="C115" s="21" t="str">
        <f>IF(A115="*","",RES!A127)</f>
        <v>Residential - Space Heating - High Income  - Coal - STOV - E</v>
      </c>
      <c r="D115" s="32" t="s">
        <v>923</v>
      </c>
      <c r="E115" s="32" t="str">
        <f t="shared" si="6"/>
        <v>Pja</v>
      </c>
      <c r="F115" s="32" t="str">
        <f t="shared" si="7"/>
        <v>DAYNITE</v>
      </c>
      <c r="G115" s="32" t="str">
        <f t="shared" si="8"/>
        <v>DMD</v>
      </c>
    </row>
    <row r="116" spans="1:7" ht="10.5">
      <c r="A116" s="21" t="str">
        <f>IF(LEFT(RES!A128,1)="*","*","")</f>
        <v/>
      </c>
      <c r="B116" s="509" t="str">
        <f>IF(A116="*","",RES!B128)</f>
        <v>RHEHOLPHEAT-E</v>
      </c>
      <c r="C116" s="21" t="str">
        <f>IF(A116="*","",RES!A128)</f>
        <v>Residential - Space Heating - High Income  - Oil LPG - HEAT - E</v>
      </c>
      <c r="D116" s="32" t="s">
        <v>923</v>
      </c>
      <c r="E116" s="32" t="str">
        <f t="shared" si="6"/>
        <v>Pja</v>
      </c>
      <c r="F116" s="32" t="str">
        <f t="shared" si="7"/>
        <v>DAYNITE</v>
      </c>
      <c r="G116" s="32" t="str">
        <f t="shared" si="8"/>
        <v>DMD</v>
      </c>
    </row>
    <row r="117" spans="1:7" ht="10.5">
      <c r="A117" s="21" t="str">
        <f>IF(LEFT(RES!A129,1)="*","*","")</f>
        <v/>
      </c>
      <c r="B117" s="509" t="str">
        <f>IF(A117="*","",RES!B129)</f>
        <v>RHEHGASHEAT-N</v>
      </c>
      <c r="C117" s="21" t="str">
        <f>IF(A117="*","",RES!A129)</f>
        <v>Residential - Space Heating - High Income  - Natural Gas - HEAT - N</v>
      </c>
      <c r="D117" s="32" t="s">
        <v>923</v>
      </c>
      <c r="E117" s="32" t="str">
        <f t="shared" si="6"/>
        <v>Pja</v>
      </c>
      <c r="F117" s="32" t="str">
        <f t="shared" si="7"/>
        <v>DAYNITE</v>
      </c>
      <c r="G117" s="32" t="str">
        <f t="shared" si="8"/>
        <v>DMD</v>
      </c>
    </row>
    <row r="118" spans="1:7" ht="10.5">
      <c r="A118" s="21" t="str">
        <f>IF(LEFT(RES!A130,1)="*","*","")</f>
        <v>*</v>
      </c>
      <c r="B118" s="509" t="str">
        <f>IF(A118="*","",RES!B130)</f>
        <v/>
      </c>
      <c r="C118" s="21" t="str">
        <f>IF(A118="*","",RES!A130)</f>
        <v/>
      </c>
      <c r="D118" s="32" t="s">
        <v>923</v>
      </c>
      <c r="E118" s="32" t="str">
        <f t="shared" si="6"/>
        <v/>
      </c>
      <c r="F118" s="32" t="str">
        <f t="shared" si="7"/>
        <v/>
      </c>
      <c r="G118" s="32" t="str">
        <f t="shared" si="8"/>
        <v/>
      </c>
    </row>
    <row r="119" spans="1:7" ht="10.5">
      <c r="A119" s="21" t="str">
        <f>IF(LEFT(RES!A131,1)="*","*","")</f>
        <v>*</v>
      </c>
      <c r="B119" s="509" t="str">
        <f>IF(A119="*","",RES!B131)</f>
        <v/>
      </c>
      <c r="C119" s="21" t="str">
        <f>IF(A119="*","",RES!A131)</f>
        <v/>
      </c>
      <c r="D119" s="32" t="s">
        <v>923</v>
      </c>
      <c r="E119" s="32" t="str">
        <f t="shared" si="6"/>
        <v/>
      </c>
      <c r="F119" s="32" t="str">
        <f t="shared" si="7"/>
        <v/>
      </c>
      <c r="G119" s="32" t="str">
        <f t="shared" si="8"/>
        <v/>
      </c>
    </row>
    <row r="120" spans="1:7" ht="10.5">
      <c r="A120" s="21" t="str">
        <f>IF(LEFT(RES!A132,1)="*","*","")</f>
        <v/>
      </c>
      <c r="B120" s="509" t="str">
        <f>IF(A120="*","",RES!B132)</f>
        <v>RHEWELCGEY-E</v>
      </c>
      <c r="C120" s="21" t="str">
        <f>IF(A120="*","",RES!A132)</f>
        <v>Residential - Water Heating - High Income  - Electricity - GEY - E</v>
      </c>
      <c r="D120" s="32" t="s">
        <v>923</v>
      </c>
      <c r="E120" s="32" t="str">
        <f t="shared" si="6"/>
        <v>Pja</v>
      </c>
      <c r="F120" s="32" t="str">
        <f t="shared" si="7"/>
        <v>DAYNITE</v>
      </c>
      <c r="G120" s="32" t="str">
        <f t="shared" si="8"/>
        <v>DMD</v>
      </c>
    </row>
    <row r="121" spans="1:7" ht="10.5">
      <c r="A121" s="21" t="str">
        <f>IF(LEFT(RES!A133,1)="*","*","")</f>
        <v/>
      </c>
      <c r="B121" s="509" t="str">
        <f>IF(A121="*","",RES!B133)</f>
        <v>RHEWELCCHP-N</v>
      </c>
      <c r="C121" s="21" t="str">
        <f>IF(A121="*","",RES!A133)</f>
        <v>Residential - Water Heating - High Income  - Electricity - HP - N</v>
      </c>
      <c r="D121" s="32" t="s">
        <v>923</v>
      </c>
      <c r="E121" s="32" t="str">
        <f t="shared" si="6"/>
        <v>Pja</v>
      </c>
      <c r="F121" s="32" t="str">
        <f t="shared" si="7"/>
        <v>DAYNITE</v>
      </c>
      <c r="G121" s="32" t="str">
        <f t="shared" si="8"/>
        <v>DMD</v>
      </c>
    </row>
    <row r="122" spans="1:7" ht="10.5">
      <c r="A122" s="21" t="str">
        <f>IF(LEFT(RES!A134,1)="*","*","")</f>
        <v/>
      </c>
      <c r="B122" s="509" t="str">
        <f>IF(A122="*","",RES!B134)</f>
        <v>RHEWELCSWH-E</v>
      </c>
      <c r="C122" s="21" t="str">
        <f>IF(A122="*","",RES!A134)</f>
        <v>Residential - Water Heating - High Income  - Electricity - SWH - E</v>
      </c>
      <c r="D122" s="32" t="s">
        <v>923</v>
      </c>
      <c r="E122" s="32" t="str">
        <f t="shared" si="6"/>
        <v>Pja</v>
      </c>
      <c r="F122" s="32" t="str">
        <f t="shared" si="7"/>
        <v>DAYNITE</v>
      </c>
      <c r="G122" s="32" t="str">
        <f t="shared" si="8"/>
        <v>DMD</v>
      </c>
    </row>
    <row r="123" spans="1:7" ht="10.5">
      <c r="A123" s="21" t="str">
        <f>IF(LEFT(RES!A136,1)="*","*","")</f>
        <v>*</v>
      </c>
      <c r="B123" s="509" t="str">
        <f>IF(A123="*","",RES!B136)</f>
        <v/>
      </c>
      <c r="C123" s="21" t="str">
        <f>IF(A123="*","",RES!A136)</f>
        <v/>
      </c>
      <c r="D123" s="32" t="s">
        <v>923</v>
      </c>
      <c r="E123" s="32" t="str">
        <f t="shared" si="6"/>
        <v/>
      </c>
      <c r="F123" s="32" t="str">
        <f t="shared" si="7"/>
        <v/>
      </c>
      <c r="G123" s="32" t="str">
        <f t="shared" si="8"/>
        <v/>
      </c>
    </row>
    <row r="124" spans="1:7" ht="10.5">
      <c r="A124" s="21" t="str">
        <f>IF(LEFT(RES!A137,1)="*","*","")</f>
        <v/>
      </c>
      <c r="B124" s="509" t="str">
        <f>IF(A124="*","",RES!B137)</f>
        <v>RHEWOLPSTOV-E</v>
      </c>
      <c r="C124" s="21" t="str">
        <f>IF(A124="*","",RES!A137)</f>
        <v>Residential - Water Heating - High Income  - Oil LPG - STOV - E</v>
      </c>
      <c r="D124" s="32" t="s">
        <v>923</v>
      </c>
      <c r="E124" s="32" t="str">
        <f t="shared" si="6"/>
        <v>Pja</v>
      </c>
      <c r="F124" s="32" t="str">
        <f t="shared" si="7"/>
        <v>DAYNITE</v>
      </c>
      <c r="G124" s="32" t="str">
        <f t="shared" si="8"/>
        <v>DMD</v>
      </c>
    </row>
    <row r="125" spans="1:7" ht="10.5">
      <c r="A125" s="21" t="str">
        <f>IF(LEFT(RES!A138,1)="*","*","")</f>
        <v>*</v>
      </c>
      <c r="B125" s="509" t="str">
        <f>IF(A125="*","",RES!B138)</f>
        <v/>
      </c>
      <c r="C125" s="21" t="str">
        <f>IF(A125="*","",RES!A138)</f>
        <v/>
      </c>
      <c r="D125" s="32" t="s">
        <v>923</v>
      </c>
      <c r="E125" s="32" t="str">
        <f t="shared" si="6"/>
        <v/>
      </c>
      <c r="F125" s="32" t="str">
        <f t="shared" si="7"/>
        <v/>
      </c>
      <c r="G125" s="32" t="str">
        <f t="shared" si="8"/>
        <v/>
      </c>
    </row>
    <row r="126" spans="1:7" ht="10.5">
      <c r="A126" s="21" t="str">
        <f>IF(LEFT(RES!A139,1)="*","*","")</f>
        <v>*</v>
      </c>
      <c r="B126" s="509" t="str">
        <f>IF(A126="*","",RES!B139)</f>
        <v/>
      </c>
      <c r="C126" s="21" t="str">
        <f>IF(A126="*","",RES!A139)</f>
        <v/>
      </c>
      <c r="D126" s="32" t="s">
        <v>923</v>
      </c>
      <c r="E126" s="32" t="str">
        <f t="shared" si="6"/>
        <v/>
      </c>
      <c r="F126" s="32" t="str">
        <f t="shared" si="7"/>
        <v/>
      </c>
      <c r="G126" s="32" t="str">
        <f t="shared" si="8"/>
        <v/>
      </c>
    </row>
    <row r="127" spans="1:7" ht="10.5">
      <c r="A127" s="21" t="str">
        <f>IF(LEFT(RES!A140,1)="*","*","")</f>
        <v>*</v>
      </c>
      <c r="B127" s="509" t="str">
        <f>IF(A127="*","",RES!B140)</f>
        <v/>
      </c>
      <c r="C127" s="21" t="str">
        <f>IF(A127="*","",RES!A140)</f>
        <v/>
      </c>
      <c r="D127" s="32" t="s">
        <v>923</v>
      </c>
      <c r="E127" s="32" t="str">
        <f t="shared" si="6"/>
        <v/>
      </c>
      <c r="F127" s="32" t="str">
        <f t="shared" si="7"/>
        <v/>
      </c>
      <c r="G127" s="32" t="str">
        <f t="shared" si="8"/>
        <v/>
      </c>
    </row>
    <row r="128" spans="1:7" ht="14.5">
      <c r="A128" s="608"/>
      <c r="B128" s="509" t="str">
        <f>IF(A128="*","",RES!B141)</f>
        <v>RHERELCREF-E</v>
      </c>
      <c r="C128" s="21" t="str">
        <f>IF(A128="*","",RES!A141)</f>
        <v>Residential - Refrigeration - High Income  - Electricity - REF - E</v>
      </c>
      <c r="D128" s="32" t="s">
        <v>923</v>
      </c>
      <c r="E128" s="32" t="str">
        <f t="shared" si="6"/>
        <v>Pja</v>
      </c>
      <c r="F128" s="32" t="str">
        <f t="shared" si="7"/>
        <v>DAYNITE</v>
      </c>
      <c r="G128" s="32" t="str">
        <f t="shared" si="8"/>
        <v>DMD</v>
      </c>
    </row>
    <row r="129" spans="1:7" ht="10.5">
      <c r="A129" s="21" t="str">
        <f>IF(LEFT(RES!A142,1)="*","*","")</f>
        <v>*</v>
      </c>
      <c r="B129" s="509" t="str">
        <f>IF(A129="*","",RES!B142)</f>
        <v/>
      </c>
      <c r="C129" s="21" t="str">
        <f>IF(A129="*","",RES!A142)</f>
        <v/>
      </c>
      <c r="D129" s="32" t="s">
        <v>923</v>
      </c>
      <c r="E129" s="32" t="str">
        <f t="shared" si="6"/>
        <v/>
      </c>
      <c r="F129" s="32" t="str">
        <f t="shared" si="7"/>
        <v/>
      </c>
      <c r="G129" s="32" t="str">
        <f t="shared" si="8"/>
        <v/>
      </c>
    </row>
    <row r="130" spans="1:7" ht="10.5">
      <c r="A130" s="21" t="str">
        <f>IF(LEFT(RES!A143,1)="*","*","")</f>
        <v>*</v>
      </c>
      <c r="B130" s="509" t="str">
        <f>IF(A130="*","",RES!B143)</f>
        <v/>
      </c>
      <c r="C130" s="21" t="str">
        <f>IF(A130="*","",RES!A143)</f>
        <v/>
      </c>
      <c r="D130" s="32" t="s">
        <v>923</v>
      </c>
      <c r="E130" s="32" t="str">
        <f t="shared" si="6"/>
        <v/>
      </c>
      <c r="F130" s="32" t="str">
        <f t="shared" si="7"/>
        <v/>
      </c>
      <c r="G130" s="32" t="str">
        <f t="shared" si="8"/>
        <v/>
      </c>
    </row>
    <row r="131" spans="1:7" ht="10.5">
      <c r="A131" s="21" t="str">
        <f>IF(LEFT(RES!A144,1)="*","*","")</f>
        <v/>
      </c>
      <c r="B131" s="509" t="str">
        <f>IF(A131="*","",RES!B144)</f>
        <v>RHEOELCOTH-E</v>
      </c>
      <c r="C131" s="21" t="str">
        <f>IF(A131="*","",RES!A144)</f>
        <v>Residential - Other - High Income  - Electricity - OTH - E</v>
      </c>
      <c r="D131" s="32" t="s">
        <v>923</v>
      </c>
      <c r="E131" s="32" t="str">
        <f t="shared" si="6"/>
        <v>Pja</v>
      </c>
      <c r="F131" s="32" t="str">
        <f t="shared" si="7"/>
        <v>DAYNITE</v>
      </c>
      <c r="G131" s="32" t="str">
        <f t="shared" si="8"/>
        <v>DMD</v>
      </c>
    </row>
    <row r="132" spans="1:7" ht="10.5">
      <c r="A132" s="21" t="str">
        <f>IF(LEFT(RES!A145,1)="*","*","")</f>
        <v>*</v>
      </c>
      <c r="B132" s="509" t="str">
        <f>IF(A132="*","",RES!B145)</f>
        <v/>
      </c>
      <c r="C132" s="21" t="str">
        <f>IF(A132="*","",RES!A145)</f>
        <v/>
      </c>
      <c r="D132" s="32" t="s">
        <v>923</v>
      </c>
      <c r="E132" s="32" t="str">
        <f t="shared" si="6"/>
        <v/>
      </c>
      <c r="F132" s="32" t="str">
        <f t="shared" si="7"/>
        <v/>
      </c>
      <c r="G132" s="32" t="str">
        <f t="shared" si="8"/>
        <v/>
      </c>
    </row>
    <row r="133" spans="1:7" ht="10.5">
      <c r="A133" s="21" t="str">
        <f>IF(LEFT(RES!A146,1)="*","*","")</f>
        <v>*</v>
      </c>
      <c r="B133" s="509" t="str">
        <f>IF(A133="*","",RES!B146)</f>
        <v/>
      </c>
      <c r="C133" s="21" t="str">
        <f>IF(A133="*","",RES!A146)</f>
        <v/>
      </c>
      <c r="D133" s="32" t="s">
        <v>923</v>
      </c>
      <c r="E133" s="32" t="str">
        <f t="shared" si="6"/>
        <v/>
      </c>
      <c r="F133" s="32" t="str">
        <f t="shared" si="7"/>
        <v/>
      </c>
      <c r="G133" s="32" t="str">
        <f t="shared" si="8"/>
        <v/>
      </c>
    </row>
    <row r="134" spans="1:7" ht="10.5">
      <c r="B134" s="509"/>
      <c r="D134" s="32"/>
      <c r="E134" s="32"/>
      <c r="F134" s="32"/>
      <c r="G134" s="32"/>
    </row>
    <row r="135" spans="1:7" ht="10.5">
      <c r="B135" s="509"/>
      <c r="D135" s="32"/>
      <c r="E135" s="32"/>
      <c r="F135" s="32"/>
      <c r="G135" s="32"/>
    </row>
    <row r="136" spans="1:7" ht="10.5">
      <c r="B136" s="509"/>
      <c r="D136" s="32"/>
      <c r="E136" s="32"/>
      <c r="F136" s="32"/>
      <c r="G136" s="32"/>
    </row>
    <row r="137" spans="1:7" ht="10.5">
      <c r="B137" s="509"/>
      <c r="D137" s="32"/>
      <c r="E137" s="32"/>
      <c r="F137" s="32"/>
      <c r="G137" s="32"/>
    </row>
    <row r="138" spans="1:7" ht="10.5">
      <c r="B138" s="509"/>
      <c r="D138" s="32"/>
      <c r="E138" s="32"/>
      <c r="F138" s="32"/>
      <c r="G138" s="32"/>
    </row>
    <row r="139" spans="1:7" ht="10.5">
      <c r="B139" s="509"/>
      <c r="D139" s="32"/>
      <c r="E139" s="32"/>
      <c r="F139" s="32"/>
      <c r="G139" s="32"/>
    </row>
    <row r="140" spans="1:7" ht="10.5">
      <c r="B140" s="509"/>
      <c r="D140" s="32"/>
      <c r="E140" s="32"/>
      <c r="F140" s="32"/>
      <c r="G140" s="32"/>
    </row>
    <row r="141" spans="1:7" ht="10.5">
      <c r="B141" s="509"/>
      <c r="D141" s="32"/>
      <c r="E141" s="32"/>
      <c r="F141" s="32"/>
      <c r="G141" s="32"/>
    </row>
    <row r="142" spans="1:7" ht="10.5">
      <c r="B142" s="509"/>
      <c r="D142" s="32"/>
      <c r="E142" s="32"/>
      <c r="F142" s="32"/>
      <c r="G142" s="32"/>
    </row>
    <row r="143" spans="1:7" ht="10.5">
      <c r="B143" s="509"/>
      <c r="D143" s="32"/>
      <c r="E143" s="32"/>
      <c r="F143" s="32"/>
      <c r="G143" s="32"/>
    </row>
    <row r="144" spans="1:7" ht="10.5">
      <c r="B144" s="509"/>
      <c r="D144" s="32"/>
      <c r="E144" s="32"/>
      <c r="F144" s="32"/>
      <c r="G144" s="32"/>
    </row>
    <row r="145" spans="2:7" ht="10.5">
      <c r="B145" s="509"/>
      <c r="D145" s="32"/>
      <c r="E145" s="32"/>
      <c r="F145" s="32"/>
      <c r="G145" s="32"/>
    </row>
    <row r="146" spans="2:7" ht="10.5">
      <c r="B146" s="509"/>
      <c r="D146" s="32"/>
      <c r="E146" s="32"/>
      <c r="F146" s="32"/>
      <c r="G146" s="32"/>
    </row>
    <row r="147" spans="2:7" ht="10.5">
      <c r="B147" s="509"/>
      <c r="D147" s="32"/>
      <c r="E147" s="32"/>
      <c r="F147" s="32"/>
      <c r="G147" s="32"/>
    </row>
    <row r="148" spans="2:7" ht="10.5">
      <c r="B148" s="509"/>
      <c r="D148" s="32"/>
      <c r="E148" s="32"/>
      <c r="F148" s="32"/>
      <c r="G148" s="32"/>
    </row>
    <row r="149" spans="2:7" ht="10.5">
      <c r="B149" s="509"/>
      <c r="D149" s="32"/>
      <c r="E149" s="32"/>
      <c r="F149" s="32"/>
      <c r="G149" s="32"/>
    </row>
    <row r="150" spans="2:7" ht="10.5">
      <c r="B150" s="509"/>
      <c r="D150" s="32"/>
      <c r="E150" s="32"/>
      <c r="F150" s="32"/>
      <c r="G150" s="32"/>
    </row>
    <row r="151" spans="2:7" ht="10.5">
      <c r="B151" s="509"/>
      <c r="D151" s="32"/>
      <c r="E151" s="32"/>
      <c r="F151" s="32"/>
      <c r="G151" s="32"/>
    </row>
    <row r="152" spans="2:7" ht="10.5">
      <c r="B152" s="509"/>
      <c r="D152" s="32"/>
      <c r="E152" s="32"/>
      <c r="F152" s="32"/>
      <c r="G152" s="32"/>
    </row>
    <row r="153" spans="2:7" ht="10.5">
      <c r="B153" s="509"/>
      <c r="D153" s="32"/>
      <c r="E153" s="32"/>
      <c r="F153" s="32"/>
      <c r="G153" s="32"/>
    </row>
    <row r="154" spans="2:7" ht="10.5">
      <c r="B154" s="509"/>
      <c r="D154" s="32"/>
      <c r="E154" s="32"/>
      <c r="F154" s="32"/>
      <c r="G154" s="32"/>
    </row>
    <row r="155" spans="2:7" ht="10.5">
      <c r="B155" s="509"/>
      <c r="D155" s="32"/>
      <c r="E155" s="32"/>
      <c r="F155" s="32"/>
      <c r="G155" s="32"/>
    </row>
    <row r="156" spans="2:7" ht="10.5">
      <c r="B156" s="509"/>
      <c r="D156" s="32"/>
      <c r="E156" s="32"/>
      <c r="F156" s="32"/>
      <c r="G156" s="32"/>
    </row>
    <row r="157" spans="2:7" ht="10.5">
      <c r="B157" s="509"/>
      <c r="D157" s="32"/>
      <c r="E157" s="32"/>
      <c r="F157" s="32"/>
      <c r="G157" s="32"/>
    </row>
    <row r="158" spans="2:7" ht="10.5">
      <c r="B158" s="509"/>
      <c r="D158" s="32"/>
      <c r="E158" s="32"/>
      <c r="F158" s="32"/>
      <c r="G158" s="32"/>
    </row>
    <row r="159" spans="2:7" ht="10.5">
      <c r="B159" s="509"/>
      <c r="D159" s="32"/>
      <c r="E159" s="32"/>
      <c r="F159" s="32"/>
      <c r="G159" s="32"/>
    </row>
    <row r="160" spans="2:7" ht="10.5">
      <c r="B160" s="509"/>
      <c r="D160" s="32"/>
      <c r="E160" s="32"/>
      <c r="F160" s="32"/>
      <c r="G160" s="32"/>
    </row>
    <row r="161" spans="2:7" ht="10.5">
      <c r="B161" s="509"/>
      <c r="D161" s="32"/>
      <c r="E161" s="32"/>
      <c r="F161" s="32"/>
      <c r="G161" s="32"/>
    </row>
    <row r="162" spans="2:7" ht="10.5">
      <c r="B162" s="509"/>
      <c r="D162" s="32"/>
      <c r="E162" s="32"/>
      <c r="F162" s="32"/>
      <c r="G162" s="32"/>
    </row>
    <row r="163" spans="2:7" ht="10.5">
      <c r="B163" s="509"/>
      <c r="D163" s="32"/>
      <c r="E163" s="32"/>
      <c r="F163" s="32"/>
      <c r="G163" s="32"/>
    </row>
    <row r="164" spans="2:7" ht="10.5">
      <c r="B164" s="509"/>
      <c r="D164" s="32"/>
      <c r="E164" s="32"/>
      <c r="F164" s="32"/>
      <c r="G164" s="32"/>
    </row>
    <row r="165" spans="2:7" ht="10.5">
      <c r="B165" s="509"/>
      <c r="D165" s="32"/>
      <c r="E165" s="32"/>
      <c r="F165" s="32"/>
      <c r="G165" s="32"/>
    </row>
    <row r="166" spans="2:7" ht="10.5">
      <c r="B166" s="509"/>
      <c r="D166" s="32"/>
      <c r="E166" s="32"/>
      <c r="F166" s="32"/>
      <c r="G166" s="32"/>
    </row>
    <row r="167" spans="2:7" ht="10.5">
      <c r="B167" s="509"/>
      <c r="D167" s="32"/>
      <c r="E167" s="32"/>
      <c r="F167" s="32"/>
      <c r="G167" s="32"/>
    </row>
    <row r="168" spans="2:7" ht="10.5">
      <c r="B168" s="509"/>
      <c r="D168" s="32"/>
      <c r="E168" s="32"/>
      <c r="F168" s="32"/>
      <c r="G168" s="32"/>
    </row>
    <row r="169" spans="2:7" ht="10.5">
      <c r="B169" s="509"/>
      <c r="D169" s="32"/>
      <c r="E169" s="32"/>
      <c r="F169" s="32"/>
      <c r="G169" s="32"/>
    </row>
    <row r="170" spans="2:7" ht="10.5">
      <c r="B170" s="509"/>
      <c r="D170" s="32"/>
      <c r="E170" s="32"/>
      <c r="F170" s="32"/>
      <c r="G170" s="32"/>
    </row>
    <row r="171" spans="2:7" ht="10.5">
      <c r="B171" s="509"/>
      <c r="D171" s="32"/>
      <c r="E171" s="32"/>
      <c r="F171" s="32"/>
      <c r="G171" s="32"/>
    </row>
    <row r="172" spans="2:7" ht="10.5">
      <c r="B172" s="509"/>
      <c r="D172" s="32"/>
      <c r="E172" s="32"/>
      <c r="F172" s="32"/>
      <c r="G172" s="32"/>
    </row>
    <row r="173" spans="2:7" ht="10.5">
      <c r="B173" s="509"/>
      <c r="D173" s="32"/>
      <c r="E173" s="32"/>
      <c r="F173" s="32"/>
      <c r="G173" s="32"/>
    </row>
    <row r="174" spans="2:7" ht="10.5">
      <c r="B174" s="509"/>
      <c r="D174" s="32"/>
      <c r="E174" s="32"/>
      <c r="F174" s="32"/>
      <c r="G174" s="32"/>
    </row>
    <row r="175" spans="2:7" ht="10.5">
      <c r="B175" s="509"/>
      <c r="D175" s="32"/>
      <c r="E175" s="32"/>
      <c r="F175" s="32"/>
      <c r="G175" s="32"/>
    </row>
    <row r="176" spans="2:7" ht="10.5">
      <c r="B176" s="509"/>
      <c r="D176" s="32"/>
      <c r="E176" s="32"/>
      <c r="F176" s="32"/>
      <c r="G176" s="32"/>
    </row>
    <row r="177" spans="2:7" ht="10.5">
      <c r="B177" s="509"/>
      <c r="D177" s="32"/>
      <c r="E177" s="32"/>
      <c r="F177" s="32"/>
      <c r="G177" s="32"/>
    </row>
    <row r="178" spans="2:7" ht="10.5">
      <c r="D178" s="32"/>
      <c r="E178" s="32"/>
    </row>
    <row r="179" spans="2:7" ht="10.5">
      <c r="D179" s="32"/>
      <c r="E179" s="32"/>
    </row>
    <row r="180" spans="2:7" ht="10.5">
      <c r="D180" s="32"/>
      <c r="E180" s="32"/>
    </row>
    <row r="181" spans="2:7" ht="10.5">
      <c r="D181" s="32"/>
      <c r="E181" s="32"/>
    </row>
    <row r="182" spans="2:7" ht="10.5">
      <c r="D182" s="32"/>
      <c r="E182" s="32"/>
    </row>
    <row r="183" spans="2:7" ht="10.5">
      <c r="D183" s="32"/>
      <c r="E183" s="32"/>
    </row>
    <row r="184" spans="2:7" ht="10.5">
      <c r="D184" s="32"/>
      <c r="E184" s="32"/>
    </row>
    <row r="185" spans="2:7" ht="10.5">
      <c r="D185" s="32"/>
      <c r="E185" s="32"/>
    </row>
    <row r="186" spans="2:7" ht="10.5">
      <c r="D186" s="32"/>
      <c r="E186" s="32"/>
    </row>
    <row r="187" spans="2:7" ht="10.5">
      <c r="D187" s="32"/>
      <c r="E187" s="32"/>
    </row>
    <row r="188" spans="2:7" ht="10.5">
      <c r="D188" s="32"/>
      <c r="E188" s="32"/>
    </row>
    <row r="189" spans="2:7" ht="10.5">
      <c r="D189" s="32"/>
      <c r="E189" s="32"/>
    </row>
    <row r="190" spans="2:7" ht="10.5">
      <c r="D190" s="32"/>
      <c r="E190" s="32"/>
    </row>
    <row r="191" spans="2:7" ht="10.5">
      <c r="D191" s="32"/>
      <c r="E191" s="32"/>
    </row>
    <row r="192" spans="2:7" ht="10.5">
      <c r="D192" s="32"/>
      <c r="E192" s="32"/>
    </row>
    <row r="193" spans="4:5" ht="10.5">
      <c r="D193" s="32"/>
      <c r="E193" s="32"/>
    </row>
    <row r="194" spans="4:5" ht="10.5">
      <c r="D194" s="32"/>
      <c r="E194" s="32"/>
    </row>
    <row r="195" spans="4:5" ht="10.5">
      <c r="D195" s="32"/>
      <c r="E195" s="32"/>
    </row>
    <row r="196" spans="4:5" ht="10.5">
      <c r="D196" s="32"/>
      <c r="E196" s="32"/>
    </row>
    <row r="197" spans="4:5" ht="10.5">
      <c r="D197" s="32"/>
      <c r="E197" s="32"/>
    </row>
    <row r="198" spans="4:5" ht="10.5">
      <c r="D198" s="32"/>
      <c r="E198" s="32"/>
    </row>
    <row r="199" spans="4:5" ht="10.5">
      <c r="D199" s="32"/>
      <c r="E199" s="32"/>
    </row>
    <row r="200" spans="4:5" ht="10.5">
      <c r="D200" s="32"/>
      <c r="E200" s="32"/>
    </row>
    <row r="201" spans="4:5" ht="10.5">
      <c r="D201" s="32"/>
      <c r="E201" s="32"/>
    </row>
    <row r="202" spans="4:5" ht="10.5">
      <c r="D202" s="32"/>
      <c r="E202" s="32"/>
    </row>
    <row r="203" spans="4:5" ht="10.5">
      <c r="D203" s="32"/>
      <c r="E203" s="32"/>
    </row>
    <row r="204" spans="4:5" ht="10.5">
      <c r="D204" s="32"/>
      <c r="E204" s="32"/>
    </row>
    <row r="205" spans="4:5" ht="10.5">
      <c r="D205" s="32"/>
      <c r="E205" s="32"/>
    </row>
    <row r="206" spans="4:5" ht="10.5">
      <c r="D206" s="32"/>
      <c r="E206" s="32"/>
    </row>
    <row r="207" spans="4:5" ht="10.5">
      <c r="D207" s="32"/>
      <c r="E207" s="32"/>
    </row>
    <row r="208" spans="4:5" ht="10.5">
      <c r="D208" s="32"/>
      <c r="E208" s="32"/>
    </row>
    <row r="209" spans="4:5" ht="10.5">
      <c r="D209" s="32"/>
      <c r="E209" s="32"/>
    </row>
    <row r="210" spans="4:5" ht="10.5">
      <c r="D210" s="32"/>
      <c r="E210" s="32"/>
    </row>
    <row r="211" spans="4:5" ht="10.5">
      <c r="D211" s="32"/>
      <c r="E211" s="32"/>
    </row>
    <row r="212" spans="4:5" ht="10.5">
      <c r="D212" s="32"/>
      <c r="E212" s="32"/>
    </row>
    <row r="213" spans="4:5" ht="10.5">
      <c r="D213" s="32"/>
      <c r="E213" s="32"/>
    </row>
    <row r="214" spans="4:5" ht="10.5">
      <c r="D214" s="32"/>
      <c r="E214" s="32"/>
    </row>
    <row r="215" spans="4:5" ht="10.5">
      <c r="D215" s="32"/>
      <c r="E215" s="32"/>
    </row>
    <row r="216" spans="4:5" ht="10.5">
      <c r="D216" s="32"/>
      <c r="E216" s="32"/>
    </row>
    <row r="217" spans="4:5" ht="10.5">
      <c r="D217" s="32"/>
      <c r="E217" s="32"/>
    </row>
    <row r="218" spans="4:5" ht="10.5">
      <c r="D218" s="32"/>
      <c r="E218" s="32"/>
    </row>
    <row r="219" spans="4:5" ht="10.5">
      <c r="D219" s="32"/>
      <c r="E219" s="32"/>
    </row>
    <row r="220" spans="4:5" ht="10.5">
      <c r="D220" s="32"/>
      <c r="E220" s="32"/>
    </row>
    <row r="221" spans="4:5" ht="10.5">
      <c r="D221" s="32"/>
      <c r="E221" s="32"/>
    </row>
    <row r="222" spans="4:5" ht="10.5">
      <c r="D222" s="32"/>
      <c r="E222" s="32"/>
    </row>
    <row r="223" spans="4:5" ht="10.5">
      <c r="D223" s="32"/>
      <c r="E223" s="32"/>
    </row>
    <row r="224" spans="4:5" ht="10.5">
      <c r="D224" s="32"/>
      <c r="E224" s="32"/>
    </row>
    <row r="225" spans="4:5" ht="10.5">
      <c r="D225" s="32"/>
      <c r="E225" s="32"/>
    </row>
    <row r="226" spans="4:5" ht="10.5">
      <c r="D226" s="32"/>
      <c r="E226" s="32"/>
    </row>
    <row r="227" spans="4:5" ht="10.5">
      <c r="D227" s="32"/>
      <c r="E227" s="32"/>
    </row>
    <row r="228" spans="4:5" ht="10.5">
      <c r="D228" s="32"/>
      <c r="E228" s="32"/>
    </row>
    <row r="229" spans="4:5" ht="10.5">
      <c r="D229" s="32"/>
      <c r="E229" s="32"/>
    </row>
    <row r="230" spans="4:5" ht="10.5">
      <c r="D230" s="32"/>
      <c r="E230" s="32"/>
    </row>
    <row r="231" spans="4:5" ht="10.5">
      <c r="D231" s="32"/>
      <c r="E231" s="32"/>
    </row>
    <row r="232" spans="4:5" ht="10.5">
      <c r="D232" s="32"/>
      <c r="E232" s="32"/>
    </row>
    <row r="233" spans="4:5" ht="10.5">
      <c r="D233" s="32"/>
      <c r="E233" s="32"/>
    </row>
    <row r="234" spans="4:5" ht="10.5">
      <c r="D234" s="32"/>
      <c r="E234" s="32"/>
    </row>
    <row r="235" spans="4:5" ht="10.5">
      <c r="D235" s="32"/>
      <c r="E235" s="32"/>
    </row>
    <row r="236" spans="4:5" ht="10.5">
      <c r="D236" s="32"/>
      <c r="E236" s="32"/>
    </row>
    <row r="237" spans="4:5" ht="10.5">
      <c r="D237" s="32"/>
      <c r="E237" s="32"/>
    </row>
    <row r="238" spans="4:5" ht="10.5">
      <c r="D238" s="32"/>
      <c r="E238" s="32"/>
    </row>
    <row r="239" spans="4:5" ht="10.5">
      <c r="D239" s="32"/>
      <c r="E239" s="32"/>
    </row>
    <row r="240" spans="4:5" ht="10.5">
      <c r="D240" s="32"/>
      <c r="E240" s="32"/>
    </row>
    <row r="241" customFormat="1" ht="12.5"/>
    <row r="242" customFormat="1" ht="12.5"/>
    <row r="243" customFormat="1" ht="12.5"/>
    <row r="244" customFormat="1" ht="12.5"/>
    <row r="245" customFormat="1" ht="12.5"/>
    <row r="246" customFormat="1" ht="12.5"/>
    <row r="247" customFormat="1" ht="12.5"/>
    <row r="248" customFormat="1" ht="12.5"/>
    <row r="249" customFormat="1" ht="12.5"/>
    <row r="250" customFormat="1" ht="12.5"/>
    <row r="251" customFormat="1" ht="12.5"/>
    <row r="252" customFormat="1" ht="12.5"/>
    <row r="253" customFormat="1" ht="12.5"/>
    <row r="254" customFormat="1" ht="12.5"/>
    <row r="255" customFormat="1" ht="12.5"/>
    <row r="256" customFormat="1" ht="12.5"/>
    <row r="257" spans="4:5" customFormat="1" ht="12.5"/>
    <row r="258" spans="4:5" customFormat="1" ht="12.5"/>
    <row r="259" spans="4:5" customFormat="1" ht="12.5"/>
    <row r="260" spans="4:5" customFormat="1" ht="12.5"/>
    <row r="261" spans="4:5" ht="10.5">
      <c r="D261" s="32"/>
      <c r="E261" s="32"/>
    </row>
    <row r="262" spans="4:5" ht="10.5">
      <c r="D262" s="32"/>
      <c r="E262" s="32"/>
    </row>
    <row r="263" spans="4:5" ht="10.5">
      <c r="D263" s="32"/>
      <c r="E263" s="32"/>
    </row>
    <row r="264" spans="4:5" ht="10.5">
      <c r="D264" s="32"/>
      <c r="E264" s="32"/>
    </row>
    <row r="265" spans="4:5" ht="10.5">
      <c r="D265" s="32"/>
      <c r="E265" s="32"/>
    </row>
    <row r="266" spans="4:5" ht="10.5">
      <c r="D266" s="32"/>
      <c r="E266" s="32"/>
    </row>
    <row r="267" spans="4:5" ht="10.5">
      <c r="D267" s="32"/>
      <c r="E267" s="32"/>
    </row>
    <row r="268" spans="4:5" ht="10.5">
      <c r="D268" s="32"/>
      <c r="E268" s="32"/>
    </row>
    <row r="269" spans="4:5" ht="10.5">
      <c r="D269" s="32"/>
      <c r="E269" s="32"/>
    </row>
    <row r="270" spans="4:5" ht="10.5">
      <c r="D270" s="32"/>
      <c r="E270" s="32"/>
    </row>
    <row r="271" spans="4:5" ht="10.5">
      <c r="D271" s="32"/>
      <c r="E271" s="32"/>
    </row>
    <row r="272" spans="4:5" ht="10.5">
      <c r="D272" s="32"/>
      <c r="E272" s="32"/>
    </row>
    <row r="273" spans="4:5" ht="10.5">
      <c r="D273" s="32"/>
      <c r="E273" s="32"/>
    </row>
    <row r="274" spans="4:5" ht="10.5">
      <c r="D274" s="32"/>
      <c r="E274" s="32"/>
    </row>
    <row r="275" spans="4:5" ht="10.5">
      <c r="D275" s="32"/>
      <c r="E275" s="32"/>
    </row>
    <row r="276" spans="4:5" ht="10.5">
      <c r="D276" s="32"/>
      <c r="E276" s="32"/>
    </row>
    <row r="277" spans="4:5" ht="10.5">
      <c r="D277" s="32"/>
      <c r="E277" s="32"/>
    </row>
    <row r="278" spans="4:5" ht="10.5">
      <c r="D278" s="32"/>
      <c r="E278" s="32"/>
    </row>
    <row r="279" spans="4:5" ht="10.5">
      <c r="D279" s="32"/>
      <c r="E279" s="32"/>
    </row>
    <row r="280" spans="4:5" ht="10.5">
      <c r="D280" s="32"/>
      <c r="E280" s="32"/>
    </row>
    <row r="281" spans="4:5" ht="10.5">
      <c r="D281" s="32"/>
      <c r="E281" s="32"/>
    </row>
    <row r="282" spans="4:5" ht="10.5">
      <c r="D282" s="32"/>
      <c r="E282" s="32"/>
    </row>
    <row r="283" spans="4:5" ht="10.5">
      <c r="D283" s="32"/>
      <c r="E283" s="32"/>
    </row>
    <row r="284" spans="4:5" ht="10.5">
      <c r="D284" s="32"/>
      <c r="E284" s="32"/>
    </row>
    <row r="285" spans="4:5" ht="10.5">
      <c r="D285" s="32"/>
      <c r="E285" s="32"/>
    </row>
    <row r="286" spans="4:5" ht="10.5">
      <c r="D286" s="32"/>
      <c r="E286" s="32"/>
    </row>
    <row r="287" spans="4:5" ht="10.5">
      <c r="D287" s="32"/>
      <c r="E287" s="32"/>
    </row>
    <row r="288" spans="4:5" ht="10.5">
      <c r="D288" s="32"/>
      <c r="E288" s="32"/>
    </row>
    <row r="289" spans="4:5" ht="10.5">
      <c r="D289" s="32"/>
      <c r="E289" s="32"/>
    </row>
    <row r="290" spans="4:5" ht="10.5">
      <c r="D290" s="32"/>
      <c r="E290" s="32"/>
    </row>
    <row r="291" spans="4:5" ht="10.5">
      <c r="D291" s="32"/>
      <c r="E291" s="32"/>
    </row>
    <row r="292" spans="4:5" ht="10.5">
      <c r="D292" s="32"/>
      <c r="E292" s="32"/>
    </row>
    <row r="293" spans="4:5" ht="10.5">
      <c r="D293" s="32"/>
      <c r="E293" s="32"/>
    </row>
    <row r="294" spans="4:5" ht="10.5">
      <c r="D294" s="32"/>
      <c r="E294" s="32"/>
    </row>
    <row r="295" spans="4:5" ht="10.5">
      <c r="D295" s="32"/>
      <c r="E295" s="32"/>
    </row>
    <row r="296" spans="4:5" ht="10.5">
      <c r="D296" s="32"/>
      <c r="E296" s="32"/>
    </row>
    <row r="297" spans="4:5" ht="10.5">
      <c r="D297" s="32"/>
      <c r="E297" s="32"/>
    </row>
    <row r="298" spans="4:5" ht="10.5">
      <c r="D298" s="32"/>
      <c r="E298" s="32"/>
    </row>
    <row r="299" spans="4:5" ht="10.5">
      <c r="D299" s="32"/>
      <c r="E299" s="32"/>
    </row>
    <row r="300" spans="4:5" ht="10.5">
      <c r="D300" s="32"/>
      <c r="E300" s="32"/>
    </row>
    <row r="301" spans="4:5" ht="10.5">
      <c r="D301" s="32"/>
      <c r="E301" s="32"/>
    </row>
    <row r="302" spans="4:5" ht="10.5">
      <c r="D302" s="32"/>
      <c r="E302" s="32"/>
    </row>
    <row r="303" spans="4:5" ht="10.5">
      <c r="D303" s="32"/>
      <c r="E303" s="32"/>
    </row>
    <row r="304" spans="4:5" ht="10.5">
      <c r="D304" s="32"/>
      <c r="E304" s="32"/>
    </row>
    <row r="305" spans="4:5" ht="10.5">
      <c r="D305" s="32"/>
      <c r="E305" s="32"/>
    </row>
    <row r="306" spans="4:5" ht="10.5">
      <c r="D306" s="32"/>
      <c r="E306" s="32"/>
    </row>
    <row r="307" spans="4:5" ht="10.5">
      <c r="D307" s="32"/>
      <c r="E307" s="32"/>
    </row>
    <row r="308" spans="4:5" ht="10.5">
      <c r="D308" s="32"/>
      <c r="E308" s="32"/>
    </row>
    <row r="309" spans="4:5" ht="10.5">
      <c r="D309" s="32"/>
      <c r="E309" s="32"/>
    </row>
    <row r="310" spans="4:5" ht="10.5">
      <c r="D310" s="32"/>
      <c r="E310" s="32"/>
    </row>
    <row r="311" spans="4:5" ht="10.5">
      <c r="D311" s="32"/>
      <c r="E311" s="32"/>
    </row>
    <row r="312" spans="4:5" ht="10.5">
      <c r="D312" s="32"/>
      <c r="E312" s="32"/>
    </row>
    <row r="313" spans="4:5" ht="10.5">
      <c r="D313" s="32"/>
      <c r="E313" s="32"/>
    </row>
    <row r="314" spans="4:5" ht="10.5">
      <c r="D314" s="32"/>
      <c r="E314" s="32"/>
    </row>
    <row r="315" spans="4:5" ht="10.5">
      <c r="D315" s="32"/>
      <c r="E315" s="32"/>
    </row>
    <row r="316" spans="4:5" ht="10.5">
      <c r="D316" s="32"/>
      <c r="E316" s="32"/>
    </row>
    <row r="317" spans="4:5" ht="10.5">
      <c r="D317" s="32"/>
      <c r="E317" s="32"/>
    </row>
    <row r="318" spans="4:5" ht="10.5">
      <c r="D318" s="32"/>
      <c r="E318" s="32"/>
    </row>
    <row r="319" spans="4:5" ht="10.5">
      <c r="D319" s="32"/>
      <c r="E319" s="32"/>
    </row>
    <row r="320" spans="4:5" ht="10.5">
      <c r="D320" s="32"/>
      <c r="E320" s="32"/>
    </row>
    <row r="321" spans="4:5" ht="10.5">
      <c r="D321" s="32"/>
      <c r="E321" s="32"/>
    </row>
    <row r="322" spans="4:5" ht="10.5">
      <c r="D322" s="32"/>
      <c r="E322" s="32"/>
    </row>
    <row r="323" spans="4:5" ht="10.5">
      <c r="D323" s="32"/>
      <c r="E323" s="32"/>
    </row>
    <row r="324" spans="4:5" ht="10.5">
      <c r="D324" s="32"/>
      <c r="E324" s="32"/>
    </row>
    <row r="325" spans="4:5" ht="10.5">
      <c r="D325" s="32"/>
      <c r="E325" s="32"/>
    </row>
    <row r="326" spans="4:5" ht="10.5">
      <c r="D326" s="32"/>
      <c r="E326" s="32"/>
    </row>
    <row r="327" spans="4:5" ht="10.5">
      <c r="D327" s="32"/>
      <c r="E327" s="32"/>
    </row>
    <row r="328" spans="4:5" ht="10.5">
      <c r="D328" s="32"/>
      <c r="E328" s="32"/>
    </row>
    <row r="329" spans="4:5" ht="10.5">
      <c r="D329" s="32"/>
      <c r="E329" s="32"/>
    </row>
    <row r="330" spans="4:5" ht="10.5">
      <c r="D330" s="32"/>
      <c r="E330" s="32"/>
    </row>
    <row r="331" spans="4:5" ht="10.5">
      <c r="D331" s="32"/>
      <c r="E331" s="32"/>
    </row>
    <row r="332" spans="4:5" ht="10.5">
      <c r="D332" s="32"/>
      <c r="E332" s="32"/>
    </row>
    <row r="333" spans="4:5" ht="10.5">
      <c r="D333" s="32"/>
      <c r="E333" s="32"/>
    </row>
    <row r="334" spans="4:5" ht="10.5">
      <c r="D334" s="32"/>
      <c r="E334" s="32"/>
    </row>
    <row r="335" spans="4:5" ht="10.5">
      <c r="D335" s="32"/>
      <c r="E335" s="32"/>
    </row>
    <row r="336" spans="4:5" ht="10.5">
      <c r="D336" s="32"/>
      <c r="E336" s="32"/>
    </row>
    <row r="337" spans="4:5" ht="10.5">
      <c r="D337" s="32"/>
      <c r="E337" s="32"/>
    </row>
    <row r="338" spans="4:5" ht="10.5">
      <c r="D338" s="32"/>
      <c r="E338" s="32"/>
    </row>
    <row r="339" spans="4:5" ht="10.5">
      <c r="D339" s="32"/>
      <c r="E339" s="32"/>
    </row>
    <row r="340" spans="4:5" ht="10.5">
      <c r="D340" s="32"/>
      <c r="E340" s="32"/>
    </row>
    <row r="341" spans="4:5" ht="10.5">
      <c r="D341" s="32"/>
      <c r="E341" s="32"/>
    </row>
    <row r="342" spans="4:5" ht="10.5">
      <c r="D342" s="32"/>
      <c r="E342" s="32"/>
    </row>
    <row r="343" spans="4:5" ht="10.5">
      <c r="D343" s="32"/>
      <c r="E343" s="32"/>
    </row>
    <row r="344" spans="4:5" ht="10.5">
      <c r="D344" s="32"/>
      <c r="E344" s="32"/>
    </row>
    <row r="345" spans="4:5" ht="10.5">
      <c r="D345" s="32"/>
      <c r="E345" s="32"/>
    </row>
    <row r="346" spans="4:5" ht="10.5">
      <c r="D346" s="32"/>
      <c r="E346" s="32"/>
    </row>
    <row r="347" spans="4:5" ht="10.5">
      <c r="D347" s="32"/>
      <c r="E347" s="32"/>
    </row>
    <row r="348" spans="4:5" ht="10.5">
      <c r="D348" s="32"/>
      <c r="E348" s="32"/>
    </row>
    <row r="349" spans="4:5" ht="10.5">
      <c r="D349" s="32"/>
      <c r="E349" s="32"/>
    </row>
    <row r="350" spans="4:5" ht="10.5">
      <c r="D350" s="32"/>
      <c r="E350" s="32"/>
    </row>
    <row r="351" spans="4:5" ht="10.5">
      <c r="D351" s="32"/>
      <c r="E351" s="32"/>
    </row>
    <row r="352" spans="4:5" ht="10.5">
      <c r="D352" s="32"/>
      <c r="E352" s="32"/>
    </row>
    <row r="353" spans="4:5" ht="10.5">
      <c r="D353" s="32"/>
      <c r="E353" s="32"/>
    </row>
    <row r="354" spans="4:5" ht="10.5">
      <c r="D354" s="32"/>
      <c r="E354" s="32"/>
    </row>
    <row r="355" spans="4:5" ht="10.5">
      <c r="D355" s="32"/>
      <c r="E355" s="32"/>
    </row>
    <row r="356" spans="4:5" ht="10.5">
      <c r="D356" s="32"/>
      <c r="E356" s="32"/>
    </row>
    <row r="357" spans="4:5" ht="10.5">
      <c r="D357" s="32"/>
      <c r="E357" s="32"/>
    </row>
    <row r="358" spans="4:5" ht="10.5">
      <c r="D358" s="32"/>
      <c r="E358" s="32"/>
    </row>
    <row r="359" spans="4:5" ht="10.5">
      <c r="D359" s="32"/>
      <c r="E359" s="32"/>
    </row>
    <row r="360" spans="4:5" ht="10.5">
      <c r="D360" s="32"/>
      <c r="E360" s="32"/>
    </row>
    <row r="361" spans="4:5" ht="10.5">
      <c r="D361" s="32"/>
      <c r="E361" s="32"/>
    </row>
    <row r="362" spans="4:5" ht="10.5">
      <c r="D362" s="32"/>
      <c r="E362" s="32"/>
    </row>
    <row r="363" spans="4:5" ht="10.5">
      <c r="D363" s="32"/>
      <c r="E363" s="32"/>
    </row>
    <row r="364" spans="4:5" ht="10.5">
      <c r="D364" s="32"/>
      <c r="E364" s="32"/>
    </row>
    <row r="365" spans="4:5" ht="10.5">
      <c r="D365" s="32"/>
      <c r="E365" s="32"/>
    </row>
    <row r="366" spans="4:5" ht="10.5">
      <c r="D366" s="32"/>
      <c r="E366" s="32"/>
    </row>
    <row r="367" spans="4:5" ht="10.5">
      <c r="D367" s="32"/>
      <c r="E367" s="32"/>
    </row>
    <row r="368" spans="4:5" ht="10.5">
      <c r="D368" s="32"/>
      <c r="E368" s="32"/>
    </row>
    <row r="369" spans="4:5" ht="10.5">
      <c r="D369" s="32"/>
      <c r="E369" s="32"/>
    </row>
    <row r="370" spans="4:5" ht="10.5">
      <c r="D370" s="32"/>
      <c r="E370" s="32"/>
    </row>
    <row r="371" spans="4:5" ht="10.5">
      <c r="D371" s="32"/>
      <c r="E371" s="32"/>
    </row>
    <row r="372" spans="4:5" ht="10.5">
      <c r="D372" s="32"/>
      <c r="E372" s="32"/>
    </row>
    <row r="373" spans="4:5" ht="10.5">
      <c r="D373" s="32"/>
      <c r="E373" s="32"/>
    </row>
    <row r="374" spans="4:5" ht="10.5">
      <c r="D374" s="32"/>
      <c r="E374" s="32"/>
    </row>
    <row r="375" spans="4:5" ht="10.5">
      <c r="D375" s="32"/>
      <c r="E375" s="32"/>
    </row>
    <row r="376" spans="4:5" ht="10.5">
      <c r="D376" s="32"/>
      <c r="E376" s="32"/>
    </row>
    <row r="377" spans="4:5" ht="10.5">
      <c r="D377" s="32"/>
      <c r="E377" s="32"/>
    </row>
    <row r="378" spans="4:5" ht="10.5">
      <c r="D378" s="32"/>
      <c r="E378" s="32"/>
    </row>
    <row r="379" spans="4:5" ht="10.5">
      <c r="D379" s="32"/>
      <c r="E379" s="32"/>
    </row>
    <row r="380" spans="4:5" ht="10.5">
      <c r="D380" s="32"/>
      <c r="E380" s="32"/>
    </row>
    <row r="381" spans="4:5" ht="10.5">
      <c r="D381" s="32"/>
      <c r="E381" s="32"/>
    </row>
    <row r="382" spans="4:5" ht="10.5">
      <c r="D382" s="32"/>
      <c r="E382" s="32"/>
    </row>
    <row r="383" spans="4:5" ht="10.5">
      <c r="D383" s="32"/>
      <c r="E383" s="32"/>
    </row>
    <row r="384" spans="4:5" ht="10.5">
      <c r="D384" s="32"/>
      <c r="E384" s="32"/>
    </row>
    <row r="385" spans="4:5" ht="10.5">
      <c r="D385" s="32"/>
      <c r="E385" s="32"/>
    </row>
    <row r="386" spans="4:5" ht="10.5">
      <c r="D386" s="32"/>
      <c r="E386" s="32"/>
    </row>
    <row r="387" spans="4:5" ht="10.5">
      <c r="D387" s="32"/>
      <c r="E387" s="32"/>
    </row>
    <row r="388" spans="4:5" ht="10.5">
      <c r="D388" s="32"/>
      <c r="E388" s="32"/>
    </row>
    <row r="389" spans="4:5" ht="10.5">
      <c r="D389" s="32"/>
      <c r="E389" s="32"/>
    </row>
    <row r="390" spans="4:5" ht="10.5">
      <c r="D390" s="32"/>
      <c r="E390" s="32"/>
    </row>
    <row r="391" spans="4:5" ht="10.5">
      <c r="D391" s="32"/>
      <c r="E391" s="32"/>
    </row>
    <row r="392" spans="4:5" ht="10.5">
      <c r="D392" s="32"/>
      <c r="E392" s="32"/>
    </row>
    <row r="393" spans="4:5" ht="10.5">
      <c r="D393" s="32"/>
      <c r="E393" s="32"/>
    </row>
    <row r="394" spans="4:5" ht="10.5">
      <c r="D394" s="32"/>
      <c r="E394" s="32"/>
    </row>
    <row r="395" spans="4:5" ht="10.5">
      <c r="D395" s="32"/>
      <c r="E395" s="32"/>
    </row>
    <row r="396" spans="4:5" ht="10.5">
      <c r="D396" s="32"/>
      <c r="E396" s="32"/>
    </row>
    <row r="397" spans="4:5" ht="10.5">
      <c r="D397" s="32"/>
      <c r="E397" s="32"/>
    </row>
    <row r="398" spans="4:5" ht="10.5">
      <c r="D398" s="32"/>
      <c r="E398" s="32"/>
    </row>
    <row r="399" spans="4:5" ht="10.5">
      <c r="D399" s="32"/>
      <c r="E399" s="32"/>
    </row>
    <row r="400" spans="4:5" ht="10.5">
      <c r="D400" s="32"/>
      <c r="E400" s="32"/>
    </row>
    <row r="401" spans="4:5" ht="10.5">
      <c r="D401" s="32"/>
      <c r="E401" s="32"/>
    </row>
    <row r="402" spans="4:5" ht="10.5">
      <c r="D402" s="32"/>
      <c r="E402" s="32"/>
    </row>
    <row r="403" spans="4:5" ht="10.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53125" defaultRowHeight="10"/>
  <cols>
    <col min="1" max="1" width="12.453125" style="21" customWidth="1"/>
    <col min="2" max="2" width="11" style="21" customWidth="1"/>
    <col min="3" max="3" width="27.453125" style="21" customWidth="1"/>
    <col min="4" max="4" width="10.1796875" style="21" customWidth="1"/>
    <col min="5" max="5" width="28.7265625" style="21" customWidth="1"/>
    <col min="6" max="16384" width="11.453125" style="21"/>
  </cols>
  <sheetData>
    <row r="1" spans="1:10" ht="10.5">
      <c r="A1" s="20"/>
    </row>
    <row r="3" spans="1:10" ht="18.75" customHeight="1"/>
    <row r="4" spans="1:10">
      <c r="B4" s="21" t="s">
        <v>922</v>
      </c>
    </row>
    <row r="5" spans="1:10" ht="10.5">
      <c r="B5" s="20" t="s">
        <v>913</v>
      </c>
      <c r="C5" s="20" t="s">
        <v>914</v>
      </c>
      <c r="D5" s="20" t="s">
        <v>915</v>
      </c>
      <c r="E5" s="20" t="s">
        <v>916</v>
      </c>
      <c r="F5" s="20" t="s">
        <v>917</v>
      </c>
      <c r="G5" s="21" t="s">
        <v>918</v>
      </c>
      <c r="H5" s="21" t="s">
        <v>919</v>
      </c>
      <c r="I5" s="20"/>
      <c r="J5" s="20"/>
    </row>
    <row r="6" spans="1:10" ht="10.5">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921</v>
      </c>
      <c r="F6" s="21" t="s">
        <v>920</v>
      </c>
    </row>
    <row r="7" spans="1:10" ht="10.5">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921</v>
      </c>
      <c r="F7" s="21" t="s">
        <v>920</v>
      </c>
    </row>
    <row r="8" spans="1:10" ht="10.5">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921</v>
      </c>
      <c r="F8" s="21" t="s">
        <v>920</v>
      </c>
    </row>
    <row r="9" spans="1:10" ht="10.5">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921</v>
      </c>
      <c r="F9" s="21" t="s">
        <v>920</v>
      </c>
    </row>
    <row r="10" spans="1:10" ht="10.5">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921</v>
      </c>
      <c r="F10" s="21" t="s">
        <v>920</v>
      </c>
    </row>
    <row r="11" spans="1:10" ht="10.5">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921</v>
      </c>
      <c r="F11" s="21" t="s">
        <v>920</v>
      </c>
    </row>
    <row r="12" spans="1:10" ht="10.5">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921</v>
      </c>
      <c r="F12" s="21" t="s">
        <v>920</v>
      </c>
    </row>
    <row r="13" spans="1:10" ht="10.5">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921</v>
      </c>
      <c r="F13" s="21" t="s">
        <v>920</v>
      </c>
    </row>
    <row r="14" spans="1:10" ht="10.5">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921</v>
      </c>
      <c r="F14" s="21" t="s">
        <v>920</v>
      </c>
    </row>
    <row r="15" spans="1:10" ht="10.5">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921</v>
      </c>
      <c r="F15" s="21" t="s">
        <v>920</v>
      </c>
    </row>
    <row r="16" spans="1:10" ht="10.5">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921</v>
      </c>
      <c r="F16" s="21" t="s">
        <v>920</v>
      </c>
    </row>
    <row r="17" spans="1:6" ht="10.5">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921</v>
      </c>
      <c r="F17" s="21" t="s">
        <v>920</v>
      </c>
    </row>
    <row r="18" spans="1:6" ht="10.5">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921</v>
      </c>
      <c r="F18" s="21" t="s">
        <v>920</v>
      </c>
    </row>
    <row r="19" spans="1:6" ht="10.5">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921</v>
      </c>
      <c r="F19" s="21" t="s">
        <v>920</v>
      </c>
    </row>
    <row r="20" spans="1:6" ht="10.5">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921</v>
      </c>
      <c r="F20" s="21" t="s">
        <v>920</v>
      </c>
    </row>
    <row r="21" spans="1:6" ht="10.5">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921</v>
      </c>
      <c r="F21" s="21" t="s">
        <v>920</v>
      </c>
    </row>
    <row r="22" spans="1:6" ht="10.5">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921</v>
      </c>
      <c r="F22" s="21" t="s">
        <v>920</v>
      </c>
    </row>
    <row r="23" spans="1:6" ht="10.5">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921</v>
      </c>
      <c r="F23" s="21" t="s">
        <v>920</v>
      </c>
    </row>
    <row r="24" spans="1:6" ht="10.5">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921</v>
      </c>
      <c r="F24" s="21" t="s">
        <v>920</v>
      </c>
    </row>
    <row r="25" spans="1:6" ht="10.5">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921</v>
      </c>
      <c r="F25" s="21" t="s">
        <v>920</v>
      </c>
    </row>
    <row r="26" spans="1:6" ht="10.5">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921</v>
      </c>
      <c r="F26" s="21" t="s">
        <v>920</v>
      </c>
    </row>
    <row r="27" spans="1:6" ht="10.5">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921</v>
      </c>
      <c r="F27" s="21" t="s">
        <v>920</v>
      </c>
    </row>
    <row r="28" spans="1:6" ht="10.5">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921</v>
      </c>
      <c r="F28" s="21" t="s">
        <v>920</v>
      </c>
    </row>
    <row r="29" spans="1:6" ht="10.5">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ht="10.5">
      <c r="A30" s="21" t="str">
        <f t="shared" si="0"/>
        <v>*</v>
      </c>
      <c r="C30" s="21" t="str">
        <f>IF($A30="*","","Residential - "&amp;Energy_Balance!C39&amp;IF(Energy_Balance!D39="L"," - Low income", IF(Energy_Balance!D39="M"," - Middle income"," - High income")))</f>
        <v/>
      </c>
      <c r="D30" s="32" t="str">
        <f t="shared" si="1"/>
        <v/>
      </c>
      <c r="E30" s="32" t="str">
        <f t="shared" si="3"/>
        <v/>
      </c>
    </row>
    <row r="31" spans="1:6" ht="10.5">
      <c r="A31" s="21" t="str">
        <f t="shared" si="0"/>
        <v>*</v>
      </c>
      <c r="C31" s="21" t="str">
        <f>IF($A31="*","","Residential - "&amp;Energy_Balance!C40&amp;IF(Energy_Balance!D40="L"," - Low income", IF(Energy_Balance!D40="M"," - Middle income"," - High income")))</f>
        <v/>
      </c>
      <c r="D31" s="32" t="str">
        <f t="shared" si="1"/>
        <v/>
      </c>
      <c r="E31" s="32" t="str">
        <f t="shared" si="3"/>
        <v/>
      </c>
    </row>
    <row r="32" spans="1:6" ht="10.5">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ht="10.5">
      <c r="A33" s="21" t="str">
        <f t="shared" si="0"/>
        <v>*</v>
      </c>
      <c r="C33" s="21" t="str">
        <f>IF($A33="*","",RES!#REF!)</f>
        <v/>
      </c>
      <c r="D33" s="32" t="str">
        <f t="shared" si="1"/>
        <v/>
      </c>
      <c r="E33" s="32" t="str">
        <f t="shared" si="3"/>
        <v/>
      </c>
    </row>
    <row r="34" spans="1:5" ht="10.5">
      <c r="A34" s="21" t="str">
        <f t="shared" si="0"/>
        <v>*</v>
      </c>
      <c r="C34" s="21" t="str">
        <f>IF($A34="*","",RES!#REF!)</f>
        <v/>
      </c>
      <c r="D34" s="32" t="str">
        <f t="shared" si="1"/>
        <v/>
      </c>
      <c r="E34" s="32" t="str">
        <f t="shared" si="3"/>
        <v/>
      </c>
    </row>
    <row r="35" spans="1:5" ht="10.5">
      <c r="A35" s="21" t="str">
        <f t="shared" si="0"/>
        <v>*</v>
      </c>
      <c r="C35" s="21" t="str">
        <f>IF($A35="*","",RES!#REF!)</f>
        <v/>
      </c>
      <c r="D35" s="32" t="str">
        <f t="shared" si="1"/>
        <v/>
      </c>
      <c r="E35" s="32" t="str">
        <f t="shared" si="3"/>
        <v/>
      </c>
    </row>
    <row r="36" spans="1:5" ht="10.5">
      <c r="A36" s="21" t="str">
        <f t="shared" si="0"/>
        <v>*</v>
      </c>
      <c r="D36" s="32"/>
      <c r="E36" s="32"/>
    </row>
    <row r="37" spans="1:5" ht="10.5">
      <c r="A37" s="21" t="str">
        <f t="shared" si="0"/>
        <v>*</v>
      </c>
      <c r="D37" s="32"/>
      <c r="E37" s="32"/>
    </row>
    <row r="38" spans="1:5" ht="10.5">
      <c r="A38" s="21" t="str">
        <f t="shared" si="0"/>
        <v>*</v>
      </c>
      <c r="D38" s="32"/>
      <c r="E38" s="32"/>
    </row>
    <row r="39" spans="1:5" ht="10.5">
      <c r="A39" s="21" t="str">
        <f t="shared" si="0"/>
        <v>*</v>
      </c>
      <c r="D39" s="32"/>
      <c r="E39" s="32"/>
    </row>
    <row r="40" spans="1:5" ht="10.5">
      <c r="A40" s="21" t="str">
        <f t="shared" si="0"/>
        <v>*</v>
      </c>
      <c r="D40" s="32"/>
      <c r="E40" s="32"/>
    </row>
    <row r="41" spans="1:5" ht="10.5">
      <c r="A41" s="21" t="str">
        <f t="shared" si="0"/>
        <v>*</v>
      </c>
      <c r="D41" s="32"/>
      <c r="E41" s="32"/>
    </row>
    <row r="42" spans="1:5" ht="10.5">
      <c r="A42" s="21" t="str">
        <f t="shared" si="0"/>
        <v>*</v>
      </c>
      <c r="D42" s="32"/>
      <c r="E42" s="32"/>
    </row>
    <row r="43" spans="1:5" ht="10.5">
      <c r="A43" s="21" t="str">
        <f t="shared" si="0"/>
        <v>*</v>
      </c>
      <c r="D43" s="32"/>
      <c r="E43" s="32"/>
    </row>
    <row r="44" spans="1:5" ht="10.5">
      <c r="A44" s="21" t="str">
        <f t="shared" si="0"/>
        <v>*</v>
      </c>
      <c r="D44" s="32"/>
      <c r="E44" s="32"/>
    </row>
    <row r="45" spans="1:5" ht="10.5">
      <c r="A45" s="21" t="str">
        <f t="shared" si="0"/>
        <v>*</v>
      </c>
      <c r="D45" s="32"/>
      <c r="E45" s="32"/>
    </row>
    <row r="46" spans="1:5" ht="10.5">
      <c r="A46" s="21" t="str">
        <f t="shared" si="0"/>
        <v>*</v>
      </c>
      <c r="D46" s="32"/>
      <c r="E46" s="32"/>
    </row>
    <row r="47" spans="1:5" ht="10.5">
      <c r="A47" s="21" t="str">
        <f t="shared" si="0"/>
        <v>*</v>
      </c>
      <c r="D47" s="32"/>
      <c r="E47" s="32"/>
    </row>
    <row r="48" spans="1:5" ht="10.5">
      <c r="A48" s="21" t="str">
        <f t="shared" si="0"/>
        <v>*</v>
      </c>
      <c r="D48" s="32"/>
      <c r="E48" s="32"/>
    </row>
    <row r="49" spans="1:5" ht="10.5">
      <c r="A49" s="21" t="str">
        <f t="shared" si="0"/>
        <v>*</v>
      </c>
      <c r="D49" s="32"/>
      <c r="E49" s="32"/>
    </row>
    <row r="50" spans="1:5" ht="10.5">
      <c r="A50" s="21" t="str">
        <f t="shared" ref="A50:A51" si="5">IF(B50=0,"*","")</f>
        <v>*</v>
      </c>
      <c r="D50" s="32"/>
      <c r="E50" s="32"/>
    </row>
    <row r="51" spans="1:5" ht="10.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53125" defaultRowHeight="10"/>
  <cols>
    <col min="1" max="1" width="12.1796875" style="580" customWidth="1"/>
    <col min="2" max="2" width="12" style="580" customWidth="1"/>
    <col min="3" max="3" width="11.453125" style="580" customWidth="1"/>
    <col min="4" max="4" width="7.453125" style="580" customWidth="1"/>
    <col min="5" max="16384" width="11.453125" style="580"/>
  </cols>
  <sheetData>
    <row r="1" spans="1:5" ht="10.5">
      <c r="A1" s="586" t="e">
        <v>#REF!</v>
      </c>
      <c r="B1" s="580" t="s">
        <v>1013</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1017</v>
      </c>
      <c r="C7" s="586" t="s">
        <v>913</v>
      </c>
      <c r="D7" s="585" t="s">
        <v>1016</v>
      </c>
      <c r="E7" s="580">
        <v>2017</v>
      </c>
    </row>
    <row r="8" spans="1:5" ht="10.5">
      <c r="A8" s="580" t="str">
        <f t="shared" ref="A8:A37" si="0">IF(C8=0,"*","")</f>
        <v/>
      </c>
      <c r="B8" s="583" t="s">
        <v>1018</v>
      </c>
      <c r="C8" s="581" t="str">
        <f>RES!D39</f>
        <v>RLEL</v>
      </c>
      <c r="D8" s="582" t="s">
        <v>49</v>
      </c>
      <c r="E8" s="584">
        <f>SUMIF(Lighting!$E$25:$E$35,C8,Lighting!$P$25:$P$35)</f>
        <v>16.109227586035693</v>
      </c>
    </row>
    <row r="9" spans="1:5" ht="10.5">
      <c r="A9" s="580" t="str">
        <f t="shared" si="0"/>
        <v/>
      </c>
      <c r="B9" s="583" t="s">
        <v>1018</v>
      </c>
      <c r="C9" s="581" t="s">
        <v>259</v>
      </c>
      <c r="D9" s="582" t="s">
        <v>49</v>
      </c>
      <c r="E9" s="584">
        <f>SUMIF(RES!$D$39:$D$301,C9,RES!$N$39:$N$301)</f>
        <v>4.0839895642726956E-2</v>
      </c>
    </row>
    <row r="10" spans="1:5" ht="10.5">
      <c r="A10" s="580" t="str">
        <f t="shared" si="0"/>
        <v/>
      </c>
      <c r="B10" s="583" t="s">
        <v>1018</v>
      </c>
      <c r="C10" s="581" t="s">
        <v>243</v>
      </c>
      <c r="D10" s="582" t="s">
        <v>49</v>
      </c>
      <c r="E10" s="584">
        <f>SUMIF(RES!$D$39:$D$301,C10,RES!$N$39:$N$301)</f>
        <v>12.418079895299289</v>
      </c>
    </row>
    <row r="11" spans="1:5" ht="10.5">
      <c r="A11" s="580" t="str">
        <f t="shared" si="0"/>
        <v/>
      </c>
      <c r="B11" s="583" t="s">
        <v>1018</v>
      </c>
      <c r="C11" s="581" t="s">
        <v>244</v>
      </c>
      <c r="D11" s="582" t="s">
        <v>49</v>
      </c>
      <c r="E11" s="584">
        <f>SUMIF(RES!$D$39:$D$301,C11,RES!$N$39:$N$301)</f>
        <v>9.6655928580509656</v>
      </c>
    </row>
    <row r="12" spans="1:5" ht="10.5">
      <c r="A12" s="580" t="str">
        <f t="shared" si="0"/>
        <v/>
      </c>
      <c r="B12" s="583" t="s">
        <v>1018</v>
      </c>
      <c r="C12" s="581" t="s">
        <v>557</v>
      </c>
      <c r="D12" s="582" t="s">
        <v>49</v>
      </c>
      <c r="E12" s="584">
        <f>SUMIF(RES!$D$39:$D$301,C12,RES!$N$39:$N$301)</f>
        <v>0</v>
      </c>
    </row>
    <row r="13" spans="1:5" ht="10.5">
      <c r="A13" s="580" t="str">
        <f t="shared" si="0"/>
        <v/>
      </c>
      <c r="B13" s="583" t="s">
        <v>1018</v>
      </c>
      <c r="C13" s="581" t="s">
        <v>245</v>
      </c>
      <c r="D13" s="582" t="s">
        <v>49</v>
      </c>
      <c r="E13" s="584">
        <f>SUMIF(RES!$D$39:$D$301,C13,RES!$N$39:$N$301)</f>
        <v>5.1245522871676306</v>
      </c>
    </row>
    <row r="14" spans="1:5" ht="10.5">
      <c r="A14" s="580" t="str">
        <f t="shared" si="0"/>
        <v/>
      </c>
      <c r="B14" s="583" t="s">
        <v>1018</v>
      </c>
      <c r="C14" s="581" t="s">
        <v>246</v>
      </c>
      <c r="D14" s="582" t="s">
        <v>49</v>
      </c>
      <c r="E14" s="584">
        <f>SUMIF(RES!$D$39:$D$301,C14,RES!$N$39:$N$301)</f>
        <v>4.4084424977710182</v>
      </c>
    </row>
    <row r="15" spans="1:5" ht="10.5">
      <c r="A15" s="580" t="str">
        <f t="shared" si="0"/>
        <v/>
      </c>
      <c r="B15" s="583" t="s">
        <v>1018</v>
      </c>
      <c r="C15" s="581" t="s">
        <v>247</v>
      </c>
      <c r="D15" s="582" t="s">
        <v>49</v>
      </c>
      <c r="E15" s="584">
        <f>SUMIF(RES!$D$39:$D$301,C15,RES!$N$39:$N$301)</f>
        <v>5.9546671109755804</v>
      </c>
    </row>
    <row r="16" spans="1:5" ht="10.5">
      <c r="A16" s="580" t="str">
        <f t="shared" si="0"/>
        <v>*</v>
      </c>
      <c r="B16" s="583" t="s">
        <v>1018</v>
      </c>
      <c r="C16" s="581"/>
      <c r="D16" s="582" t="s">
        <v>49</v>
      </c>
      <c r="E16" s="584">
        <f>SUMIF(RES!$D$39:$D$301,C16,RES!$N$39:$N$301)</f>
        <v>0</v>
      </c>
    </row>
    <row r="17" spans="1:5" ht="10.5">
      <c r="A17" s="580" t="str">
        <f t="shared" si="0"/>
        <v>*</v>
      </c>
      <c r="B17" s="583" t="s">
        <v>1018</v>
      </c>
      <c r="C17" s="581"/>
      <c r="D17" s="582" t="s">
        <v>49</v>
      </c>
      <c r="E17" s="584">
        <f>SUMIF(RES!$D$39:$D$301,C17,RES!$N$39:$N$301)</f>
        <v>0</v>
      </c>
    </row>
    <row r="18" spans="1:5" ht="10.5">
      <c r="A18" s="580" t="str">
        <f t="shared" si="0"/>
        <v>*</v>
      </c>
      <c r="B18" s="583" t="s">
        <v>1018</v>
      </c>
      <c r="C18" s="581"/>
      <c r="D18" s="582" t="s">
        <v>49</v>
      </c>
      <c r="E18" s="584">
        <f>SUMIF(RES!$D$39:$D$301,C18,RES!$N$39:$N$301)</f>
        <v>0</v>
      </c>
    </row>
    <row r="19" spans="1:5" ht="10.5">
      <c r="A19" s="580" t="str">
        <f t="shared" si="0"/>
        <v/>
      </c>
      <c r="B19" s="583" t="s">
        <v>1018</v>
      </c>
      <c r="C19" s="581" t="str">
        <f>ITEMS_Comm!B14</f>
        <v>RMEL</v>
      </c>
      <c r="D19" s="582" t="s">
        <v>49</v>
      </c>
      <c r="E19" s="584">
        <f>SUMIF(Lighting!$E$25:$E$35,C19,Lighting!$P$25:$P$35)</f>
        <v>14.174033674002837</v>
      </c>
    </row>
    <row r="20" spans="1:5" ht="10.5">
      <c r="A20" s="580" t="str">
        <f t="shared" si="0"/>
        <v/>
      </c>
      <c r="B20" s="583" t="s">
        <v>1018</v>
      </c>
      <c r="C20" s="581" t="str">
        <f>ITEMS_Comm!B15</f>
        <v>RMNL</v>
      </c>
      <c r="D20" s="582" t="s">
        <v>49</v>
      </c>
      <c r="E20" s="584">
        <f>SUMIF(RES!$D$39:$D$301,C20,RES!$N$39:$N$301)</f>
        <v>7.4748267504449573E-2</v>
      </c>
    </row>
    <row r="21" spans="1:5" ht="10.5">
      <c r="A21" s="580" t="str">
        <f t="shared" si="0"/>
        <v/>
      </c>
      <c r="B21" s="583" t="s">
        <v>1018</v>
      </c>
      <c r="C21" s="581" t="str">
        <f>ITEMS_Comm!B16</f>
        <v>RMEK</v>
      </c>
      <c r="D21" s="582" t="s">
        <v>49</v>
      </c>
      <c r="E21" s="584">
        <f>SUMIF(RES!$D$39:$D$301,C21,RES!$N$39:$N$301)</f>
        <v>10.242384469668096</v>
      </c>
    </row>
    <row r="22" spans="1:5" ht="10.5">
      <c r="A22" s="580" t="str">
        <f t="shared" si="0"/>
        <v/>
      </c>
      <c r="B22" s="583" t="s">
        <v>1018</v>
      </c>
      <c r="C22" s="581" t="str">
        <f>ITEMS_Comm!B17</f>
        <v>RMEH</v>
      </c>
      <c r="D22" s="582" t="s">
        <v>49</v>
      </c>
      <c r="E22" s="584">
        <f>SUMIF(RES!$D$39:$D$301,C22,RES!$N$39:$N$301)</f>
        <v>9.2108896716950586</v>
      </c>
    </row>
    <row r="23" spans="1:5" ht="10.5">
      <c r="A23" s="580" t="str">
        <f t="shared" si="0"/>
        <v/>
      </c>
      <c r="B23" s="583" t="s">
        <v>1018</v>
      </c>
      <c r="C23" s="581" t="str">
        <f>ITEMS_Comm!B18</f>
        <v>RMEW</v>
      </c>
      <c r="D23" s="582" t="s">
        <v>49</v>
      </c>
      <c r="E23" s="584">
        <f>SUMIF(RES!$D$39:$D$301,C23,RES!$N$39:$N$301)</f>
        <v>5.3340811275651303</v>
      </c>
    </row>
    <row r="24" spans="1:5" ht="10.5">
      <c r="A24" s="580" t="str">
        <f t="shared" si="0"/>
        <v/>
      </c>
      <c r="B24" s="583" t="s">
        <v>1018</v>
      </c>
      <c r="C24" s="581" t="str">
        <f>ITEMS_Comm!B19</f>
        <v>RMEWG</v>
      </c>
      <c r="D24" s="582" t="s">
        <v>49</v>
      </c>
      <c r="E24" s="584">
        <f>SUMIF(RES!$D$39:$D$301,C24,RES!$N$39:$N$301)</f>
        <v>7.2685088418514852</v>
      </c>
    </row>
    <row r="25" spans="1:5" ht="10.5">
      <c r="A25" s="580" t="str">
        <f t="shared" si="0"/>
        <v/>
      </c>
      <c r="B25" s="583" t="s">
        <v>1018</v>
      </c>
      <c r="C25" s="581" t="str">
        <f>ITEMS_Comm!B20</f>
        <v>RMER</v>
      </c>
      <c r="D25" s="582" t="s">
        <v>49</v>
      </c>
      <c r="E25" s="584">
        <f>SUMIF(RES!$D$39:$D$301,C25,RES!$N$39:$N$301)</f>
        <v>6.3166247598023233</v>
      </c>
    </row>
    <row r="26" spans="1:5" ht="10.5">
      <c r="A26" s="580" t="str">
        <f t="shared" si="0"/>
        <v/>
      </c>
      <c r="B26" s="583" t="s">
        <v>1018</v>
      </c>
      <c r="C26" s="581" t="str">
        <f>ITEMS_Comm!B21</f>
        <v>RMEO</v>
      </c>
      <c r="D26" s="582" t="s">
        <v>49</v>
      </c>
      <c r="E26" s="584">
        <f>SUMIF(RES!$D$39:$D$301,C26,RES!$N$39:$N$301)</f>
        <v>7.6709333297459112</v>
      </c>
    </row>
    <row r="27" spans="1:5" ht="10.5">
      <c r="A27" s="580" t="str">
        <f t="shared" si="0"/>
        <v>*</v>
      </c>
      <c r="B27" s="583" t="s">
        <v>1018</v>
      </c>
      <c r="C27" s="581"/>
      <c r="D27" s="582" t="s">
        <v>49</v>
      </c>
      <c r="E27" s="584">
        <f>SUMIF(RES!$D$39:$D$301,C27,RES!$N$39:$N$301)</f>
        <v>0</v>
      </c>
    </row>
    <row r="28" spans="1:5" ht="10.5">
      <c r="A28" s="580" t="str">
        <f t="shared" si="0"/>
        <v>*</v>
      </c>
      <c r="B28" s="583" t="s">
        <v>1018</v>
      </c>
      <c r="C28" s="581"/>
      <c r="D28" s="582" t="s">
        <v>49</v>
      </c>
      <c r="E28" s="584">
        <f>SUMIF(RES!$D$39:$D$301,C28,RES!$N$39:$N$301)</f>
        <v>0</v>
      </c>
    </row>
    <row r="29" spans="1:5" ht="10.5">
      <c r="A29" s="580" t="str">
        <f t="shared" si="0"/>
        <v>*</v>
      </c>
      <c r="B29" s="583" t="s">
        <v>1018</v>
      </c>
      <c r="C29" s="581"/>
      <c r="D29" s="582" t="s">
        <v>49</v>
      </c>
      <c r="E29" s="584">
        <f>SUMIF(RES!$D$39:$D$301,C29,RES!$N$39:$N$301)</f>
        <v>0</v>
      </c>
    </row>
    <row r="30" spans="1:5" ht="10.5">
      <c r="A30" s="580" t="str">
        <f t="shared" si="0"/>
        <v/>
      </c>
      <c r="B30" s="583" t="s">
        <v>1018</v>
      </c>
      <c r="C30" s="581" t="str">
        <f>ITEMS_Comm!B22</f>
        <v>RHEL</v>
      </c>
      <c r="D30" s="582" t="s">
        <v>49</v>
      </c>
      <c r="E30" s="584">
        <f>SUMIF(Lighting!$E$25:$E$35,C30,Lighting!$P$25:$P$35)</f>
        <v>18.582622571932536</v>
      </c>
    </row>
    <row r="31" spans="1:5" ht="10.5">
      <c r="A31" s="580" t="str">
        <f t="shared" si="0"/>
        <v/>
      </c>
      <c r="B31" s="583" t="s">
        <v>1018</v>
      </c>
      <c r="C31" s="581" t="str">
        <f>ITEMS_Comm!B23</f>
        <v>RHEK</v>
      </c>
      <c r="D31" s="582" t="s">
        <v>49</v>
      </c>
      <c r="E31" s="584">
        <f>SUMIF(RES!$D$39:$D$301,C31,RES!$N$39:$N$301)</f>
        <v>8.6118070589412117</v>
      </c>
    </row>
    <row r="32" spans="1:5" ht="10.5">
      <c r="A32" s="580" t="str">
        <f t="shared" si="0"/>
        <v/>
      </c>
      <c r="B32" s="583" t="s">
        <v>1018</v>
      </c>
      <c r="C32" s="581" t="str">
        <f>ITEMS_Comm!B24</f>
        <v>RHEH</v>
      </c>
      <c r="D32" s="582" t="s">
        <v>49</v>
      </c>
      <c r="E32" s="584">
        <f>SUMIF(RES!$D$39:$D$301,C32,RES!$N$39:$N$301)</f>
        <v>6.2843493471441025</v>
      </c>
    </row>
    <row r="33" spans="1:8" ht="10.5">
      <c r="A33" s="580" t="str">
        <f t="shared" si="0"/>
        <v/>
      </c>
      <c r="B33" s="583" t="s">
        <v>1018</v>
      </c>
      <c r="C33" s="581" t="str">
        <f>ITEMS_Comm!B25</f>
        <v>RHEW</v>
      </c>
      <c r="D33" s="582" t="s">
        <v>49</v>
      </c>
      <c r="E33" s="584">
        <f>SUMIF(RES!$D$39:$D$301,C33,RES!$N$39:$N$301)</f>
        <v>0</v>
      </c>
    </row>
    <row r="34" spans="1:8" ht="10.5">
      <c r="A34" s="580" t="str">
        <f t="shared" si="0"/>
        <v/>
      </c>
      <c r="B34" s="583" t="s">
        <v>1018</v>
      </c>
      <c r="C34" s="581" t="str">
        <f>ITEMS_Comm!B26</f>
        <v>RHEWG</v>
      </c>
      <c r="D34" s="582" t="s">
        <v>49</v>
      </c>
      <c r="E34" s="584">
        <f>SUMIF(RES!$D$39:$D$301,C34,RES!$N$39:$N$301)</f>
        <v>35.283751917402498</v>
      </c>
    </row>
    <row r="35" spans="1:8" ht="10.5">
      <c r="A35" s="580" t="str">
        <f t="shared" si="0"/>
        <v/>
      </c>
      <c r="B35" s="583" t="s">
        <v>1018</v>
      </c>
      <c r="C35" s="581" t="str">
        <f>ITEMS_Comm!B27</f>
        <v>RHER</v>
      </c>
      <c r="D35" s="582" t="s">
        <v>49</v>
      </c>
      <c r="E35" s="584">
        <f>SUMIF(RES!$D$39:$D$301,C35,RES!$N$39:$N$301)</f>
        <v>7.9624928252973453</v>
      </c>
    </row>
    <row r="36" spans="1:8" ht="10.5">
      <c r="A36" s="580" t="str">
        <f t="shared" si="0"/>
        <v/>
      </c>
      <c r="B36" s="583" t="s">
        <v>1018</v>
      </c>
      <c r="C36" s="581" t="str">
        <f>ITEMS_Comm!B28</f>
        <v>RHEO</v>
      </c>
      <c r="D36" s="582" t="s">
        <v>49</v>
      </c>
      <c r="E36" s="584">
        <f>SUMIF(RES!$D$39:$D$301,C36,RES!$N$39:$N$301)</f>
        <v>14.156558730157673</v>
      </c>
    </row>
    <row r="37" spans="1:8" ht="10.5">
      <c r="A37" s="580" t="str">
        <f t="shared" si="0"/>
        <v>*</v>
      </c>
      <c r="B37" s="583" t="s">
        <v>1018</v>
      </c>
      <c r="C37" s="581">
        <f>ITEMS_Comm!B29</f>
        <v>0</v>
      </c>
      <c r="D37" s="582" t="s">
        <v>49</v>
      </c>
      <c r="E37" s="584">
        <f>SUMIF(RES!$D$39:$D$301,C37,RES!$N$39:$N$301)</f>
        <v>0</v>
      </c>
    </row>
    <row r="38" spans="1:8" ht="10.5">
      <c r="B38" s="583"/>
      <c r="C38" s="581"/>
      <c r="D38" s="582"/>
      <c r="E38" s="584"/>
      <c r="G38" s="584"/>
      <c r="H38" s="584"/>
    </row>
    <row r="39" spans="1:8" ht="10.5">
      <c r="B39" s="583"/>
      <c r="C39" s="581"/>
      <c r="D39" s="582"/>
      <c r="E39" s="584"/>
    </row>
    <row r="40" spans="1:8" ht="10.5">
      <c r="B40" s="583"/>
      <c r="C40" s="581"/>
      <c r="D40" s="582"/>
      <c r="E40" s="584"/>
    </row>
    <row r="41" spans="1:8" ht="10.5">
      <c r="B41" s="583"/>
      <c r="C41" s="581"/>
      <c r="D41" s="582"/>
      <c r="E41" s="584"/>
    </row>
    <row r="42" spans="1:8" ht="10.5">
      <c r="B42" s="583"/>
      <c r="C42" s="581"/>
      <c r="D42" s="582"/>
      <c r="E42" s="584"/>
    </row>
    <row r="43" spans="1:8" ht="10.5">
      <c r="B43" s="583"/>
      <c r="C43" s="581"/>
      <c r="D43" s="582"/>
      <c r="E43" s="584"/>
    </row>
    <row r="44" spans="1:8" ht="10.5">
      <c r="B44" s="583"/>
      <c r="C44" s="581"/>
      <c r="D44" s="582"/>
      <c r="E44" s="584"/>
    </row>
    <row r="45" spans="1:8" ht="10.5">
      <c r="B45" s="583"/>
      <c r="C45" s="581"/>
      <c r="D45" s="582"/>
      <c r="E45" s="584"/>
    </row>
    <row r="46" spans="1:8" ht="10.5">
      <c r="B46" s="583"/>
      <c r="C46" s="581"/>
      <c r="D46" s="582"/>
      <c r="E46" s="584"/>
    </row>
    <row r="47" spans="1:8" ht="10.5">
      <c r="B47" s="583"/>
      <c r="C47" s="581"/>
      <c r="D47" s="582"/>
      <c r="E47" s="584"/>
    </row>
    <row r="48" spans="1:8" ht="10.5">
      <c r="B48" s="583"/>
      <c r="C48" s="581"/>
      <c r="D48" s="582"/>
      <c r="E48" s="584"/>
    </row>
    <row r="49" spans="2:5" ht="10.5">
      <c r="B49" s="583"/>
      <c r="C49" s="581"/>
      <c r="D49" s="582"/>
      <c r="E49" s="584"/>
    </row>
    <row r="50" spans="2:5" ht="10.5">
      <c r="B50" s="583"/>
      <c r="C50" s="581"/>
      <c r="D50" s="582"/>
      <c r="E50" s="584"/>
    </row>
    <row r="51" spans="2:5" ht="10.5">
      <c r="B51" s="583"/>
      <c r="C51" s="581"/>
      <c r="D51" s="582"/>
      <c r="E51" s="584"/>
    </row>
    <row r="52" spans="2:5" ht="10.5">
      <c r="B52" s="583"/>
      <c r="C52" s="581"/>
      <c r="D52" s="582"/>
      <c r="E52" s="584"/>
    </row>
    <row r="53" spans="2:5" ht="10.5">
      <c r="B53" s="583"/>
      <c r="C53" s="581"/>
      <c r="D53" s="582"/>
      <c r="E53" s="584"/>
    </row>
    <row r="54" spans="2:5" ht="10.5">
      <c r="B54" s="583"/>
      <c r="C54" s="581"/>
      <c r="D54" s="582"/>
    </row>
    <row r="55" spans="2:5" ht="10.5">
      <c r="B55" s="583"/>
      <c r="C55" s="581"/>
      <c r="D55" s="582"/>
    </row>
    <row r="56" spans="2:5" ht="10.5">
      <c r="B56" s="583"/>
      <c r="C56" s="581"/>
      <c r="D56" s="582"/>
    </row>
    <row r="57" spans="2:5" ht="10.5">
      <c r="B57" s="583"/>
      <c r="C57" s="581"/>
      <c r="D57" s="582"/>
    </row>
    <row r="58" spans="2:5" ht="10.5">
      <c r="B58" s="583"/>
      <c r="C58" s="581"/>
      <c r="D58" s="582"/>
    </row>
    <row r="59" spans="2:5" ht="10.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1640625" defaultRowHeight="12.5"/>
  <cols>
    <col min="1" max="1" width="23.726562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53125" defaultRowHeight="12.5"/>
  <cols>
    <col min="1" max="1" width="14.453125" customWidth="1"/>
  </cols>
  <sheetData>
    <row r="2" spans="1:4" ht="15.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ht="13">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ht="13">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ht="13">
      <c r="A77" s="367" t="s">
        <v>749</v>
      </c>
    </row>
    <row r="79" spans="1:14">
      <c r="B79" t="s">
        <v>750</v>
      </c>
    </row>
    <row r="80" spans="1:14">
      <c r="I80" s="369" t="s">
        <v>49</v>
      </c>
    </row>
    <row r="81" spans="1:9">
      <c r="B81" s="634" t="s">
        <v>751</v>
      </c>
      <c r="C81" s="634"/>
      <c r="D81" s="634"/>
      <c r="E81" s="634"/>
      <c r="F81" s="634"/>
      <c r="G81" s="634"/>
      <c r="H81" s="368">
        <v>0.115</v>
      </c>
      <c r="I81" s="111">
        <f>H81*$D$16</f>
        <v>46.575000000000003</v>
      </c>
    </row>
    <row r="82" spans="1:9">
      <c r="B82" s="634" t="s">
        <v>752</v>
      </c>
      <c r="C82" s="634"/>
      <c r="D82" s="634"/>
      <c r="E82" s="634"/>
      <c r="F82" s="634"/>
      <c r="G82" s="634"/>
      <c r="H82" s="368">
        <v>4.5999999999999999E-2</v>
      </c>
      <c r="I82" s="111">
        <f t="shared" ref="I82:I85" si="0">H82*$D$16</f>
        <v>18.63</v>
      </c>
    </row>
    <row r="83" spans="1:9">
      <c r="B83" s="634" t="s">
        <v>753</v>
      </c>
      <c r="C83" s="634"/>
      <c r="D83" s="634"/>
      <c r="E83" s="634"/>
      <c r="F83" s="634"/>
      <c r="G83" s="634"/>
      <c r="H83" s="368">
        <v>0.03</v>
      </c>
      <c r="I83" s="111">
        <f t="shared" si="0"/>
        <v>12.15</v>
      </c>
    </row>
    <row r="84" spans="1:9">
      <c r="B84" s="634" t="s">
        <v>754</v>
      </c>
      <c r="C84" s="634"/>
      <c r="D84" s="634"/>
      <c r="E84" s="634"/>
      <c r="F84" s="634"/>
      <c r="G84" s="634"/>
      <c r="H84" s="368">
        <v>0.1</v>
      </c>
      <c r="I84" s="111">
        <f t="shared" si="0"/>
        <v>40.5</v>
      </c>
    </row>
    <row r="85" spans="1:9">
      <c r="B85" s="634" t="s">
        <v>755</v>
      </c>
      <c r="C85" s="634"/>
      <c r="D85" s="634"/>
      <c r="E85" s="634"/>
      <c r="F85" s="634"/>
      <c r="G85" s="634"/>
      <c r="H85" s="368">
        <v>0.04</v>
      </c>
      <c r="I85" s="111">
        <f t="shared" si="0"/>
        <v>16.2</v>
      </c>
    </row>
    <row r="87" spans="1:9" ht="13">
      <c r="B87" s="5" t="s">
        <v>756</v>
      </c>
      <c r="C87" s="5"/>
      <c r="D87" s="24">
        <f>SUM(H81:H85)*D16</f>
        <v>134.05500000000001</v>
      </c>
      <c r="E87" s="5" t="s">
        <v>49</v>
      </c>
    </row>
    <row r="89" spans="1:9">
      <c r="E89" s="14"/>
    </row>
    <row r="90" spans="1:9" ht="13">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2024-10-21T15:15:18Z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