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6467FD16-EA31-4CFC-A85F-D74C7BF32D51}" xr6:coauthVersionLast="47" xr6:coauthVersionMax="47" xr10:uidLastSave="{00000000-0000-0000-0000-000000000000}"/>
  <bookViews>
    <workbookView xWindow="2660" yWindow="2660" windowWidth="21600" windowHeight="12760" firstSheet="4"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SUP!$A$98</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09" i="5" l="1"/>
  <c r="AI69" i="5"/>
  <c r="AH69" i="5"/>
  <c r="AJ69" i="5" s="1"/>
  <c r="Z61" i="5" s="1"/>
  <c r="AI64" i="5"/>
  <c r="AH64" i="5"/>
  <c r="AF69" i="5"/>
  <c r="AE69" i="5"/>
  <c r="P75" i="5"/>
  <c r="P74" i="5"/>
  <c r="U56" i="5"/>
  <c r="R56" i="5"/>
  <c r="S56" i="5"/>
  <c r="T56" i="5"/>
  <c r="Q56" i="5"/>
  <c r="AG69" i="5" l="1"/>
  <c r="Z63" i="5" s="1"/>
  <c r="Z65" i="5"/>
  <c r="B48" i="16"/>
  <c r="E76"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G86"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I97" i="5" l="1"/>
  <c r="J97" i="5" s="1"/>
  <c r="G60" i="5"/>
  <c r="G75" i="5" s="1"/>
  <c r="G73" i="5" l="1"/>
  <c r="H60" i="5"/>
  <c r="E36" i="5"/>
  <c r="AA41" i="5"/>
  <c r="Y41" i="5"/>
  <c r="X41" i="5"/>
  <c r="DK108" i="12"/>
  <c r="DL108" i="12"/>
  <c r="DM108" i="12"/>
  <c r="DN108" i="12"/>
  <c r="DO108" i="12"/>
  <c r="DP108" i="12"/>
  <c r="DQ108" i="12"/>
  <c r="DJ108" i="12"/>
  <c r="G16" i="5"/>
  <c r="W16" i="5"/>
  <c r="V16" i="5"/>
  <c r="P16" i="5"/>
  <c r="P17" i="5" s="1"/>
  <c r="P18" i="5" s="1"/>
  <c r="H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E84" i="5"/>
  <c r="E85" i="5" s="1"/>
  <c r="O68" i="5"/>
  <c r="W68"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H86" i="5"/>
  <c r="H76" i="5"/>
  <c r="H75" i="5"/>
  <c r="G62" i="5"/>
  <c r="G64" i="5" s="1"/>
  <c r="H73"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H62" i="5"/>
  <c r="H64"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V18" i="5" s="1"/>
  <c r="CP95" i="12"/>
  <c r="CO95" i="12"/>
  <c r="CL101" i="12" s="1"/>
  <c r="V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Y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7" i="5"/>
  <c r="A107" i="5" s="1"/>
  <c r="C106" i="5"/>
  <c r="A106" i="5" s="1"/>
  <c r="C105" i="5"/>
  <c r="A105" i="5" s="1"/>
  <c r="C104" i="5"/>
  <c r="A104" i="5" s="1"/>
  <c r="C51" i="15" s="1"/>
  <c r="C103" i="5"/>
  <c r="A103" i="5" s="1"/>
  <c r="C102" i="5"/>
  <c r="A102" i="5" s="1"/>
  <c r="C101" i="5"/>
  <c r="H100" i="5"/>
  <c r="C100" i="5"/>
  <c r="A100" i="5" s="1"/>
  <c r="E98" i="5"/>
  <c r="A98" i="5" s="1"/>
  <c r="E97" i="5"/>
  <c r="E95" i="5"/>
  <c r="E94" i="5"/>
  <c r="E93" i="5"/>
  <c r="A93" i="5" s="1"/>
  <c r="E92" i="5"/>
  <c r="A92" i="5" s="1"/>
  <c r="E91" i="5"/>
  <c r="A91" i="5" s="1"/>
  <c r="C38" i="15" s="1"/>
  <c r="E90" i="5"/>
  <c r="A90" i="5" s="1"/>
  <c r="C37" i="15" s="1"/>
  <c r="E89" i="5"/>
  <c r="A89" i="5" s="1"/>
  <c r="E88" i="5"/>
  <c r="A88" i="5" s="1"/>
  <c r="C35" i="15" s="1"/>
  <c r="E87" i="5"/>
  <c r="A87" i="5" s="1"/>
  <c r="I86" i="5"/>
  <c r="J86" i="5" s="1"/>
  <c r="E86" i="5"/>
  <c r="B84" i="5"/>
  <c r="E83" i="5"/>
  <c r="E82" i="5" s="1"/>
  <c r="H81" i="5"/>
  <c r="H101" i="5" s="1"/>
  <c r="E81" i="5"/>
  <c r="E79" i="5"/>
  <c r="E78" i="5"/>
  <c r="A78" i="5" s="1"/>
  <c r="E77" i="5"/>
  <c r="I76" i="5"/>
  <c r="J76" i="5" s="1"/>
  <c r="A76" i="5"/>
  <c r="I75" i="5"/>
  <c r="J75" i="5" s="1"/>
  <c r="E75" i="5"/>
  <c r="H74" i="5"/>
  <c r="H72" i="5" s="1"/>
  <c r="E74" i="5"/>
  <c r="E73" i="5"/>
  <c r="E72" i="5"/>
  <c r="E70" i="5"/>
  <c r="A70" i="5" s="1"/>
  <c r="C19" i="15" s="1"/>
  <c r="E69" i="5"/>
  <c r="E68" i="5"/>
  <c r="A68" i="5" s="1"/>
  <c r="M67" i="5"/>
  <c r="L67" i="5"/>
  <c r="E67" i="5"/>
  <c r="E66" i="5"/>
  <c r="A66" i="5" s="1"/>
  <c r="E64" i="5"/>
  <c r="E62" i="5"/>
  <c r="W60" i="5"/>
  <c r="I60" i="5"/>
  <c r="I74" i="5" s="1"/>
  <c r="I72" i="5" s="1"/>
  <c r="E60" i="5"/>
  <c r="P57" i="5"/>
  <c r="P56" i="5" s="1"/>
  <c r="O57" i="5"/>
  <c r="O56" i="5" s="1"/>
  <c r="M56" i="5"/>
  <c r="N56" i="5"/>
  <c r="L56" i="5"/>
  <c r="K56" i="5"/>
  <c r="J56" i="5"/>
  <c r="I56" i="5"/>
  <c r="H56" i="5"/>
  <c r="G56" i="5"/>
  <c r="F56" i="5"/>
  <c r="AP55" i="5"/>
  <c r="AO55" i="5"/>
  <c r="AW55" i="5" s="1"/>
  <c r="AN55" i="5"/>
  <c r="AV55" i="5" s="1"/>
  <c r="AM55" i="5"/>
  <c r="AU55" i="5" s="1"/>
  <c r="AL55" i="5"/>
  <c r="AT55" i="5" s="1"/>
  <c r="AK55" i="5"/>
  <c r="AS55" i="5" s="1"/>
  <c r="AJ55" i="5"/>
  <c r="AR55" i="5" s="1"/>
  <c r="AI55" i="5"/>
  <c r="AH55" i="5"/>
  <c r="AG55" i="5"/>
  <c r="AP54" i="5"/>
  <c r="AX54" i="5" s="1"/>
  <c r="AO54" i="5"/>
  <c r="AW54" i="5" s="1"/>
  <c r="AN54" i="5"/>
  <c r="AV54" i="5" s="1"/>
  <c r="AM54" i="5"/>
  <c r="AU54" i="5" s="1"/>
  <c r="AL54" i="5"/>
  <c r="AK54" i="5"/>
  <c r="AS54" i="5" s="1"/>
  <c r="AJ54" i="5"/>
  <c r="AI54" i="5"/>
  <c r="AQ54" i="5" s="1"/>
  <c r="AH54" i="5"/>
  <c r="AD53" i="5"/>
  <c r="AX43" i="5"/>
  <c r="AW43" i="5"/>
  <c r="AV43" i="5"/>
  <c r="AU43" i="5"/>
  <c r="AT43" i="5"/>
  <c r="AS43" i="5"/>
  <c r="AR43" i="5"/>
  <c r="AQ43" i="5"/>
  <c r="P42" i="5"/>
  <c r="A42" i="5"/>
  <c r="E42" i="5" s="1"/>
  <c r="A41" i="5"/>
  <c r="E41" i="5" s="1"/>
  <c r="V40" i="5"/>
  <c r="A40" i="5"/>
  <c r="E40" i="5" s="1"/>
  <c r="AL39" i="5"/>
  <c r="AK39" i="5"/>
  <c r="AJ39" i="5"/>
  <c r="AI39" i="5"/>
  <c r="AH39" i="5"/>
  <c r="AG39" i="5"/>
  <c r="V39" i="5"/>
  <c r="A39" i="5"/>
  <c r="E39" i="5" s="1"/>
  <c r="AL38" i="5"/>
  <c r="AK38" i="5"/>
  <c r="AJ38" i="5"/>
  <c r="AI38" i="5"/>
  <c r="AH38" i="5"/>
  <c r="AG38" i="5"/>
  <c r="V38" i="5"/>
  <c r="AL37" i="5"/>
  <c r="AK37" i="5"/>
  <c r="AJ37" i="5"/>
  <c r="AI37" i="5"/>
  <c r="AH37" i="5"/>
  <c r="AG37" i="5"/>
  <c r="V37" i="5"/>
  <c r="A37" i="5"/>
  <c r="E37" i="5" s="1"/>
  <c r="AL36" i="5"/>
  <c r="AK36" i="5"/>
  <c r="AJ36" i="5"/>
  <c r="AI36" i="5"/>
  <c r="AH36" i="5"/>
  <c r="AG36" i="5"/>
  <c r="AA36" i="5"/>
  <c r="Y36" i="5"/>
  <c r="X36" i="5"/>
  <c r="AL35" i="5"/>
  <c r="AK35" i="5"/>
  <c r="AJ35" i="5"/>
  <c r="AI35" i="5"/>
  <c r="AH35" i="5"/>
  <c r="AG35" i="5"/>
  <c r="AL34" i="5"/>
  <c r="AQ34" i="5" s="1"/>
  <c r="AK34" i="5"/>
  <c r="AP34" i="5" s="1"/>
  <c r="AJ34" i="5"/>
  <c r="AO34" i="5" s="1"/>
  <c r="AI34" i="5"/>
  <c r="AN34" i="5" s="1"/>
  <c r="AH34" i="5"/>
  <c r="AM34" i="5" s="1"/>
  <c r="A34" i="5"/>
  <c r="AH33" i="5"/>
  <c r="A33" i="5"/>
  <c r="AL32" i="5"/>
  <c r="AK32" i="5"/>
  <c r="AJ32" i="5"/>
  <c r="AI32" i="5"/>
  <c r="AH32" i="5"/>
  <c r="AG32" i="5"/>
  <c r="A32" i="5"/>
  <c r="AL31" i="5"/>
  <c r="AK31" i="5"/>
  <c r="AJ31" i="5"/>
  <c r="AI31" i="5"/>
  <c r="AH31" i="5"/>
  <c r="AG31" i="5"/>
  <c r="A31" i="5"/>
  <c r="AL30" i="5"/>
  <c r="AK30" i="5"/>
  <c r="AJ30" i="5"/>
  <c r="AI30" i="5"/>
  <c r="AH30" i="5"/>
  <c r="AG30" i="5"/>
  <c r="A30" i="5"/>
  <c r="AL29" i="5"/>
  <c r="AK29" i="5"/>
  <c r="AJ29" i="5"/>
  <c r="AI29" i="5"/>
  <c r="AH29" i="5"/>
  <c r="AG29" i="5"/>
  <c r="AL28" i="5"/>
  <c r="AK28" i="5"/>
  <c r="AJ28" i="5"/>
  <c r="AI28" i="5"/>
  <c r="AH28" i="5"/>
  <c r="AG28" i="5"/>
  <c r="F28" i="5"/>
  <c r="F34" i="5" s="1"/>
  <c r="AL27" i="5"/>
  <c r="AQ27" i="5" s="1"/>
  <c r="AK27" i="5"/>
  <c r="AP27" i="5" s="1"/>
  <c r="AJ27" i="5"/>
  <c r="AO27" i="5" s="1"/>
  <c r="AI27" i="5"/>
  <c r="AN27" i="5" s="1"/>
  <c r="AH27" i="5"/>
  <c r="AM27" i="5" s="1"/>
  <c r="F27" i="5"/>
  <c r="F33" i="5" s="1"/>
  <c r="AH26" i="5"/>
  <c r="F26" i="5"/>
  <c r="F32" i="5" s="1"/>
  <c r="AL25" i="5"/>
  <c r="AK25" i="5"/>
  <c r="AJ25" i="5"/>
  <c r="AI25" i="5"/>
  <c r="AH25" i="5"/>
  <c r="AG25" i="5"/>
  <c r="F25" i="5"/>
  <c r="F31" i="5" s="1"/>
  <c r="AL24" i="5"/>
  <c r="AK24" i="5"/>
  <c r="AJ24" i="5"/>
  <c r="AI24" i="5"/>
  <c r="AH24" i="5"/>
  <c r="AG24" i="5"/>
  <c r="F24" i="5"/>
  <c r="AL23" i="5"/>
  <c r="AK23" i="5"/>
  <c r="AJ23" i="5"/>
  <c r="AI23" i="5"/>
  <c r="AH23" i="5"/>
  <c r="AG23" i="5"/>
  <c r="AL22" i="5"/>
  <c r="AK22" i="5"/>
  <c r="AJ22" i="5"/>
  <c r="AI22" i="5"/>
  <c r="AH22" i="5"/>
  <c r="AG22" i="5"/>
  <c r="F22" i="5"/>
  <c r="AL21" i="5"/>
  <c r="AK21" i="5"/>
  <c r="AJ21" i="5"/>
  <c r="AI21" i="5"/>
  <c r="AH21" i="5"/>
  <c r="AG21" i="5"/>
  <c r="AL20" i="5"/>
  <c r="AK20" i="5"/>
  <c r="AJ20" i="5"/>
  <c r="AI20" i="5"/>
  <c r="AH20" i="5"/>
  <c r="AH19" i="5"/>
  <c r="H15" i="5"/>
  <c r="W14" i="5"/>
  <c r="BF7" i="5"/>
  <c r="BF8" i="5" s="1"/>
  <c r="BE7" i="5"/>
  <c r="BE8" i="5" s="1"/>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O7" i="5"/>
  <c r="AO8" i="5" s="1"/>
  <c r="AL7" i="5"/>
  <c r="AL8" i="5" s="1"/>
  <c r="AJ7" i="5"/>
  <c r="AJ8" i="5" s="1"/>
  <c r="AH7" i="5"/>
  <c r="AH8" i="5" s="1"/>
  <c r="AF7" i="5"/>
  <c r="AF8" i="5" s="1"/>
  <c r="AE7" i="5"/>
  <c r="AE8" i="5" s="1"/>
  <c r="AD7" i="5"/>
  <c r="AD8" i="5" s="1"/>
  <c r="AC7" i="5"/>
  <c r="AC8" i="5" s="1"/>
  <c r="AB7" i="5"/>
  <c r="AB8" i="5" s="1"/>
  <c r="X7" i="5"/>
  <c r="X8" i="5" s="1"/>
  <c r="W7" i="5"/>
  <c r="W8" i="5" s="1"/>
  <c r="N7" i="5"/>
  <c r="N8" i="5" s="1"/>
  <c r="M7" i="5"/>
  <c r="M8" i="5" s="1"/>
  <c r="L7" i="5"/>
  <c r="L8" i="5" s="1"/>
  <c r="K7" i="5"/>
  <c r="K8" i="5" s="1"/>
  <c r="J7" i="5"/>
  <c r="J8" i="5" s="1"/>
  <c r="I7" i="5"/>
  <c r="I8" i="5" s="1"/>
  <c r="H7" i="5"/>
  <c r="H8" i="5" s="1"/>
  <c r="G7" i="5"/>
  <c r="G8" i="5" s="1"/>
  <c r="F7" i="5"/>
  <c r="F8" i="5" s="1"/>
  <c r="E7" i="5"/>
  <c r="E8" i="5" s="1"/>
  <c r="C7" i="5"/>
  <c r="C8" i="5" s="1"/>
  <c r="E6" i="5"/>
  <c r="F6" i="5" s="1"/>
  <c r="G6" i="5" s="1"/>
  <c r="H6" i="5" s="1"/>
  <c r="I6" i="5" s="1"/>
  <c r="J6" i="5" s="1"/>
  <c r="K6" i="5" s="1"/>
  <c r="L6" i="5" s="1"/>
  <c r="M6" i="5" s="1"/>
  <c r="N6" i="5" s="1"/>
  <c r="O6" i="5" s="1"/>
  <c r="P6" i="5" s="1"/>
  <c r="V6" i="5" s="1"/>
  <c r="W6" i="5" s="1"/>
  <c r="X6" i="5" s="1"/>
  <c r="Y6" i="5" s="1"/>
  <c r="AA6" i="5" s="1"/>
  <c r="AB6" i="5" s="1"/>
  <c r="AC6" i="5" s="1"/>
  <c r="AD6" i="5" s="1"/>
  <c r="AE6" i="5" s="1"/>
  <c r="AF6" i="5" s="1"/>
  <c r="AG6" i="5" s="1"/>
  <c r="AH6" i="5" s="1"/>
  <c r="AI6" i="5" s="1"/>
  <c r="AJ6" i="5" s="1"/>
  <c r="AK6" i="5" s="1"/>
  <c r="AL6" i="5" s="1"/>
  <c r="AM6" i="5" s="1"/>
  <c r="AO6" i="5" s="1"/>
  <c r="AP6" i="5" s="1"/>
  <c r="AQ6" i="5" s="1"/>
  <c r="AR6" i="5" s="1"/>
  <c r="AS6" i="5" s="1"/>
  <c r="AT6" i="5" s="1"/>
  <c r="AU6" i="5" s="1"/>
  <c r="AV6" i="5" s="1"/>
  <c r="AW6" i="5" s="1"/>
  <c r="AX6" i="5" s="1"/>
  <c r="AY6" i="5" s="1"/>
  <c r="AZ6" i="5" s="1"/>
  <c r="BA6" i="5" s="1"/>
  <c r="BB6" i="5" s="1"/>
  <c r="BC6" i="5" s="1"/>
  <c r="BD6" i="5" s="1"/>
  <c r="BE6" i="5" s="1"/>
  <c r="BF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P36" i="5"/>
  <c r="I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O28" i="5"/>
  <c r="AN30" i="5"/>
  <c r="B101" i="5"/>
  <c r="B48" i="15" s="1"/>
  <c r="A101" i="5"/>
  <c r="C48" i="15" s="1"/>
  <c r="B89" i="5"/>
  <c r="B36" i="15" s="1"/>
  <c r="B97" i="5"/>
  <c r="B44" i="15" s="1"/>
  <c r="A97" i="5"/>
  <c r="C44" i="15" s="1"/>
  <c r="B62" i="5"/>
  <c r="A62" i="5"/>
  <c r="A13" i="15" s="1"/>
  <c r="B73" i="5"/>
  <c r="B22" i="15" s="1"/>
  <c r="A73" i="5"/>
  <c r="C22" i="15" s="1"/>
  <c r="A84" i="5"/>
  <c r="C32" i="15" s="1"/>
  <c r="A83" i="5"/>
  <c r="C31" i="15" s="1"/>
  <c r="B67" i="5"/>
  <c r="B16" i="15" s="1"/>
  <c r="A67" i="5"/>
  <c r="C16" i="15" s="1"/>
  <c r="B75" i="5"/>
  <c r="B24" i="15" s="1"/>
  <c r="A75" i="5"/>
  <c r="C24" i="15" s="1"/>
  <c r="B94" i="5"/>
  <c r="B41" i="15" s="1"/>
  <c r="A94" i="5"/>
  <c r="C41" i="15" s="1"/>
  <c r="B86" i="5"/>
  <c r="B33" i="15" s="1"/>
  <c r="A86" i="5"/>
  <c r="C33" i="15" s="1"/>
  <c r="B95" i="5"/>
  <c r="B42" i="15" s="1"/>
  <c r="A95" i="5"/>
  <c r="C42" i="15" s="1"/>
  <c r="B64" i="5"/>
  <c r="A64" i="5"/>
  <c r="A14" i="15" s="1"/>
  <c r="C14" i="15" s="1"/>
  <c r="B77" i="5"/>
  <c r="B26" i="15" s="1"/>
  <c r="A77" i="5"/>
  <c r="C26" i="15" s="1"/>
  <c r="B74" i="5"/>
  <c r="B23" i="15" s="1"/>
  <c r="A74" i="5"/>
  <c r="C23" i="15" s="1"/>
  <c r="B60" i="5"/>
  <c r="A60" i="5"/>
  <c r="A12" i="15" s="1"/>
  <c r="A79" i="5"/>
  <c r="C28" i="15" s="1"/>
  <c r="B81" i="5"/>
  <c r="B30" i="15" s="1"/>
  <c r="A81" i="5"/>
  <c r="C30" i="15" s="1"/>
  <c r="B72" i="5"/>
  <c r="B21" i="15" s="1"/>
  <c r="A72" i="5"/>
  <c r="C21" i="15" s="1"/>
  <c r="AQ39" i="5"/>
  <c r="W72" i="5"/>
  <c r="AN31" i="5"/>
  <c r="AO31" i="5"/>
  <c r="W81" i="5"/>
  <c r="AN56" i="5"/>
  <c r="AV56" i="5" s="1"/>
  <c r="B66" i="5"/>
  <c r="W75" i="5"/>
  <c r="B88" i="5"/>
  <c r="B35" i="15" s="1"/>
  <c r="W89" i="5"/>
  <c r="AN38" i="5"/>
  <c r="B68" i="5"/>
  <c r="B17" i="15" s="1"/>
  <c r="W73" i="5"/>
  <c r="W83" i="5"/>
  <c r="B91" i="5"/>
  <c r="B38" i="15" s="1"/>
  <c r="W101" i="5"/>
  <c r="W77" i="5"/>
  <c r="C39" i="15"/>
  <c r="B70" i="5"/>
  <c r="C39" i="5" s="1"/>
  <c r="W74" i="5"/>
  <c r="B98" i="5"/>
  <c r="B45" i="15" s="1"/>
  <c r="B103" i="5"/>
  <c r="B50" i="15" s="1"/>
  <c r="AQ28" i="5"/>
  <c r="AP30" i="5"/>
  <c r="W62" i="5"/>
  <c r="B93" i="5"/>
  <c r="B40" i="15" s="1"/>
  <c r="B104" i="5"/>
  <c r="B51" i="15" s="1"/>
  <c r="W78" i="5"/>
  <c r="W93" i="5"/>
  <c r="W86" i="5"/>
  <c r="B106" i="5"/>
  <c r="B53" i="15" s="1"/>
  <c r="AM36" i="5"/>
  <c r="AH56" i="5"/>
  <c r="AP56" i="5" s="1"/>
  <c r="W64" i="5"/>
  <c r="B107" i="5"/>
  <c r="B54" i="15" s="1"/>
  <c r="AX55" i="5"/>
  <c r="AK56" i="5"/>
  <c r="AS56" i="5" s="1"/>
  <c r="W66" i="5"/>
  <c r="B79" i="5"/>
  <c r="B28" i="15" s="1"/>
  <c r="W90" i="5"/>
  <c r="W94" i="5"/>
  <c r="AM56" i="5"/>
  <c r="AU56" i="5" s="1"/>
  <c r="W84" i="5"/>
  <c r="W102" i="5"/>
  <c r="AP38" i="5"/>
  <c r="J60" i="5"/>
  <c r="B32" i="15"/>
  <c r="AM28" i="5"/>
  <c r="W79" i="5"/>
  <c r="B92" i="5"/>
  <c r="B39" i="15" s="1"/>
  <c r="W95" i="5"/>
  <c r="W103" i="5"/>
  <c r="AG56" i="5"/>
  <c r="AO56" i="5" s="1"/>
  <c r="AN28" i="5"/>
  <c r="AQ32" i="5"/>
  <c r="W76" i="5"/>
  <c r="AO37" i="5"/>
  <c r="W92" i="5"/>
  <c r="AP29" i="5"/>
  <c r="AQ55" i="5"/>
  <c r="B83" i="5"/>
  <c r="W88" i="5"/>
  <c r="W106"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O29" i="5"/>
  <c r="AM31" i="5"/>
  <c r="AQ35" i="5"/>
  <c r="AQ31" i="5"/>
  <c r="AM39" i="5"/>
  <c r="I135" i="7"/>
  <c r="G21" i="5"/>
  <c r="G22" i="5" s="1"/>
  <c r="G34" i="5" s="1"/>
  <c r="I133" i="7"/>
  <c r="AN29" i="5"/>
  <c r="AQ30" i="5"/>
  <c r="AM32" i="5"/>
  <c r="AQ29" i="5"/>
  <c r="AO32" i="5"/>
  <c r="AP32" i="5"/>
  <c r="AP37" i="5"/>
  <c r="AB39" i="5" s="1"/>
  <c r="Y39" i="5" s="1"/>
  <c r="AP28" i="5"/>
  <c r="AP31" i="5"/>
  <c r="AN36" i="5"/>
  <c r="AQ37" i="5"/>
  <c r="I57" i="14"/>
  <c r="D91" i="14" s="1"/>
  <c r="AM35" i="5"/>
  <c r="AO36" i="5"/>
  <c r="AN39" i="5"/>
  <c r="I142" i="7"/>
  <c r="J57" i="14"/>
  <c r="E98" i="14" s="1"/>
  <c r="AM37" i="5"/>
  <c r="AM30" i="5"/>
  <c r="AO35" i="5"/>
  <c r="AQ36" i="5"/>
  <c r="AM38" i="5"/>
  <c r="AP39" i="5"/>
  <c r="AO30" i="5"/>
  <c r="AN32" i="5"/>
  <c r="AO38" i="5"/>
  <c r="C42" i="5"/>
  <c r="O12" i="7"/>
  <c r="C47" i="15"/>
  <c r="C54" i="15"/>
  <c r="C40" i="15"/>
  <c r="B76" i="5"/>
  <c r="B25" i="15" s="1"/>
  <c r="C25" i="15"/>
  <c r="B105" i="5"/>
  <c r="B52" i="15" s="1"/>
  <c r="C52" i="15"/>
  <c r="L105" i="5"/>
  <c r="R46" i="7"/>
  <c r="W46" i="7"/>
  <c r="U46" i="7"/>
  <c r="T46" i="7"/>
  <c r="S46" i="7"/>
  <c r="L102" i="5"/>
  <c r="U39" i="7"/>
  <c r="T39" i="7"/>
  <c r="S39" i="7"/>
  <c r="R39" i="7"/>
  <c r="W39" i="7"/>
  <c r="E123" i="7"/>
  <c r="L123" i="7"/>
  <c r="M123" i="7" s="1"/>
  <c r="G123" i="7"/>
  <c r="D123" i="7"/>
  <c r="G124" i="7"/>
  <c r="N123" i="7"/>
  <c r="V135" i="7"/>
  <c r="X62" i="5" s="1"/>
  <c r="V140" i="7"/>
  <c r="X60" i="5" s="1"/>
  <c r="I15" i="5"/>
  <c r="AN37" i="5"/>
  <c r="B78" i="5"/>
  <c r="B27" i="15" s="1"/>
  <c r="C27" i="15"/>
  <c r="AJ56" i="5"/>
  <c r="AR56" i="5" s="1"/>
  <c r="AT54" i="5"/>
  <c r="C17" i="15"/>
  <c r="R44" i="7"/>
  <c r="U44" i="7"/>
  <c r="T44" i="7"/>
  <c r="S44" i="7"/>
  <c r="W44" i="7"/>
  <c r="B87" i="5"/>
  <c r="B34" i="15" s="1"/>
  <c r="C34" i="15"/>
  <c r="L87" i="5"/>
  <c r="I62" i="5"/>
  <c r="I64" i="5" s="1"/>
  <c r="L88" i="5"/>
  <c r="B90" i="5"/>
  <c r="B37" i="15" s="1"/>
  <c r="U47" i="7"/>
  <c r="T47" i="7"/>
  <c r="S47" i="7"/>
  <c r="W47" i="7"/>
  <c r="R47" i="7"/>
  <c r="V20" i="7" s="1"/>
  <c r="V21" i="7" s="1"/>
  <c r="K13" i="9"/>
  <c r="S13" i="9" s="1"/>
  <c r="U13" i="9"/>
  <c r="F30" i="5"/>
  <c r="A15" i="15"/>
  <c r="L104" i="5"/>
  <c r="V27" i="9"/>
  <c r="V23" i="9"/>
  <c r="V25" i="9"/>
  <c r="V26" i="9"/>
  <c r="V24" i="9"/>
  <c r="V32" i="9"/>
  <c r="U43" i="7"/>
  <c r="T43" i="7"/>
  <c r="S43" i="7"/>
  <c r="R43" i="7"/>
  <c r="H45" i="7"/>
  <c r="G128" i="7"/>
  <c r="E128" i="7"/>
  <c r="L128" i="7"/>
  <c r="M128" i="7" s="1"/>
  <c r="D128" i="7"/>
  <c r="I138" i="7"/>
  <c r="J138" i="7"/>
  <c r="K138" i="7" s="1"/>
  <c r="L138" i="7" s="1"/>
  <c r="AP35" i="5"/>
  <c r="C50" i="15"/>
  <c r="W36" i="7"/>
  <c r="S36" i="7"/>
  <c r="R36" i="7"/>
  <c r="U36" i="7"/>
  <c r="T36" i="7"/>
  <c r="K25" i="9"/>
  <c r="S25" i="9" s="1"/>
  <c r="U25" i="9"/>
  <c r="AM29" i="5"/>
  <c r="AR54" i="5"/>
  <c r="C36" i="15"/>
  <c r="B100" i="5"/>
  <c r="B47" i="15" s="1"/>
  <c r="N128" i="7"/>
  <c r="C53" i="15"/>
  <c r="L107" i="5"/>
  <c r="V36" i="7"/>
  <c r="AN35" i="5"/>
  <c r="AI56" i="5"/>
  <c r="AQ56" i="5" s="1"/>
  <c r="W105" i="5"/>
  <c r="W100" i="5"/>
  <c r="W104" i="5"/>
  <c r="W87" i="5"/>
  <c r="W91" i="5"/>
  <c r="L101" i="5"/>
  <c r="W107" i="5"/>
  <c r="G129" i="7"/>
  <c r="J136" i="7"/>
  <c r="K136" i="7" s="1"/>
  <c r="L136" i="7" s="1"/>
  <c r="I136" i="7"/>
  <c r="E144" i="7"/>
  <c r="B6" i="5"/>
  <c r="AA42" i="5"/>
  <c r="O66" i="5"/>
  <c r="P66" i="5" s="1"/>
  <c r="B102" i="5"/>
  <c r="B49" i="15" s="1"/>
  <c r="C49" i="15"/>
  <c r="G144" i="7"/>
  <c r="H134" i="7"/>
  <c r="L103" i="5"/>
  <c r="L86" i="5"/>
  <c r="AO39" i="5"/>
  <c r="B69" i="5"/>
  <c r="I73" i="5"/>
  <c r="J73" i="5" s="1"/>
  <c r="I100" i="5"/>
  <c r="T41" i="7"/>
  <c r="U41" i="7"/>
  <c r="S41" i="7"/>
  <c r="R41" i="7"/>
  <c r="K134" i="7"/>
  <c r="J140" i="7"/>
  <c r="K140" i="7" s="1"/>
  <c r="L140" i="7" s="1"/>
  <c r="I140" i="7"/>
  <c r="AQ38" i="5"/>
  <c r="AL56" i="5"/>
  <c r="AT56" i="5" s="1"/>
  <c r="I81" i="5"/>
  <c r="I101"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Y62"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W17" i="5" s="1"/>
  <c r="CR96" i="12"/>
  <c r="CM102" i="12" s="1"/>
  <c r="W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J16" i="5"/>
  <c r="G103" i="5"/>
  <c r="G28" i="5"/>
  <c r="G106"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AB41" i="5"/>
  <c r="AB37" i="5" s="1"/>
  <c r="AA37" i="5" s="1"/>
  <c r="C13" i="15"/>
  <c r="B13" i="15"/>
  <c r="X42" i="5"/>
  <c r="J81" i="5"/>
  <c r="J101" i="5" s="1"/>
  <c r="J100" i="5"/>
  <c r="J74" i="5"/>
  <c r="J72" i="5" s="1"/>
  <c r="E97" i="14"/>
  <c r="AU42" i="12"/>
  <c r="CQ137" i="12"/>
  <c r="AT24" i="12"/>
  <c r="AT25" i="12" s="1"/>
  <c r="AT43" i="12"/>
  <c r="AA44" i="12"/>
  <c r="N25" i="12"/>
  <c r="CM137" i="12"/>
  <c r="AP48" i="12"/>
  <c r="AU46" i="12"/>
  <c r="AY25" i="12"/>
  <c r="T73" i="12"/>
  <c r="AP47" i="12"/>
  <c r="V43" i="12"/>
  <c r="AF44" i="12" s="1"/>
  <c r="AP46" i="12"/>
  <c r="H144" i="7"/>
  <c r="G66" i="5"/>
  <c r="AA39" i="5"/>
  <c r="F39" i="5" s="1"/>
  <c r="X39" i="5"/>
  <c r="I144" i="7"/>
  <c r="G88" i="5"/>
  <c r="P134" i="7"/>
  <c r="Q134" i="7" s="1"/>
  <c r="Q130" i="7"/>
  <c r="AY46" i="12"/>
  <c r="AZ46" i="12"/>
  <c r="AZ42" i="12"/>
  <c r="AY43" i="12" s="1"/>
  <c r="AY44" i="12" s="1"/>
  <c r="I25" i="12"/>
  <c r="J19" i="10"/>
  <c r="I19" i="10"/>
  <c r="J18" i="10"/>
  <c r="I18" i="10"/>
  <c r="I17" i="10"/>
  <c r="J17" i="10"/>
  <c r="X16" i="10" s="1"/>
  <c r="J62" i="5"/>
  <c r="J64"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J15" i="5"/>
  <c r="I21" i="5"/>
  <c r="Q9" i="10"/>
  <c r="R8" i="10"/>
  <c r="Q8" i="10"/>
  <c r="R7" i="10"/>
  <c r="Z8" i="10" s="1"/>
  <c r="Q7" i="10"/>
  <c r="Z7" i="10" s="1"/>
  <c r="R9" i="10"/>
  <c r="AY45" i="12"/>
  <c r="AZ45" i="12"/>
  <c r="J9" i="10"/>
  <c r="I9" i="10"/>
  <c r="J8" i="10"/>
  <c r="I8" i="10"/>
  <c r="J7" i="10"/>
  <c r="X8" i="10" s="1"/>
  <c r="I7" i="10"/>
  <c r="H21" i="5"/>
  <c r="F8" i="10"/>
  <c r="F7" i="10"/>
  <c r="W8" i="10" s="1"/>
  <c r="E7" i="10"/>
  <c r="F9" i="10"/>
  <c r="E9" i="10"/>
  <c r="E8" i="10"/>
  <c r="BB51" i="8"/>
  <c r="BA51" i="8"/>
  <c r="J144" i="7"/>
  <c r="G41" i="14"/>
  <c r="G42" i="14" s="1"/>
  <c r="L134" i="7"/>
  <c r="K144" i="7"/>
  <c r="Y42" i="5"/>
  <c r="H86" i="14"/>
  <c r="F14" i="10"/>
  <c r="E14" i="10"/>
  <c r="E13" i="10"/>
  <c r="F12" i="10"/>
  <c r="F13" i="10"/>
  <c r="E12" i="10"/>
  <c r="E19" i="10"/>
  <c r="E18" i="10"/>
  <c r="F17" i="10"/>
  <c r="W16" i="10" s="1"/>
  <c r="E17" i="10"/>
  <c r="F19" i="10"/>
  <c r="F18" i="10"/>
  <c r="H77" i="14"/>
  <c r="I77" i="14" s="1"/>
  <c r="I76" i="14"/>
  <c r="AT44" i="12"/>
  <c r="AP45" i="12"/>
  <c r="X37" i="5" l="1"/>
  <c r="Y37" i="5"/>
  <c r="A44" i="3"/>
  <c r="A45" i="3" s="1"/>
  <c r="J21" i="5"/>
  <c r="J25" i="5" s="1"/>
  <c r="F37" i="5"/>
  <c r="H37" i="5" s="1"/>
  <c r="H68" i="5" s="1"/>
  <c r="G91" i="5"/>
  <c r="AL30" i="14"/>
  <c r="AL31" i="14" s="1"/>
  <c r="AK31" i="14"/>
  <c r="AC8" i="14"/>
  <c r="AB7" i="14"/>
  <c r="AK25" i="14"/>
  <c r="AL24" i="14"/>
  <c r="AL25" i="14" s="1"/>
  <c r="AB24" i="14"/>
  <c r="AC25" i="14"/>
  <c r="AB31" i="14"/>
  <c r="AA30" i="14"/>
  <c r="H81" i="14"/>
  <c r="H82" i="14" s="1"/>
  <c r="I82" i="14" s="1"/>
  <c r="G39" i="5"/>
  <c r="H39" i="5" s="1"/>
  <c r="AB42" i="5"/>
  <c r="F42" i="5" s="1"/>
  <c r="AB38" i="5"/>
  <c r="AB40" i="5"/>
  <c r="F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H22" i="5"/>
  <c r="H25" i="5"/>
  <c r="H27" i="5"/>
  <c r="H24" i="5"/>
  <c r="I22" i="5"/>
  <c r="I27" i="5"/>
  <c r="I24" i="5"/>
  <c r="I30" i="5" s="1"/>
  <c r="I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I26" i="5" s="1"/>
  <c r="I32" i="5" s="1"/>
  <c r="O50" i="10"/>
  <c r="O64" i="10"/>
  <c r="O28" i="10"/>
  <c r="O40" i="10"/>
  <c r="O38" i="10"/>
  <c r="G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G25" i="5"/>
  <c r="Y9" i="10"/>
  <c r="J37" i="5" l="1"/>
  <c r="J68" i="5" s="1"/>
  <c r="J27" i="5"/>
  <c r="J33" i="5" s="1"/>
  <c r="J22" i="5"/>
  <c r="J26" i="5"/>
  <c r="J32" i="5" s="1"/>
  <c r="H23" i="5"/>
  <c r="H30" i="5"/>
  <c r="H29" i="5" s="1"/>
  <c r="I37" i="5"/>
  <c r="I68" i="5" s="1"/>
  <c r="G37" i="5"/>
  <c r="G68" i="5" s="1"/>
  <c r="G42" i="5"/>
  <c r="G84" i="5" s="1"/>
  <c r="J42" i="5"/>
  <c r="J84" i="5" s="1"/>
  <c r="I81" i="14"/>
  <c r="D86" i="14" s="1"/>
  <c r="D87" i="14" s="1"/>
  <c r="D96" i="14" s="1"/>
  <c r="D101" i="14" s="1"/>
  <c r="AB8" i="14"/>
  <c r="S19" i="14"/>
  <c r="S18" i="14" s="1"/>
  <c r="AA7" i="14"/>
  <c r="Z30" i="14"/>
  <c r="AA31" i="14"/>
  <c r="AB25" i="14"/>
  <c r="AA24" i="14"/>
  <c r="G41" i="5"/>
  <c r="G83" i="5" s="1"/>
  <c r="G82" i="5" s="1"/>
  <c r="I42" i="5"/>
  <c r="I84" i="5" s="1"/>
  <c r="H42" i="5"/>
  <c r="H84" i="5" s="1"/>
  <c r="H41" i="5"/>
  <c r="H83" i="5" s="1"/>
  <c r="H82" i="5" s="1"/>
  <c r="I41" i="5"/>
  <c r="I83" i="5" s="1"/>
  <c r="I82" i="5" s="1"/>
  <c r="F40" i="5"/>
  <c r="AA40" i="5"/>
  <c r="X40" i="5"/>
  <c r="Y40" i="5"/>
  <c r="J41" i="5"/>
  <c r="J83" i="5" s="1"/>
  <c r="J82" i="5" s="1"/>
  <c r="X38" i="5"/>
  <c r="AA38" i="5"/>
  <c r="F38" i="5" s="1"/>
  <c r="Y38" i="5"/>
  <c r="I105" i="5"/>
  <c r="I102" i="5" s="1"/>
  <c r="I90" i="5"/>
  <c r="I39" i="5"/>
  <c r="Z10" i="10"/>
  <c r="Z17" i="10"/>
  <c r="Z18" i="10" s="1"/>
  <c r="J31" i="5"/>
  <c r="J93" i="5"/>
  <c r="J107" i="5"/>
  <c r="BQ61" i="12"/>
  <c r="H89" i="14"/>
  <c r="F96" i="14" s="1"/>
  <c r="I31" i="5"/>
  <c r="I93" i="5"/>
  <c r="I107" i="5"/>
  <c r="AJ75" i="12"/>
  <c r="Z77" i="12"/>
  <c r="AA77" i="12" s="1"/>
  <c r="AB77" i="12" s="1"/>
  <c r="AC77" i="12" s="1"/>
  <c r="AD77" i="12" s="1"/>
  <c r="AI73" i="12"/>
  <c r="I89" i="5"/>
  <c r="I94" i="5" s="1"/>
  <c r="I104" i="5"/>
  <c r="H89" i="5"/>
  <c r="H94" i="5" s="1"/>
  <c r="H104" i="5"/>
  <c r="I33" i="5"/>
  <c r="I92" i="5"/>
  <c r="H33" i="5"/>
  <c r="H92" i="5"/>
  <c r="I34" i="5"/>
  <c r="I88" i="5"/>
  <c r="I28" i="5"/>
  <c r="I103" i="5"/>
  <c r="I66" i="5"/>
  <c r="H31" i="5"/>
  <c r="H93" i="5"/>
  <c r="H107" i="5"/>
  <c r="Y10" i="10"/>
  <c r="Y17" i="10"/>
  <c r="Y18" i="10" s="1"/>
  <c r="H34" i="5"/>
  <c r="H103" i="5"/>
  <c r="H28" i="5"/>
  <c r="H88" i="5"/>
  <c r="H66" i="5"/>
  <c r="G31" i="5"/>
  <c r="G107" i="5"/>
  <c r="G93" i="5"/>
  <c r="AU3" i="10"/>
  <c r="AW3" i="10" s="1"/>
  <c r="W12" i="10"/>
  <c r="G26" i="5"/>
  <c r="G32" i="5" s="1"/>
  <c r="W9" i="10"/>
  <c r="H26" i="5"/>
  <c r="H32" i="5" s="1"/>
  <c r="AU4" i="10"/>
  <c r="AW4" i="10" s="1"/>
  <c r="X12" i="10"/>
  <c r="X9" i="10"/>
  <c r="G24" i="5"/>
  <c r="G30" i="5" s="1"/>
  <c r="J88" i="5"/>
  <c r="J28" i="5"/>
  <c r="J34" i="5"/>
  <c r="J66" i="5"/>
  <c r="J103" i="5"/>
  <c r="J105" i="5"/>
  <c r="J102" i="5" s="1"/>
  <c r="J90" i="5"/>
  <c r="G33" i="5"/>
  <c r="G92" i="5"/>
  <c r="J24" i="5"/>
  <c r="J30" i="5" s="1"/>
  <c r="C101" i="14"/>
  <c r="G96" i="14"/>
  <c r="BB53" i="8"/>
  <c r="BA53" i="8"/>
  <c r="J92" i="5" l="1"/>
  <c r="I85" i="5"/>
  <c r="I98" i="5"/>
  <c r="H85" i="5"/>
  <c r="H98" i="5"/>
  <c r="J85" i="5"/>
  <c r="J98" i="5"/>
  <c r="G85" i="5"/>
  <c r="G98" i="5"/>
  <c r="Z7" i="14"/>
  <c r="AA8" i="14"/>
  <c r="AA25" i="14"/>
  <c r="Z24" i="14"/>
  <c r="F86" i="14"/>
  <c r="Y30" i="14"/>
  <c r="Z31" i="14"/>
  <c r="G38" i="5"/>
  <c r="G40" i="5"/>
  <c r="H40" i="5" s="1"/>
  <c r="I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G100" i="5"/>
  <c r="G81" i="5"/>
  <c r="G101" i="5" s="1"/>
  <c r="G74" i="5"/>
  <c r="G72" i="5" s="1"/>
  <c r="X17" i="10"/>
  <c r="X18" i="10" s="1"/>
  <c r="X10" i="10"/>
  <c r="X20" i="10"/>
  <c r="G105" i="5"/>
  <c r="G102" i="5" s="1"/>
  <c r="G90" i="5"/>
  <c r="H91" i="5"/>
  <c r="H106" i="5"/>
  <c r="W20" i="10"/>
  <c r="W17" i="10"/>
  <c r="W18" i="10" s="1"/>
  <c r="W10" i="10"/>
  <c r="F101" i="14"/>
  <c r="Y27" i="9"/>
  <c r="Y23" i="9"/>
  <c r="Y25" i="9"/>
  <c r="Y26" i="9"/>
  <c r="Y24" i="9"/>
  <c r="Y32" i="9"/>
  <c r="BB54" i="8"/>
  <c r="BA54" i="8"/>
  <c r="G104" i="5"/>
  <c r="G89" i="5"/>
  <c r="G94" i="5" s="1"/>
  <c r="J89" i="5"/>
  <c r="J94" i="5" s="1"/>
  <c r="J104" i="5"/>
  <c r="J39" i="5"/>
  <c r="J70" i="5" s="1"/>
  <c r="I70" i="5"/>
  <c r="J106" i="5"/>
  <c r="J91" i="5"/>
  <c r="BR61" i="12"/>
  <c r="I91" i="5"/>
  <c r="I106" i="5"/>
  <c r="AK75" i="12"/>
  <c r="AJ76" i="12"/>
  <c r="AJ77" i="12"/>
  <c r="H90" i="5"/>
  <c r="H105" i="5"/>
  <c r="H102" i="5" s="1"/>
  <c r="G67" i="5"/>
  <c r="D88" i="14"/>
  <c r="F87" i="14"/>
  <c r="J95" i="5"/>
  <c r="J87" i="5"/>
  <c r="I95" i="5"/>
  <c r="I87" i="5"/>
  <c r="G101" i="14"/>
  <c r="H96" i="14"/>
  <c r="J40" i="5" l="1"/>
  <c r="H70" i="5" s="1"/>
  <c r="G70" i="5"/>
  <c r="X30" i="14"/>
  <c r="Y31" i="14"/>
  <c r="Z25" i="14"/>
  <c r="Y24" i="14"/>
  <c r="Z8" i="14"/>
  <c r="Y7" i="14"/>
  <c r="H67" i="5"/>
  <c r="I67" i="5" s="1"/>
  <c r="J67" i="5" s="1"/>
  <c r="G69" i="5"/>
  <c r="H38" i="5"/>
  <c r="AK77" i="12"/>
  <c r="AK76" i="12"/>
  <c r="AL75" i="12"/>
  <c r="H95" i="5"/>
  <c r="H87" i="5"/>
  <c r="BB55" i="8"/>
  <c r="BA55" i="8"/>
  <c r="BS61" i="12"/>
  <c r="G87" i="5"/>
  <c r="G95" i="5"/>
  <c r="F88" i="14"/>
  <c r="D89" i="14"/>
  <c r="F89" i="14" s="1"/>
  <c r="Y25" i="14" l="1"/>
  <c r="X24" i="14"/>
  <c r="Y8" i="14"/>
  <c r="X7" i="14"/>
  <c r="W30" i="14"/>
  <c r="X31" i="14"/>
  <c r="I38" i="5"/>
  <c r="H69" i="5"/>
  <c r="AL76" i="12"/>
  <c r="AM75" i="12"/>
  <c r="AL77" i="12"/>
  <c r="BT61" i="12"/>
  <c r="BB56" i="8"/>
  <c r="BA56" i="8"/>
  <c r="X25" i="14" l="1"/>
  <c r="W24" i="14"/>
  <c r="W31" i="14"/>
  <c r="V30" i="14"/>
  <c r="X8" i="14"/>
  <c r="W7" i="14"/>
  <c r="I69" i="5"/>
  <c r="J38" i="5"/>
  <c r="J69"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H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P36" authorId="2" shapeId="0" xr:uid="{5396FF8E-A358-49D3-B7EC-055AAAE83D6B}">
      <text>
        <r>
          <rPr>
            <b/>
            <sz val="8"/>
            <color indexed="81"/>
            <rFont val="Tahoma"/>
            <family val="2"/>
          </rPr>
          <t>Bruno Merven:</t>
        </r>
        <r>
          <rPr>
            <sz val="8"/>
            <color indexed="81"/>
            <rFont val="Tahoma"/>
            <family val="2"/>
          </rPr>
          <t xml:space="preserve">
Darryl Hunt</t>
        </r>
      </text>
    </comment>
    <comment ref="AB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AB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C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E46" authorId="2" shapeId="0" xr:uid="{CFE3450D-AD1C-4431-B340-73F9364D52CC}">
      <text>
        <r>
          <rPr>
            <b/>
            <sz val="8"/>
            <color indexed="81"/>
            <rFont val="Tahoma"/>
            <family val="2"/>
          </rPr>
          <t>Bruno Merven:</t>
        </r>
        <r>
          <rPr>
            <sz val="8"/>
            <color indexed="81"/>
            <rFont val="Tahoma"/>
            <family val="2"/>
          </rPr>
          <t xml:space="preserve">
Underground mining</t>
        </r>
      </text>
    </comment>
    <comment ref="F46" authorId="2" shapeId="0" xr:uid="{6830515F-7130-41B9-95F9-722B078571C6}">
      <text>
        <r>
          <rPr>
            <b/>
            <sz val="8"/>
            <color indexed="81"/>
            <rFont val="Tahoma"/>
            <family val="2"/>
          </rPr>
          <t>Bruno Merven:</t>
        </r>
        <r>
          <rPr>
            <sz val="8"/>
            <color indexed="81"/>
            <rFont val="Tahoma"/>
            <family val="2"/>
          </rPr>
          <t xml:space="preserve">
Shale Gas</t>
        </r>
      </text>
    </comment>
    <comment ref="G46" authorId="2" shapeId="0" xr:uid="{58E93A86-31A8-4F2B-BBCF-DCD6852BBF0E}">
      <text>
        <r>
          <rPr>
            <b/>
            <sz val="8"/>
            <color indexed="81"/>
            <rFont val="Tahoma"/>
            <family val="2"/>
          </rPr>
          <t>Bruno Merven:</t>
        </r>
        <r>
          <rPr>
            <sz val="8"/>
            <color indexed="81"/>
            <rFont val="Tahoma"/>
            <family val="2"/>
          </rPr>
          <t xml:space="preserve">
Coal Bed Methane</t>
        </r>
      </text>
    </comment>
    <comment ref="F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W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G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7"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L67"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V68"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W68"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W70"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G72"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G73"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L74"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L76"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4"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G86"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L89"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L90"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L92"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 (adjusted in Oct 2024)</t>
      </text>
    </comment>
    <comment ref="L93"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L97"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G98"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9"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<sst xmlns="http://schemas.openxmlformats.org/spreadsheetml/2006/main" count="2698" uniqueCount="1131">
  <si>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</si>
  <si>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</si>
  <si>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</si>
  <si>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</si>
  <si>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</si>
  <si>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</si>
  <si>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</si>
  <si>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</si>
  <si>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</si>
  <si>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</si>
  <si>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</si>
  <si>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</si>
  <si>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</si>
  <si>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</si>
  <si>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</si>
  <si>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</si>
  <si>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</si>
  <si>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</si>
  <si>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</si>
  <si>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</si>
  <si>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</si>
  <si>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</si>
  <si>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</si>
  <si>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</si>
  <si>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</si>
  <si>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</si>
  <si>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</si>
  <si>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</si>
  <si>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</si>
  <si>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</si>
  <si>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</si>
  <si>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</si>
  <si>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</si>
  <si>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</si>
  <si>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</si>
  <si>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</si>
  <si>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</si>
  <si>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</si>
  <si>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</si>
  <si>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</si>
  <si>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</si>
  <si>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</si>
  <si>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</si>
  <si>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</si>
  <si>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</si>
  <si>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</si>
  <si>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</si>
  <si>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</si>
  <si>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</si>
  <si>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</si>
  <si>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</si>
  <si>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</si>
  <si>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</si>
  <si>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</si>
  <si>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</si>
  <si>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</si>
  <si>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</si>
  <si>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</si>
  <si>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</si>
  <si>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</si>
  <si>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</si>
  <si>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</si>
  <si>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</si>
  <si>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</si>
  <si>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</si>
  <si>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</si>
  <si>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</si>
  <si>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</si>
  <si>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</si>
  <si>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</si>
  <si>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</si>
  <si>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</si>
  <si>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</si>
  <si>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</si>
  <si>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</si>
  <si>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</si>
  <si>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</si>
  <si>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</si>
  <si>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</si>
  <si>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</si>
  <si>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</si>
  <si>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</si>
  <si>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</si>
  <si>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</si>
  <si>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</si>
  <si>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</si>
  <si>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</si>
  <si>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</si>
  <si>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</si>
  <si>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</si>
  <si>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</si>
  <si>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</si>
  <si>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</si>
  <si>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</si>
  <si>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</si>
  <si>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</si>
  <si>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</si>
  <si>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</si>
  <si>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</si>
  <si>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</si>
  <si>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</si>
  <si>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</si>
  <si>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</si>
  <si>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</si>
  <si>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</si>
  <si>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</si>
  <si>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</si>
  <si>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</si>
  <si>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</si>
  <si>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</si>
  <si>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</si>
  <si>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</si>
  <si>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</si>
  <si>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</si>
  <si>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</si>
  <si>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</si>
  <si>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</si>
  <si>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</si>
  <si>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</si>
  <si>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</si>
  <si>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</si>
  <si>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</si>
  <si>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</si>
  <si>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</si>
  <si>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</si>
  <si>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</si>
  <si>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</si>
  <si>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</si>
  <si>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</si>
  <si>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</si>
  <si>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</si>
  <si>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</si>
  <si>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</si>
  <si>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</si>
  <si>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</si>
  <si>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</si>
  <si>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</si>
  <si>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</si>
  <si>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</si>
  <si>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</si>
  <si>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</si>
  <si>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</si>
  <si>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</si>
  <si>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</si>
  <si>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</si>
  <si>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</si>
  <si>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</si>
  <si>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</si>
  <si>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</si>
  <si>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</si>
  <si>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</si>
  <si>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</si>
  <si>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</si>
  <si>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</si>
  <si>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</si>
  <si>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</si>
  <si>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</si>
  <si>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</si>
  <si>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</si>
  <si>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</si>
  <si>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</si>
  <si>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</si>
  <si>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</si>
  <si>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</si>
  <si>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</si>
  <si>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</si>
  <si>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</si>
  <si>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</si>
  <si>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</si>
  <si>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</si>
  <si>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</si>
  <si>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</si>
  <si>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</si>
  <si>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</si>
  <si>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</si>
  <si>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</si>
  <si>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</si>
  <si>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</si>
  <si>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</si>
  <si>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</si>
  <si>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</si>
  <si>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</si>
  <si>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</si>
  <si>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</si>
  <si>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</si>
  <si>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</si>
  <si>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</si>
  <si>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</si>
  <si>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</si>
  <si>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</si>
  <si>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</si>
  <si>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</si>
  <si>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</si>
  <si>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</si>
  <si>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</si>
  <si>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</si>
  <si>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</si>
  <si>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</si>
  <si>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</si>
  <si>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</si>
  <si>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</si>
  <si>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</si>
  <si>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</si>
  <si>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</si>
  <si>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</si>
  <si>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</si>
  <si>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</si>
  <si>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</si>
  <si>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</si>
  <si>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</si>
  <si>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</si>
  <si>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</si>
  <si>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</si>
  <si>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</si>
  <si>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</si>
  <si>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</si>
  <si>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</si>
  <si>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</si>
  <si>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</si>
  <si>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</si>
  <si>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</si>
  <si>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</si>
  <si>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</si>
  <si>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</si>
  <si>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</si>
  <si>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</si>
  <si>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</si>
  <si>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</si>
  <si>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</si>
  <si>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</si>
  <si>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</si>
  <si>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</si>
  <si>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</si>
  <si>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</si>
  <si>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</si>
  <si>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</si>
  <si>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</si>
  <si>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</si>
  <si>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</si>
  <si>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</si>
  <si>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</si>
  <si>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</si>
  <si>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</si>
  <si>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</si>
  <si>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</si>
  <si>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</si>
  <si>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</si>
  <si>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</si>
  <si>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</si>
  <si>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</si>
  <si>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</si>
  <si>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</si>
  <si>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</si>
  <si>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</si>
  <si>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</si>
  <si>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</si>
  <si>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</si>
  <si>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</si>
  <si>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</si>
  <si>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</si>
  <si>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</si>
  <si>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</si>
  <si>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</si>
  <si>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</si>
  <si>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</si>
  <si>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</si>
  <si>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</si>
  <si>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</si>
  <si>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</si>
  <si>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</si>
  <si>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</si>
  <si>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</si>
  <si>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</si>
  <si>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</si>
  <si>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</si>
  <si>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</si>
  <si>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</si>
  <si>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</si>
  <si>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</si>
  <si>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</si>
  <si>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</si>
  <si>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</si>
  <si>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</si>
  <si>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</si>
  <si>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</si>
  <si>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</si>
  <si>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</si>
  <si>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</si>
  <si>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</si>
  <si>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</si>
  <si>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</si>
  <si>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</si>
  <si>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</si>
  <si>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</si>
  <si>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</si>
  <si>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</si>
  <si>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</si>
  <si>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</si>
  <si>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</si>
  <si>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</si>
  <si>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</si>
  <si>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</si>
  <si>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</si>
  <si>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</si>
  <si>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</si>
  <si>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</si>
  <si>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</si>
  <si>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</si>
  <si>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</si>
  <si>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</si>
  <si>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</si>
  <si>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</si>
  <si>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</si>
  <si>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</si>
  <si>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</si>
  <si>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</si>
  <si>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</si>
  <si>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</si>
  <si>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</si>
  <si>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</si>
  <si>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</si>
  <si>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</si>
  <si>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</si>
  <si>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</si>
  <si>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</si>
  <si>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</si>
  <si>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</si>
  <si>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</si>
  <si>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</si>
  <si>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</si>
  <si>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</si>
  <si>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</si>
  <si>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</si>
  <si>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</si>
  <si>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</si>
  <si>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</si>
  <si>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</si>
  <si>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</si>
  <si>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</si>
  <si>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</si>
  <si>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</si>
  <si>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</si>
  <si>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</si>
  <si>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</si>
  <si>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</si>
  <si>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</si>
  <si>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</si>
  <si>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</si>
  <si>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</si>
  <si>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</si>
  <si>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</si>
  <si>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</si>
  <si>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</si>
  <si>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</si>
  <si>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</si>
  <si>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</si>
  <si>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</si>
  <si>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</si>
  <si>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</si>
  <si>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</si>
  <si>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</si>
  <si>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</si>
  <si>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</si>
  <si>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</si>
  <si>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</si>
  <si>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</si>
  <si>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</si>
  <si>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</si>
  <si>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</si>
  <si>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</si>
  <si>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</si>
  <si>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</si>
  <si>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</si>
  <si>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</si>
  <si>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</si>
  <si>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</si>
  <si>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</si>
  <si>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</si>
  <si>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</si>
  <si>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</si>
  <si>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</si>
  <si>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</si>
  <si>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</si>
  <si>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</si>
  <si>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</si>
  <si>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</si>
  <si>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</si>
  <si>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</si>
  <si>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</si>
  <si>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</si>
  <si>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</si>
  <si>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</si>
  <si>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</si>
  <si>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</si>
  <si>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</si>
  <si>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</si>
  <si>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</si>
  <si>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</si>
  <si>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</si>
  <si>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</si>
  <si>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</si>
  <si>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</si>
  <si>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</si>
  <si>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</si>
  <si>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</si>
  <si>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</si>
  <si>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</si>
  <si>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</si>
  <si>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</si>
  <si>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</si>
  <si>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</si>
  <si>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</si>
  <si>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</si>
  <si>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</si>
  <si>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</si>
  <si>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</si>
  <si>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</si>
  <si>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</si>
  <si>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</si>
  <si>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</si>
  <si>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</si>
  <si>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</si>
  <si>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</si>
  <si>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</si>
  <si>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</si>
  <si>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</si>
  <si>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</si>
  <si>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</si>
  <si>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</si>
  <si>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</si>
  <si>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</si>
  <si>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</si>
  <si>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</si>
  <si>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</si>
  <si>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</si>
  <si>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</si>
  <si>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</si>
  <si>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</si>
  <si>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</si>
  <si>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</si>
  <si>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</si>
  <si>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</si>
  <si>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</si>
  <si>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</si>
  <si>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</si>
  <si>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</si>
  <si>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</si>
  <si>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</si>
  <si>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</si>
  <si>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</si>
  <si>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</si>
  <si>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</si>
  <si>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</si>
  <si>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</si>
  <si>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</si>
  <si>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</si>
  <si>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</si>
  <si>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</si>
  <si>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</si>
  <si>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</si>
  <si>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</si>
  <si>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</si>
  <si>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</si>
  <si>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</si>
  <si>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</si>
  <si>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</si>
  <si>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</si>
  <si>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</si>
  <si>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</si>
  <si>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</si>
  <si>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</si>
  <si>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</si>
  <si>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</si>
  <si>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</si>
  <si>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</si>
  <si>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</si>
  <si>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</si>
  <si>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</si>
  <si>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</si>
  <si>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</si>
  <si>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</si>
  <si>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</si>
  <si>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</si>
  <si>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</si>
  <si>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</si>
  <si>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</si>
  <si>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</si>
  <si>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</si>
  <si>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</si>
  <si>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</si>
  <si>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</si>
  <si>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</si>
  <si>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</si>
  <si>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</si>
  <si>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</si>
  <si>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</si>
  <si>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</si>
  <si>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</si>
  <si>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</si>
  <si>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</si>
  <si>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</si>
  <si>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</si>
  <si>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</si>
  <si>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</si>
  <si>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</si>
  <si>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</si>
  <si>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</si>
  <si>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</si>
  <si>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</si>
  <si>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</si>
  <si>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</si>
  <si>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</si>
  <si>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</si>
  <si>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</si>
  <si>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</si>
  <si>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</si>
  <si>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</si>
  <si>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</si>
  <si>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</si>
  <si>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</si>
  <si>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</si>
  <si>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</si>
  <si>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</si>
  <si>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</si>
  <si>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</si>
  <si>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</si>
  <si>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</si>
  <si>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</si>
  <si>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</si>
  <si>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</si>
  <si>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</si>
  <si>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</si>
  <si>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</si>
  <si>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</si>
  <si>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</si>
  <si>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</si>
  <si>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</si>
  <si>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</si>
  <si>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</si>
  <si>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</si>
  <si>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</si>
  <si>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</si>
  <si>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</si>
  <si>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</si>
  <si>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</si>
  <si>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</si>
  <si>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</si>
  <si>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</si>
  <si>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</si>
  <si>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</si>
  <si>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</si>
  <si>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</si>
  <si>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</si>
  <si>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</si>
  <si>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</si>
  <si>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</si>
  <si>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</si>
  <si>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</si>
  <si>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</si>
  <si>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</si>
  <si>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</si>
  <si>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</si>
  <si>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</si>
  <si>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</si>
  <si>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</si>
  <si>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</si>
  <si>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</si>
  <si>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</si>
  <si>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</si>
  <si>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</si>
  <si>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</si>
  <si>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</si>
  <si>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</si>
  <si>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</si>
  <si>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</si>
  <si>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</si>
  <si>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</si>
  <si>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</si>
  <si>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</si>
  <si>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</si>
  <si>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</si>
  <si>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</si>
  <si>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</si>
  <si>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</si>
  <si>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</si>
  <si>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</si>
  <si>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</si>
  <si>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</si>
  <si>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</si>
  <si>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</si>
  <si>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</si>
  <si>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</si>
  <si>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</si>
  <si>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</si>
  <si>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</si>
  <si>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</si>
  <si>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</si>
  <si>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</si>
  <si>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</si>
  <si>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</si>
  <si>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</si>
  <si>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</si>
  <si>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</si>
  <si>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</si>
  <si>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</si>
  <si>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</si>
  <si>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</si>
  <si>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</si>
  <si>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</si>
  <si>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</si>
  <si>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</si>
  <si>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</si>
  <si>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</si>
  <si>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</si>
  <si>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</si>
  <si>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</si>
  <si>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</si>
  <si>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</si>
  <si>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</si>
  <si>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</si>
  <si>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</si>
  <si>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</si>
  <si>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</si>
  <si>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</si>
  <si>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</si>
  <si>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</si>
  <si>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</si>
  <si>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</si>
  <si>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</si>
  <si>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</si>
  <si>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</si>
  <si>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</si>
  <si>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</si>
  <si>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</si>
  <si>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</si>
  <si>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</si>
  <si>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</si>
  <si>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</si>
  <si>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</si>
  <si>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</si>
  <si>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</si>
  <si>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</si>
  <si>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</si>
  <si>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</si>
  <si>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</si>
  <si>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</si>
  <si>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</si>
  <si>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</si>
  <si>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</si>
  <si>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</si>
  <si>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</si>
  <si>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</si>
  <si>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</si>
  <si>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</si>
  <si>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</si>
  <si>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</si>
  <si>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</si>
  <si>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</si>
  <si>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</si>
  <si>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</si>
  <si>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</si>
  <si>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</si>
  <si>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</si>
  <si>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</si>
  <si>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</si>
  <si>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</si>
  <si>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</si>
  <si>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</si>
  <si>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</si>
  <si>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</si>
  <si>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</si>
  <si>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</si>
  <si>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</si>
  <si>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</si>
  <si>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</si>
  <si>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</si>
  <si>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</si>
  <si>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</si>
  <si>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</si>
  <si>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</si>
  <si>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</si>
  <si>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</si>
  <si>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</si>
  <si>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</si>
  <si>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</si>
  <si>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</si>
  <si>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</si>
  <si>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</si>
  <si>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</si>
  <si>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</si>
  <si>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</si>
  <si>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</si>
  <si>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</si>
  <si>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</si>
  <si>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</si>
  <si>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</si>
  <si>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</si>
  <si>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</si>
  <si>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</si>
  <si>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</si>
  <si>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</si>
  <si>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</si>
  <si>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</si>
  <si>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</si>
  <si>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</si>
  <si>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</si>
  <si>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</si>
  <si>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</si>
  <si>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</si>
  <si>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</si>
  <si>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</si>
  <si>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</si>
  <si>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</si>
  <si>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</si>
  <si>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</si>
  <si>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</si>
  <si>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</si>
  <si>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</si>
  <si>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</si>
  <si>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</si>
  <si>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</si>
  <si>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</si>
  <si>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</si>
  <si>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</si>
  <si>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</si>
  <si>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</si>
  <si>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</si>
  <si>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</si>
  <si>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</si>
  <si>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</si>
  <si>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</si>
  <si>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</si>
  <si>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</si>
  <si>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</si>
  <si>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</si>
  <si>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</si>
  <si>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</si>
  <si>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</si>
  <si>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</si>
  <si>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</si>
  <si>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</si>
  <si>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</si>
  <si>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</si>
  <si>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</si>
  <si>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</si>
  <si>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</si>
  <si>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</si>
  <si>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</si>
  <si>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</si>
  <si>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</si>
  <si>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</si>
  <si>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</si>
  <si>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</si>
  <si>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</si>
  <si>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</si>
  <si>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</si>
  <si>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</si>
  <si>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</si>
  <si>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</si>
  <si>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</si>
  <si>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</si>
  <si>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</si>
  <si>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</si>
  <si>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</si>
  <si>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</si>
  <si>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</si>
  <si>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</si>
  <si>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</si>
  <si>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</si>
  <si>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</si>
  <si>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</si>
  <si>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</si>
  <si>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</si>
  <si>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</si>
  <si>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</si>
  <si>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</si>
  <si>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</si>
  <si>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</si>
  <si>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</si>
  <si>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</si>
  <si>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</si>
  <si>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</si>
  <si>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</si>
  <si>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</si>
  <si>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</si>
  <si>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</si>
  <si>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</si>
  <si>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</si>
  <si>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</si>
  <si>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</si>
  <si>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</si>
  <si>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</si>
  <si>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</si>
  <si>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</si>
  <si>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</si>
  <si>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</si>
  <si>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</si>
  <si>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</si>
  <si>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</si>
  <si>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</si>
  <si>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</si>
  <si>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</si>
  <si>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</si>
  <si>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</si>
  <si>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</si>
  <si>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</si>
  <si>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</si>
  <si>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</si>
  <si>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</si>
  <si>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</si>
  <si>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</si>
  <si>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</si>
  <si>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</si>
  <si>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</si>
  <si>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</si>
  <si>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</si>
  <si>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</si>
  <si>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</si>
  <si>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</si>
  <si>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</si>
  <si>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</si>
  <si>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</si>
  <si>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</si>
  <si>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</si>
  <si>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</si>
  <si>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</si>
  <si>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</si>
  <si>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</si>
  <si>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</si>
  <si>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</si>
  <si>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</si>
  <si>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</si>
  <si>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</si>
  <si>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</si>
  <si>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</si>
  <si>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</si>
  <si>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</si>
  <si>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</si>
  <si>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</si>
  <si>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</si>
  <si>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</si>
  <si>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</si>
  <si>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</si>
  <si>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</si>
  <si>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</si>
  <si>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</si>
  <si>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</si>
  <si>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</si>
  <si>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</si>
  <si>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</si>
  <si>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</si>
  <si>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</si>
  <si>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</si>
  <si>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</si>
  <si>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</si>
  <si>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</si>
  <si>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</si>
  <si>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</si>
  <si>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</si>
  <si>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</si>
  <si>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</si>
  <si>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</si>
  <si>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</si>
  <si>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</si>
  <si>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</si>
  <si>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</si>
  <si>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</si>
  <si>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</si>
  <si>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</si>
  <si>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</si>
  <si>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</si>
  <si>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</si>
  <si>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</si>
  <si>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</si>
  <si>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</si>
  <si>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</si>
  <si>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</si>
  <si>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</si>
  <si>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</si>
  <si>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</si>
  <si>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</si>
  <si>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</si>
  <si>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</si>
  <si>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</si>
  <si>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</si>
  <si>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</si>
  <si>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</si>
  <si>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</si>
  <si>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</si>
  <si>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</si>
  <si>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</si>
  <si>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</si>
  <si>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</si>
  <si>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</si>
  <si>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</si>
  <si>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</si>
  <si>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</si>
  <si>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</si>
  <si>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</si>
  <si>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</si>
  <si>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</si>
  <si>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</si>
  <si>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</si>
  <si>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</si>
  <si>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</si>
  <si>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</si>
  <si>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</si>
  <si>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</si>
  <si>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</si>
  <si>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</si>
  <si>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</si>
  <si>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</si>
  <si>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</si>
  <si>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</si>
  <si>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</si>
  <si>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</si>
  <si>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</si>
  <si>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</si>
  <si>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</si>
  <si>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</si>
  <si>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</si>
  <si>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</si>
  <si>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</si>
  <si>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</si>
  <si>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</si>
  <si>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</si>
  <si>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</si>
  <si>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</si>
  <si>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</si>
  <si>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</si>
  <si>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</si>
  <si>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</si>
  <si>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</si>
  <si>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</si>
  <si>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</si>
  <si>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</si>
  <si>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</si>
  <si>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</si>
  <si>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</si>
  <si>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</si>
  <si>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</si>
  <si>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</si>
  <si>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</si>
  <si>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</si>
  <si>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</si>
  <si>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</si>
  <si>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</si>
  <si>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</si>
  <si>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</si>
  <si>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</si>
  <si>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</si>
  <si>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</si>
  <si>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</si>
  <si>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</si>
  <si>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</si>
  <si>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</si>
  <si>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</si>
  <si>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</si>
  <si>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</si>
  <si>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</si>
  <si>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</si>
  <si>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</si>
  <si>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</si>
  <si>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</si>
  <si>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</si>
  <si>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</si>
  <si>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</si>
  <si>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</si>
  <si>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</si>
  <si>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</si>
  <si>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</si>
  <si>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</si>
  <si>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</si>
  <si>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</si>
  <si>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</si>
  <si>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</si>
  <si>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</si>
  <si>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</si>
  <si>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</si>
  <si>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</si>
  <si>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</si>
  <si>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</si>
  <si>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</si>
  <si>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</si>
  <si>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</si>
  <si>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</si>
  <si>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</si>
  <si>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</si>
  <si>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</si>
  <si>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</si>
  <si>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</si>
  <si>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</si>
  <si>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</si>
  <si>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</si>
  <si>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</si>
  <si>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</si>
  <si>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</si>
  <si>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</si>
  <si>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</si>
  <si>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</si>
  <si>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</si>
  <si>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</si>
  <si>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</si>
  <si>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</si>
  <si>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</si>
  <si>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</si>
  <si>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</si>
  <si>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</si>
  <si>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</si>
  <si>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</si>
  <si>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</si>
  <si>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</si>
  <si>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</si>
  <si>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</si>
  <si>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</si>
  <si>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</si>
  <si>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</si>
  <si>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</si>
  <si>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</si>
  <si>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</si>
  <si>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</si>
  <si>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</si>
  <si>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</si>
  <si>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</si>
  <si>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</si>
  <si>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</si>
  <si>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</si>
  <si>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</si>
  <si>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</si>
  <si>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</si>
  <si>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</si>
  <si>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</si>
  <si>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</si>
  <si>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</si>
  <si>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</si>
  <si>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</si>
  <si>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</si>
  <si>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</si>
  <si>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</si>
  <si>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</si>
  <si>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</si>
  <si>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</si>
  <si>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</si>
  <si>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</si>
  <si>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</si>
  <si>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</si>
  <si>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</si>
  <si>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</si>
  <si>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</si>
  <si>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</si>
  <si>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</si>
  <si>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</si>
  <si>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</si>
  <si>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</si>
  <si>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</si>
  <si>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</si>
  <si>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</si>
  <si>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</si>
  <si>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</si>
  <si>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</si>
  <si>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</si>
  <si>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</si>
  <si>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</si>
  <si>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</si>
  <si>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</si>
  <si>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</si>
  <si>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</si>
  <si>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</si>
  <si>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</si>
  <si>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</si>
  <si>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</si>
  <si>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</si>
  <si>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</si>
  <si>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</si>
  <si>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</si>
  <si>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</si>
  <si>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</si>
  <si>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</si>
  <si>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</si>
  <si>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</si>
  <si>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</si>
  <si>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</si>
  <si>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</si>
  <si>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</si>
  <si>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</si>
  <si>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</si>
  <si>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</si>
  <si>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</si>
  <si>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</si>
  <si>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</si>
  <si>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</si>
  <si>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</si>
  <si>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</si>
  <si>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</si>
  <si>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</si>
  <si>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</si>
  <si>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</si>
  <si>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</si>
  <si>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</si>
  <si>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</si>
  <si>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</si>
  <si>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</si>
  <si>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</si>
  <si>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</si>
  <si>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</si>
  <si>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</si>
  <si>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</si>
  <si>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</si>
  <si>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</si>
  <si>
    <t>CO2SCCEM</t>
  </si>
  <si>
    <t>CO2SPIIS</t>
  </si>
  <si>
    <t>Process Emissions Iron and Steel South Africa</t>
  </si>
  <si>
    <t>Comm-IN-A</t>
  </si>
  <si>
    <t>ML</t>
  </si>
  <si>
    <t>MAT</t>
  </si>
  <si>
    <t>* Water</t>
  </si>
  <si>
    <t>MLa</t>
  </si>
  <si>
    <t>PRC_ACTFLO</t>
  </si>
  <si>
    <t>https://www.sciencedirect.com/science/article/abs/pii/S0959652621028213</t>
  </si>
  <si>
    <t>l/ton (ml/mton)</t>
  </si>
  <si>
    <t>Opencast</t>
  </si>
  <si>
    <t>underground</t>
  </si>
  <si>
    <t>Input</t>
  </si>
  <si>
    <t>Consumed</t>
  </si>
  <si>
    <t>Discharched</t>
  </si>
  <si>
    <t>Assumed intensity</t>
  </si>
  <si>
    <t>Beneficiation assumed for COA but not for CLE</t>
  </si>
  <si>
    <t>With beneficiation</t>
  </si>
  <si>
    <t>average</t>
  </si>
  <si>
    <t>CV assumed (PJ/mt)</t>
  </si>
  <si>
    <t>ml/PJ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</si>
</sst>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7">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7" fillId="0" borderId="8" xfId="0" applyFont="1" applyBorder="1" applyAlignment="1">
      <alignment vertical="top"/>
    </xf>
    <xf numFmtId="0" fontId="39" fillId="0" borderId="0" xfId="20" applyFont="1" applyAlignment="1">
      <alignment horizontal="center"/>
    </xf>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emf"/><Relationship Id="rId7" Type="http://schemas.openxmlformats.org/officeDocument/2006/relationships/image" Target="../media/image7.png"/><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png"/><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emf"/><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21.png"/><Relationship Id="rId2" Type="http://schemas.openxmlformats.org/officeDocument/2006/relationships/image" Target="../media/image14.png"/><Relationship Id="rId1" Type="http://schemas.openxmlformats.org/officeDocument/2006/relationships/chart" Target="../charts/chart6.xml"/><Relationship Id="rId6" Type="http://schemas.openxmlformats.org/officeDocument/2006/relationships/image" Target="../media/image17.emf"/><Relationship Id="rId11" Type="http://schemas.openxmlformats.org/officeDocument/2006/relationships/chart" Target="../charts/chart9.xml"/><Relationship Id="rId5" Type="http://schemas.openxmlformats.org/officeDocument/2006/relationships/image" Target="../media/image16.emf"/><Relationship Id="rId10" Type="http://schemas.openxmlformats.org/officeDocument/2006/relationships/image" Target="../media/image20.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29</xdr:col>
      <xdr:colOff>0</xdr:colOff>
      <xdr:row>127</xdr:row>
      <xdr:rowOff>0</xdr:rowOff>
    </xdr:from>
    <xdr:to>
      <xdr:col>39</xdr:col>
      <xdr:colOff>372110</xdr:colOff>
      <xdr:row>148</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153</xdr:row>
      <xdr:rowOff>0</xdr:rowOff>
    </xdr:from>
    <xdr:to>
      <xdr:col>14</xdr:col>
      <xdr:colOff>354330</xdr:colOff>
      <xdr:row>172</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173</xdr:row>
      <xdr:rowOff>0</xdr:rowOff>
    </xdr:from>
    <xdr:to>
      <xdr:col>14</xdr:col>
      <xdr:colOff>256540</xdr:colOff>
      <xdr:row>194</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0</xdr:colOff>
      <xdr:row>173</xdr:row>
      <xdr:rowOff>0</xdr:rowOff>
    </xdr:from>
    <xdr:to>
      <xdr:col>28</xdr:col>
      <xdr:colOff>164465</xdr:colOff>
      <xdr:row>194</xdr:row>
      <xdr:rowOff>85090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434340</xdr:colOff>
      <xdr:row>151</xdr:row>
      <xdr:rowOff>68580</xdr:rowOff>
    </xdr:from>
    <xdr:to>
      <xdr:col>23</xdr:col>
      <xdr:colOff>142875</xdr:colOff>
      <xdr:row>172</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200025</xdr:colOff>
      <xdr:row>59</xdr:row>
      <xdr:rowOff>168275</xdr:rowOff>
    </xdr:from>
    <xdr:to>
      <xdr:col>55</xdr:col>
      <xdr:colOff>693880</xdr:colOff>
      <xdr:row>84</xdr:row>
      <xdr:rowOff>164536</xdr:rowOff>
    </xdr:to>
    <xdr:pic>
      <xdr:nvPicPr>
        <xdr:cNvPr id="2" name="Picture 1">
          <a:extLst>
            <a:ext uri="{FF2B5EF4-FFF2-40B4-BE49-F238E27FC236}">
              <a16:creationId xmlns:a16="http://schemas.microsoft.com/office/drawing/2014/main" id="{1CCD7699-79E3-49A7-A556-0009136C3224}"/>
            </a:ext>
          </a:extLst>
        </xdr:cNvPr>
        <xdr:cNvPicPr>
          <a:picLocks noChangeAspect="1"/>
        </xdr:cNvPicPr>
      </xdr:nvPicPr>
      <xdr:blipFill>
        <a:blip xmlns:r="http://schemas.openxmlformats.org/officeDocument/2006/relationships" r:embed="rId6"/>
        <a:stretch>
          <a:fillRect/>
        </a:stretch>
      </xdr:blipFill>
      <xdr:spPr>
        <a:xfrm>
          <a:off x="28441650" y="11655425"/>
          <a:ext cx="11561905" cy="4520636"/>
        </a:xfrm>
        <a:prstGeom prst="rect">
          <a:avLst/>
        </a:prstGeom>
      </xdr:spPr>
    </xdr:pic>
    <xdr:clientData/>
  </xdr:twoCellAnchor>
  <xdr:twoCellAnchor editAs="oneCell">
    <xdr:from>
      <xdr:col>6</xdr:col>
      <xdr:colOff>83564</xdr:colOff>
      <xdr:row>111</xdr:row>
      <xdr:rowOff>85724</xdr:rowOff>
    </xdr:from>
    <xdr:to>
      <xdr:col>9</xdr:col>
      <xdr:colOff>418384</xdr:colOff>
      <xdr:row>130</xdr:row>
      <xdr:rowOff>31089</xdr:rowOff>
    </xdr:to>
    <xdr:pic>
      <xdr:nvPicPr>
        <xdr:cNvPr id="9" name="Picture 8">
          <a:extLst>
            <a:ext uri="{FF2B5EF4-FFF2-40B4-BE49-F238E27FC236}">
              <a16:creationId xmlns:a16="http://schemas.microsoft.com/office/drawing/2014/main" id="{35D42477-2CF0-CC60-19AE-52F925EB0F66}"/>
            </a:ext>
          </a:extLst>
        </xdr:cNvPr>
        <xdr:cNvPicPr>
          <a:picLocks noChangeAspect="1"/>
        </xdr:cNvPicPr>
      </xdr:nvPicPr>
      <xdr:blipFill>
        <a:blip xmlns:r="http://schemas.openxmlformats.org/officeDocument/2006/relationships" r:embed="rId7"/>
        <a:stretch>
          <a:fillRect/>
        </a:stretch>
      </xdr:blipFill>
      <xdr:spPr>
        <a:xfrm>
          <a:off x="6922514" y="20364449"/>
          <a:ext cx="3278045" cy="3018765"/>
        </a:xfrm>
        <a:prstGeom prst="rect">
          <a:avLst/>
        </a:prstGeom>
      </xdr:spPr>
    </xdr:pic>
    <xdr:clientData/>
  </xdr:twoCellAnchor>
  <xdr:twoCellAnchor editAs="oneCell">
    <xdr:from>
      <xdr:col>9</xdr:col>
      <xdr:colOff>714375</xdr:colOff>
      <xdr:row>111</xdr:row>
      <xdr:rowOff>123825</xdr:rowOff>
    </xdr:from>
    <xdr:to>
      <xdr:col>14</xdr:col>
      <xdr:colOff>47208</xdr:colOff>
      <xdr:row>118</xdr:row>
      <xdr:rowOff>18921</xdr:rowOff>
    </xdr:to>
    <xdr:pic>
      <xdr:nvPicPr>
        <xdr:cNvPr id="11" name="Picture 10">
          <a:extLst>
            <a:ext uri="{FF2B5EF4-FFF2-40B4-BE49-F238E27FC236}">
              <a16:creationId xmlns:a16="http://schemas.microsoft.com/office/drawing/2014/main" id="{080C6A0F-51D8-1B17-9D15-8AA699ADB223}"/>
            </a:ext>
          </a:extLst>
        </xdr:cNvPr>
        <xdr:cNvPicPr>
          <a:picLocks noChangeAspect="1"/>
        </xdr:cNvPicPr>
      </xdr:nvPicPr>
      <xdr:blipFill>
        <a:blip xmlns:r="http://schemas.openxmlformats.org/officeDocument/2006/relationships" r:embed="rId8"/>
        <a:stretch>
          <a:fillRect/>
        </a:stretch>
      </xdr:blipFill>
      <xdr:spPr>
        <a:xfrm>
          <a:off x="10496550" y="20402550"/>
          <a:ext cx="3336508" cy="10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F54" dT="2021-04-07T08:55:07.46" personId="{E500B1BD-2FF0-4DFA-88F6-72D20CDE0583}" id="{0D627D3F-34ED-4758-AC67-0E90CB6B0E40}">
    <text>Use this cell to do any currency conversion adjustments.</text>
  </threadedComment>
  <threadedComment ref="G60" dT="2021-03-24T15:36:11.21" personId="{E500B1BD-2FF0-4DFA-88F6-72D20CDE0583}" id="{6CE4519E-0EE1-488E-A0B3-B71572AE46A3}">
    <text>from SUTCoal sheet in EB2017 google sheet. This includes transport costs, and then converted to 2022 Rands from 2017 rands.</text>
  </threadedComment>
  <threadedComment ref="L67" dT="2020-10-07T08:01:50.48" personId="{39BEAB33-522E-4FF7-A8C2-418D9E5A0410}" id="{8174276F-65FB-480C-9C32-A6C3A60A2E75}">
    <text>amount required to meet lower bound on production (calibrated on DEFF GHG Inventory)</text>
  </threadedComment>
  <threadedComment ref="V68"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G72" dT="2023-08-14T09:39:46.85" personId="{8B1FB5F6-C05B-4C45-A9FE-3B209CC95A5D}" id="{2D025629-877F-4A51-97DF-4B63BC17F90B}">
    <text>Needs to be checked</text>
  </threadedComment>
  <threadedComment ref="G73" dT="2023-08-14T09:42:24.18" personId="{8B1FB5F6-C05B-4C45-A9FE-3B209CC95A5D}" id="{00B9291C-0286-423F-9703-F64CCB57F70F}">
    <text>Parity with coal in R/GJ assumed</text>
  </threadedComment>
  <threadedComment ref="L74"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G86" dT="2023-09-07T10:07:04.92" personId="{8B1FB5F6-C05B-4C45-A9FE-3B209CC95A5D}" id="{87179AE4-EC17-4370-98D7-F32C73BD771A}">
    <text>IRP 2019 costs adjusted to 2022</text>
  </threadedComment>
  <threadedComment ref="L89" dT="2023-09-20T09:30:23.94" personId="{8B1FB5F6-C05B-4C45-A9FE-3B209CC95A5D}" id="{E69A6D97-9056-4FB3-8A4E-00F5B2E78FD6}">
    <text>From EB</text>
  </threadedComment>
  <threadedComment ref="L90" dT="2023-09-20T09:30:52.75" personId="{8B1FB5F6-C05B-4C45-A9FE-3B209CC95A5D}" id="{F93D2D09-DC95-4216-81E9-77B6F290F34D}">
    <text>From EB</text>
  </threadedComment>
  <threadedComment ref="L92" dT="2023-09-21T12:35:03.21" personId="{8B1FB5F6-C05B-4C45-A9FE-3B209CC95A5D}" id="{8598790D-79A8-4FAB-8E0F-9A4DEE58CC36}">
    <text>Net imports from EB (adjusted in Oct 2024)</text>
  </threadedComment>
  <threadedComment ref="L93" dT="2023-09-20T10:17:52.15" personId="{8B1FB5F6-C05B-4C45-A9FE-3B209CC95A5D}" id="{2FB1C6F0-AD57-4E16-BFAC-B7DB9955D691}">
    <text>From energy balance</text>
  </threadedComment>
  <threadedComment ref="L97" dT="2023-09-20T08:41:00.65" personId="{8B1FB5F6-C05B-4C45-A9FE-3B209CC95A5D}" id="{B0A60D28-BB18-4A91-9004-62133F119943}">
    <text>From gas balance</text>
  </threadedComment>
  <threadedComment ref="G98"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4.5" x14ac:dyDescent="0.35"/>
  <cols>
    <col min="1" max="1" width="23.26953125" customWidth="1"/>
    <col min="2" max="2" width="28.453125" customWidth="1"/>
    <col min="3" max="10" width="15.7265625" customWidth="1"/>
    <col min="11" max="12" width="14.269531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6953125" defaultRowHeight="14.5" x14ac:dyDescent="0.35"/>
  <cols>
    <col min="1" max="1" width="145.54296875" customWidth="1"/>
    <col min="2" max="2" width="18.7265625" customWidth="1"/>
  </cols>
  <sheetData>
    <row r="1" spans="1:3" ht="18.5" x14ac:dyDescent="0.45">
      <c r="A1" s="3" t="s">
        <v>12</v>
      </c>
    </row>
    <row r="2" spans="1:3" x14ac:dyDescent="0.35">
      <c r="A2" s="4" t="s">
        <v>13</v>
      </c>
    </row>
    <row r="3" spans="1:3" x14ac:dyDescent="0.35">
      <c r="A3" s="5" t="s">
        <v>14</v>
      </c>
      <c r="B3" s="5" t="s">
        <v>15</v>
      </c>
      <c r="C3" s="5" t="s">
        <v>16</v>
      </c>
    </row>
    <row r="4" spans="1:3" x14ac:dyDescent="0.35">
      <c r="A4" s="6" t="s">
        <v>17</v>
      </c>
      <c r="B4" s="7">
        <v>41344.704870833331</v>
      </c>
      <c r="C4" s="8" t="s">
        <v>18</v>
      </c>
    </row>
    <row r="5" spans="1:3" ht="29" x14ac:dyDescent="0.35">
      <c r="A5" s="6" t="s">
        <v>19</v>
      </c>
      <c r="B5" s="7">
        <v>41344.704870833331</v>
      </c>
      <c r="C5" s="8" t="s">
        <v>18</v>
      </c>
    </row>
    <row r="6" spans="1:3" x14ac:dyDescent="0.35">
      <c r="A6" s="6" t="s">
        <v>20</v>
      </c>
      <c r="B6" s="7">
        <v>41347.449376504628</v>
      </c>
      <c r="C6" s="8" t="s">
        <v>18</v>
      </c>
    </row>
    <row r="7" spans="1:3" x14ac:dyDescent="0.35">
      <c r="A7" s="6" t="s">
        <v>21</v>
      </c>
      <c r="B7" s="7">
        <v>41347.449376504628</v>
      </c>
      <c r="C7" s="8" t="s">
        <v>18</v>
      </c>
    </row>
    <row r="8" spans="1:3" x14ac:dyDescent="0.35">
      <c r="A8" s="6" t="s">
        <v>22</v>
      </c>
      <c r="B8" s="7">
        <v>41347.449376504628</v>
      </c>
      <c r="C8" s="8" t="s">
        <v>18</v>
      </c>
    </row>
    <row r="9" spans="1:3" x14ac:dyDescent="0.35">
      <c r="A9" s="6" t="s">
        <v>23</v>
      </c>
      <c r="B9" s="7">
        <v>41347.449376504628</v>
      </c>
      <c r="C9" s="8" t="s">
        <v>18</v>
      </c>
    </row>
    <row r="10" spans="1:3" x14ac:dyDescent="0.35">
      <c r="A10" s="6" t="s">
        <v>24</v>
      </c>
      <c r="B10" s="7">
        <v>41347.449376504628</v>
      </c>
      <c r="C10" s="8" t="s">
        <v>18</v>
      </c>
    </row>
    <row r="11" spans="1:3" x14ac:dyDescent="0.35">
      <c r="A11" s="6" t="s">
        <v>25</v>
      </c>
      <c r="B11" s="9">
        <v>41456</v>
      </c>
      <c r="C11" s="10" t="s">
        <v>26</v>
      </c>
    </row>
    <row r="12" spans="1:3" x14ac:dyDescent="0.35">
      <c r="A12" s="6" t="s">
        <v>27</v>
      </c>
      <c r="C12" s="11"/>
    </row>
    <row r="13" spans="1:3" x14ac:dyDescent="0.35">
      <c r="A13" s="6" t="s">
        <v>28</v>
      </c>
      <c r="C13" s="11"/>
    </row>
    <row r="14" spans="1:3" x14ac:dyDescent="0.35">
      <c r="A14" s="6" t="s">
        <v>29</v>
      </c>
      <c r="B14" s="12">
        <v>41481</v>
      </c>
      <c r="C14" s="11" t="s">
        <v>26</v>
      </c>
    </row>
    <row r="15" spans="1:3" x14ac:dyDescent="0.35">
      <c r="A15" s="6" t="s">
        <v>30</v>
      </c>
      <c r="B15" s="13"/>
      <c r="C15" s="14"/>
    </row>
    <row r="16" spans="1:3" x14ac:dyDescent="0.35">
      <c r="A16" s="6" t="s">
        <v>31</v>
      </c>
      <c r="B16" s="12">
        <v>41491</v>
      </c>
      <c r="C16" s="15" t="s">
        <v>32</v>
      </c>
    </row>
    <row r="17" spans="1:3" x14ac:dyDescent="0.35">
      <c r="A17" s="16" t="s">
        <v>33</v>
      </c>
      <c r="B17" s="12">
        <v>41499</v>
      </c>
      <c r="C17" s="11" t="s">
        <v>32</v>
      </c>
    </row>
    <row r="18" spans="1:3" ht="29" x14ac:dyDescent="0.35">
      <c r="A18" s="6" t="s">
        <v>34</v>
      </c>
      <c r="B18" s="12">
        <v>41500</v>
      </c>
      <c r="C18" s="14" t="s">
        <v>32</v>
      </c>
    </row>
    <row r="19" spans="1:3" x14ac:dyDescent="0.35">
      <c r="A19" s="17" t="s">
        <v>35</v>
      </c>
      <c r="B19" s="18" t="s">
        <v>36</v>
      </c>
      <c r="C19" s="17" t="s">
        <v>32</v>
      </c>
    </row>
    <row r="21" spans="1:3" x14ac:dyDescent="0.35">
      <c r="A21" s="19" t="s">
        <v>37</v>
      </c>
      <c r="B21" s="18">
        <v>41589.665909722222</v>
      </c>
      <c r="C21" t="s">
        <v>26</v>
      </c>
    </row>
    <row r="23" spans="1:3" x14ac:dyDescent="0.35">
      <c r="A23" t="s">
        <v>38</v>
      </c>
      <c r="B23" s="18">
        <v>41597.58110949074</v>
      </c>
      <c r="C23" t="s">
        <v>32</v>
      </c>
    </row>
    <row r="24" spans="1:3" x14ac:dyDescent="0.35">
      <c r="A24" t="s">
        <v>39</v>
      </c>
      <c r="B24" s="18">
        <v>41765.779536921298</v>
      </c>
      <c r="C24" t="s">
        <v>32</v>
      </c>
    </row>
    <row r="26" spans="1:3" x14ac:dyDescent="0.35">
      <c r="B26" s="18">
        <f ca="1">NOW()</f>
        <v>45586.707826041667</v>
      </c>
    </row>
    <row r="28" spans="1:3" x14ac:dyDescent="0.35">
      <c r="A28" t="s">
        <v>40</v>
      </c>
      <c r="B28" s="20">
        <v>41858</v>
      </c>
      <c r="C28" t="s">
        <v>26</v>
      </c>
    </row>
    <row r="29" spans="1:3" x14ac:dyDescent="0.35">
      <c r="A29" s="21" t="s">
        <v>41</v>
      </c>
    </row>
    <row r="30" spans="1:3" x14ac:dyDescent="0.35">
      <c r="A30" t="s">
        <v>42</v>
      </c>
    </row>
    <row r="31" spans="1:3" x14ac:dyDescent="0.35">
      <c r="A31" t="s">
        <v>43</v>
      </c>
    </row>
    <row r="32" spans="1:3" x14ac:dyDescent="0.35">
      <c r="A32" t="s">
        <v>44</v>
      </c>
    </row>
    <row r="33" spans="1:3" x14ac:dyDescent="0.35">
      <c r="A33" t="s">
        <v>45</v>
      </c>
    </row>
    <row r="34" spans="1:3" x14ac:dyDescent="0.35">
      <c r="A34" t="s">
        <v>46</v>
      </c>
    </row>
    <row r="35" spans="1:3" x14ac:dyDescent="0.35">
      <c r="A35" t="s">
        <v>47</v>
      </c>
    </row>
    <row r="36" spans="1:3" x14ac:dyDescent="0.35">
      <c r="A36" t="s">
        <v>48</v>
      </c>
    </row>
    <row r="37" spans="1:3" x14ac:dyDescent="0.35">
      <c r="A37" t="s">
        <v>49</v>
      </c>
    </row>
    <row r="38" spans="1:3" x14ac:dyDescent="0.35">
      <c r="A38" t="s">
        <v>50</v>
      </c>
    </row>
    <row r="39" spans="1:3" x14ac:dyDescent="0.35">
      <c r="A39" t="s">
        <v>51</v>
      </c>
    </row>
    <row r="40" spans="1:3" x14ac:dyDescent="0.35">
      <c r="A40" t="s">
        <v>52</v>
      </c>
    </row>
    <row r="41" spans="1:3" x14ac:dyDescent="0.35">
      <c r="A41" t="s">
        <v>53</v>
      </c>
    </row>
    <row r="43" spans="1:3" x14ac:dyDescent="0.35">
      <c r="A43" t="s">
        <v>54</v>
      </c>
      <c r="B43" s="12">
        <v>41866</v>
      </c>
      <c r="C43" t="s">
        <v>55</v>
      </c>
    </row>
    <row r="44" spans="1:3" x14ac:dyDescent="0.35">
      <c r="A44" t="s">
        <v>56</v>
      </c>
      <c r="B44" s="12">
        <v>41866</v>
      </c>
      <c r="C44" t="s">
        <v>26</v>
      </c>
    </row>
    <row r="45" spans="1:3" x14ac:dyDescent="0.35">
      <c r="A45" t="s">
        <v>57</v>
      </c>
      <c r="B45" s="12">
        <v>41869</v>
      </c>
      <c r="C45" t="s">
        <v>26</v>
      </c>
    </row>
    <row r="46" spans="1:3" x14ac:dyDescent="0.35">
      <c r="A46" t="s">
        <v>58</v>
      </c>
    </row>
    <row r="48" spans="1:3" x14ac:dyDescent="0.35">
      <c r="A48" t="s">
        <v>59</v>
      </c>
      <c r="B48" s="12">
        <v>42059</v>
      </c>
      <c r="C48" t="s">
        <v>26</v>
      </c>
    </row>
    <row r="49" spans="1:3" x14ac:dyDescent="0.35">
      <c r="A49" t="s">
        <v>60</v>
      </c>
      <c r="B49" s="22">
        <v>42064</v>
      </c>
      <c r="C49" t="s">
        <v>26</v>
      </c>
    </row>
    <row r="50" spans="1:3" x14ac:dyDescent="0.35">
      <c r="A50" t="s">
        <v>61</v>
      </c>
      <c r="B50" s="22">
        <v>42064</v>
      </c>
      <c r="C50" t="s">
        <v>26</v>
      </c>
    </row>
    <row r="52" spans="1:3" x14ac:dyDescent="0.35">
      <c r="A52" t="s">
        <v>62</v>
      </c>
      <c r="B52" s="22">
        <v>42064</v>
      </c>
      <c r="C52" t="s">
        <v>26</v>
      </c>
    </row>
    <row r="53" spans="1:3" x14ac:dyDescent="0.35">
      <c r="A53" t="s">
        <v>63</v>
      </c>
    </row>
    <row r="54" spans="1:3" x14ac:dyDescent="0.35">
      <c r="A54" t="s">
        <v>64</v>
      </c>
    </row>
    <row r="55" spans="1:3" x14ac:dyDescent="0.35">
      <c r="A55" t="s">
        <v>65</v>
      </c>
    </row>
    <row r="56" spans="1:3" x14ac:dyDescent="0.35">
      <c r="A56" t="s">
        <v>66</v>
      </c>
    </row>
    <row r="57" spans="1:3" x14ac:dyDescent="0.35">
      <c r="A57" t="s">
        <v>67</v>
      </c>
    </row>
    <row r="58" spans="1:3" x14ac:dyDescent="0.35">
      <c r="A58" t="s">
        <v>68</v>
      </c>
    </row>
    <row r="60" spans="1:3" x14ac:dyDescent="0.35">
      <c r="A60" t="s">
        <v>69</v>
      </c>
      <c r="B60" s="23">
        <v>42090</v>
      </c>
      <c r="C60" t="s">
        <v>26</v>
      </c>
    </row>
    <row r="61" spans="1:3" x14ac:dyDescent="0.35">
      <c r="A61" t="s">
        <v>70</v>
      </c>
    </row>
    <row r="63" spans="1:3" x14ac:dyDescent="0.35">
      <c r="A63" t="s">
        <v>71</v>
      </c>
      <c r="B63" s="12">
        <v>42108</v>
      </c>
      <c r="C63" t="s">
        <v>26</v>
      </c>
    </row>
    <row r="65" spans="1:4" x14ac:dyDescent="0.35">
      <c r="A65" t="s">
        <v>72</v>
      </c>
      <c r="B65" s="12">
        <v>42109</v>
      </c>
      <c r="C65" t="s">
        <v>26</v>
      </c>
    </row>
    <row r="67" spans="1:4" x14ac:dyDescent="0.35">
      <c r="A67" t="s">
        <v>73</v>
      </c>
      <c r="B67" s="12">
        <v>42135</v>
      </c>
      <c r="C67" t="s">
        <v>74</v>
      </c>
    </row>
    <row r="69" spans="1:4" x14ac:dyDescent="0.35">
      <c r="A69" t="s">
        <v>75</v>
      </c>
      <c r="B69" s="20">
        <v>42534</v>
      </c>
      <c r="C69" t="s">
        <v>76</v>
      </c>
    </row>
    <row r="70" spans="1:4" ht="29" x14ac:dyDescent="0.35">
      <c r="A70" s="19" t="s">
        <v>77</v>
      </c>
      <c r="B70" s="20">
        <v>42767</v>
      </c>
      <c r="C70" t="s">
        <v>76</v>
      </c>
    </row>
    <row r="71" spans="1:4" x14ac:dyDescent="0.35">
      <c r="A71" t="s">
        <v>78</v>
      </c>
      <c r="B71" t="s">
        <v>79</v>
      </c>
      <c r="C71" t="s">
        <v>80</v>
      </c>
    </row>
    <row r="73" spans="1:4" x14ac:dyDescent="0.35">
      <c r="A73" t="s">
        <v>81</v>
      </c>
      <c r="B73" s="20">
        <v>43124</v>
      </c>
      <c r="C73" t="s">
        <v>82</v>
      </c>
    </row>
    <row r="75" spans="1:4" x14ac:dyDescent="0.35">
      <c r="A75" t="s">
        <v>83</v>
      </c>
      <c r="B75" s="20">
        <v>43862</v>
      </c>
      <c r="C75" s="24" t="s">
        <v>32</v>
      </c>
      <c r="D75" t="s">
        <v>84</v>
      </c>
    </row>
    <row r="76" spans="1:4" x14ac:dyDescent="0.35">
      <c r="A76" t="s">
        <v>85</v>
      </c>
      <c r="B76" s="20">
        <v>43862</v>
      </c>
      <c r="C76" s="24" t="s">
        <v>32</v>
      </c>
      <c r="D76" t="s">
        <v>84</v>
      </c>
    </row>
    <row r="77" spans="1:4" x14ac:dyDescent="0.35">
      <c r="B77" t="s">
        <v>86</v>
      </c>
    </row>
    <row r="78" spans="1:4" ht="29" x14ac:dyDescent="0.35">
      <c r="A78" s="25" t="s">
        <v>87</v>
      </c>
      <c r="B78" s="20">
        <v>44007.689838194441</v>
      </c>
      <c r="C78" s="24" t="s">
        <v>32</v>
      </c>
      <c r="D78" t="s">
        <v>88</v>
      </c>
    </row>
    <row r="80" spans="1:4" ht="29" x14ac:dyDescent="0.35">
      <c r="A80" s="25" t="s">
        <v>89</v>
      </c>
      <c r="B80" s="20">
        <v>44029.689837962964</v>
      </c>
      <c r="C80" t="s">
        <v>32</v>
      </c>
      <c r="D80" t="s">
        <v>88</v>
      </c>
    </row>
    <row r="81" spans="1:4" x14ac:dyDescent="0.35">
      <c r="A81" t="s">
        <v>90</v>
      </c>
      <c r="B81" t="s">
        <v>91</v>
      </c>
      <c r="C81" t="s">
        <v>26</v>
      </c>
      <c r="D81" t="s">
        <v>88</v>
      </c>
    </row>
    <row r="82" spans="1:4" x14ac:dyDescent="0.35">
      <c r="A82" t="s">
        <v>92</v>
      </c>
      <c r="B82" s="20">
        <v>44276</v>
      </c>
      <c r="C82" t="s">
        <v>26</v>
      </c>
      <c r="D82" t="s">
        <v>93</v>
      </c>
    </row>
    <row r="83" spans="1:4" x14ac:dyDescent="0.35">
      <c r="A83" s="25" t="s">
        <v>94</v>
      </c>
      <c r="B83" s="20">
        <v>44276</v>
      </c>
      <c r="C83" t="s">
        <v>26</v>
      </c>
      <c r="D83" t="s">
        <v>93</v>
      </c>
    </row>
    <row r="84" spans="1:4" x14ac:dyDescent="0.35">
      <c r="A84" t="s">
        <v>95</v>
      </c>
      <c r="B84" s="20">
        <v>44278</v>
      </c>
      <c r="C84" t="s">
        <v>26</v>
      </c>
      <c r="D84" t="s">
        <v>93</v>
      </c>
    </row>
    <row r="85" spans="1:4" x14ac:dyDescent="0.35">
      <c r="A85" t="s">
        <v>96</v>
      </c>
      <c r="B85" s="20">
        <v>44293</v>
      </c>
      <c r="C85" t="s">
        <v>26</v>
      </c>
      <c r="D85" t="s">
        <v>93</v>
      </c>
    </row>
    <row r="86" spans="1:4" x14ac:dyDescent="0.35">
      <c r="A86" t="s">
        <v>97</v>
      </c>
      <c r="B86" s="20">
        <v>44294</v>
      </c>
      <c r="C86" t="s">
        <v>26</v>
      </c>
      <c r="D86" t="s">
        <v>93</v>
      </c>
    </row>
    <row r="87" spans="1:4" x14ac:dyDescent="0.35">
      <c r="A87" t="s">
        <v>98</v>
      </c>
      <c r="B87" s="20">
        <v>44294</v>
      </c>
      <c r="C87" t="s">
        <v>26</v>
      </c>
      <c r="D87" t="s">
        <v>93</v>
      </c>
    </row>
    <row r="88" spans="1:4" x14ac:dyDescent="0.35">
      <c r="A88" t="s">
        <v>99</v>
      </c>
      <c r="B88" s="20">
        <v>44294</v>
      </c>
      <c r="C88" t="s">
        <v>76</v>
      </c>
      <c r="D88" t="s">
        <v>93</v>
      </c>
    </row>
    <row r="89" spans="1:4" x14ac:dyDescent="0.35">
      <c r="A89" t="s">
        <v>100</v>
      </c>
      <c r="B89" s="20">
        <v>44295</v>
      </c>
      <c r="C89" t="s">
        <v>76</v>
      </c>
      <c r="D89" t="s">
        <v>93</v>
      </c>
    </row>
    <row r="90" spans="1:4" x14ac:dyDescent="0.35">
      <c r="A90" t="s">
        <v>101</v>
      </c>
      <c r="B90" s="20">
        <v>44295</v>
      </c>
      <c r="C90" t="s">
        <v>76</v>
      </c>
      <c r="D90" t="s">
        <v>93</v>
      </c>
    </row>
    <row r="91" spans="1:4" x14ac:dyDescent="0.35">
      <c r="A91" s="26" t="s">
        <v>102</v>
      </c>
      <c r="B91" s="20">
        <v>44295</v>
      </c>
      <c r="C91" t="s">
        <v>76</v>
      </c>
      <c r="D91" t="s">
        <v>93</v>
      </c>
    </row>
    <row r="92" spans="1:4" x14ac:dyDescent="0.35">
      <c r="A92" t="s">
        <v>103</v>
      </c>
      <c r="B92" s="20">
        <v>44295</v>
      </c>
      <c r="C92" t="s">
        <v>76</v>
      </c>
      <c r="D92" t="s">
        <v>93</v>
      </c>
    </row>
    <row r="93" spans="1:4" x14ac:dyDescent="0.35">
      <c r="A93" t="s">
        <v>104</v>
      </c>
      <c r="B93" s="20">
        <v>44295</v>
      </c>
      <c r="C93" t="s">
        <v>76</v>
      </c>
      <c r="D93" t="s">
        <v>93</v>
      </c>
    </row>
    <row r="94" spans="1:4" x14ac:dyDescent="0.35">
      <c r="A94" t="s">
        <v>105</v>
      </c>
      <c r="B94" s="20">
        <v>44295</v>
      </c>
      <c r="C94" t="s">
        <v>76</v>
      </c>
      <c r="D94" t="s">
        <v>93</v>
      </c>
    </row>
    <row r="95" spans="1:4" x14ac:dyDescent="0.35">
      <c r="A95" t="s">
        <v>106</v>
      </c>
      <c r="B95" s="20">
        <v>44295</v>
      </c>
      <c r="C95" t="s">
        <v>76</v>
      </c>
      <c r="D95" t="s">
        <v>93</v>
      </c>
    </row>
    <row r="96" spans="1:4" x14ac:dyDescent="0.35">
      <c r="A96" t="s">
        <v>107</v>
      </c>
      <c r="B96" s="20">
        <v>44295</v>
      </c>
      <c r="C96" t="s">
        <v>76</v>
      </c>
      <c r="D96" t="s">
        <v>93</v>
      </c>
    </row>
    <row r="97" spans="1:4" x14ac:dyDescent="0.35">
      <c r="A97" t="s">
        <v>108</v>
      </c>
      <c r="B97" s="20">
        <v>44295</v>
      </c>
      <c r="C97" t="s">
        <v>76</v>
      </c>
      <c r="D97" t="s">
        <v>93</v>
      </c>
    </row>
    <row r="98" spans="1:4" x14ac:dyDescent="0.35">
      <c r="A98" t="s">
        <v>109</v>
      </c>
      <c r="B98" s="20">
        <v>44295</v>
      </c>
      <c r="C98" t="s">
        <v>76</v>
      </c>
      <c r="D98" t="s">
        <v>93</v>
      </c>
    </row>
    <row r="99" spans="1:4" x14ac:dyDescent="0.35">
      <c r="A99" t="s">
        <v>110</v>
      </c>
      <c r="B99" s="20">
        <v>44296</v>
      </c>
      <c r="C99" t="s">
        <v>76</v>
      </c>
      <c r="D99" t="s">
        <v>93</v>
      </c>
    </row>
    <row r="100" spans="1:4" x14ac:dyDescent="0.35">
      <c r="A100" t="s">
        <v>111</v>
      </c>
      <c r="B100" s="20">
        <v>44297</v>
      </c>
      <c r="C100" t="s">
        <v>76</v>
      </c>
      <c r="D100" t="s">
        <v>93</v>
      </c>
    </row>
    <row r="101" spans="1:4" x14ac:dyDescent="0.35">
      <c r="A101" t="s">
        <v>112</v>
      </c>
      <c r="B101" s="20">
        <v>44308</v>
      </c>
      <c r="C101" t="s">
        <v>76</v>
      </c>
      <c r="D101" t="s">
        <v>93</v>
      </c>
    </row>
    <row r="102" spans="1:4" x14ac:dyDescent="0.35">
      <c r="A102" t="s">
        <v>113</v>
      </c>
      <c r="B102" s="20">
        <v>44308</v>
      </c>
      <c r="C102" t="s">
        <v>76</v>
      </c>
      <c r="D102" t="s">
        <v>93</v>
      </c>
    </row>
    <row r="103" spans="1:4" x14ac:dyDescent="0.35">
      <c r="A103" t="s">
        <v>114</v>
      </c>
      <c r="B103" s="20">
        <v>44308</v>
      </c>
      <c r="C103" t="s">
        <v>76</v>
      </c>
      <c r="D103" t="s">
        <v>93</v>
      </c>
    </row>
    <row r="104" spans="1:4" x14ac:dyDescent="0.35">
      <c r="A104" s="19" t="s">
        <v>115</v>
      </c>
      <c r="B104" s="20">
        <v>44317</v>
      </c>
      <c r="C104" t="s">
        <v>116</v>
      </c>
      <c r="D104" t="s">
        <v>93</v>
      </c>
    </row>
    <row r="105" spans="1:4" x14ac:dyDescent="0.35">
      <c r="A105" t="s">
        <v>117</v>
      </c>
      <c r="B105" s="20">
        <v>44321</v>
      </c>
      <c r="C105" t="s">
        <v>76</v>
      </c>
      <c r="D105" t="s">
        <v>93</v>
      </c>
    </row>
    <row r="106" spans="1:4" x14ac:dyDescent="0.35">
      <c r="A106" t="s">
        <v>118</v>
      </c>
      <c r="B106" s="20">
        <v>44322</v>
      </c>
      <c r="C106" t="s">
        <v>76</v>
      </c>
      <c r="D106" t="s">
        <v>93</v>
      </c>
    </row>
    <row r="107" spans="1:4" x14ac:dyDescent="0.35">
      <c r="A107" t="s">
        <v>119</v>
      </c>
      <c r="B107" s="20">
        <v>44327</v>
      </c>
      <c r="C107" t="s">
        <v>26</v>
      </c>
      <c r="D107" t="s">
        <v>93</v>
      </c>
    </row>
    <row r="108" spans="1:4" x14ac:dyDescent="0.35">
      <c r="A108" t="s">
        <v>120</v>
      </c>
      <c r="B108" s="20">
        <v>44328</v>
      </c>
      <c r="C108" t="s">
        <v>76</v>
      </c>
      <c r="D108" t="s">
        <v>93</v>
      </c>
    </row>
    <row r="109" spans="1:4" x14ac:dyDescent="0.35">
      <c r="A109" t="s">
        <v>121</v>
      </c>
      <c r="B109" s="20">
        <v>44372</v>
      </c>
      <c r="C109" t="s">
        <v>26</v>
      </c>
      <c r="D109" t="s">
        <v>93</v>
      </c>
    </row>
    <row r="110" spans="1:4" x14ac:dyDescent="0.35">
      <c r="A110" t="s">
        <v>122</v>
      </c>
      <c r="B110" s="20">
        <v>44373</v>
      </c>
      <c r="C110" t="s">
        <v>26</v>
      </c>
      <c r="D110" t="s">
        <v>93</v>
      </c>
    </row>
    <row r="111" spans="1:4" x14ac:dyDescent="0.35">
      <c r="A111" t="s">
        <v>123</v>
      </c>
      <c r="B111" s="20">
        <v>44406</v>
      </c>
      <c r="C111" t="s">
        <v>26</v>
      </c>
      <c r="D111" t="s">
        <v>93</v>
      </c>
    </row>
    <row r="112" spans="1:4" x14ac:dyDescent="0.35">
      <c r="A112" t="s">
        <v>124</v>
      </c>
      <c r="B112" s="20">
        <v>44412</v>
      </c>
      <c r="C112" t="s">
        <v>26</v>
      </c>
      <c r="D112" t="s">
        <v>93</v>
      </c>
    </row>
    <row r="113" spans="1:4" x14ac:dyDescent="0.35">
      <c r="A113" t="s">
        <v>125</v>
      </c>
      <c r="B113" s="20">
        <v>44412</v>
      </c>
      <c r="C113" t="s">
        <v>26</v>
      </c>
      <c r="D113" t="s">
        <v>93</v>
      </c>
    </row>
    <row r="114" spans="1:4" x14ac:dyDescent="0.35">
      <c r="A114" t="s">
        <v>126</v>
      </c>
      <c r="B114" s="20">
        <v>44449</v>
      </c>
      <c r="C114" t="s">
        <v>26</v>
      </c>
      <c r="D114" t="s">
        <v>93</v>
      </c>
    </row>
    <row r="118" spans="1:4" x14ac:dyDescent="0.35">
      <c r="A118" s="27">
        <f ca="1">NOW()</f>
        <v>45586.707826041667</v>
      </c>
    </row>
    <row r="119" spans="1:4" x14ac:dyDescent="0.35">
      <c r="A119" t="s">
        <v>127</v>
      </c>
    </row>
    <row r="120" spans="1:4" x14ac:dyDescent="0.35">
      <c r="A120" t="s">
        <v>128</v>
      </c>
    </row>
    <row r="121" spans="1:4" x14ac:dyDescent="0.3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53125" defaultRowHeight="12.5" x14ac:dyDescent="0.25"/>
  <cols>
    <col min="1" max="1" width="11.453125" style="28" customWidth="1"/>
    <col min="2" max="2" width="26.7265625" style="28" customWidth="1"/>
    <col min="3" max="3" width="11.453125" style="28" customWidth="1"/>
    <col min="4" max="4" width="32.7265625" style="28" customWidth="1"/>
    <col min="5" max="16384" width="11.453125" style="28"/>
  </cols>
  <sheetData>
    <row r="2" spans="1:4" x14ac:dyDescent="0.25">
      <c r="C2" s="28" t="s">
        <v>132</v>
      </c>
      <c r="D2" s="31">
        <v>1E-8</v>
      </c>
    </row>
    <row r="3" spans="1:4" ht="18" x14ac:dyDescent="0.4">
      <c r="B3" s="32" t="s">
        <v>133</v>
      </c>
    </row>
    <row r="4" spans="1:4" ht="13" x14ac:dyDescent="0.3">
      <c r="B4" s="29" t="s">
        <v>134</v>
      </c>
      <c r="C4" s="29" t="s">
        <v>135</v>
      </c>
    </row>
    <row r="5" spans="1:4" x14ac:dyDescent="0.25">
      <c r="A5" s="28">
        <v>1</v>
      </c>
      <c r="B5" s="28" t="s">
        <v>143</v>
      </c>
      <c r="C5" s="28" t="s">
        <v>144</v>
      </c>
    </row>
    <row r="6" spans="1:4" x14ac:dyDescent="0.25">
      <c r="A6" s="28">
        <f t="shared" ref="A6:A49" si="0">A5+1</f>
        <v>2</v>
      </c>
      <c r="B6" s="28" t="s">
        <v>145</v>
      </c>
      <c r="C6" s="28" t="s">
        <v>146</v>
      </c>
    </row>
    <row r="7" spans="1:4" x14ac:dyDescent="0.25">
      <c r="A7" s="28">
        <f t="shared" si="0"/>
        <v>3</v>
      </c>
      <c r="B7" s="28" t="s">
        <v>147</v>
      </c>
      <c r="C7" s="28" t="s">
        <v>148</v>
      </c>
    </row>
    <row r="8" spans="1:4" x14ac:dyDescent="0.25">
      <c r="A8" s="28">
        <f t="shared" si="0"/>
        <v>4</v>
      </c>
      <c r="B8" s="28" t="s">
        <v>149</v>
      </c>
      <c r="C8" s="28" t="s">
        <v>150</v>
      </c>
    </row>
    <row r="9" spans="1:4" x14ac:dyDescent="0.25">
      <c r="A9" s="28">
        <f t="shared" si="0"/>
        <v>5</v>
      </c>
      <c r="B9" s="28" t="s">
        <v>151</v>
      </c>
      <c r="C9" s="28" t="s">
        <v>152</v>
      </c>
    </row>
    <row r="10" spans="1:4" x14ac:dyDescent="0.25">
      <c r="A10" s="28">
        <f t="shared" si="0"/>
        <v>6</v>
      </c>
      <c r="B10" s="28" t="s">
        <v>153</v>
      </c>
      <c r="C10" s="28" t="s">
        <v>154</v>
      </c>
    </row>
    <row r="11" spans="1:4" x14ac:dyDescent="0.25">
      <c r="A11" s="28">
        <f t="shared" si="0"/>
        <v>7</v>
      </c>
      <c r="B11" s="28" t="s">
        <v>155</v>
      </c>
      <c r="C11" s="28" t="s">
        <v>156</v>
      </c>
    </row>
    <row r="12" spans="1:4" x14ac:dyDescent="0.25">
      <c r="A12" s="28">
        <f t="shared" si="0"/>
        <v>8</v>
      </c>
      <c r="B12" s="28" t="s">
        <v>157</v>
      </c>
      <c r="C12" s="28" t="s">
        <v>158</v>
      </c>
    </row>
    <row r="13" spans="1:4" ht="14.5" x14ac:dyDescent="0.35">
      <c r="A13" s="28">
        <f t="shared" si="0"/>
        <v>9</v>
      </c>
      <c r="B13" t="s">
        <v>159</v>
      </c>
      <c r="C13" t="s">
        <v>160</v>
      </c>
    </row>
    <row r="14" spans="1:4" ht="14.5" x14ac:dyDescent="0.35">
      <c r="A14" s="28">
        <f t="shared" si="0"/>
        <v>10</v>
      </c>
      <c r="B14" t="s">
        <v>161</v>
      </c>
      <c r="C14" t="s">
        <v>162</v>
      </c>
    </row>
    <row r="15" spans="1:4" customFormat="1" ht="14.5" x14ac:dyDescent="0.35">
      <c r="A15">
        <f t="shared" si="0"/>
        <v>11</v>
      </c>
      <c r="B15" t="s">
        <v>163</v>
      </c>
      <c r="C15" t="s">
        <v>164</v>
      </c>
    </row>
    <row r="16" spans="1:4" customFormat="1" ht="14.5" x14ac:dyDescent="0.35">
      <c r="A16">
        <f t="shared" si="0"/>
        <v>12</v>
      </c>
      <c r="B16" t="s">
        <v>1103</v>
      </c>
      <c r="C16" t="s">
        <v>1099</v>
      </c>
    </row>
    <row r="17" spans="1:3" customFormat="1" ht="14.5" x14ac:dyDescent="0.35">
      <c r="A17">
        <f t="shared" si="0"/>
        <v>13</v>
      </c>
      <c r="B17" t="s">
        <v>165</v>
      </c>
      <c r="C17" t="s">
        <v>166</v>
      </c>
    </row>
    <row r="18" spans="1:3" customFormat="1" ht="14.5" x14ac:dyDescent="0.35">
      <c r="A18">
        <f t="shared" si="0"/>
        <v>14</v>
      </c>
      <c r="B18" t="s">
        <v>167</v>
      </c>
      <c r="C18" t="s">
        <v>168</v>
      </c>
    </row>
    <row r="19" spans="1:3" customFormat="1" ht="14.5" x14ac:dyDescent="0.35">
      <c r="A19">
        <f t="shared" si="0"/>
        <v>15</v>
      </c>
      <c r="B19" t="s">
        <v>169</v>
      </c>
      <c r="C19" t="s">
        <v>170</v>
      </c>
    </row>
    <row r="20" spans="1:3" customFormat="1" ht="14.5" x14ac:dyDescent="0.35">
      <c r="A20">
        <f t="shared" si="0"/>
        <v>16</v>
      </c>
      <c r="B20" t="s">
        <v>171</v>
      </c>
      <c r="C20" t="s">
        <v>172</v>
      </c>
    </row>
    <row r="21" spans="1:3" customFormat="1" ht="14.5" x14ac:dyDescent="0.35">
      <c r="A21">
        <f t="shared" si="0"/>
        <v>17</v>
      </c>
      <c r="B21" t="s">
        <v>173</v>
      </c>
      <c r="C21" t="s">
        <v>174</v>
      </c>
    </row>
    <row r="22" spans="1:3" x14ac:dyDescent="0.25">
      <c r="A22" s="28">
        <f t="shared" si="0"/>
        <v>18</v>
      </c>
      <c r="B22" s="28" t="s">
        <v>175</v>
      </c>
      <c r="C22" s="28" t="s">
        <v>176</v>
      </c>
    </row>
    <row r="23" spans="1:3" x14ac:dyDescent="0.25">
      <c r="A23" s="28">
        <f t="shared" si="0"/>
        <v>19</v>
      </c>
      <c r="B23" s="28" t="s">
        <v>177</v>
      </c>
      <c r="C23" s="28" t="s">
        <v>178</v>
      </c>
    </row>
    <row r="24" spans="1:3" x14ac:dyDescent="0.25">
      <c r="A24" s="28">
        <f t="shared" si="0"/>
        <v>20</v>
      </c>
      <c r="B24" s="28" t="s">
        <v>179</v>
      </c>
      <c r="C24" s="28" t="s">
        <v>180</v>
      </c>
    </row>
    <row r="25" spans="1:3" x14ac:dyDescent="0.25">
      <c r="A25" s="28">
        <f t="shared" si="0"/>
        <v>21</v>
      </c>
      <c r="B25" s="28" t="s">
        <v>181</v>
      </c>
      <c r="C25" s="28" t="s">
        <v>182</v>
      </c>
    </row>
    <row r="26" spans="1:3" x14ac:dyDescent="0.25">
      <c r="A26" s="28">
        <f t="shared" si="0"/>
        <v>22</v>
      </c>
      <c r="B26" s="28" t="s">
        <v>183</v>
      </c>
      <c r="C26" s="28" t="s">
        <v>184</v>
      </c>
    </row>
    <row r="27" spans="1:3" x14ac:dyDescent="0.25">
      <c r="A27" s="28">
        <f t="shared" si="0"/>
        <v>23</v>
      </c>
      <c r="B27" s="28" t="s">
        <v>185</v>
      </c>
      <c r="C27" s="28" t="s">
        <v>186</v>
      </c>
    </row>
    <row r="28" spans="1:3" x14ac:dyDescent="0.25">
      <c r="A28" s="28">
        <f t="shared" si="0"/>
        <v>24</v>
      </c>
      <c r="B28" s="28" t="s">
        <v>1102</v>
      </c>
      <c r="C28" s="28" t="s">
        <v>1101</v>
      </c>
    </row>
    <row r="29" spans="1:3" x14ac:dyDescent="0.25">
      <c r="A29" s="28">
        <f t="shared" si="0"/>
        <v>25</v>
      </c>
      <c r="B29" s="28" t="s">
        <v>187</v>
      </c>
      <c r="C29" s="28" t="s">
        <v>188</v>
      </c>
    </row>
    <row r="30" spans="1:3" x14ac:dyDescent="0.25">
      <c r="A30" s="28">
        <f t="shared" si="0"/>
        <v>26</v>
      </c>
      <c r="B30" s="28" t="s">
        <v>189</v>
      </c>
      <c r="C30" s="28" t="s">
        <v>190</v>
      </c>
    </row>
    <row r="31" spans="1:3" x14ac:dyDescent="0.25">
      <c r="A31" s="28">
        <f t="shared" si="0"/>
        <v>27</v>
      </c>
      <c r="B31" s="28" t="s">
        <v>191</v>
      </c>
      <c r="C31" s="28" t="s">
        <v>192</v>
      </c>
    </row>
    <row r="32" spans="1:3" x14ac:dyDescent="0.25">
      <c r="A32" s="28">
        <f t="shared" si="0"/>
        <v>28</v>
      </c>
      <c r="B32" s="28" t="s">
        <v>193</v>
      </c>
      <c r="C32" s="28" t="s">
        <v>194</v>
      </c>
    </row>
    <row r="33" spans="1:3" x14ac:dyDescent="0.25">
      <c r="A33" s="28">
        <f t="shared" si="0"/>
        <v>29</v>
      </c>
      <c r="B33" s="28" t="s">
        <v>195</v>
      </c>
      <c r="C33" s="28" t="s">
        <v>196</v>
      </c>
    </row>
    <row r="34" spans="1:3" s="33" customFormat="1" ht="13" x14ac:dyDescent="0.3">
      <c r="A34" s="28">
        <f>A33+1</f>
        <v>30</v>
      </c>
      <c r="B34" s="33" t="s">
        <v>197</v>
      </c>
      <c r="C34" s="33" t="s">
        <v>198</v>
      </c>
    </row>
    <row r="35" spans="1:3" x14ac:dyDescent="0.25">
      <c r="A35" s="28">
        <f>A34+1</f>
        <v>31</v>
      </c>
      <c r="B35" s="28" t="s">
        <v>199</v>
      </c>
      <c r="C35" s="28" t="s">
        <v>200</v>
      </c>
    </row>
    <row r="36" spans="1:3" x14ac:dyDescent="0.25">
      <c r="A36" s="28">
        <f t="shared" si="0"/>
        <v>32</v>
      </c>
      <c r="B36" s="34" t="s">
        <v>201</v>
      </c>
      <c r="C36" s="28" t="s">
        <v>202</v>
      </c>
    </row>
    <row r="37" spans="1:3" x14ac:dyDescent="0.25">
      <c r="A37" s="28">
        <f t="shared" si="0"/>
        <v>33</v>
      </c>
      <c r="B37" s="28" t="s">
        <v>203</v>
      </c>
      <c r="C37" s="28" t="s">
        <v>204</v>
      </c>
    </row>
    <row r="38" spans="1:3" x14ac:dyDescent="0.25">
      <c r="A38" s="28">
        <f t="shared" si="0"/>
        <v>34</v>
      </c>
      <c r="B38" s="28" t="s">
        <v>205</v>
      </c>
      <c r="C38" s="28" t="s">
        <v>206</v>
      </c>
    </row>
    <row r="39" spans="1:3" x14ac:dyDescent="0.25">
      <c r="A39" s="28">
        <f t="shared" si="0"/>
        <v>35</v>
      </c>
      <c r="B39" s="28" t="s">
        <v>207</v>
      </c>
      <c r="C39" s="28" t="s">
        <v>208</v>
      </c>
    </row>
    <row r="40" spans="1:3" x14ac:dyDescent="0.25">
      <c r="A40" s="28">
        <f t="shared" si="0"/>
        <v>36</v>
      </c>
      <c r="B40" s="28" t="s">
        <v>209</v>
      </c>
      <c r="C40" s="28" t="s">
        <v>210</v>
      </c>
    </row>
    <row r="41" spans="1:3" x14ac:dyDescent="0.25">
      <c r="A41" s="28">
        <f t="shared" si="0"/>
        <v>37</v>
      </c>
      <c r="B41" s="28" t="s">
        <v>1106</v>
      </c>
      <c r="C41" s="28" t="s">
        <v>1105</v>
      </c>
    </row>
    <row r="42" spans="1:3" x14ac:dyDescent="0.25">
      <c r="A42" s="28">
        <f t="shared" si="0"/>
        <v>38</v>
      </c>
      <c r="B42" s="28" t="s">
        <v>211</v>
      </c>
      <c r="C42" s="28" t="s">
        <v>212</v>
      </c>
    </row>
    <row r="43" spans="1:3" x14ac:dyDescent="0.25">
      <c r="A43" s="28">
        <f t="shared" si="0"/>
        <v>39</v>
      </c>
      <c r="B43" s="28" t="s">
        <v>213</v>
      </c>
      <c r="C43" s="28" t="s">
        <v>214</v>
      </c>
    </row>
    <row r="44" spans="1:3" x14ac:dyDescent="0.25">
      <c r="A44" s="28">
        <f t="shared" si="0"/>
        <v>40</v>
      </c>
      <c r="B44" s="28" t="s">
        <v>215</v>
      </c>
      <c r="C44" s="28" t="s">
        <v>216</v>
      </c>
    </row>
    <row r="45" spans="1:3" x14ac:dyDescent="0.25">
      <c r="A45" s="28">
        <f t="shared" si="0"/>
        <v>41</v>
      </c>
      <c r="B45" s="28" t="s">
        <v>217</v>
      </c>
      <c r="C45" s="28" t="s">
        <v>218</v>
      </c>
    </row>
    <row r="46" spans="1:3" x14ac:dyDescent="0.25">
      <c r="A46" s="28">
        <f t="shared" si="0"/>
        <v>42</v>
      </c>
      <c r="B46" s="28" t="s">
        <v>219</v>
      </c>
      <c r="C46" s="28" t="s">
        <v>220</v>
      </c>
    </row>
    <row r="47" spans="1:3" x14ac:dyDescent="0.25">
      <c r="A47" s="28">
        <f t="shared" si="0"/>
        <v>43</v>
      </c>
      <c r="B47" s="28" t="s">
        <v>221</v>
      </c>
      <c r="C47" s="28" t="s">
        <v>222</v>
      </c>
    </row>
    <row r="48" spans="1:3" x14ac:dyDescent="0.25">
      <c r="A48" s="28">
        <f t="shared" si="0"/>
        <v>44</v>
      </c>
      <c r="B48" s="28" t="s">
        <v>1108</v>
      </c>
      <c r="C48" s="28" t="s">
        <v>1107</v>
      </c>
    </row>
    <row r="49" spans="1:4" x14ac:dyDescent="0.25">
      <c r="A49" s="28">
        <f t="shared" si="0"/>
        <v>45</v>
      </c>
      <c r="B49" s="28" t="s">
        <v>223</v>
      </c>
    </row>
    <row r="51" spans="1:4" x14ac:dyDescent="0.25">
      <c r="D51" s="30"/>
    </row>
    <row r="52" spans="1:4" ht="14.5" x14ac:dyDescent="0.35">
      <c r="B52" s="26" t="s">
        <v>224</v>
      </c>
      <c r="C52" s="26" t="s">
        <v>225</v>
      </c>
      <c r="D52" s="30"/>
    </row>
    <row r="53" spans="1:4" ht="14.5" x14ac:dyDescent="0.35">
      <c r="B53" t="s">
        <v>5</v>
      </c>
      <c r="C53" t="s">
        <v>0</v>
      </c>
      <c r="D53" s="30"/>
    </row>
    <row r="54" spans="1:4" ht="14.5" x14ac:dyDescent="0.35">
      <c r="B54" t="s">
        <v>6</v>
      </c>
      <c r="C54" t="s">
        <v>226</v>
      </c>
      <c r="D54" s="30"/>
    </row>
    <row r="55" spans="1:4" ht="14.5" x14ac:dyDescent="0.35">
      <c r="B55" t="s">
        <v>7</v>
      </c>
      <c r="C55" t="s">
        <v>1</v>
      </c>
      <c r="D55" s="30"/>
    </row>
    <row r="56" spans="1:4" ht="14.5" x14ac:dyDescent="0.35">
      <c r="B56" t="s">
        <v>10</v>
      </c>
      <c r="C56" t="s">
        <v>227</v>
      </c>
      <c r="D56" s="30"/>
    </row>
    <row r="57" spans="1:4" ht="14.5" x14ac:dyDescent="0.35">
      <c r="B57" t="s">
        <v>9</v>
      </c>
      <c r="C57" t="s">
        <v>3</v>
      </c>
      <c r="D57" s="30"/>
    </row>
    <row r="58" spans="1:4" ht="14.5" x14ac:dyDescent="0.35">
      <c r="B58" t="s">
        <v>8</v>
      </c>
      <c r="C58" t="s">
        <v>2</v>
      </c>
      <c r="D58" s="30"/>
    </row>
    <row r="59" spans="1:4" ht="14.5" x14ac:dyDescent="0.35">
      <c r="B59" t="s">
        <v>11</v>
      </c>
      <c r="C59" t="s">
        <v>228</v>
      </c>
      <c r="D59" s="30"/>
    </row>
    <row r="60" spans="1:4" ht="14.5" x14ac:dyDescent="0.35">
      <c r="B60"/>
      <c r="C60"/>
      <c r="D60" s="30"/>
    </row>
    <row r="61" spans="1:4" ht="14.5" x14ac:dyDescent="0.35">
      <c r="B61"/>
      <c r="C61"/>
      <c r="D61" s="30"/>
    </row>
    <row r="62" spans="1:4" x14ac:dyDescent="0.25">
      <c r="D62" s="30"/>
    </row>
    <row r="63" spans="1:4" x14ac:dyDescent="0.25">
      <c r="D63" s="30"/>
    </row>
    <row r="64" spans="1:4" x14ac:dyDescent="0.25">
      <c r="D64" s="30"/>
    </row>
    <row r="65" spans="3:4" x14ac:dyDescent="0.25">
      <c r="D65" s="30"/>
    </row>
    <row r="66" spans="3:4" x14ac:dyDescent="0.25">
      <c r="D66" s="30"/>
    </row>
    <row r="67" spans="3:4" x14ac:dyDescent="0.25">
      <c r="D67" s="30"/>
    </row>
    <row r="68" spans="3:4" x14ac:dyDescent="0.25">
      <c r="D68" s="30"/>
    </row>
    <row r="69" spans="3:4" x14ac:dyDescent="0.25">
      <c r="D69" s="30"/>
    </row>
    <row r="70" spans="3:4" x14ac:dyDescent="0.25">
      <c r="D70" s="30"/>
    </row>
    <row r="71" spans="3:4" x14ac:dyDescent="0.25">
      <c r="C71" s="30" t="s">
        <v>229</v>
      </c>
    </row>
    <row r="72" spans="3:4" x14ac:dyDescent="0.25">
      <c r="C72" s="30">
        <f t="shared" ref="C72:C82" si="1">COUNTIF($C$5:$C$48,C5)</f>
        <v>1</v>
      </c>
    </row>
    <row r="73" spans="3:4" x14ac:dyDescent="0.25">
      <c r="C73" s="30">
        <f t="shared" si="1"/>
        <v>1</v>
      </c>
    </row>
    <row r="74" spans="3:4" x14ac:dyDescent="0.25">
      <c r="C74" s="30">
        <f t="shared" si="1"/>
        <v>1</v>
      </c>
    </row>
    <row r="75" spans="3:4" x14ac:dyDescent="0.25">
      <c r="C75" s="30">
        <f t="shared" si="1"/>
        <v>1</v>
      </c>
    </row>
    <row r="76" spans="3:4" x14ac:dyDescent="0.25">
      <c r="C76" s="30">
        <f t="shared" si="1"/>
        <v>1</v>
      </c>
    </row>
    <row r="77" spans="3:4" x14ac:dyDescent="0.25">
      <c r="C77" s="30">
        <f t="shared" si="1"/>
        <v>1</v>
      </c>
    </row>
    <row r="78" spans="3:4" x14ac:dyDescent="0.25">
      <c r="C78" s="30">
        <f t="shared" si="1"/>
        <v>1</v>
      </c>
    </row>
    <row r="79" spans="3:4" x14ac:dyDescent="0.25">
      <c r="C79" s="30">
        <f t="shared" si="1"/>
        <v>1</v>
      </c>
    </row>
    <row r="80" spans="3:4" x14ac:dyDescent="0.25">
      <c r="C80" s="30">
        <f t="shared" si="1"/>
        <v>1</v>
      </c>
    </row>
    <row r="81" spans="1:3" x14ac:dyDescent="0.25">
      <c r="C81" s="30">
        <f t="shared" si="1"/>
        <v>1</v>
      </c>
    </row>
    <row r="82" spans="1:3" x14ac:dyDescent="0.25">
      <c r="C82" s="30">
        <f t="shared" si="1"/>
        <v>1</v>
      </c>
    </row>
    <row r="83" spans="1:3" x14ac:dyDescent="0.25">
      <c r="A83" s="28">
        <v>1</v>
      </c>
      <c r="C83" s="30">
        <f t="shared" ref="C83:C93" si="2">COUNTIF($C$5:$C$48,C17)</f>
        <v>1</v>
      </c>
    </row>
    <row r="84" spans="1:3" x14ac:dyDescent="0.25">
      <c r="A84" s="28">
        <v>2</v>
      </c>
      <c r="C84" s="30">
        <f t="shared" si="2"/>
        <v>1</v>
      </c>
    </row>
    <row r="85" spans="1:3" x14ac:dyDescent="0.25">
      <c r="A85" s="28">
        <v>3</v>
      </c>
      <c r="C85" s="30">
        <f t="shared" si="2"/>
        <v>1</v>
      </c>
    </row>
    <row r="86" spans="1:3" x14ac:dyDescent="0.25">
      <c r="A86" s="28">
        <v>4</v>
      </c>
      <c r="C86" s="30">
        <f t="shared" si="2"/>
        <v>1</v>
      </c>
    </row>
    <row r="87" spans="1:3" x14ac:dyDescent="0.25">
      <c r="A87" s="28">
        <v>5</v>
      </c>
      <c r="C87" s="30">
        <f t="shared" si="2"/>
        <v>1</v>
      </c>
    </row>
    <row r="88" spans="1:3" x14ac:dyDescent="0.25">
      <c r="A88" s="28">
        <v>6</v>
      </c>
      <c r="C88" s="30">
        <f t="shared" si="2"/>
        <v>1</v>
      </c>
    </row>
    <row r="89" spans="1:3" x14ac:dyDescent="0.25">
      <c r="A89" s="28">
        <v>7</v>
      </c>
      <c r="C89" s="30">
        <f t="shared" si="2"/>
        <v>1</v>
      </c>
    </row>
    <row r="90" spans="1:3" x14ac:dyDescent="0.25">
      <c r="A90" s="28">
        <v>8</v>
      </c>
      <c r="C90" s="30">
        <f t="shared" si="2"/>
        <v>1</v>
      </c>
    </row>
    <row r="91" spans="1:3" x14ac:dyDescent="0.25">
      <c r="A91" s="28">
        <v>9</v>
      </c>
      <c r="C91" s="30">
        <f t="shared" si="2"/>
        <v>1</v>
      </c>
    </row>
    <row r="92" spans="1:3" x14ac:dyDescent="0.25">
      <c r="A92" s="28">
        <v>10</v>
      </c>
      <c r="C92" s="30">
        <f t="shared" si="2"/>
        <v>1</v>
      </c>
    </row>
    <row r="93" spans="1:3" x14ac:dyDescent="0.25">
      <c r="A93" s="28">
        <v>11</v>
      </c>
      <c r="C93" s="30">
        <f t="shared" si="2"/>
        <v>1</v>
      </c>
    </row>
    <row r="94" spans="1:3" x14ac:dyDescent="0.25">
      <c r="A94" s="28">
        <v>12</v>
      </c>
      <c r="C94" s="30">
        <f t="shared" ref="C94:C105" si="3">COUNTIF($C$5:$C$48,C29)</f>
        <v>1</v>
      </c>
    </row>
    <row r="95" spans="1:3" x14ac:dyDescent="0.25">
      <c r="A95" s="28">
        <v>13</v>
      </c>
      <c r="C95" s="30">
        <f t="shared" si="3"/>
        <v>1</v>
      </c>
    </row>
    <row r="96" spans="1:3" x14ac:dyDescent="0.25">
      <c r="A96" s="28">
        <v>14</v>
      </c>
      <c r="C96" s="30">
        <f t="shared" si="3"/>
        <v>1</v>
      </c>
    </row>
    <row r="97" spans="1:3" x14ac:dyDescent="0.25">
      <c r="A97" s="28">
        <v>15</v>
      </c>
      <c r="C97" s="30">
        <f t="shared" si="3"/>
        <v>1</v>
      </c>
    </row>
    <row r="98" spans="1:3" x14ac:dyDescent="0.25">
      <c r="A98" s="28">
        <v>16</v>
      </c>
      <c r="C98" s="30">
        <f t="shared" si="3"/>
        <v>1</v>
      </c>
    </row>
    <row r="99" spans="1:3" x14ac:dyDescent="0.25">
      <c r="A99" s="28">
        <v>17</v>
      </c>
      <c r="C99" s="30">
        <f t="shared" si="3"/>
        <v>1</v>
      </c>
    </row>
    <row r="100" spans="1:3" x14ac:dyDescent="0.25">
      <c r="A100" s="28">
        <v>18</v>
      </c>
      <c r="C100" s="30">
        <f t="shared" si="3"/>
        <v>1</v>
      </c>
    </row>
    <row r="101" spans="1:3" x14ac:dyDescent="0.25">
      <c r="A101" s="28">
        <v>19</v>
      </c>
      <c r="C101" s="30">
        <f t="shared" si="3"/>
        <v>1</v>
      </c>
    </row>
    <row r="102" spans="1:3" x14ac:dyDescent="0.25">
      <c r="A102" s="28">
        <v>20</v>
      </c>
      <c r="C102" s="30">
        <f t="shared" si="3"/>
        <v>1</v>
      </c>
    </row>
    <row r="103" spans="1:3" x14ac:dyDescent="0.25">
      <c r="A103" s="28">
        <v>21</v>
      </c>
      <c r="C103" s="30">
        <f t="shared" si="3"/>
        <v>1</v>
      </c>
    </row>
    <row r="104" spans="1:3" x14ac:dyDescent="0.25">
      <c r="A104" s="28">
        <v>22</v>
      </c>
      <c r="C104" s="30">
        <f t="shared" si="3"/>
        <v>1</v>
      </c>
    </row>
    <row r="105" spans="1:3" ht="14.5" x14ac:dyDescent="0.35">
      <c r="B105"/>
      <c r="C105" s="30">
        <f t="shared" si="3"/>
        <v>1</v>
      </c>
    </row>
    <row r="106" spans="1:3" ht="14.5" x14ac:dyDescent="0.35">
      <c r="B106"/>
      <c r="C106" s="30">
        <f>COUNTIF($C$5:$C$48,C42)</f>
        <v>1</v>
      </c>
    </row>
    <row r="107" spans="1:3" ht="14.5" x14ac:dyDescent="0.35">
      <c r="B107"/>
      <c r="C107" s="30">
        <f>COUNTIF($C$5:$C$48,C43)</f>
        <v>1</v>
      </c>
    </row>
    <row r="108" spans="1:3" ht="14.5" x14ac:dyDescent="0.35">
      <c r="B108"/>
      <c r="C108" s="30">
        <f>COUNTIF($C$5:$C$48,C44)</f>
        <v>1</v>
      </c>
    </row>
    <row r="109" spans="1:3" ht="14.5" x14ac:dyDescent="0.35">
      <c r="B109"/>
      <c r="C109" s="30">
        <f>COUNTIF($C$5:$C$48,C45)</f>
        <v>1</v>
      </c>
    </row>
    <row r="110" spans="1:3" ht="14.5" x14ac:dyDescent="0.35">
      <c r="B110"/>
      <c r="C110" s="30">
        <f>COUNTIF($C$5:$C$48,C46)</f>
        <v>1</v>
      </c>
    </row>
    <row r="111" spans="1:3" ht="14.5" x14ac:dyDescent="0.35">
      <c r="B111"/>
      <c r="C111" s="30">
        <f>COUNTIF($C$5:$C$48,C48)</f>
        <v>1</v>
      </c>
    </row>
    <row r="112" spans="1:3" ht="14.5" x14ac:dyDescent="0.35">
      <c r="B112"/>
      <c r="C112" s="30"/>
    </row>
    <row r="113" spans="2:4" ht="14.5" x14ac:dyDescent="0.35">
      <c r="B113"/>
      <c r="C113" s="30"/>
    </row>
    <row r="114" spans="2:4" ht="14.5" x14ac:dyDescent="0.35">
      <c r="B114"/>
      <c r="C114" s="30"/>
    </row>
    <row r="115" spans="2:4" ht="14.5" x14ac:dyDescent="0.35">
      <c r="B115"/>
      <c r="C115" s="30"/>
    </row>
    <row r="116" spans="2:4" ht="14.5" x14ac:dyDescent="0.35">
      <c r="B116"/>
      <c r="C116" s="30"/>
    </row>
    <row r="117" spans="2:4" ht="14.5" x14ac:dyDescent="0.35">
      <c r="B117"/>
      <c r="C117" s="30"/>
    </row>
    <row r="118" spans="2:4" ht="14.5" x14ac:dyDescent="0.35">
      <c r="B118"/>
      <c r="C118" s="30"/>
    </row>
    <row r="119" spans="2:4" ht="14.5" x14ac:dyDescent="0.35">
      <c r="B119"/>
      <c r="C119" s="30"/>
    </row>
    <row r="120" spans="2:4" ht="14.5" x14ac:dyDescent="0.35">
      <c r="B120"/>
      <c r="C120" s="30"/>
    </row>
    <row r="121" spans="2:4" ht="14.5" x14ac:dyDescent="0.35">
      <c r="B121"/>
      <c r="C121" s="30"/>
    </row>
    <row r="122" spans="2:4" ht="14.5" x14ac:dyDescent="0.35">
      <c r="B122"/>
    </row>
    <row r="123" spans="2:4" ht="14.5" x14ac:dyDescent="0.35">
      <c r="B123"/>
    </row>
    <row r="124" spans="2:4" ht="13" x14ac:dyDescent="0.3">
      <c r="B124" s="29"/>
      <c r="C124" s="29"/>
      <c r="D124" s="29"/>
    </row>
    <row r="125" spans="2:4" ht="14.5" x14ac:dyDescent="0.35">
      <c r="B125"/>
      <c r="C125"/>
    </row>
    <row r="127" spans="2:4" ht="14.5" x14ac:dyDescent="0.35">
      <c r="B127" s="35"/>
      <c r="C127"/>
    </row>
    <row r="131" spans="2:2" ht="14.5" x14ac:dyDescent="0.35">
      <c r="B131"/>
    </row>
    <row r="132" spans="2:2" ht="14.5" x14ac:dyDescent="0.35">
      <c r="B132"/>
    </row>
    <row r="133" spans="2:2" ht="14.5" x14ac:dyDescent="0.35">
      <c r="B133"/>
    </row>
    <row r="134" spans="2:2" ht="14.5" x14ac:dyDescent="0.3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3"/>
  <sheetViews>
    <sheetView workbookViewId="0">
      <selection activeCell="E12" sqref="E12"/>
    </sheetView>
  </sheetViews>
  <sheetFormatPr defaultColWidth="11.453125" defaultRowHeight="10" x14ac:dyDescent="0.2"/>
  <cols>
    <col min="1" max="1" width="12.453125" style="380" customWidth="1"/>
    <col min="2" max="2" width="14.26953125" style="380" customWidth="1"/>
    <col min="3" max="3" width="27.453125" style="380" customWidth="1"/>
    <col min="4" max="4" width="10.26953125" style="380" customWidth="1"/>
    <col min="5" max="5" width="28.7265625" style="380" customWidth="1"/>
    <col min="6" max="10" width="11.453125" style="380"/>
    <col min="11" max="11" width="19.81640625" style="380" customWidth="1"/>
    <col min="12" max="16384" width="11.453125" style="380"/>
  </cols>
  <sheetData>
    <row r="1" spans="1:12" ht="17.5" thickBot="1" x14ac:dyDescent="0.45">
      <c r="A1" s="291"/>
      <c r="B1" s="169" t="s">
        <v>1000</v>
      </c>
      <c r="C1" s="169"/>
      <c r="D1" s="169"/>
      <c r="E1" s="169"/>
    </row>
    <row r="2" spans="1:12" ht="10.5" thickTop="1" x14ac:dyDescent="0.2"/>
    <row r="3" spans="1:12" ht="14.5" x14ac:dyDescent="0.35">
      <c r="B3" s="383" t="s">
        <v>591</v>
      </c>
      <c r="C3" s="384"/>
      <c r="D3" s="384"/>
      <c r="E3" s="384"/>
      <c r="F3" s="384"/>
      <c r="G3" s="384"/>
      <c r="H3" s="172"/>
      <c r="I3" s="172"/>
    </row>
    <row r="4" spans="1:12" ht="14.5" x14ac:dyDescent="0.35">
      <c r="B4" s="385" t="s">
        <v>334</v>
      </c>
      <c r="C4" s="385" t="s">
        <v>333</v>
      </c>
      <c r="D4" s="385" t="s">
        <v>602</v>
      </c>
      <c r="E4" s="385" t="s">
        <v>603</v>
      </c>
      <c r="F4" s="385" t="s">
        <v>604</v>
      </c>
      <c r="G4" s="385" t="s">
        <v>605</v>
      </c>
      <c r="H4" s="172"/>
      <c r="I4" s="172"/>
    </row>
    <row r="5" spans="1:12" ht="10.5" x14ac:dyDescent="0.25">
      <c r="A5" s="380" t="s">
        <v>354</v>
      </c>
      <c r="B5" s="291" t="s">
        <v>973</v>
      </c>
      <c r="C5" s="291"/>
      <c r="D5" s="291"/>
      <c r="E5" s="291"/>
      <c r="F5" s="291"/>
      <c r="H5" s="172"/>
    </row>
    <row r="6" spans="1:12" ht="14.5" x14ac:dyDescent="0.35">
      <c r="B6" s="380" t="s">
        <v>975</v>
      </c>
      <c r="C6" s="380" t="s">
        <v>974</v>
      </c>
      <c r="D6" t="s">
        <v>239</v>
      </c>
      <c r="E6" t="s">
        <v>966</v>
      </c>
      <c r="F6" s="172" t="s">
        <v>608</v>
      </c>
      <c r="G6" s="172" t="s">
        <v>990</v>
      </c>
      <c r="H6" s="172"/>
      <c r="K6" s="381"/>
      <c r="L6" s="381"/>
    </row>
    <row r="7" spans="1:12" ht="14.5" x14ac:dyDescent="0.35">
      <c r="A7" s="380" t="s">
        <v>354</v>
      </c>
      <c r="B7" s="291" t="s">
        <v>973</v>
      </c>
      <c r="C7" s="291"/>
      <c r="D7" t="str">
        <f>LEFT(L7,2)</f>
        <v/>
      </c>
      <c r="E7" t="str">
        <f>RIGHT(L7,2)</f>
        <v/>
      </c>
      <c r="F7" s="172"/>
      <c r="G7" s="172"/>
      <c r="H7" s="172"/>
      <c r="K7" s="291"/>
      <c r="L7" s="291"/>
    </row>
    <row r="8" spans="1:12" ht="14.5" x14ac:dyDescent="0.35">
      <c r="B8" s="380" t="s">
        <v>972</v>
      </c>
      <c r="C8" s="380" t="s">
        <v>971</v>
      </c>
      <c r="D8" t="str">
        <f>LEFT(L8,2)</f>
        <v/>
      </c>
      <c r="E8" t="s">
        <v>428</v>
      </c>
      <c r="F8" s="172" t="s">
        <v>357</v>
      </c>
      <c r="G8" s="172" t="s">
        <v>990</v>
      </c>
      <c r="H8" s="172"/>
      <c r="K8" s="381"/>
      <c r="L8" s="381"/>
    </row>
    <row r="9" spans="1:12" ht="14.5" x14ac:dyDescent="0.35">
      <c r="A9" s="380" t="s">
        <v>354</v>
      </c>
      <c r="B9" s="291" t="str">
        <f>SUP!A59</f>
        <v>* Indegenous Production of Primary Energy - Fossil</v>
      </c>
      <c r="C9" s="291"/>
      <c r="D9" t="str">
        <f>LEFT(L9,2)</f>
        <v/>
      </c>
      <c r="E9" t="str">
        <f>RIGHT(L9,2)</f>
        <v/>
      </c>
      <c r="F9" s="172"/>
      <c r="G9" s="172"/>
      <c r="H9" s="172"/>
      <c r="K9" s="291"/>
      <c r="L9" s="291"/>
    </row>
    <row r="10" spans="1:12" ht="14.5" x14ac:dyDescent="0.35">
      <c r="B10" s="380" t="s">
        <v>970</v>
      </c>
      <c r="C10" s="380" t="s">
        <v>969</v>
      </c>
      <c r="D10" t="s">
        <v>239</v>
      </c>
      <c r="E10" t="s">
        <v>428</v>
      </c>
      <c r="F10" s="172" t="s">
        <v>357</v>
      </c>
      <c r="G10" s="172" t="s">
        <v>990</v>
      </c>
      <c r="H10" s="172"/>
      <c r="K10" s="381"/>
      <c r="L10" s="381"/>
    </row>
    <row r="11" spans="1:12" ht="14.5" x14ac:dyDescent="0.35">
      <c r="B11" s="380" t="s">
        <v>968</v>
      </c>
      <c r="C11" s="380" t="s">
        <v>967</v>
      </c>
      <c r="D11" t="s">
        <v>1113</v>
      </c>
      <c r="E11" t="s">
        <v>1116</v>
      </c>
      <c r="F11" s="172" t="s">
        <v>357</v>
      </c>
      <c r="G11" s="172" t="s">
        <v>990</v>
      </c>
      <c r="H11" s="172"/>
      <c r="K11" s="381"/>
      <c r="L11" s="381"/>
    </row>
    <row r="12" spans="1:12" ht="14.5" x14ac:dyDescent="0.35">
      <c r="A12" s="380" t="str">
        <f>IF(LEFT(SUP!A60,2)="\I","*","")</f>
        <v/>
      </c>
      <c r="B12" s="380" t="str">
        <f>IF(A12="*","",SUP!B60)</f>
        <v>MINCOA</v>
      </c>
      <c r="C12" s="380" t="str">
        <f>IF(A12="*","",SUP!A60)</f>
        <v>Extraction of Coal</v>
      </c>
      <c r="D12" t="s">
        <v>239</v>
      </c>
      <c r="E12" t="s">
        <v>428</v>
      </c>
      <c r="F12" s="172" t="s">
        <v>357</v>
      </c>
      <c r="G12" s="172" t="s">
        <v>990</v>
      </c>
      <c r="H12" s="172"/>
      <c r="K12" s="381"/>
      <c r="L12" s="381"/>
    </row>
    <row r="13" spans="1:12" ht="14.5" x14ac:dyDescent="0.35">
      <c r="A13" s="380" t="str">
        <f>IF(LEFT(SUP!A62,2)="\I","*","")</f>
        <v/>
      </c>
      <c r="B13" s="380" t="str">
        <f>IF(A13="*","",SUP!B62)</f>
        <v>MINCLE</v>
      </c>
      <c r="C13" s="380" t="str">
        <f>IF(A13="*","",SUP!A62)</f>
        <v>Extraction of Coal low grade</v>
      </c>
      <c r="D13" t="s">
        <v>239</v>
      </c>
      <c r="E13" t="s">
        <v>428</v>
      </c>
      <c r="F13" s="172" t="s">
        <v>357</v>
      </c>
      <c r="G13" s="172" t="s">
        <v>990</v>
      </c>
      <c r="H13" s="172"/>
      <c r="K13" s="381"/>
      <c r="L13" s="381"/>
    </row>
    <row r="14" spans="1:12" ht="14.5" x14ac:dyDescent="0.35">
      <c r="A14" s="380" t="str">
        <f>IF(LEFT(SUP!A64,2)="\I","*","")</f>
        <v/>
      </c>
      <c r="B14" s="380" t="str">
        <f>IF(A14="*","",SUP!B64)</f>
        <v>MINCLD</v>
      </c>
      <c r="C14" s="380" t="str">
        <f>IF(A14="*","",SUP!A64)</f>
        <v>Extraction of Coal Discard</v>
      </c>
      <c r="D14" t="s">
        <v>239</v>
      </c>
      <c r="E14" t="s">
        <v>428</v>
      </c>
      <c r="F14" s="172" t="s">
        <v>357</v>
      </c>
      <c r="G14" s="172" t="s">
        <v>990</v>
      </c>
      <c r="H14" s="172"/>
      <c r="K14" s="381"/>
      <c r="L14" s="381"/>
    </row>
    <row r="15" spans="1:12" ht="14.5" x14ac:dyDescent="0.35">
      <c r="A15" s="380" t="str">
        <f>IF(LEFT(SUP!A66,2)="\I","*","")</f>
        <v/>
      </c>
      <c r="B15" s="380" t="str">
        <f>IF(A15="*","",SUP!B66)</f>
        <v>MINOCR</v>
      </c>
      <c r="C15" s="380" t="str">
        <f>IF(A15="*","",SUP!A66)</f>
        <v>Extraction of Oil Crude</v>
      </c>
      <c r="D15" t="s">
        <v>239</v>
      </c>
      <c r="E15" t="s">
        <v>428</v>
      </c>
      <c r="F15" s="172" t="s">
        <v>357</v>
      </c>
      <c r="G15" s="172" t="s">
        <v>990</v>
      </c>
      <c r="H15" s="172"/>
      <c r="K15" s="381"/>
      <c r="L15" s="381"/>
    </row>
    <row r="16" spans="1:12" ht="14.5" x14ac:dyDescent="0.35">
      <c r="A16" s="380" t="s">
        <v>252</v>
      </c>
      <c r="B16" s="380" t="str">
        <f>IF(A16="*","",SUP!B67)</f>
        <v>MINGIC</v>
      </c>
      <c r="C16" s="380" t="str">
        <f>IF(A16="*","",SUP!A67)</f>
        <v>Extraction of Coastal Gas</v>
      </c>
      <c r="D16" t="s">
        <v>239</v>
      </c>
      <c r="E16" t="s">
        <v>428</v>
      </c>
      <c r="F16" s="172" t="s">
        <v>357</v>
      </c>
      <c r="G16" s="172" t="s">
        <v>990</v>
      </c>
      <c r="H16" s="172"/>
      <c r="K16" s="381"/>
      <c r="L16" s="381"/>
    </row>
    <row r="17" spans="1:12" ht="14.5" x14ac:dyDescent="0.35">
      <c r="A17" s="380" t="s">
        <v>252</v>
      </c>
      <c r="B17" s="380" t="str">
        <f>IF(A17="*","",SUP!B68)</f>
        <v>MINGIB</v>
      </c>
      <c r="C17" s="380" t="str">
        <f>IF(A17="*","",SUP!A68)</f>
        <v>Extraction of Gas Indigenous Ibhubezi</v>
      </c>
      <c r="D17" t="s">
        <v>239</v>
      </c>
      <c r="E17" t="s">
        <v>428</v>
      </c>
      <c r="F17" s="172" t="s">
        <v>357</v>
      </c>
      <c r="G17" s="172" t="s">
        <v>990</v>
      </c>
      <c r="H17" s="172"/>
      <c r="K17" s="381"/>
      <c r="L17" s="381"/>
    </row>
    <row r="18" spans="1:12" ht="14.5" x14ac:dyDescent="0.35">
      <c r="A18" s="380" t="s">
        <v>252</v>
      </c>
      <c r="B18" s="380" t="str">
        <f>IF(A18="*","",SUP!B69)</f>
        <v>MINGAS</v>
      </c>
      <c r="C18" s="380" t="str">
        <f>IF(A18="*","",SUP!A69)</f>
        <v>Extraction of Gas Indigenous Coal Bed Methane</v>
      </c>
      <c r="D18" t="s">
        <v>239</v>
      </c>
      <c r="E18" t="s">
        <v>428</v>
      </c>
      <c r="F18" s="172" t="s">
        <v>357</v>
      </c>
      <c r="G18" s="172" t="s">
        <v>990</v>
      </c>
      <c r="H18" s="172"/>
      <c r="K18" s="381"/>
      <c r="L18" s="381"/>
    </row>
    <row r="19" spans="1:12" ht="14.5" x14ac:dyDescent="0.35">
      <c r="A19" s="380" t="s">
        <v>252</v>
      </c>
      <c r="B19" s="380" t="str">
        <f>IF(A19="*","",SUP!B70)</f>
        <v>MINGIH</v>
      </c>
      <c r="C19" s="380" t="str">
        <f>IF(A19="*","",SUP!A70)</f>
        <v>Extraction of Gas Indigenous Shale</v>
      </c>
      <c r="D19" t="s">
        <v>239</v>
      </c>
      <c r="E19" t="s">
        <v>428</v>
      </c>
      <c r="F19" s="172" t="s">
        <v>357</v>
      </c>
      <c r="G19" s="172" t="s">
        <v>990</v>
      </c>
      <c r="H19" s="172"/>
      <c r="K19" s="381"/>
      <c r="L19" s="381"/>
    </row>
    <row r="20" spans="1:12" ht="14.5" x14ac:dyDescent="0.35">
      <c r="A20" s="380" t="s">
        <v>354</v>
      </c>
      <c r="B20" s="380" t="str">
        <f>IF(A20="*","",SUP!B71)</f>
        <v/>
      </c>
      <c r="C20" s="380" t="str">
        <f>IF(A20="*","",SUP!A71)</f>
        <v/>
      </c>
      <c r="D20"/>
      <c r="E20"/>
      <c r="F20" s="172"/>
      <c r="G20" s="172"/>
      <c r="H20" s="172"/>
      <c r="K20" s="381"/>
      <c r="L20" s="381"/>
    </row>
    <row r="21" spans="1:12" ht="14.5" x14ac:dyDescent="0.35">
      <c r="A21" s="380" t="s">
        <v>252</v>
      </c>
      <c r="B21" s="380" t="str">
        <f>IF(A21="*","",SUP!B72)</f>
        <v>MINBIG</v>
      </c>
      <c r="C21" s="380" t="str">
        <f>IF(A21="*","",SUP!A72)</f>
        <v>Extraction of Biogas</v>
      </c>
      <c r="D21" t="s">
        <v>239</v>
      </c>
      <c r="E21" t="s">
        <v>428</v>
      </c>
      <c r="F21" s="172" t="s">
        <v>357</v>
      </c>
      <c r="G21" s="172" t="s">
        <v>990</v>
      </c>
      <c r="H21" s="172"/>
      <c r="K21" s="381"/>
      <c r="L21" s="381"/>
    </row>
    <row r="22" spans="1:12" ht="14.5" x14ac:dyDescent="0.35">
      <c r="A22" s="380" t="s">
        <v>252</v>
      </c>
      <c r="B22" s="380" t="str">
        <f>IF(A22="*","",SUP!B73)</f>
        <v>MINBIB</v>
      </c>
      <c r="C22" s="380" t="str">
        <f>IF(A22="*","",SUP!A73)</f>
        <v>Extraction of Biomass bagasse</v>
      </c>
      <c r="D22" t="s">
        <v>239</v>
      </c>
      <c r="E22" t="s">
        <v>428</v>
      </c>
      <c r="F22" s="172" t="s">
        <v>357</v>
      </c>
      <c r="G22" s="172" t="s">
        <v>990</v>
      </c>
      <c r="H22" s="172"/>
      <c r="K22" s="381"/>
      <c r="L22" s="381"/>
    </row>
    <row r="23" spans="1:12" ht="14.5" x14ac:dyDescent="0.35">
      <c r="A23" s="380" t="s">
        <v>252</v>
      </c>
      <c r="B23" s="380" t="str">
        <f>IF(A23="*","",SUP!B74)</f>
        <v>MINBIO</v>
      </c>
      <c r="C23" s="380" t="str">
        <f>IF(A23="*","",SUP!A74)</f>
        <v>Extraction of Biomass Other</v>
      </c>
      <c r="D23" t="s">
        <v>239</v>
      </c>
      <c r="E23" t="s">
        <v>428</v>
      </c>
      <c r="F23" s="172" t="s">
        <v>357</v>
      </c>
      <c r="G23" s="172" t="s">
        <v>990</v>
      </c>
      <c r="H23" s="172"/>
      <c r="K23" s="381"/>
      <c r="L23" s="381"/>
    </row>
    <row r="24" spans="1:12" ht="14.5" x14ac:dyDescent="0.35">
      <c r="A24" s="380" t="s">
        <v>252</v>
      </c>
      <c r="B24" s="380" t="str">
        <f>IF(A24="*","",SUP!B75)</f>
        <v>MINBIW</v>
      </c>
      <c r="C24" s="380" t="str">
        <f>IF(A24="*","",SUP!A75)</f>
        <v>Extraction of Biomass Wood</v>
      </c>
      <c r="D24" t="s">
        <v>239</v>
      </c>
      <c r="E24" t="s">
        <v>428</v>
      </c>
      <c r="F24" s="172" t="s">
        <v>357</v>
      </c>
      <c r="G24" s="172" t="s">
        <v>990</v>
      </c>
      <c r="H24" s="172"/>
      <c r="K24" s="381"/>
      <c r="L24" s="381"/>
    </row>
    <row r="25" spans="1:12" ht="14.5" x14ac:dyDescent="0.35">
      <c r="A25" s="380" t="s">
        <v>252</v>
      </c>
      <c r="B25" s="380" t="str">
        <f>IF(A25="*","",SUP!B76)</f>
        <v>MINWAS</v>
      </c>
      <c r="C25" s="380" t="str">
        <f>IF(A25="*","",SUP!A76)</f>
        <v>Extraction of Waste</v>
      </c>
      <c r="D25" t="s">
        <v>239</v>
      </c>
      <c r="E25" t="s">
        <v>428</v>
      </c>
      <c r="F25" s="172" t="s">
        <v>357</v>
      </c>
      <c r="G25" s="172" t="s">
        <v>990</v>
      </c>
      <c r="H25" s="172"/>
      <c r="K25" s="381"/>
      <c r="L25" s="381"/>
    </row>
    <row r="26" spans="1:12" ht="14.5" x14ac:dyDescent="0.35">
      <c r="A26" s="380" t="s">
        <v>252</v>
      </c>
      <c r="B26" s="380" t="str">
        <f>IF(A26="*","",SUP!B77)</f>
        <v>MINHYD</v>
      </c>
      <c r="C26" s="380" t="str">
        <f>IF(A26="*","",SUP!A77)</f>
        <v>Extraction of Hydro</v>
      </c>
      <c r="D26" t="s">
        <v>239</v>
      </c>
      <c r="E26" t="s">
        <v>428</v>
      </c>
      <c r="F26" s="172" t="s">
        <v>357</v>
      </c>
      <c r="G26" s="172" t="s">
        <v>990</v>
      </c>
      <c r="H26" s="172"/>
      <c r="K26" s="381"/>
      <c r="L26" s="381"/>
    </row>
    <row r="27" spans="1:12" ht="14.5" x14ac:dyDescent="0.35">
      <c r="A27" s="380" t="s">
        <v>252</v>
      </c>
      <c r="B27" s="380" t="str">
        <f>IF(A27="*","",SUP!B78)</f>
        <v>MINSOL</v>
      </c>
      <c r="C27" s="380" t="str">
        <f>IF(A27="*","",SUP!A78)</f>
        <v>Extraction of Solar</v>
      </c>
      <c r="D27" t="s">
        <v>239</v>
      </c>
      <c r="E27" t="s">
        <v>428</v>
      </c>
      <c r="F27" s="172" t="s">
        <v>357</v>
      </c>
      <c r="G27" s="172" t="s">
        <v>990</v>
      </c>
      <c r="H27" s="172"/>
      <c r="K27" s="381"/>
      <c r="L27" s="381"/>
    </row>
    <row r="28" spans="1:12" ht="14.5" x14ac:dyDescent="0.35">
      <c r="A28" s="380" t="s">
        <v>252</v>
      </c>
      <c r="B28" s="380" t="str">
        <f>IF(A28="*","",SUP!B79)</f>
        <v>MINWND</v>
      </c>
      <c r="C28" s="380" t="str">
        <f>IF(A28="*","",SUP!A79)</f>
        <v>Extraction of Wind</v>
      </c>
      <c r="D28" t="s">
        <v>239</v>
      </c>
      <c r="E28" t="s">
        <v>428</v>
      </c>
      <c r="F28" s="172" t="s">
        <v>357</v>
      </c>
      <c r="G28" s="172" t="s">
        <v>990</v>
      </c>
      <c r="H28" s="172"/>
      <c r="K28" s="381"/>
      <c r="L28" s="381"/>
    </row>
    <row r="29" spans="1:12" ht="14.5" x14ac:dyDescent="0.35">
      <c r="A29" s="380" t="s">
        <v>354</v>
      </c>
      <c r="B29" s="291" t="s">
        <v>1035</v>
      </c>
      <c r="C29" s="380" t="str">
        <f>IF(A29="*","",SUP!A80)</f>
        <v/>
      </c>
      <c r="D29"/>
      <c r="E29"/>
      <c r="F29" s="172"/>
      <c r="G29" s="172"/>
      <c r="H29" s="172"/>
      <c r="K29" s="381"/>
      <c r="L29" s="381"/>
    </row>
    <row r="30" spans="1:12" ht="14.5" x14ac:dyDescent="0.35">
      <c r="A30" s="380" t="s">
        <v>252</v>
      </c>
      <c r="B30" s="380" t="str">
        <f>IF(A30="*","",SUP!B81)</f>
        <v>IMPCOK</v>
      </c>
      <c r="C30" s="380" t="str">
        <f>IF(A30="*","",SUP!A81)</f>
        <v>Imports of Coal Coking</v>
      </c>
      <c r="D30" t="s">
        <v>239</v>
      </c>
      <c r="E30" t="s">
        <v>428</v>
      </c>
      <c r="F30" s="172" t="s">
        <v>357</v>
      </c>
      <c r="G30" s="172" t="s">
        <v>316</v>
      </c>
      <c r="H30" s="172"/>
      <c r="K30" s="381"/>
      <c r="L30" s="381"/>
    </row>
    <row r="31" spans="1:12" ht="14.5" x14ac:dyDescent="0.35">
      <c r="A31" s="380" t="s">
        <v>252</v>
      </c>
      <c r="B31" s="380" t="str">
        <f>IF(A31="*","",SUP!B83)</f>
        <v>IMPGRL</v>
      </c>
      <c r="C31" s="380" t="str">
        <f>IF(A31="*","",SUP!A83)</f>
        <v>Imports of Gas Regional LNG</v>
      </c>
      <c r="D31" t="s">
        <v>239</v>
      </c>
      <c r="E31" t="s">
        <v>428</v>
      </c>
      <c r="F31" s="172" t="s">
        <v>357</v>
      </c>
      <c r="G31" s="172" t="s">
        <v>316</v>
      </c>
      <c r="H31" s="172"/>
      <c r="K31" s="381"/>
      <c r="L31" s="381"/>
    </row>
    <row r="32" spans="1:12" ht="14.5" x14ac:dyDescent="0.35">
      <c r="A32" s="380" t="s">
        <v>252</v>
      </c>
      <c r="B32" s="380" t="str">
        <f>IF(A32="*","",SUP!B84)</f>
        <v>IMPGWL</v>
      </c>
      <c r="C32" s="380" t="str">
        <f>IF(A32="*","",SUP!A84)</f>
        <v>Imports of Gas International LNG</v>
      </c>
      <c r="D32" t="s">
        <v>239</v>
      </c>
      <c r="E32" t="s">
        <v>428</v>
      </c>
      <c r="F32" s="172" t="s">
        <v>357</v>
      </c>
      <c r="G32" s="172" t="s">
        <v>316</v>
      </c>
      <c r="H32" s="172"/>
      <c r="K32" s="381"/>
      <c r="L32" s="381"/>
    </row>
    <row r="33" spans="1:12" ht="14.5" x14ac:dyDescent="0.35">
      <c r="A33" s="380" t="s">
        <v>252</v>
      </c>
      <c r="B33" s="380" t="str">
        <f>IF(A33="*","",SUP!B86)</f>
        <v>IMPNUC</v>
      </c>
      <c r="C33" s="380" t="str">
        <f>IF(A33="*","",SUP!A86)</f>
        <v>Imports of Nuclear</v>
      </c>
      <c r="D33" t="s">
        <v>239</v>
      </c>
      <c r="E33" t="s">
        <v>428</v>
      </c>
      <c r="F33" s="172" t="s">
        <v>357</v>
      </c>
      <c r="G33" s="172" t="s">
        <v>316</v>
      </c>
      <c r="H33" s="172"/>
      <c r="K33" s="381"/>
      <c r="L33" s="381"/>
    </row>
    <row r="34" spans="1:12" ht="14.5" x14ac:dyDescent="0.35">
      <c r="A34" s="380" t="s">
        <v>252</v>
      </c>
      <c r="B34" s="380" t="str">
        <f>IF(A34="*","",SUP!B87)</f>
        <v>IMPOAG</v>
      </c>
      <c r="C34" s="380" t="str">
        <f>IF(A34="*","",SUP!A87)</f>
        <v>Imports of Oil Av Gasoline</v>
      </c>
      <c r="D34" t="s">
        <v>239</v>
      </c>
      <c r="E34" t="s">
        <v>428</v>
      </c>
      <c r="F34" s="172" t="s">
        <v>357</v>
      </c>
      <c r="G34" s="172" t="s">
        <v>316</v>
      </c>
      <c r="H34" s="172"/>
      <c r="K34" s="381"/>
      <c r="L34" s="381"/>
    </row>
    <row r="35" spans="1:12" ht="14.5" x14ac:dyDescent="0.35">
      <c r="A35" s="380" t="s">
        <v>252</v>
      </c>
      <c r="B35" s="380" t="str">
        <f>IF(A35="*","",SUP!B88)</f>
        <v>IMPOCR</v>
      </c>
      <c r="C35" s="380" t="str">
        <f>IF(A35="*","",SUP!A88)</f>
        <v>Imports of Oil Crude</v>
      </c>
      <c r="D35" t="s">
        <v>239</v>
      </c>
      <c r="E35" t="s">
        <v>428</v>
      </c>
      <c r="F35" s="172" t="s">
        <v>357</v>
      </c>
      <c r="G35" s="172" t="s">
        <v>316</v>
      </c>
      <c r="H35" s="172"/>
      <c r="K35" s="381"/>
      <c r="L35" s="381"/>
    </row>
    <row r="36" spans="1:12" ht="14.5" x14ac:dyDescent="0.35">
      <c r="A36" s="380" t="s">
        <v>252</v>
      </c>
      <c r="B36" s="380" t="str">
        <f>IF(A36="*","",SUP!B89)</f>
        <v>IMPODS</v>
      </c>
      <c r="C36" s="380" t="str">
        <f>IF(A36="*","",SUP!A89)</f>
        <v>Imports of Oil Diesel</v>
      </c>
      <c r="D36" t="s">
        <v>239</v>
      </c>
      <c r="E36" t="s">
        <v>428</v>
      </c>
      <c r="F36" s="172" t="s">
        <v>357</v>
      </c>
      <c r="G36" s="172" t="s">
        <v>316</v>
      </c>
      <c r="H36" s="172"/>
      <c r="K36" s="381"/>
      <c r="L36" s="381"/>
    </row>
    <row r="37" spans="1:12" ht="14.5" x14ac:dyDescent="0.35">
      <c r="A37" s="380" t="s">
        <v>252</v>
      </c>
      <c r="B37" s="380" t="str">
        <f>IF(A37="*","",SUP!B90)</f>
        <v>IMPOGS</v>
      </c>
      <c r="C37" s="380" t="str">
        <f>IF(A37="*","",SUP!A90)</f>
        <v>Imports of Oil Gasoline</v>
      </c>
      <c r="D37" t="s">
        <v>239</v>
      </c>
      <c r="E37" t="s">
        <v>428</v>
      </c>
      <c r="F37" s="172" t="s">
        <v>357</v>
      </c>
      <c r="G37" s="172" t="s">
        <v>316</v>
      </c>
      <c r="H37" s="172"/>
      <c r="K37" s="381"/>
      <c r="L37" s="381"/>
    </row>
    <row r="38" spans="1:12" ht="14.5" x14ac:dyDescent="0.35">
      <c r="A38" s="380" t="s">
        <v>252</v>
      </c>
      <c r="B38" s="380" t="str">
        <f>IF(A38="*","",SUP!B91)</f>
        <v>IMPOHF</v>
      </c>
      <c r="C38" s="380" t="str">
        <f>IF(A38="*","",SUP!A91)</f>
        <v>Imports of Oil HFO</v>
      </c>
      <c r="D38" t="s">
        <v>239</v>
      </c>
      <c r="E38" t="s">
        <v>428</v>
      </c>
      <c r="F38" s="172" t="s">
        <v>357</v>
      </c>
      <c r="G38" s="172" t="s">
        <v>316</v>
      </c>
      <c r="H38" s="172"/>
      <c r="K38" s="381"/>
      <c r="L38" s="381"/>
    </row>
    <row r="39" spans="1:12" ht="14.5" x14ac:dyDescent="0.35">
      <c r="A39" s="380" t="s">
        <v>252</v>
      </c>
      <c r="B39" s="380" t="str">
        <f>IF(A39="*","",SUP!B92)</f>
        <v>IMPOLP</v>
      </c>
      <c r="C39" s="380" t="str">
        <f>IF(A39="*","",SUP!A92)</f>
        <v>Imports of Oil LPG</v>
      </c>
      <c r="D39" t="s">
        <v>239</v>
      </c>
      <c r="E39" t="s">
        <v>428</v>
      </c>
      <c r="F39" s="172" t="s">
        <v>357</v>
      </c>
      <c r="G39" s="172" t="s">
        <v>316</v>
      </c>
      <c r="H39" s="172"/>
      <c r="K39" s="381"/>
      <c r="L39" s="381"/>
    </row>
    <row r="40" spans="1:12" ht="14.5" x14ac:dyDescent="0.35">
      <c r="A40" s="380" t="s">
        <v>252</v>
      </c>
      <c r="B40" s="380" t="str">
        <f>IF(A40="*","",SUP!B93)</f>
        <v>IMPOKE</v>
      </c>
      <c r="C40" s="380" t="str">
        <f>IF(A40="*","",SUP!A93)</f>
        <v>Imports of Oil Kerosene</v>
      </c>
      <c r="D40" t="s">
        <v>239</v>
      </c>
      <c r="E40" t="s">
        <v>428</v>
      </c>
      <c r="F40" s="172" t="s">
        <v>357</v>
      </c>
      <c r="G40" s="172" t="s">
        <v>316</v>
      </c>
      <c r="H40" s="172"/>
      <c r="K40" s="381"/>
      <c r="L40" s="381"/>
    </row>
    <row r="41" spans="1:12" ht="14.5" x14ac:dyDescent="0.35">
      <c r="A41" s="380" t="s">
        <v>252</v>
      </c>
      <c r="B41" s="380" t="str">
        <f>IF(A41="*","",SUP!B94)</f>
        <v>IMPBID</v>
      </c>
      <c r="C41" s="380" t="str">
        <f>IF(A41="*","",SUP!A94)</f>
        <v>Imports of Biodiesel</v>
      </c>
      <c r="D41" t="s">
        <v>239</v>
      </c>
      <c r="E41" t="s">
        <v>428</v>
      </c>
      <c r="F41" s="172" t="s">
        <v>357</v>
      </c>
      <c r="G41" s="172" t="s">
        <v>316</v>
      </c>
      <c r="H41" s="172"/>
      <c r="K41" s="381"/>
      <c r="L41" s="381"/>
    </row>
    <row r="42" spans="1:12" ht="14.5" x14ac:dyDescent="0.35">
      <c r="A42" s="380" t="s">
        <v>252</v>
      </c>
      <c r="B42" s="380" t="str">
        <f>IF(A42="*","",SUP!B95)</f>
        <v>IMPBIE</v>
      </c>
      <c r="C42" s="380" t="str">
        <f>IF(A42="*","",SUP!A95)</f>
        <v>Imports of Bioethanol</v>
      </c>
      <c r="D42" t="s">
        <v>239</v>
      </c>
      <c r="E42" t="s">
        <v>428</v>
      </c>
      <c r="F42" s="172" t="s">
        <v>357</v>
      </c>
      <c r="G42" s="172" t="s">
        <v>316</v>
      </c>
      <c r="H42" s="172"/>
      <c r="K42" s="381"/>
      <c r="L42" s="381"/>
    </row>
    <row r="43" spans="1:12" ht="14.5" x14ac:dyDescent="0.35">
      <c r="A43" s="380" t="s">
        <v>354</v>
      </c>
      <c r="B43" s="380" t="str">
        <f>IF(A43="*","",SUP!B96)</f>
        <v/>
      </c>
      <c r="C43" s="380" t="str">
        <f>IF(A43="*","",SUP!A96)</f>
        <v/>
      </c>
      <c r="D43"/>
      <c r="E43"/>
      <c r="F43" s="172"/>
      <c r="G43" s="172"/>
      <c r="H43" s="172"/>
      <c r="K43" s="381"/>
      <c r="L43" s="381"/>
    </row>
    <row r="44" spans="1:12" ht="14.5" x14ac:dyDescent="0.35">
      <c r="A44" s="380" t="s">
        <v>252</v>
      </c>
      <c r="B44" s="380" t="str">
        <f>IF(A44="*","",SUP!B97)</f>
        <v>MIRGRS</v>
      </c>
      <c r="C44" s="380" t="str">
        <f>IF(A44="*","",SUP!A97)</f>
        <v>Extraction of Gas Southern Mozambique</v>
      </c>
      <c r="D44" t="s">
        <v>239</v>
      </c>
      <c r="E44" t="s">
        <v>428</v>
      </c>
      <c r="F44" s="172" t="s">
        <v>357</v>
      </c>
      <c r="G44" s="172" t="s">
        <v>990</v>
      </c>
      <c r="H44" s="172"/>
      <c r="K44" s="381"/>
      <c r="L44" s="381"/>
    </row>
    <row r="45" spans="1:12" ht="14.5" x14ac:dyDescent="0.35">
      <c r="A45" s="380" t="s">
        <v>252</v>
      </c>
      <c r="B45" s="380" t="str">
        <f>IF(A45="*","",SUP!B98)</f>
        <v>MIRGRM</v>
      </c>
      <c r="C45" s="380" t="str">
        <f>IF(A45="*","",SUP!A98)</f>
        <v>Extraction of Gas Northern Mozambique</v>
      </c>
      <c r="D45" t="s">
        <v>239</v>
      </c>
      <c r="E45" t="s">
        <v>428</v>
      </c>
      <c r="F45" s="172" t="s">
        <v>357</v>
      </c>
      <c r="G45" s="172" t="s">
        <v>990</v>
      </c>
      <c r="H45" s="172"/>
      <c r="K45" s="381"/>
      <c r="L45" s="381"/>
    </row>
    <row r="46" spans="1:12" ht="14.5" x14ac:dyDescent="0.35">
      <c r="A46" s="380" t="s">
        <v>354</v>
      </c>
      <c r="B46" s="291" t="s">
        <v>1036</v>
      </c>
      <c r="C46" s="380" t="str">
        <f>IF(A46="*","",SUP!A99)</f>
        <v/>
      </c>
      <c r="D46"/>
      <c r="E46"/>
      <c r="F46" s="172"/>
      <c r="G46" s="172"/>
      <c r="H46" s="172"/>
      <c r="K46" s="381"/>
      <c r="L46" s="381"/>
    </row>
    <row r="47" spans="1:12" ht="14.5" x14ac:dyDescent="0.35">
      <c r="A47" s="380" t="s">
        <v>252</v>
      </c>
      <c r="B47" s="380" t="str">
        <f>IF(A47="*","",SUP!B100)</f>
        <v>PEXCOA</v>
      </c>
      <c r="C47" s="380" t="str">
        <f>IF(A47="*","",SUP!A100)</f>
        <v>Exports of Coal</v>
      </c>
      <c r="D47" t="s">
        <v>239</v>
      </c>
      <c r="E47" t="s">
        <v>428</v>
      </c>
      <c r="F47" s="172" t="s">
        <v>357</v>
      </c>
      <c r="G47" s="172" t="s">
        <v>318</v>
      </c>
      <c r="H47" s="172"/>
      <c r="K47" s="381"/>
      <c r="L47" s="381"/>
    </row>
    <row r="48" spans="1:12" ht="14.5" x14ac:dyDescent="0.35">
      <c r="A48" s="380" t="s">
        <v>252</v>
      </c>
      <c r="B48" s="380" t="str">
        <f>IF(A48="*","",SUP!B101)</f>
        <v>PEXCOK</v>
      </c>
      <c r="C48" s="380" t="str">
        <f>IF(A48="*","",SUP!A101)</f>
        <v>Exports of Coal Coking</v>
      </c>
      <c r="D48" t="s">
        <v>239</v>
      </c>
      <c r="E48" t="s">
        <v>428</v>
      </c>
      <c r="F48" s="172" t="s">
        <v>357</v>
      </c>
      <c r="G48" s="172" t="s">
        <v>318</v>
      </c>
      <c r="H48" s="172"/>
      <c r="K48" s="381"/>
      <c r="L48" s="381"/>
    </row>
    <row r="49" spans="1:12" ht="14.5" x14ac:dyDescent="0.35">
      <c r="A49" s="380" t="s">
        <v>252</v>
      </c>
      <c r="B49" s="380" t="str">
        <f>IF(A49="*","",SUP!B102)</f>
        <v>PEXOAG</v>
      </c>
      <c r="C49" s="380" t="str">
        <f>IF(A49="*","",SUP!A102)</f>
        <v>Exports of Oil Av Gasoline</v>
      </c>
      <c r="D49" t="s">
        <v>239</v>
      </c>
      <c r="E49" t="s">
        <v>428</v>
      </c>
      <c r="F49" s="172" t="s">
        <v>357</v>
      </c>
      <c r="G49" s="172" t="s">
        <v>318</v>
      </c>
      <c r="H49" s="172"/>
      <c r="K49" s="381"/>
      <c r="L49" s="381"/>
    </row>
    <row r="50" spans="1:12" ht="14.5" x14ac:dyDescent="0.35">
      <c r="A50" s="380" t="s">
        <v>252</v>
      </c>
      <c r="B50" s="380" t="str">
        <f>IF(A50="*","",SUP!B103)</f>
        <v>PEXOCR</v>
      </c>
      <c r="C50" s="380" t="str">
        <f>IF(A50="*","",SUP!A103)</f>
        <v>Exports of Oil Crude</v>
      </c>
      <c r="D50" t="s">
        <v>239</v>
      </c>
      <c r="E50" t="s">
        <v>428</v>
      </c>
      <c r="F50" s="172" t="s">
        <v>357</v>
      </c>
      <c r="G50" s="172" t="s">
        <v>318</v>
      </c>
      <c r="H50" s="172"/>
      <c r="K50" s="381"/>
      <c r="L50" s="381"/>
    </row>
    <row r="51" spans="1:12" ht="14.5" x14ac:dyDescent="0.35">
      <c r="A51" s="380" t="s">
        <v>252</v>
      </c>
      <c r="B51" s="380" t="str">
        <f>IF(A51="*","",SUP!B104)</f>
        <v>PEXODS</v>
      </c>
      <c r="C51" s="380" t="str">
        <f>IF(A51="*","",SUP!A104)</f>
        <v>Exports of Oil Diesel</v>
      </c>
      <c r="D51" t="s">
        <v>239</v>
      </c>
      <c r="E51" t="s">
        <v>428</v>
      </c>
      <c r="F51" s="172" t="s">
        <v>357</v>
      </c>
      <c r="G51" s="172" t="s">
        <v>318</v>
      </c>
      <c r="H51" s="172"/>
      <c r="K51" s="381"/>
      <c r="L51" s="381"/>
    </row>
    <row r="52" spans="1:12" ht="14.5" x14ac:dyDescent="0.35">
      <c r="A52" s="380" t="s">
        <v>252</v>
      </c>
      <c r="B52" s="380" t="str">
        <f>IF(A52="*","",SUP!B105)</f>
        <v>PEXOGS</v>
      </c>
      <c r="C52" s="380" t="str">
        <f>IF(A52="*","",SUP!A105)</f>
        <v>Exports of Oil Gasoline</v>
      </c>
      <c r="D52" t="s">
        <v>239</v>
      </c>
      <c r="E52" t="s">
        <v>428</v>
      </c>
      <c r="F52" s="172" t="s">
        <v>357</v>
      </c>
      <c r="G52" s="172" t="s">
        <v>318</v>
      </c>
      <c r="H52" s="172"/>
      <c r="K52" s="381"/>
      <c r="L52" s="381"/>
    </row>
    <row r="53" spans="1:12" ht="14.5" x14ac:dyDescent="0.35">
      <c r="A53" s="380" t="s">
        <v>252</v>
      </c>
      <c r="B53" s="380" t="str">
        <f>IF(A53="*","",SUP!B106)</f>
        <v>PEXOHF</v>
      </c>
      <c r="C53" s="380" t="str">
        <f>IF(A53="*","",SUP!A106)</f>
        <v>Exports of Oil HFO</v>
      </c>
      <c r="D53" t="s">
        <v>239</v>
      </c>
      <c r="E53" t="s">
        <v>428</v>
      </c>
      <c r="F53" s="172" t="s">
        <v>357</v>
      </c>
      <c r="G53" s="172" t="s">
        <v>318</v>
      </c>
      <c r="H53" s="172"/>
      <c r="K53" s="381"/>
      <c r="L53" s="381"/>
    </row>
    <row r="54" spans="1:12" ht="14.5" x14ac:dyDescent="0.35">
      <c r="A54" s="380" t="s">
        <v>252</v>
      </c>
      <c r="B54" s="380" t="str">
        <f>IF(A54="*","",SUP!B107)</f>
        <v>PEXOKE</v>
      </c>
      <c r="C54" s="380" t="str">
        <f>IF(A54="*","",SUP!A107)</f>
        <v>Exports of Oil Kerosene</v>
      </c>
      <c r="D54" t="s">
        <v>239</v>
      </c>
      <c r="E54" t="s">
        <v>428</v>
      </c>
      <c r="F54" s="172" t="s">
        <v>357</v>
      </c>
      <c r="G54" s="172" t="s">
        <v>318</v>
      </c>
      <c r="H54" s="172"/>
      <c r="K54" s="381"/>
      <c r="L54" s="381"/>
    </row>
    <row r="55" spans="1:12" ht="10.5" x14ac:dyDescent="0.25">
      <c r="A55" s="380" t="s">
        <v>354</v>
      </c>
      <c r="B55" s="291" t="s">
        <v>1037</v>
      </c>
      <c r="D55" s="381"/>
      <c r="E55" s="381"/>
    </row>
    <row r="56" spans="1:12" ht="14.5" x14ac:dyDescent="0.35">
      <c r="B56" s="380" t="s">
        <v>1029</v>
      </c>
      <c r="C56" s="380" t="s">
        <v>1028</v>
      </c>
      <c r="D56" t="s">
        <v>239</v>
      </c>
      <c r="E56" t="s">
        <v>428</v>
      </c>
      <c r="F56" s="172" t="s">
        <v>357</v>
      </c>
      <c r="G56" s="380" t="s">
        <v>607</v>
      </c>
    </row>
    <row r="57" spans="1:12" ht="14.5" x14ac:dyDescent="0.35">
      <c r="B57" s="380" t="s">
        <v>1031</v>
      </c>
      <c r="C57" s="380" t="s">
        <v>1030</v>
      </c>
      <c r="D57" t="s">
        <v>239</v>
      </c>
      <c r="E57" t="s">
        <v>428</v>
      </c>
      <c r="F57" s="172" t="s">
        <v>357</v>
      </c>
      <c r="G57" s="380" t="s">
        <v>607</v>
      </c>
    </row>
    <row r="58" spans="1:12" ht="14.5" x14ac:dyDescent="0.35">
      <c r="B58" s="380" t="s">
        <v>1021</v>
      </c>
      <c r="C58" s="380" t="s">
        <v>1020</v>
      </c>
      <c r="D58" t="s">
        <v>239</v>
      </c>
      <c r="E58" t="s">
        <v>428</v>
      </c>
      <c r="F58" s="172" t="s">
        <v>357</v>
      </c>
      <c r="G58" s="380" t="s">
        <v>607</v>
      </c>
    </row>
    <row r="59" spans="1:12" ht="14.5" x14ac:dyDescent="0.35">
      <c r="B59" s="380" t="s">
        <v>1023</v>
      </c>
      <c r="C59" s="380" t="s">
        <v>1022</v>
      </c>
      <c r="D59" t="s">
        <v>239</v>
      </c>
      <c r="E59" t="s">
        <v>428</v>
      </c>
      <c r="F59" s="172" t="s">
        <v>357</v>
      </c>
      <c r="G59" s="380" t="s">
        <v>607</v>
      </c>
    </row>
    <row r="60" spans="1:12" ht="14.5" x14ac:dyDescent="0.35">
      <c r="B60" s="380" t="s">
        <v>1025</v>
      </c>
      <c r="C60" s="380" t="s">
        <v>1024</v>
      </c>
      <c r="D60" t="s">
        <v>239</v>
      </c>
      <c r="E60" t="s">
        <v>428</v>
      </c>
      <c r="F60" s="172" t="s">
        <v>357</v>
      </c>
      <c r="G60" s="380" t="s">
        <v>607</v>
      </c>
    </row>
    <row r="61" spans="1:12" ht="14.5" x14ac:dyDescent="0.35">
      <c r="B61" s="380" t="s">
        <v>1026</v>
      </c>
      <c r="C61" s="380" t="s">
        <v>814</v>
      </c>
      <c r="D61" t="s">
        <v>239</v>
      </c>
      <c r="E61" t="s">
        <v>966</v>
      </c>
      <c r="F61" s="401" t="s">
        <v>608</v>
      </c>
      <c r="G61" s="401" t="s">
        <v>1038</v>
      </c>
    </row>
    <row r="62" spans="1:12" ht="14.5" x14ac:dyDescent="0.35">
      <c r="B62" s="380" t="s">
        <v>1027</v>
      </c>
      <c r="C62" s="380" t="s">
        <v>816</v>
      </c>
      <c r="D62" t="s">
        <v>239</v>
      </c>
      <c r="E62" t="s">
        <v>966</v>
      </c>
      <c r="F62" s="401" t="s">
        <v>608</v>
      </c>
      <c r="G62" s="401" t="s">
        <v>1038</v>
      </c>
    </row>
    <row r="63" spans="1:12" ht="10.5" x14ac:dyDescent="0.25">
      <c r="B63" s="291"/>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1"/>
  <sheetViews>
    <sheetView topLeftCell="A5" workbookViewId="0">
      <selection activeCell="E50" sqref="E50"/>
    </sheetView>
  </sheetViews>
  <sheetFormatPr defaultColWidth="11.453125" defaultRowHeight="10" x14ac:dyDescent="0.2"/>
  <cols>
    <col min="1" max="1" width="12.453125" style="380" customWidth="1"/>
    <col min="2" max="2" width="11" style="380" customWidth="1"/>
    <col min="3" max="3" width="41" style="380" customWidth="1"/>
    <col min="4" max="4" width="10.26953125" style="380" customWidth="1"/>
    <col min="5" max="5" width="28.7265625" style="380" customWidth="1"/>
    <col min="6" max="16384" width="11.453125" style="380"/>
  </cols>
  <sheetData>
    <row r="1" spans="1:15" ht="17.5" thickBot="1" x14ac:dyDescent="0.45">
      <c r="A1" s="291"/>
      <c r="B1" s="169" t="s">
        <v>999</v>
      </c>
      <c r="C1" s="169"/>
      <c r="D1" s="169"/>
      <c r="E1" s="169"/>
    </row>
    <row r="2" spans="1:15" ht="10.5" thickTop="1" x14ac:dyDescent="0.2"/>
    <row r="3" spans="1:15" ht="14.5" x14ac:dyDescent="0.35">
      <c r="B3" s="296" t="s">
        <v>590</v>
      </c>
      <c r="C3" s="296"/>
      <c r="D3" s="296"/>
      <c r="E3" s="296"/>
      <c r="F3" s="296"/>
      <c r="G3" s="296"/>
      <c r="H3" s="296"/>
    </row>
    <row r="4" spans="1:15" ht="14.5" x14ac:dyDescent="0.35">
      <c r="B4" s="296" t="s">
        <v>575</v>
      </c>
      <c r="C4" s="296" t="s">
        <v>598</v>
      </c>
      <c r="D4" s="296" t="s">
        <v>599</v>
      </c>
      <c r="E4" s="296" t="s">
        <v>600</v>
      </c>
      <c r="F4" s="296" t="s">
        <v>601</v>
      </c>
      <c r="G4" s="296" t="s">
        <v>986</v>
      </c>
      <c r="H4" s="296" t="s">
        <v>985</v>
      </c>
    </row>
    <row r="5" spans="1:15" ht="10.5" x14ac:dyDescent="0.25">
      <c r="B5" s="380" t="s">
        <v>984</v>
      </c>
      <c r="C5" s="380" t="s">
        <v>983</v>
      </c>
      <c r="D5" s="381" t="s">
        <v>239</v>
      </c>
      <c r="E5" s="381" t="s">
        <v>976</v>
      </c>
      <c r="F5" s="380" t="s">
        <v>357</v>
      </c>
    </row>
    <row r="6" spans="1:15" ht="10.5" x14ac:dyDescent="0.25">
      <c r="B6" s="380" t="s">
        <v>1001</v>
      </c>
      <c r="D6" s="381"/>
      <c r="E6" s="381"/>
    </row>
    <row r="7" spans="1:15" ht="10.5" x14ac:dyDescent="0.25">
      <c r="B7" s="380" t="str">
        <f>NameConv!C5</f>
        <v>BIG</v>
      </c>
      <c r="C7" s="380" t="str">
        <f>NameConv!B5</f>
        <v>Biogas</v>
      </c>
      <c r="D7" s="381" t="s">
        <v>239</v>
      </c>
      <c r="E7" s="381" t="s">
        <v>976</v>
      </c>
      <c r="F7" s="380" t="s">
        <v>357</v>
      </c>
      <c r="K7" s="170"/>
      <c r="L7" s="170"/>
      <c r="M7" s="170"/>
      <c r="N7" s="170"/>
      <c r="O7" s="170"/>
    </row>
    <row r="8" spans="1:15" ht="10.5" x14ac:dyDescent="0.25">
      <c r="B8" s="380" t="str">
        <f>NameConv!C6</f>
        <v>BIE</v>
      </c>
      <c r="C8" s="380" t="str">
        <f>NameConv!B6</f>
        <v>Bioethanol</v>
      </c>
      <c r="D8" s="381" t="s">
        <v>239</v>
      </c>
      <c r="E8" s="381" t="s">
        <v>976</v>
      </c>
      <c r="F8" s="380" t="s">
        <v>357</v>
      </c>
      <c r="K8" s="170"/>
      <c r="L8" s="170"/>
      <c r="M8" s="170"/>
      <c r="N8" s="170"/>
      <c r="O8" s="170"/>
    </row>
    <row r="9" spans="1:15" ht="10.5" x14ac:dyDescent="0.25">
      <c r="B9" s="380" t="str">
        <f>NameConv!C7</f>
        <v>BID</v>
      </c>
      <c r="C9" s="380" t="str">
        <f>NameConv!B7</f>
        <v>Biodiesel</v>
      </c>
      <c r="D9" s="381" t="s">
        <v>239</v>
      </c>
      <c r="E9" s="381" t="s">
        <v>976</v>
      </c>
      <c r="F9" s="380" t="s">
        <v>357</v>
      </c>
      <c r="K9" s="170"/>
      <c r="L9" s="170"/>
      <c r="M9" s="170"/>
      <c r="N9" s="170"/>
      <c r="O9" s="170"/>
    </row>
    <row r="10" spans="1:15" ht="10.5" x14ac:dyDescent="0.25">
      <c r="B10" s="380" t="str">
        <f>NameConv!C8</f>
        <v>BIB</v>
      </c>
      <c r="C10" s="380" t="str">
        <f>NameConv!B8</f>
        <v>Biomass bagasse</v>
      </c>
      <c r="D10" s="381" t="s">
        <v>239</v>
      </c>
      <c r="E10" s="381" t="s">
        <v>976</v>
      </c>
      <c r="F10" s="380" t="s">
        <v>357</v>
      </c>
      <c r="K10" s="170"/>
      <c r="L10" s="170"/>
      <c r="M10" s="170"/>
      <c r="N10" s="170"/>
      <c r="O10" s="170"/>
    </row>
    <row r="11" spans="1:15" ht="10.5" x14ac:dyDescent="0.25">
      <c r="B11" s="380" t="str">
        <f>NameConv!C9</f>
        <v>BIO</v>
      </c>
      <c r="C11" s="380" t="str">
        <f>NameConv!B9</f>
        <v>Biomass Other</v>
      </c>
      <c r="D11" s="381" t="s">
        <v>239</v>
      </c>
      <c r="E11" s="381" t="s">
        <v>976</v>
      </c>
      <c r="F11" s="380" t="s">
        <v>357</v>
      </c>
      <c r="K11" s="170"/>
      <c r="L11" s="170"/>
      <c r="M11" s="170"/>
      <c r="N11" s="170"/>
      <c r="O11" s="170"/>
    </row>
    <row r="12" spans="1:15" ht="10.5" x14ac:dyDescent="0.25">
      <c r="B12" s="380" t="str">
        <f>NameConv!C10</f>
        <v>BIW</v>
      </c>
      <c r="C12" s="380" t="str">
        <f>NameConv!B10</f>
        <v>Biomass Wood</v>
      </c>
      <c r="D12" s="381" t="s">
        <v>239</v>
      </c>
      <c r="E12" s="381" t="s">
        <v>976</v>
      </c>
      <c r="F12" s="380" t="s">
        <v>357</v>
      </c>
      <c r="K12" s="170"/>
      <c r="L12" s="170"/>
      <c r="M12" s="170"/>
      <c r="N12" s="170"/>
      <c r="O12" s="170"/>
    </row>
    <row r="13" spans="1:15" ht="10.5" x14ac:dyDescent="0.25">
      <c r="B13" s="380" t="str">
        <f>NameConv!C11</f>
        <v>COA</v>
      </c>
      <c r="C13" s="380" t="str">
        <f>NameConv!B11</f>
        <v>Coal</v>
      </c>
      <c r="D13" s="381" t="s">
        <v>239</v>
      </c>
      <c r="E13" s="381" t="s">
        <v>976</v>
      </c>
      <c r="F13" s="380" t="s">
        <v>357</v>
      </c>
      <c r="K13" s="170"/>
      <c r="L13" s="170"/>
      <c r="M13" s="170"/>
      <c r="N13" s="170"/>
      <c r="O13" s="170"/>
    </row>
    <row r="14" spans="1:15" ht="10.5" x14ac:dyDescent="0.25">
      <c r="B14" s="380" t="str">
        <f>NameConv!C12</f>
        <v>COK</v>
      </c>
      <c r="C14" s="380" t="str">
        <f>NameConv!B12</f>
        <v>Coal Coking</v>
      </c>
      <c r="D14" s="381" t="s">
        <v>239</v>
      </c>
      <c r="E14" s="381" t="s">
        <v>976</v>
      </c>
      <c r="F14" s="380" t="s">
        <v>357</v>
      </c>
      <c r="K14" s="170"/>
      <c r="L14" s="170"/>
      <c r="M14" s="170"/>
      <c r="N14" s="170"/>
      <c r="O14" s="170"/>
    </row>
    <row r="15" spans="1:15" ht="10.5" x14ac:dyDescent="0.25">
      <c r="B15" s="380" t="str">
        <f>NameConv!C13</f>
        <v>CLD</v>
      </c>
      <c r="C15" s="380" t="str">
        <f>NameConv!B13</f>
        <v>Coal Discard</v>
      </c>
      <c r="D15" s="381" t="s">
        <v>239</v>
      </c>
      <c r="E15" s="381" t="s">
        <v>976</v>
      </c>
      <c r="F15" s="380" t="s">
        <v>357</v>
      </c>
      <c r="K15" s="170"/>
      <c r="L15" s="170"/>
      <c r="M15" s="170"/>
      <c r="N15" s="170"/>
      <c r="O15" s="170"/>
    </row>
    <row r="16" spans="1:15" ht="10.5" x14ac:dyDescent="0.25">
      <c r="B16" s="380" t="str">
        <f>NameConv!C14</f>
        <v>CLE</v>
      </c>
      <c r="C16" s="380" t="str">
        <f>NameConv!B14</f>
        <v>Coal low grade</v>
      </c>
      <c r="D16" s="381" t="s">
        <v>239</v>
      </c>
      <c r="E16" s="381" t="s">
        <v>976</v>
      </c>
      <c r="F16" s="380" t="s">
        <v>357</v>
      </c>
      <c r="K16" s="170"/>
      <c r="L16" s="170"/>
      <c r="M16" s="170"/>
      <c r="N16" s="170"/>
      <c r="O16" s="170"/>
    </row>
    <row r="17" spans="2:15" ht="10.5" x14ac:dyDescent="0.25">
      <c r="B17" s="380" t="s">
        <v>1099</v>
      </c>
      <c r="C17" s="380" t="s">
        <v>1100</v>
      </c>
      <c r="D17" s="381" t="s">
        <v>239</v>
      </c>
      <c r="E17" s="381" t="s">
        <v>976</v>
      </c>
      <c r="F17" s="380" t="s">
        <v>357</v>
      </c>
      <c r="K17" s="170"/>
      <c r="L17" s="170"/>
      <c r="M17" s="170"/>
      <c r="N17" s="170"/>
      <c r="O17" s="170"/>
    </row>
    <row r="18" spans="2:15" ht="10.5" x14ac:dyDescent="0.25">
      <c r="B18" s="380" t="str">
        <f>NameConv!C15</f>
        <v>CRB</v>
      </c>
      <c r="C18" s="380" t="str">
        <f>NameConv!B15</f>
        <v>Coal for plants in Botswana</v>
      </c>
      <c r="D18" s="381" t="s">
        <v>239</v>
      </c>
      <c r="E18" s="381" t="s">
        <v>976</v>
      </c>
      <c r="F18" s="380" t="s">
        <v>357</v>
      </c>
      <c r="K18" s="170"/>
      <c r="L18" s="170"/>
      <c r="M18" s="170"/>
      <c r="N18" s="170"/>
      <c r="O18" s="170"/>
    </row>
    <row r="19" spans="2:15" ht="10.5" x14ac:dyDescent="0.25">
      <c r="B19" s="380" t="str">
        <f>NameConv!C17</f>
        <v>ELC</v>
      </c>
      <c r="C19" s="380" t="str">
        <f>NameConv!B17</f>
        <v>Electricity</v>
      </c>
      <c r="D19" s="381" t="s">
        <v>239</v>
      </c>
      <c r="E19" s="381" t="s">
        <v>976</v>
      </c>
      <c r="F19" s="380" t="s">
        <v>608</v>
      </c>
      <c r="H19" s="380" t="s">
        <v>166</v>
      </c>
      <c r="K19" s="170"/>
      <c r="L19" s="170"/>
      <c r="M19" s="170"/>
      <c r="N19" s="170"/>
      <c r="O19" s="170"/>
    </row>
    <row r="20" spans="2:15" ht="10.5" x14ac:dyDescent="0.25">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ht="10.5" x14ac:dyDescent="0.25">
      <c r="B21" s="380" t="str">
        <f>NameConv!C19</f>
        <v>GAS</v>
      </c>
      <c r="C21" s="380" t="str">
        <f>NameConv!B19</f>
        <v>Gas South Africa</v>
      </c>
      <c r="D21" s="381" t="s">
        <v>239</v>
      </c>
      <c r="E21" s="381" t="s">
        <v>976</v>
      </c>
      <c r="F21" s="380" t="s">
        <v>357</v>
      </c>
      <c r="K21" s="170"/>
      <c r="L21" s="170"/>
      <c r="M21" s="170"/>
      <c r="N21" s="170"/>
      <c r="O21" s="170"/>
    </row>
    <row r="22" spans="2:15" ht="10.5" x14ac:dyDescent="0.25">
      <c r="B22" s="380" t="str">
        <f>NameConv!C20</f>
        <v>GRS</v>
      </c>
      <c r="C22" s="380" t="str">
        <f>NameConv!B20</f>
        <v>Gas Southern Mozambique</v>
      </c>
      <c r="D22" s="381" t="s">
        <v>239</v>
      </c>
      <c r="E22" s="381" t="s">
        <v>976</v>
      </c>
      <c r="F22" s="380" t="s">
        <v>357</v>
      </c>
      <c r="K22" s="170"/>
      <c r="L22" s="170"/>
      <c r="M22" s="170"/>
      <c r="N22" s="170"/>
      <c r="O22" s="170"/>
    </row>
    <row r="23" spans="2:15" ht="10.5" x14ac:dyDescent="0.25">
      <c r="B23" s="380" t="str">
        <f>NameConv!C21</f>
        <v>GRN</v>
      </c>
      <c r="C23" s="380" t="str">
        <f>NameConv!B21</f>
        <v>Gas Namibia</v>
      </c>
      <c r="D23" s="381" t="s">
        <v>239</v>
      </c>
      <c r="E23" s="381" t="s">
        <v>976</v>
      </c>
      <c r="F23" s="380" t="s">
        <v>357</v>
      </c>
      <c r="K23" s="170"/>
      <c r="L23" s="170"/>
      <c r="M23" s="170"/>
      <c r="N23" s="170"/>
      <c r="O23" s="170"/>
    </row>
    <row r="24" spans="2:15" ht="10.5" x14ac:dyDescent="0.25">
      <c r="B24" s="380" t="str">
        <f>NameConv!C22</f>
        <v>GRL</v>
      </c>
      <c r="C24" s="380" t="str">
        <f>NameConv!B22</f>
        <v>Gas Regional LNG</v>
      </c>
      <c r="D24" s="381" t="s">
        <v>239</v>
      </c>
      <c r="E24" s="381" t="s">
        <v>976</v>
      </c>
      <c r="F24" s="380" t="s">
        <v>357</v>
      </c>
      <c r="K24" s="170"/>
      <c r="L24" s="170"/>
      <c r="M24" s="170"/>
      <c r="N24" s="170"/>
      <c r="O24" s="170"/>
    </row>
    <row r="25" spans="2:15" ht="10.5" x14ac:dyDescent="0.25">
      <c r="B25" s="380" t="str">
        <f>NameConv!C23</f>
        <v>GWL</v>
      </c>
      <c r="C25" s="380" t="str">
        <f>NameConv!B23</f>
        <v>Gas International LNG</v>
      </c>
      <c r="D25" s="381" t="s">
        <v>239</v>
      </c>
      <c r="E25" s="381" t="s">
        <v>976</v>
      </c>
      <c r="F25" s="380" t="s">
        <v>357</v>
      </c>
      <c r="K25" s="170"/>
      <c r="L25" s="170"/>
      <c r="M25" s="170"/>
      <c r="N25" s="170"/>
      <c r="O25" s="170"/>
    </row>
    <row r="26" spans="2:15" ht="10.5" x14ac:dyDescent="0.25">
      <c r="B26" s="380" t="str">
        <f>NameConv!C24</f>
        <v>GRM</v>
      </c>
      <c r="C26" s="380" t="str">
        <f>NameConv!B24</f>
        <v>Gas Northern Mozambique</v>
      </c>
      <c r="D26" s="381" t="s">
        <v>239</v>
      </c>
      <c r="E26" s="381" t="s">
        <v>976</v>
      </c>
      <c r="F26" s="380" t="s">
        <v>357</v>
      </c>
      <c r="K26" s="170"/>
      <c r="L26" s="170"/>
      <c r="M26" s="170"/>
      <c r="N26" s="170"/>
      <c r="O26" s="170"/>
    </row>
    <row r="27" spans="2:15" ht="10.5" x14ac:dyDescent="0.25">
      <c r="B27" s="380" t="str">
        <f>NameConv!C25</f>
        <v>GIB</v>
      </c>
      <c r="C27" s="380" t="str">
        <f>NameConv!B25</f>
        <v>Gas Indigenous Ibhubezi</v>
      </c>
      <c r="D27" s="381" t="s">
        <v>239</v>
      </c>
      <c r="E27" s="381" t="s">
        <v>976</v>
      </c>
      <c r="F27" s="380" t="s">
        <v>357</v>
      </c>
      <c r="K27" s="170"/>
      <c r="L27" s="170"/>
      <c r="M27" s="170"/>
      <c r="N27" s="170"/>
      <c r="O27" s="170"/>
    </row>
    <row r="28" spans="2:15" ht="10.5" x14ac:dyDescent="0.25">
      <c r="B28" s="380" t="str">
        <f>NameConv!C26</f>
        <v>GIH</v>
      </c>
      <c r="C28" s="380" t="str">
        <f>NameConv!B26</f>
        <v>Gas Indigenous Shale</v>
      </c>
      <c r="D28" s="381" t="s">
        <v>239</v>
      </c>
      <c r="E28" s="381" t="s">
        <v>976</v>
      </c>
      <c r="F28" s="380" t="s">
        <v>357</v>
      </c>
      <c r="K28" s="170"/>
      <c r="L28" s="170"/>
      <c r="M28" s="170"/>
      <c r="N28" s="170"/>
      <c r="O28" s="170"/>
    </row>
    <row r="29" spans="2:15" ht="10.5" x14ac:dyDescent="0.25">
      <c r="B29" s="380" t="str">
        <f>NameConv!C27</f>
        <v>GIC</v>
      </c>
      <c r="C29" s="380" t="str">
        <f>NameConv!B27</f>
        <v>Coastal Gas</v>
      </c>
      <c r="D29" s="381" t="s">
        <v>239</v>
      </c>
      <c r="E29" s="381" t="s">
        <v>976</v>
      </c>
      <c r="F29" s="380" t="s">
        <v>357</v>
      </c>
      <c r="K29" s="170"/>
      <c r="L29" s="170"/>
      <c r="M29" s="170"/>
      <c r="N29" s="170"/>
      <c r="O29" s="170"/>
    </row>
    <row r="30" spans="2:15" ht="10.5" x14ac:dyDescent="0.25">
      <c r="B30" s="380" t="str">
        <f>NameConv!C29</f>
        <v>GIM</v>
      </c>
      <c r="C30" s="380" t="str">
        <f>NameConv!B29</f>
        <v>Gas Methane Rich</v>
      </c>
      <c r="D30" s="381" t="s">
        <v>239</v>
      </c>
      <c r="E30" s="381" t="s">
        <v>976</v>
      </c>
      <c r="F30" s="380" t="s">
        <v>357</v>
      </c>
      <c r="K30" s="170"/>
      <c r="L30" s="170"/>
      <c r="M30" s="170"/>
      <c r="N30" s="170"/>
      <c r="O30" s="170"/>
    </row>
    <row r="31" spans="2:15" ht="10.5" x14ac:dyDescent="0.25">
      <c r="B31" s="380" t="s">
        <v>1101</v>
      </c>
      <c r="C31" s="380" t="s">
        <v>1102</v>
      </c>
      <c r="D31" s="381" t="s">
        <v>239</v>
      </c>
      <c r="E31" s="381" t="s">
        <v>976</v>
      </c>
      <c r="F31" s="380" t="s">
        <v>357</v>
      </c>
      <c r="K31" s="170"/>
      <c r="L31" s="170"/>
      <c r="M31" s="170"/>
      <c r="N31" s="170"/>
      <c r="O31" s="170"/>
    </row>
    <row r="32" spans="2:15" ht="10.5" x14ac:dyDescent="0.25">
      <c r="B32" s="380" t="str">
        <f>NameConv!C30</f>
        <v>HET</v>
      </c>
      <c r="C32" s="380" t="str">
        <f>NameConv!B30</f>
        <v>Heat-Steam</v>
      </c>
      <c r="D32" s="381" t="s">
        <v>239</v>
      </c>
      <c r="E32" s="381" t="s">
        <v>976</v>
      </c>
      <c r="F32" s="380" t="s">
        <v>357</v>
      </c>
      <c r="K32" s="170"/>
      <c r="L32" s="170"/>
      <c r="M32" s="170"/>
      <c r="N32" s="170"/>
      <c r="O32" s="170"/>
    </row>
    <row r="33" spans="2:15" ht="10.5" x14ac:dyDescent="0.25">
      <c r="B33" s="380" t="str">
        <f>NameConv!C31</f>
        <v>HEE</v>
      </c>
      <c r="C33" s="380" t="str">
        <f>NameConv!B31</f>
        <v>Heat-Steam Existing</v>
      </c>
      <c r="D33" s="381" t="s">
        <v>239</v>
      </c>
      <c r="E33" s="381" t="s">
        <v>976</v>
      </c>
      <c r="F33" s="380" t="s">
        <v>357</v>
      </c>
      <c r="K33" s="170"/>
      <c r="L33" s="170"/>
      <c r="M33" s="170"/>
      <c r="N33" s="170"/>
      <c r="O33" s="170"/>
    </row>
    <row r="34" spans="2:15" ht="10.5" x14ac:dyDescent="0.25">
      <c r="B34" s="380" t="str">
        <f>NameConv!C32</f>
        <v>HEN</v>
      </c>
      <c r="C34" s="380" t="str">
        <f>NameConv!B32</f>
        <v>Heat-Steam New</v>
      </c>
      <c r="D34" s="381" t="s">
        <v>239</v>
      </c>
      <c r="E34" s="381" t="s">
        <v>976</v>
      </c>
      <c r="F34" s="380" t="s">
        <v>357</v>
      </c>
      <c r="K34" s="170"/>
      <c r="L34" s="170"/>
      <c r="M34" s="170"/>
      <c r="N34" s="170"/>
      <c r="O34" s="170"/>
    </row>
    <row r="35" spans="2:15" ht="10.5" x14ac:dyDescent="0.25">
      <c r="B35" s="380" t="str">
        <f>NameConv!C33</f>
        <v>HYD</v>
      </c>
      <c r="C35" s="380" t="str">
        <f>NameConv!B33</f>
        <v>Hydro</v>
      </c>
      <c r="D35" s="381" t="s">
        <v>239</v>
      </c>
      <c r="E35" s="381" t="s">
        <v>976</v>
      </c>
      <c r="F35" s="380" t="s">
        <v>357</v>
      </c>
      <c r="K35" s="170"/>
      <c r="L35" s="170"/>
      <c r="M35" s="170"/>
      <c r="N35" s="170"/>
      <c r="O35" s="170"/>
    </row>
    <row r="36" spans="2:15" ht="10.5" x14ac:dyDescent="0.25">
      <c r="B36" s="380" t="str">
        <f>NameConv!C34</f>
        <v>HGN</v>
      </c>
      <c r="C36" s="380" t="str">
        <f>NameConv!B34</f>
        <v>Hydrogen</v>
      </c>
      <c r="D36" s="381" t="s">
        <v>239</v>
      </c>
      <c r="E36" s="381" t="s">
        <v>976</v>
      </c>
      <c r="F36" s="380" t="s">
        <v>608</v>
      </c>
      <c r="K36" s="170"/>
      <c r="L36" s="170"/>
      <c r="M36" s="170"/>
      <c r="N36" s="170"/>
      <c r="O36" s="170"/>
    </row>
    <row r="37" spans="2:15" ht="10.5" x14ac:dyDescent="0.25">
      <c r="B37" s="380" t="str">
        <f>NameConv!C35</f>
        <v>NUC</v>
      </c>
      <c r="C37" s="380" t="str">
        <f>NameConv!B35</f>
        <v>Nuclear</v>
      </c>
      <c r="D37" s="381" t="s">
        <v>239</v>
      </c>
      <c r="E37" s="381" t="s">
        <v>976</v>
      </c>
      <c r="F37" s="380" t="s">
        <v>357</v>
      </c>
      <c r="K37" s="170"/>
      <c r="L37" s="170"/>
      <c r="M37" s="170"/>
      <c r="N37" s="170"/>
      <c r="O37" s="170"/>
    </row>
    <row r="38" spans="2:15" ht="10.5" x14ac:dyDescent="0.25">
      <c r="B38" s="380" t="str">
        <f>NameConv!C36</f>
        <v>OAG</v>
      </c>
      <c r="C38" s="380" t="str">
        <f>NameConv!B36</f>
        <v>Oil Av Gasoline</v>
      </c>
      <c r="D38" s="381" t="s">
        <v>239</v>
      </c>
      <c r="E38" s="381" t="s">
        <v>976</v>
      </c>
      <c r="F38" s="380" t="s">
        <v>357</v>
      </c>
      <c r="K38" s="170"/>
      <c r="L38" s="170"/>
      <c r="M38" s="170"/>
      <c r="N38" s="170"/>
      <c r="O38" s="170"/>
    </row>
    <row r="39" spans="2:15" ht="10.5" x14ac:dyDescent="0.25">
      <c r="B39" s="380" t="str">
        <f>NameConv!C37</f>
        <v>OCR</v>
      </c>
      <c r="C39" s="380" t="str">
        <f>NameConv!B37</f>
        <v>Oil Crude</v>
      </c>
      <c r="D39" s="381" t="s">
        <v>239</v>
      </c>
      <c r="E39" s="381" t="s">
        <v>976</v>
      </c>
      <c r="F39" s="380" t="s">
        <v>357</v>
      </c>
      <c r="K39" s="170"/>
      <c r="L39" s="170"/>
      <c r="M39" s="170"/>
      <c r="N39" s="170"/>
      <c r="O39" s="170"/>
    </row>
    <row r="40" spans="2:15" ht="10.5" x14ac:dyDescent="0.25">
      <c r="B40" s="380" t="str">
        <f>NameConv!C38</f>
        <v>ODS</v>
      </c>
      <c r="C40" s="380" t="str">
        <f>NameConv!B38</f>
        <v>Oil Diesel</v>
      </c>
      <c r="D40" s="381" t="s">
        <v>239</v>
      </c>
      <c r="E40" s="381" t="s">
        <v>976</v>
      </c>
      <c r="F40" s="380" t="s">
        <v>357</v>
      </c>
      <c r="K40" s="170"/>
      <c r="L40" s="170"/>
      <c r="M40" s="170"/>
      <c r="N40" s="170"/>
      <c r="O40" s="170"/>
    </row>
    <row r="41" spans="2:15" ht="10.5" x14ac:dyDescent="0.25">
      <c r="B41" s="380" t="str">
        <f>NameConv!C39</f>
        <v>OGS</v>
      </c>
      <c r="C41" s="380" t="str">
        <f>NameConv!B39</f>
        <v>Oil Gasoline</v>
      </c>
      <c r="D41" s="381" t="s">
        <v>239</v>
      </c>
      <c r="E41" s="381" t="s">
        <v>976</v>
      </c>
      <c r="F41" s="380" t="s">
        <v>357</v>
      </c>
      <c r="K41" s="170"/>
      <c r="L41" s="170"/>
      <c r="M41" s="170"/>
      <c r="N41" s="170"/>
      <c r="O41" s="170"/>
    </row>
    <row r="42" spans="2:15" ht="10.5" x14ac:dyDescent="0.25">
      <c r="B42" s="380" t="str">
        <f>NameConv!C40</f>
        <v>OHF</v>
      </c>
      <c r="C42" s="380" t="str">
        <f>NameConv!B40</f>
        <v>Oil HFO</v>
      </c>
      <c r="D42" s="381" t="s">
        <v>239</v>
      </c>
      <c r="E42" s="381" t="s">
        <v>976</v>
      </c>
      <c r="F42" s="380" t="s">
        <v>357</v>
      </c>
      <c r="K42" s="170"/>
      <c r="L42" s="170"/>
      <c r="M42" s="170"/>
      <c r="N42" s="170"/>
      <c r="O42" s="170"/>
    </row>
    <row r="43" spans="2:15" ht="10.5" x14ac:dyDescent="0.25">
      <c r="B43" s="380" t="str">
        <f>NameConv!C42</f>
        <v>OKE</v>
      </c>
      <c r="C43" s="380" t="str">
        <f>NameConv!B42</f>
        <v>Oil Kerosene</v>
      </c>
      <c r="D43" s="381" t="s">
        <v>239</v>
      </c>
      <c r="E43" s="381" t="s">
        <v>976</v>
      </c>
      <c r="F43" s="380" t="s">
        <v>357</v>
      </c>
      <c r="K43" s="170"/>
      <c r="L43" s="170"/>
      <c r="M43" s="170"/>
      <c r="N43" s="170"/>
      <c r="O43" s="170"/>
    </row>
    <row r="44" spans="2:15" ht="10.5" x14ac:dyDescent="0.25">
      <c r="B44" s="380" t="str">
        <f>NameConv!C43</f>
        <v>OLP</v>
      </c>
      <c r="C44" s="380" t="str">
        <f>NameConv!B43</f>
        <v>Oil LPG</v>
      </c>
      <c r="D44" s="381" t="s">
        <v>239</v>
      </c>
      <c r="E44" s="381" t="s">
        <v>976</v>
      </c>
      <c r="F44" s="380" t="s">
        <v>357</v>
      </c>
      <c r="K44" s="170"/>
      <c r="L44" s="170"/>
      <c r="M44" s="170"/>
      <c r="N44" s="170"/>
      <c r="O44" s="170"/>
    </row>
    <row r="45" spans="2:15" ht="10.5" x14ac:dyDescent="0.25">
      <c r="B45" s="380" t="str">
        <f>NameConv!C44</f>
        <v>OTH</v>
      </c>
      <c r="C45" s="380" t="str">
        <f>NameConv!B44</f>
        <v>Oil Other</v>
      </c>
      <c r="D45" s="381" t="s">
        <v>239</v>
      </c>
      <c r="E45" s="381" t="s">
        <v>976</v>
      </c>
      <c r="F45" s="380" t="s">
        <v>357</v>
      </c>
      <c r="K45" s="170"/>
      <c r="L45" s="170"/>
      <c r="M45" s="170"/>
      <c r="N45" s="170"/>
      <c r="O45" s="170"/>
    </row>
    <row r="46" spans="2:15" ht="10.5" x14ac:dyDescent="0.25">
      <c r="B46" s="380" t="str">
        <f>NameConv!C45</f>
        <v>SOL</v>
      </c>
      <c r="C46" s="380" t="str">
        <f>NameConv!B45</f>
        <v>Solar</v>
      </c>
      <c r="D46" s="381" t="s">
        <v>239</v>
      </c>
      <c r="E46" s="381" t="s">
        <v>976</v>
      </c>
      <c r="F46" s="380" t="s">
        <v>357</v>
      </c>
      <c r="K46" s="170"/>
      <c r="L46" s="170"/>
      <c r="M46" s="170"/>
      <c r="N46" s="170"/>
      <c r="O46" s="170"/>
    </row>
    <row r="47" spans="2:15" ht="10.5" x14ac:dyDescent="0.25">
      <c r="B47" s="380" t="str">
        <f>NameConv!C46</f>
        <v>WND</v>
      </c>
      <c r="C47" s="380" t="str">
        <f>NameConv!B46</f>
        <v>Wind</v>
      </c>
      <c r="D47" s="381" t="s">
        <v>239</v>
      </c>
      <c r="E47" s="381" t="s">
        <v>976</v>
      </c>
      <c r="F47" s="380" t="s">
        <v>357</v>
      </c>
      <c r="K47" s="170"/>
      <c r="L47" s="170"/>
      <c r="M47" s="170"/>
      <c r="N47" s="170"/>
      <c r="O47" s="170"/>
    </row>
    <row r="48" spans="2:15" ht="10.5" x14ac:dyDescent="0.25">
      <c r="B48" s="380" t="str">
        <f>NameConv!C47</f>
        <v>WAS</v>
      </c>
      <c r="C48" s="380" t="str">
        <f>NameConv!B48</f>
        <v>Waste for material use</v>
      </c>
      <c r="D48" s="381" t="s">
        <v>239</v>
      </c>
      <c r="E48" s="381" t="s">
        <v>976</v>
      </c>
      <c r="F48" s="380" t="s">
        <v>357</v>
      </c>
      <c r="K48" s="170"/>
      <c r="L48" s="170"/>
      <c r="M48" s="170"/>
      <c r="N48" s="170"/>
      <c r="O48" s="170"/>
    </row>
    <row r="49" spans="2:6" ht="10.5" x14ac:dyDescent="0.25">
      <c r="B49" s="380" t="s">
        <v>982</v>
      </c>
      <c r="C49" s="380" t="s">
        <v>981</v>
      </c>
      <c r="D49" s="381" t="s">
        <v>1113</v>
      </c>
      <c r="E49" s="381" t="s">
        <v>1114</v>
      </c>
      <c r="F49" s="380" t="s">
        <v>357</v>
      </c>
    </row>
    <row r="50" spans="2:6" ht="10.5" x14ac:dyDescent="0.25">
      <c r="B50" s="380" t="s">
        <v>978</v>
      </c>
      <c r="C50" s="380" t="s">
        <v>977</v>
      </c>
      <c r="D50" s="381" t="s">
        <v>239</v>
      </c>
      <c r="E50" s="381" t="s">
        <v>976</v>
      </c>
      <c r="F50" s="380" t="s">
        <v>357</v>
      </c>
    </row>
    <row r="51" spans="2:6" x14ac:dyDescent="0.2">
      <c r="B51" s="380" t="s">
        <v>997</v>
      </c>
    </row>
    <row r="52" spans="2:6" ht="10.5" x14ac:dyDescent="0.25">
      <c r="B52" s="380" t="s">
        <v>578</v>
      </c>
      <c r="C52" s="380" t="s">
        <v>1002</v>
      </c>
      <c r="D52" s="381" t="s">
        <v>980</v>
      </c>
      <c r="E52" s="381" t="s">
        <v>979</v>
      </c>
      <c r="F52" s="380" t="s">
        <v>357</v>
      </c>
    </row>
    <row r="53" spans="2:6" ht="10.5" x14ac:dyDescent="0.25">
      <c r="B53" s="380" t="s">
        <v>1095</v>
      </c>
      <c r="C53" s="380" t="s">
        <v>1097</v>
      </c>
      <c r="D53" s="381" t="s">
        <v>980</v>
      </c>
      <c r="E53" s="381" t="s">
        <v>979</v>
      </c>
      <c r="F53" s="380" t="s">
        <v>357</v>
      </c>
    </row>
    <row r="54" spans="2:6" ht="10.5" x14ac:dyDescent="0.25">
      <c r="B54" s="380" t="s">
        <v>136</v>
      </c>
      <c r="C54" s="380" t="s">
        <v>1003</v>
      </c>
      <c r="D54" s="381" t="s">
        <v>980</v>
      </c>
      <c r="E54" s="381" t="s">
        <v>979</v>
      </c>
      <c r="F54" s="380" t="s">
        <v>357</v>
      </c>
    </row>
    <row r="55" spans="2:6" ht="10.5" x14ac:dyDescent="0.25">
      <c r="B55" s="380" t="s">
        <v>137</v>
      </c>
      <c r="C55" s="380" t="s">
        <v>1004</v>
      </c>
      <c r="D55" s="381" t="s">
        <v>980</v>
      </c>
      <c r="E55" s="381" t="s">
        <v>979</v>
      </c>
      <c r="F55" s="380" t="s">
        <v>357</v>
      </c>
    </row>
    <row r="56" spans="2:6" ht="10.5" x14ac:dyDescent="0.25">
      <c r="B56" s="380" t="s">
        <v>1096</v>
      </c>
      <c r="C56" s="380" t="s">
        <v>1097</v>
      </c>
      <c r="D56" s="381" t="s">
        <v>980</v>
      </c>
      <c r="E56" s="381" t="s">
        <v>979</v>
      </c>
      <c r="F56" s="380" t="s">
        <v>357</v>
      </c>
    </row>
    <row r="57" spans="2:6" ht="10.5" x14ac:dyDescent="0.25">
      <c r="B57" s="380" t="s">
        <v>138</v>
      </c>
      <c r="C57" s="380" t="s">
        <v>1005</v>
      </c>
      <c r="D57" s="381" t="s">
        <v>980</v>
      </c>
      <c r="E57" s="381" t="s">
        <v>979</v>
      </c>
      <c r="F57" s="380" t="s">
        <v>357</v>
      </c>
    </row>
    <row r="58" spans="2:6" ht="10.5" x14ac:dyDescent="0.25">
      <c r="B58" s="380" t="s">
        <v>139</v>
      </c>
      <c r="C58" s="380" t="s">
        <v>1006</v>
      </c>
      <c r="D58" s="381" t="s">
        <v>980</v>
      </c>
      <c r="E58" s="381" t="s">
        <v>979</v>
      </c>
      <c r="F58" s="380" t="s">
        <v>357</v>
      </c>
    </row>
    <row r="59" spans="2:6" ht="10.5" x14ac:dyDescent="0.25">
      <c r="B59" s="380" t="s">
        <v>140</v>
      </c>
      <c r="C59" s="380" t="s">
        <v>1007</v>
      </c>
      <c r="D59" s="381" t="s">
        <v>980</v>
      </c>
      <c r="E59" s="381" t="s">
        <v>979</v>
      </c>
      <c r="F59" s="380" t="s">
        <v>357</v>
      </c>
    </row>
    <row r="60" spans="2:6" ht="10.5" x14ac:dyDescent="0.25">
      <c r="B60" s="380" t="s">
        <v>141</v>
      </c>
      <c r="C60" s="380" t="s">
        <v>1008</v>
      </c>
      <c r="D60" s="381" t="s">
        <v>980</v>
      </c>
      <c r="E60" s="381" t="s">
        <v>979</v>
      </c>
      <c r="F60" s="380" t="s">
        <v>357</v>
      </c>
    </row>
    <row r="61" spans="2:6" ht="10.5" x14ac:dyDescent="0.25">
      <c r="B61" s="380" t="s">
        <v>142</v>
      </c>
      <c r="C61" s="380" t="s">
        <v>1009</v>
      </c>
      <c r="D61" s="381" t="s">
        <v>980</v>
      </c>
      <c r="E61" s="381" t="s">
        <v>979</v>
      </c>
      <c r="F61" s="380" t="s">
        <v>357</v>
      </c>
    </row>
    <row r="62" spans="2:6" ht="10.5" x14ac:dyDescent="0.25">
      <c r="B62" s="380" t="s">
        <v>1104</v>
      </c>
      <c r="C62" s="380" t="s">
        <v>1098</v>
      </c>
      <c r="D62" s="381" t="s">
        <v>980</v>
      </c>
      <c r="E62" s="381" t="s">
        <v>979</v>
      </c>
      <c r="F62" s="380" t="s">
        <v>357</v>
      </c>
    </row>
    <row r="63" spans="2:6" x14ac:dyDescent="0.2">
      <c r="B63" s="380" t="s">
        <v>1010</v>
      </c>
    </row>
    <row r="64" spans="2:6" ht="10.5" x14ac:dyDescent="0.25">
      <c r="B64" s="380" t="s">
        <v>587</v>
      </c>
      <c r="C64" s="380" t="s">
        <v>992</v>
      </c>
      <c r="D64" s="381" t="s">
        <v>980</v>
      </c>
      <c r="E64" s="381" t="s">
        <v>979</v>
      </c>
      <c r="F64" s="380" t="s">
        <v>357</v>
      </c>
    </row>
    <row r="65" spans="2:6" ht="10.5" x14ac:dyDescent="0.25">
      <c r="B65" s="380" t="s">
        <v>582</v>
      </c>
      <c r="C65" s="380" t="s">
        <v>992</v>
      </c>
      <c r="D65" s="381" t="s">
        <v>980</v>
      </c>
      <c r="E65" s="381" t="s">
        <v>979</v>
      </c>
      <c r="F65" s="380" t="s">
        <v>357</v>
      </c>
    </row>
    <row r="66" spans="2:6" ht="10.5" x14ac:dyDescent="0.25">
      <c r="B66" s="380" t="s">
        <v>998</v>
      </c>
      <c r="D66" s="381"/>
      <c r="E66" s="381"/>
    </row>
    <row r="67" spans="2:6" ht="10.5" x14ac:dyDescent="0.25">
      <c r="B67" s="380" t="s">
        <v>583</v>
      </c>
      <c r="C67" s="380" t="s">
        <v>993</v>
      </c>
      <c r="D67" s="381" t="s">
        <v>980</v>
      </c>
      <c r="E67" s="381" t="s">
        <v>979</v>
      </c>
      <c r="F67" s="380" t="s">
        <v>357</v>
      </c>
    </row>
    <row r="68" spans="2:6" ht="10.5" x14ac:dyDescent="0.25">
      <c r="B68" s="380" t="s">
        <v>584</v>
      </c>
      <c r="C68" s="380" t="s">
        <v>994</v>
      </c>
      <c r="D68" s="381" t="s">
        <v>980</v>
      </c>
      <c r="E68" s="381" t="s">
        <v>979</v>
      </c>
      <c r="F68" s="380" t="s">
        <v>357</v>
      </c>
    </row>
    <row r="69" spans="2:6" ht="10.5" x14ac:dyDescent="0.25">
      <c r="B69" s="380" t="s">
        <v>585</v>
      </c>
      <c r="C69" s="380" t="s">
        <v>995</v>
      </c>
      <c r="D69" s="381" t="s">
        <v>980</v>
      </c>
      <c r="E69" s="381" t="s">
        <v>979</v>
      </c>
      <c r="F69" s="380" t="s">
        <v>357</v>
      </c>
    </row>
    <row r="70" spans="2:6" ht="10.5" x14ac:dyDescent="0.25">
      <c r="B70" s="380" t="s">
        <v>586</v>
      </c>
      <c r="C70" s="380" t="s">
        <v>996</v>
      </c>
      <c r="D70" s="381" t="s">
        <v>980</v>
      </c>
      <c r="E70" s="381" t="s">
        <v>979</v>
      </c>
      <c r="F70" s="380" t="s">
        <v>357</v>
      </c>
    </row>
    <row r="71" spans="2:6" ht="10.5" x14ac:dyDescent="0.25">
      <c r="B71" s="380" t="s">
        <v>1110</v>
      </c>
      <c r="C71" s="380" t="s">
        <v>1111</v>
      </c>
      <c r="D71" s="381" t="s">
        <v>980</v>
      </c>
      <c r="E71" s="381" t="s">
        <v>979</v>
      </c>
      <c r="F71"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H152"/>
  <sheetViews>
    <sheetView tabSelected="1" topLeftCell="A49" workbookViewId="0">
      <pane xSplit="6" ySplit="10" topLeftCell="I85" activePane="bottomRight" state="frozen"/>
      <selection activeCell="A49" sqref="A49"/>
      <selection pane="topRight" activeCell="F49" sqref="F49"/>
      <selection pane="bottomLeft" activeCell="A59" sqref="A59"/>
      <selection pane="bottomRight" activeCell="L92" sqref="L92"/>
    </sheetView>
  </sheetViews>
  <sheetFormatPr defaultColWidth="11.453125" defaultRowHeight="12.5" x14ac:dyDescent="0.25"/>
  <cols>
    <col min="1" max="1" width="43" style="28" customWidth="1"/>
    <col min="2" max="2" width="11" style="28" customWidth="1"/>
    <col min="3" max="4" width="12" style="28" customWidth="1"/>
    <col min="5" max="6" width="10" style="28" customWidth="1"/>
    <col min="7" max="7" width="19.26953125" style="28" customWidth="1"/>
    <col min="8" max="8" width="11.26953125" style="28" customWidth="1"/>
    <col min="9" max="9" width="11.54296875" style="28" customWidth="1"/>
    <col min="10" max="10" width="13.453125" style="28" customWidth="1"/>
    <col min="11" max="11" width="11.1796875" style="28" customWidth="1"/>
    <col min="12" max="12" width="12.453125" style="28" customWidth="1"/>
    <col min="13" max="13" width="10.26953125" style="28" customWidth="1"/>
    <col min="14" max="14" width="10" style="28" customWidth="1"/>
    <col min="15" max="15" width="7.26953125" style="28" customWidth="1"/>
    <col min="16" max="21" width="9.453125" style="28" customWidth="1"/>
    <col min="22" max="23" width="10.26953125" style="28" customWidth="1"/>
    <col min="24" max="27" width="9" style="28" customWidth="1"/>
    <col min="28" max="28" width="14.7265625" style="28" customWidth="1"/>
    <col min="29" max="29" width="14.1796875" style="28" customWidth="1"/>
    <col min="30" max="32" width="9.7265625" style="28" customWidth="1"/>
    <col min="33" max="50" width="7.26953125" style="28" customWidth="1"/>
    <col min="51" max="16384" width="11.453125" style="28"/>
  </cols>
  <sheetData>
    <row r="1" spans="1:60" ht="17.5" thickBot="1" x14ac:dyDescent="0.45">
      <c r="B1" s="169" t="s">
        <v>1012</v>
      </c>
      <c r="C1" s="169"/>
      <c r="D1" s="169"/>
      <c r="E1" s="169"/>
      <c r="F1" s="169"/>
    </row>
    <row r="2" spans="1:60" ht="13" thickTop="1" x14ac:dyDescent="0.25"/>
    <row r="3" spans="1:60" ht="15.5" x14ac:dyDescent="0.35">
      <c r="A3" s="36" t="s">
        <v>230</v>
      </c>
      <c r="B3" s="419" t="s">
        <v>231</v>
      </c>
      <c r="C3" s="419"/>
      <c r="D3" s="419"/>
      <c r="E3" s="419"/>
      <c r="F3" s="37" t="s">
        <v>232</v>
      </c>
      <c r="G3" s="37"/>
      <c r="H3" s="29"/>
      <c r="I3" s="36"/>
      <c r="J3" s="29"/>
      <c r="K3" s="36"/>
    </row>
    <row r="4" spans="1:60" x14ac:dyDescent="0.25">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c r="BG4" s="38"/>
      <c r="BH4" s="38"/>
    </row>
    <row r="5" spans="1:60" ht="13" x14ac:dyDescent="0.3">
      <c r="A5" s="30"/>
      <c r="B5" s="30"/>
      <c r="C5" s="39" t="s">
        <v>233</v>
      </c>
      <c r="D5" s="39"/>
      <c r="E5" s="39"/>
    </row>
    <row r="6" spans="1:60" ht="13" x14ac:dyDescent="0.3">
      <c r="A6" s="29" t="s">
        <v>234</v>
      </c>
      <c r="B6" s="30">
        <f>COUNT(C6:BH6)</f>
        <v>48</v>
      </c>
      <c r="C6" s="30">
        <v>1</v>
      </c>
      <c r="D6" s="30"/>
      <c r="E6" s="30">
        <f>C6+1</f>
        <v>2</v>
      </c>
      <c r="F6" s="30">
        <f>E6+1</f>
        <v>3</v>
      </c>
      <c r="G6" s="30">
        <f>F6+1</f>
        <v>4</v>
      </c>
      <c r="H6" s="30">
        <f>G6+1</f>
        <v>5</v>
      </c>
      <c r="I6" s="30">
        <f>H6+1</f>
        <v>6</v>
      </c>
      <c r="J6" s="30">
        <f t="shared" ref="J6:AM6" si="0">I6+1</f>
        <v>7</v>
      </c>
      <c r="K6" s="30">
        <f t="shared" si="0"/>
        <v>8</v>
      </c>
      <c r="L6" s="30">
        <f t="shared" si="0"/>
        <v>9</v>
      </c>
      <c r="M6" s="30">
        <f t="shared" si="0"/>
        <v>10</v>
      </c>
      <c r="N6" s="30">
        <f t="shared" si="0"/>
        <v>11</v>
      </c>
      <c r="O6" s="30">
        <f t="shared" si="0"/>
        <v>12</v>
      </c>
      <c r="P6" s="30">
        <f t="shared" si="0"/>
        <v>13</v>
      </c>
      <c r="Q6" s="30"/>
      <c r="R6" s="30"/>
      <c r="S6" s="30"/>
      <c r="T6" s="30"/>
      <c r="U6" s="30"/>
      <c r="V6" s="30">
        <f>P6+1</f>
        <v>14</v>
      </c>
      <c r="W6" s="30">
        <f t="shared" si="0"/>
        <v>15</v>
      </c>
      <c r="X6" s="30">
        <f t="shared" si="0"/>
        <v>16</v>
      </c>
      <c r="Y6" s="30">
        <f t="shared" si="0"/>
        <v>17</v>
      </c>
      <c r="Z6" s="30"/>
      <c r="AA6" s="30">
        <f>Y6+1</f>
        <v>18</v>
      </c>
      <c r="AB6" s="30">
        <f t="shared" si="0"/>
        <v>19</v>
      </c>
      <c r="AC6" s="30">
        <f t="shared" si="0"/>
        <v>20</v>
      </c>
      <c r="AD6" s="30">
        <f t="shared" si="0"/>
        <v>21</v>
      </c>
      <c r="AE6" s="30">
        <f t="shared" si="0"/>
        <v>22</v>
      </c>
      <c r="AF6" s="30">
        <f t="shared" si="0"/>
        <v>23</v>
      </c>
      <c r="AG6" s="30">
        <f t="shared" si="0"/>
        <v>24</v>
      </c>
      <c r="AH6" s="30">
        <f t="shared" si="0"/>
        <v>25</v>
      </c>
      <c r="AI6" s="30">
        <f t="shared" si="0"/>
        <v>26</v>
      </c>
      <c r="AJ6" s="30">
        <f t="shared" si="0"/>
        <v>27</v>
      </c>
      <c r="AK6" s="30">
        <f t="shared" si="0"/>
        <v>28</v>
      </c>
      <c r="AL6" s="30">
        <f t="shared" si="0"/>
        <v>29</v>
      </c>
      <c r="AM6" s="30">
        <f t="shared" si="0"/>
        <v>30</v>
      </c>
      <c r="AN6" s="30"/>
      <c r="AO6" s="30">
        <f>AM6+1</f>
        <v>31</v>
      </c>
      <c r="AP6" s="30">
        <f t="shared" ref="AP6:BF6" si="1">AO6+1</f>
        <v>32</v>
      </c>
      <c r="AQ6" s="30">
        <f t="shared" si="1"/>
        <v>33</v>
      </c>
      <c r="AR6" s="30">
        <f t="shared" si="1"/>
        <v>34</v>
      </c>
      <c r="AS6" s="30">
        <f t="shared" si="1"/>
        <v>35</v>
      </c>
      <c r="AT6" s="30">
        <f t="shared" si="1"/>
        <v>36</v>
      </c>
      <c r="AU6" s="30">
        <f t="shared" si="1"/>
        <v>37</v>
      </c>
      <c r="AV6" s="30">
        <f t="shared" si="1"/>
        <v>38</v>
      </c>
      <c r="AW6" s="30">
        <f t="shared" si="1"/>
        <v>39</v>
      </c>
      <c r="AX6" s="30">
        <f t="shared" si="1"/>
        <v>40</v>
      </c>
      <c r="AY6" s="30">
        <f t="shared" si="1"/>
        <v>41</v>
      </c>
      <c r="AZ6" s="30">
        <f t="shared" si="1"/>
        <v>42</v>
      </c>
      <c r="BA6" s="30">
        <f t="shared" si="1"/>
        <v>43</v>
      </c>
      <c r="BB6" s="30">
        <f t="shared" si="1"/>
        <v>44</v>
      </c>
      <c r="BC6" s="30">
        <f t="shared" si="1"/>
        <v>45</v>
      </c>
      <c r="BD6" s="30">
        <f t="shared" si="1"/>
        <v>46</v>
      </c>
      <c r="BE6" s="30">
        <f t="shared" si="1"/>
        <v>47</v>
      </c>
      <c r="BF6" s="30">
        <f t="shared" si="1"/>
        <v>48</v>
      </c>
      <c r="BG6" s="30"/>
      <c r="BH6" s="30"/>
    </row>
    <row r="7" spans="1:60" s="42" customFormat="1" ht="63" x14ac:dyDescent="0.3">
      <c r="A7" s="40" t="s">
        <v>235</v>
      </c>
      <c r="B7" s="41"/>
      <c r="C7" s="42" t="str">
        <f>NameConv!$B$5</f>
        <v>Biogas</v>
      </c>
      <c r="E7" s="42" t="str">
        <f>NameConv!$B$6</f>
        <v>Bioethanol</v>
      </c>
      <c r="F7" s="42" t="str">
        <f>NameConv!$B$7</f>
        <v>Biodiesel</v>
      </c>
      <c r="G7" s="42" t="str">
        <f>NameConv!$B$8</f>
        <v>Biomass bagasse</v>
      </c>
      <c r="H7" s="42" t="str">
        <f>NameConv!$B$9</f>
        <v>Biomass Other</v>
      </c>
      <c r="I7" s="42" t="str">
        <f>NameConv!$B$10</f>
        <v>Biomass Wood</v>
      </c>
      <c r="J7" s="42" t="str">
        <f>NameConv!$B$11</f>
        <v>Coal</v>
      </c>
      <c r="K7" s="42" t="str">
        <f>NameConv!$B$12</f>
        <v>Coal Coking</v>
      </c>
      <c r="L7" s="42" t="str">
        <f>NameConv!$B$13</f>
        <v>Coal Discard</v>
      </c>
      <c r="M7" s="42" t="str">
        <f>NameConv!$B$14</f>
        <v>Coal low grade</v>
      </c>
      <c r="N7" s="42" t="str">
        <f>NameConv!$B$15</f>
        <v>Coal for plants in Botswana</v>
      </c>
      <c r="P7" s="41"/>
      <c r="Q7" s="41"/>
      <c r="R7" s="41"/>
      <c r="S7" s="41"/>
      <c r="T7" s="41"/>
      <c r="U7" s="41"/>
      <c r="V7" s="41"/>
      <c r="W7" s="41" t="str">
        <f>NameConv!$B$17</f>
        <v>Electricity</v>
      </c>
      <c r="X7" s="41" t="str">
        <f>NameConv!$B$18</f>
        <v>Electricity Upstream Transmission</v>
      </c>
      <c r="AB7" s="41" t="str">
        <f>NameConv!B27</f>
        <v>Coastal Gas</v>
      </c>
      <c r="AC7" s="41" t="str">
        <f>NameConv!$B$20</f>
        <v>Gas Southern Mozambique</v>
      </c>
      <c r="AD7" s="42" t="str">
        <f>NameConv!$B$21</f>
        <v>Gas Namibia</v>
      </c>
      <c r="AE7" s="43" t="str">
        <f>NameConv!$B$22</f>
        <v>Gas Regional LNG</v>
      </c>
      <c r="AF7" s="43" t="str">
        <f>NameConv!$B$23</f>
        <v>Gas International LNG</v>
      </c>
      <c r="AH7" s="43" t="str">
        <f>NameConv!$B$24</f>
        <v>Gas Northern Mozambique</v>
      </c>
      <c r="AJ7" s="44" t="str">
        <f>NameConv!$B$25</f>
        <v>Gas Indigenous Ibhubezi</v>
      </c>
      <c r="AL7" s="44" t="str">
        <f>NameConv!$B$26</f>
        <v>Gas Indigenous Shale</v>
      </c>
      <c r="AO7" s="42" t="str">
        <f>NameConv!$B$29</f>
        <v>Gas Methane Rich</v>
      </c>
      <c r="AQ7" s="42" t="str">
        <f>NameConv!$B$30</f>
        <v>Heat-Steam</v>
      </c>
      <c r="AR7" s="42" t="str">
        <f>NameConv!$B$31</f>
        <v>Heat-Steam Existing</v>
      </c>
      <c r="AS7" s="42" t="str">
        <f>NameConv!$B$32</f>
        <v>Heat-Steam New</v>
      </c>
      <c r="AT7" s="42" t="str">
        <f>NameConv!$B$33</f>
        <v>Hydro</v>
      </c>
      <c r="AU7" s="42" t="str">
        <f>NameConv!$B$34</f>
        <v>Hydrogen</v>
      </c>
      <c r="AV7" s="42" t="str">
        <f>NameConv!$B$35</f>
        <v>Nuclear</v>
      </c>
      <c r="AW7" s="42" t="str">
        <f>NameConv!$B$36</f>
        <v>Oil Av Gasoline</v>
      </c>
      <c r="AX7" s="42" t="str">
        <f>NameConv!$B$37</f>
        <v>Oil Crude</v>
      </c>
      <c r="AY7" s="42" t="str">
        <f>NameConv!$B$38</f>
        <v>Oil Diesel</v>
      </c>
      <c r="AZ7" s="42" t="str">
        <f>NameConv!$B$39</f>
        <v>Oil Gasoline</v>
      </c>
      <c r="BA7" s="42" t="str">
        <f>NameConv!$B$40</f>
        <v>Oil HFO</v>
      </c>
      <c r="BB7" s="42" t="str">
        <f>NameConv!$B$42</f>
        <v>Oil Kerosene</v>
      </c>
      <c r="BC7" s="42" t="str">
        <f>NameConv!$B$43</f>
        <v>Oil LPG</v>
      </c>
      <c r="BD7" s="42" t="str">
        <f>NameConv!$B$44</f>
        <v>Oil Other</v>
      </c>
      <c r="BE7" s="42" t="str">
        <f>NameConv!$B$45</f>
        <v>Solar</v>
      </c>
      <c r="BF7" s="42" t="str">
        <f>NameConv!$B$46</f>
        <v>Wind</v>
      </c>
    </row>
    <row r="8" spans="1:60" ht="13" x14ac:dyDescent="0.3">
      <c r="A8" s="29" t="s">
        <v>236</v>
      </c>
      <c r="B8" s="30"/>
      <c r="C8" s="38" t="str">
        <f t="shared" ref="C8:M8" si="2">$B$8&amp;VLOOKUP(C7,FuelNames,2,FALSE)</f>
        <v>BIG</v>
      </c>
      <c r="D8" s="38"/>
      <c r="E8" s="38" t="str">
        <f t="shared" si="2"/>
        <v>BIE</v>
      </c>
      <c r="F8" s="38" t="str">
        <f t="shared" si="2"/>
        <v>BID</v>
      </c>
      <c r="G8" s="38" t="str">
        <f t="shared" si="2"/>
        <v>BIB</v>
      </c>
      <c r="H8" s="38" t="str">
        <f t="shared" si="2"/>
        <v>BIO</v>
      </c>
      <c r="I8" s="38" t="str">
        <f t="shared" si="2"/>
        <v>BIW</v>
      </c>
      <c r="J8" s="38" t="str">
        <f t="shared" si="2"/>
        <v>COA</v>
      </c>
      <c r="K8" s="38" t="str">
        <f t="shared" si="2"/>
        <v>COK</v>
      </c>
      <c r="L8" s="38" t="str">
        <f t="shared" si="2"/>
        <v>CLD</v>
      </c>
      <c r="M8" s="38" t="str">
        <f t="shared" si="2"/>
        <v>CLE</v>
      </c>
      <c r="N8" s="38" t="str">
        <f t="shared" ref="N8:AO8" si="3">$B$8&amp;VLOOKUP(N7,FuelNames,2,FALSE)</f>
        <v>CRB</v>
      </c>
      <c r="O8" s="38"/>
      <c r="P8" s="38"/>
      <c r="Q8" s="38"/>
      <c r="R8" s="38"/>
      <c r="S8" s="38"/>
      <c r="T8" s="38"/>
      <c r="U8" s="38"/>
      <c r="V8" s="38"/>
      <c r="W8" s="38" t="str">
        <f t="shared" si="3"/>
        <v>ELC</v>
      </c>
      <c r="X8" s="38" t="str">
        <f t="shared" si="3"/>
        <v>ELCC</v>
      </c>
      <c r="Y8" s="38"/>
      <c r="Z8" s="38"/>
      <c r="AA8" s="38"/>
      <c r="AB8" s="38" t="str">
        <f t="shared" si="3"/>
        <v>GIC</v>
      </c>
      <c r="AC8" s="38" t="str">
        <f t="shared" si="3"/>
        <v>GRS</v>
      </c>
      <c r="AD8" s="38" t="str">
        <f t="shared" si="3"/>
        <v>GRN</v>
      </c>
      <c r="AE8" s="38" t="str">
        <f t="shared" si="3"/>
        <v>GRL</v>
      </c>
      <c r="AF8" s="38" t="str">
        <f t="shared" si="3"/>
        <v>GWL</v>
      </c>
      <c r="AG8" s="38"/>
      <c r="AH8" s="38" t="str">
        <f t="shared" si="3"/>
        <v>GRM</v>
      </c>
      <c r="AI8" s="38"/>
      <c r="AJ8" s="38" t="str">
        <f t="shared" si="3"/>
        <v>GIB</v>
      </c>
      <c r="AK8" s="38"/>
      <c r="AL8" s="38" t="str">
        <f t="shared" si="3"/>
        <v>GIH</v>
      </c>
      <c r="AM8" s="38"/>
      <c r="AN8" s="38"/>
      <c r="AO8" s="38" t="str">
        <f t="shared" si="3"/>
        <v>GIM</v>
      </c>
      <c r="AP8" s="38"/>
      <c r="AQ8" s="38" t="str">
        <f t="shared" ref="AQ8:BF8" si="4">$B$8&amp;VLOOKUP(AQ7,FuelNames,2,FALSE)</f>
        <v>HET</v>
      </c>
      <c r="AR8" s="38" t="str">
        <f t="shared" si="4"/>
        <v>HEE</v>
      </c>
      <c r="AS8" s="38" t="str">
        <f t="shared" si="4"/>
        <v>HEN</v>
      </c>
      <c r="AT8" s="38" t="str">
        <f t="shared" si="4"/>
        <v>HYD</v>
      </c>
      <c r="AU8" s="38" t="str">
        <f t="shared" si="4"/>
        <v>HGN</v>
      </c>
      <c r="AV8" s="38" t="str">
        <f t="shared" si="4"/>
        <v>NUC</v>
      </c>
      <c r="AW8" s="38" t="str">
        <f t="shared" si="4"/>
        <v>OAG</v>
      </c>
      <c r="AX8" s="38" t="str">
        <f t="shared" si="4"/>
        <v>OCR</v>
      </c>
      <c r="AY8" s="38" t="str">
        <f t="shared" si="4"/>
        <v>ODS</v>
      </c>
      <c r="AZ8" s="38" t="str">
        <f t="shared" si="4"/>
        <v>OGS</v>
      </c>
      <c r="BA8" s="38" t="str">
        <f t="shared" si="4"/>
        <v>OHF</v>
      </c>
      <c r="BB8" s="38" t="str">
        <f t="shared" si="4"/>
        <v>OKE</v>
      </c>
      <c r="BC8" s="38" t="str">
        <f t="shared" si="4"/>
        <v>OLP</v>
      </c>
      <c r="BD8" s="38" t="str">
        <f t="shared" si="4"/>
        <v>OTH</v>
      </c>
      <c r="BE8" s="38" t="str">
        <f t="shared" si="4"/>
        <v>SOL</v>
      </c>
      <c r="BF8" s="38" t="str">
        <f t="shared" si="4"/>
        <v>WND</v>
      </c>
      <c r="BG8" s="38"/>
      <c r="BH8" s="38"/>
    </row>
    <row r="9" spans="1:60" ht="13" x14ac:dyDescent="0.3">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C9" s="38"/>
      <c r="AD9" s="38"/>
      <c r="AF9" s="38"/>
      <c r="AG9" s="38"/>
      <c r="AH9" s="38"/>
      <c r="AI9" s="38"/>
      <c r="AJ9" s="38"/>
      <c r="AK9" s="38"/>
      <c r="AL9" s="38"/>
      <c r="AM9" s="38"/>
      <c r="AN9" s="38"/>
      <c r="AO9" s="38"/>
      <c r="AP9" s="38"/>
      <c r="AQ9" s="38"/>
      <c r="AR9" s="38"/>
      <c r="AT9" s="38"/>
      <c r="AU9" s="38"/>
    </row>
    <row r="10" spans="1:60" x14ac:dyDescent="0.25">
      <c r="A10" s="28" t="s">
        <v>238</v>
      </c>
      <c r="B10" s="45" t="s">
        <v>239</v>
      </c>
      <c r="C10" s="46">
        <v>0</v>
      </c>
      <c r="D10" s="46"/>
      <c r="E10" s="46">
        <v>0</v>
      </c>
      <c r="F10" s="46">
        <v>0</v>
      </c>
      <c r="G10" s="46">
        <v>0</v>
      </c>
      <c r="H10" s="46">
        <v>0</v>
      </c>
      <c r="I10" s="46">
        <v>0</v>
      </c>
      <c r="J10" s="46">
        <v>6136.3929900000003</v>
      </c>
      <c r="K10" s="46">
        <v>49.117144000000003</v>
      </c>
      <c r="L10" s="46">
        <v>0</v>
      </c>
      <c r="M10" s="46">
        <v>0</v>
      </c>
      <c r="N10" s="46">
        <v>0</v>
      </c>
      <c r="O10" s="46"/>
      <c r="P10" s="46"/>
      <c r="Q10" s="46"/>
      <c r="R10" s="46"/>
      <c r="S10" s="46"/>
      <c r="T10" s="46"/>
      <c r="U10" s="46"/>
      <c r="V10" s="46"/>
      <c r="W10" s="46">
        <v>830.00738649024674</v>
      </c>
      <c r="X10" s="46">
        <v>0</v>
      </c>
      <c r="Y10" s="46"/>
      <c r="Z10" s="46"/>
      <c r="AA10" s="46"/>
      <c r="AB10" s="46">
        <v>42.534198286413705</v>
      </c>
      <c r="AC10" s="46">
        <v>0</v>
      </c>
      <c r="AD10" s="46">
        <v>0</v>
      </c>
      <c r="AE10" s="46">
        <v>0</v>
      </c>
      <c r="AF10" s="46">
        <v>0</v>
      </c>
      <c r="AG10" s="46"/>
      <c r="AH10" s="46">
        <v>0</v>
      </c>
      <c r="AI10" s="46"/>
      <c r="AJ10" s="46">
        <v>0</v>
      </c>
      <c r="AK10" s="46"/>
      <c r="AL10" s="46">
        <v>0</v>
      </c>
      <c r="AM10" s="46">
        <v>0</v>
      </c>
      <c r="AN10" s="46"/>
      <c r="AO10" s="46">
        <v>0</v>
      </c>
      <c r="AP10" s="46"/>
      <c r="AQ10" s="46">
        <v>0</v>
      </c>
      <c r="AR10" s="46">
        <v>0</v>
      </c>
      <c r="AS10" s="46">
        <v>0</v>
      </c>
      <c r="AT10" s="46">
        <v>0</v>
      </c>
      <c r="AU10" s="46">
        <v>0</v>
      </c>
      <c r="AV10" s="46">
        <v>0</v>
      </c>
      <c r="AW10" s="46">
        <v>0</v>
      </c>
      <c r="AX10" s="46">
        <v>0</v>
      </c>
      <c r="AY10" s="46">
        <v>0</v>
      </c>
      <c r="AZ10" s="46">
        <v>0</v>
      </c>
      <c r="BA10" s="46">
        <v>0</v>
      </c>
      <c r="BB10" s="46">
        <v>0</v>
      </c>
      <c r="BC10" s="46">
        <v>0</v>
      </c>
      <c r="BD10" s="46">
        <v>0</v>
      </c>
      <c r="BE10" s="46">
        <v>0</v>
      </c>
      <c r="BF10" s="46">
        <v>0</v>
      </c>
      <c r="BG10" s="46"/>
      <c r="BH10" s="46"/>
    </row>
    <row r="11" spans="1:60" x14ac:dyDescent="0.25">
      <c r="A11" s="28" t="s">
        <v>240</v>
      </c>
      <c r="B11" s="45" t="s">
        <v>239</v>
      </c>
      <c r="C11" s="46">
        <v>0</v>
      </c>
      <c r="D11" s="46"/>
      <c r="E11" s="46">
        <v>0</v>
      </c>
      <c r="F11" s="46">
        <v>0</v>
      </c>
      <c r="G11" s="46">
        <v>0</v>
      </c>
      <c r="H11" s="46">
        <v>0</v>
      </c>
      <c r="I11" s="46">
        <v>0</v>
      </c>
      <c r="J11" s="46">
        <v>3.1614299999999997</v>
      </c>
      <c r="K11" s="46">
        <v>57.42812</v>
      </c>
      <c r="L11" s="46">
        <v>0</v>
      </c>
      <c r="M11" s="46">
        <v>0</v>
      </c>
      <c r="N11" s="46">
        <v>0</v>
      </c>
      <c r="O11" s="46"/>
      <c r="P11" s="46"/>
      <c r="Q11" s="46"/>
      <c r="R11" s="46"/>
      <c r="S11" s="46"/>
      <c r="T11" s="46"/>
      <c r="U11" s="46"/>
      <c r="V11" s="46"/>
      <c r="W11" s="46">
        <v>36.021597656250002</v>
      </c>
      <c r="X11" s="46">
        <v>0</v>
      </c>
      <c r="Y11" s="46"/>
      <c r="Z11" s="46"/>
      <c r="AA11" s="46"/>
      <c r="AB11" s="46">
        <v>121.2211171875</v>
      </c>
      <c r="AC11" s="46">
        <v>0</v>
      </c>
      <c r="AD11" s="46">
        <v>0</v>
      </c>
      <c r="AE11" s="46">
        <v>0</v>
      </c>
      <c r="AF11" s="46">
        <v>0</v>
      </c>
      <c r="AG11" s="46"/>
      <c r="AH11" s="46">
        <v>0</v>
      </c>
      <c r="AI11" s="46"/>
      <c r="AJ11" s="46">
        <v>0</v>
      </c>
      <c r="AK11" s="46"/>
      <c r="AL11" s="46">
        <v>0</v>
      </c>
      <c r="AM11" s="46">
        <v>0</v>
      </c>
      <c r="AN11" s="46"/>
      <c r="AO11" s="46">
        <v>0</v>
      </c>
      <c r="AP11" s="46"/>
      <c r="AQ11" s="46">
        <v>0</v>
      </c>
      <c r="AR11" s="46">
        <v>0</v>
      </c>
      <c r="AS11" s="46">
        <v>0</v>
      </c>
      <c r="AT11" s="46">
        <v>0</v>
      </c>
      <c r="AU11" s="46">
        <v>0</v>
      </c>
      <c r="AV11" s="46">
        <v>170.374545454545</v>
      </c>
      <c r="AW11" s="46">
        <v>1.394321535205479</v>
      </c>
      <c r="AX11" s="46">
        <v>941.22622485351599</v>
      </c>
      <c r="AY11" s="46">
        <v>140.06492</v>
      </c>
      <c r="AZ11" s="46">
        <v>63.331960000000002</v>
      </c>
      <c r="BA11" s="46">
        <v>4.206396917894736</v>
      </c>
      <c r="BB11" s="46">
        <v>9.3231960462962959</v>
      </c>
      <c r="BC11" s="46">
        <v>0.405131744444444</v>
      </c>
      <c r="BD11" s="46">
        <v>0</v>
      </c>
      <c r="BE11" s="46">
        <v>0</v>
      </c>
      <c r="BF11" s="46">
        <v>0</v>
      </c>
      <c r="BG11" s="46"/>
      <c r="BH11" s="46"/>
    </row>
    <row r="12" spans="1:60" ht="13" thickBot="1" x14ac:dyDescent="0.3">
      <c r="A12" s="28" t="s">
        <v>241</v>
      </c>
      <c r="B12" s="45" t="s">
        <v>239</v>
      </c>
      <c r="C12" s="46">
        <v>0</v>
      </c>
      <c r="D12" s="46"/>
      <c r="E12" s="46">
        <v>0</v>
      </c>
      <c r="F12" s="46">
        <v>0</v>
      </c>
      <c r="G12" s="46">
        <v>0</v>
      </c>
      <c r="H12" s="46">
        <v>0</v>
      </c>
      <c r="I12" s="46">
        <v>0</v>
      </c>
      <c r="J12" s="46">
        <v>2129.9962500000001</v>
      </c>
      <c r="K12" s="46">
        <v>20.834015000000001</v>
      </c>
      <c r="L12" s="46">
        <v>0</v>
      </c>
      <c r="M12" s="46">
        <v>0</v>
      </c>
      <c r="N12" s="46">
        <v>0</v>
      </c>
      <c r="O12" s="46"/>
      <c r="P12" s="46"/>
      <c r="Q12" s="46"/>
      <c r="R12" s="46"/>
      <c r="S12" s="46"/>
      <c r="T12" s="46"/>
      <c r="U12" s="46"/>
      <c r="V12" s="46"/>
      <c r="W12" s="46">
        <v>54.125999999999998</v>
      </c>
      <c r="X12" s="46">
        <v>0</v>
      </c>
      <c r="Y12" s="46"/>
      <c r="Z12" s="46"/>
      <c r="AA12" s="46"/>
      <c r="AB12" s="46">
        <v>0</v>
      </c>
      <c r="AC12" s="46">
        <v>0</v>
      </c>
      <c r="AD12" s="46">
        <v>0</v>
      </c>
      <c r="AE12" s="46">
        <v>0</v>
      </c>
      <c r="AF12" s="46">
        <v>0</v>
      </c>
      <c r="AG12" s="46"/>
      <c r="AH12" s="46">
        <v>0</v>
      </c>
      <c r="AI12" s="46"/>
      <c r="AJ12" s="46">
        <v>0</v>
      </c>
      <c r="AK12" s="46"/>
      <c r="AL12" s="46">
        <v>0</v>
      </c>
      <c r="AM12" s="46">
        <v>0</v>
      </c>
      <c r="AN12" s="46"/>
      <c r="AO12" s="46">
        <v>0</v>
      </c>
      <c r="AP12" s="46"/>
      <c r="AQ12" s="46">
        <v>0</v>
      </c>
      <c r="AR12" s="46">
        <v>0</v>
      </c>
      <c r="AS12" s="46">
        <v>0</v>
      </c>
      <c r="AT12" s="46">
        <v>0</v>
      </c>
      <c r="AU12" s="46">
        <v>0</v>
      </c>
      <c r="AV12" s="46">
        <v>0</v>
      </c>
      <c r="AW12" s="46">
        <v>0.22564281164383562</v>
      </c>
      <c r="AX12" s="46">
        <v>20.83803412968</v>
      </c>
      <c r="AY12" s="46">
        <v>28.73659252275862</v>
      </c>
      <c r="AZ12" s="46">
        <v>3.5488458656756761</v>
      </c>
      <c r="BA12" s="46">
        <v>61.88735509894736</v>
      </c>
      <c r="BB12" s="46">
        <v>5.0273560461728382</v>
      </c>
      <c r="BC12" s="46">
        <v>0.54993525222222217</v>
      </c>
      <c r="BD12" s="46">
        <v>0</v>
      </c>
      <c r="BE12" s="46">
        <v>0</v>
      </c>
      <c r="BF12" s="46">
        <v>0</v>
      </c>
      <c r="BG12" s="46"/>
      <c r="BH12" s="46"/>
    </row>
    <row r="13" spans="1:60" ht="15" thickBot="1" x14ac:dyDescent="0.4">
      <c r="A13" s="29"/>
      <c r="B13" s="45"/>
      <c r="C13" s="47"/>
      <c r="D13" s="47"/>
      <c r="E13" s="47"/>
      <c r="N13" s="404" t="s">
        <v>1051</v>
      </c>
      <c r="O13" s="48"/>
      <c r="P13" s="48"/>
      <c r="Q13" s="412"/>
      <c r="R13" s="412"/>
      <c r="S13" s="412"/>
      <c r="T13" s="412"/>
      <c r="U13" s="412"/>
      <c r="V13" s="49"/>
      <c r="W13" s="405"/>
      <c r="X13" s="47"/>
      <c r="Y13" s="47"/>
      <c r="Z13" s="47"/>
      <c r="AA13" s="47"/>
      <c r="AB13" s="47"/>
      <c r="AC13" s="47"/>
      <c r="AD13" s="47"/>
      <c r="AE13" s="47"/>
      <c r="AF13" s="47"/>
      <c r="AG13" s="47"/>
      <c r="AH13" s="47"/>
      <c r="AI13" s="50"/>
    </row>
    <row r="14" spans="1:60" ht="13" x14ac:dyDescent="0.3">
      <c r="A14" s="51" t="s">
        <v>242</v>
      </c>
      <c r="B14" s="52"/>
      <c r="C14" s="52"/>
      <c r="D14" s="52"/>
      <c r="E14" s="52"/>
      <c r="F14" s="52"/>
      <c r="G14" s="53">
        <v>2017</v>
      </c>
      <c r="H14" s="53">
        <v>2021</v>
      </c>
      <c r="I14" s="53">
        <v>2030</v>
      </c>
      <c r="J14" s="53">
        <v>2050</v>
      </c>
      <c r="N14" s="54"/>
      <c r="P14" s="38">
        <v>2021</v>
      </c>
      <c r="Q14" s="38"/>
      <c r="R14" s="38"/>
      <c r="S14" s="38"/>
      <c r="T14" s="38"/>
      <c r="U14" s="38"/>
      <c r="V14" s="38">
        <v>2030</v>
      </c>
      <c r="W14" s="55">
        <f>J14</f>
        <v>2050</v>
      </c>
      <c r="Y14" s="47" t="s">
        <v>1054</v>
      </c>
      <c r="Z14" s="47"/>
      <c r="AA14" s="47"/>
      <c r="AB14" s="47"/>
      <c r="AC14" s="47"/>
    </row>
    <row r="15" spans="1:60" ht="14.5" x14ac:dyDescent="0.35">
      <c r="A15" s="56" t="s">
        <v>243</v>
      </c>
      <c r="B15" s="28" t="s">
        <v>1049</v>
      </c>
      <c r="G15" s="57">
        <v>16.45</v>
      </c>
      <c r="H15" s="57">
        <f>G15</f>
        <v>16.45</v>
      </c>
      <c r="I15" s="57">
        <f>H15</f>
        <v>16.45</v>
      </c>
      <c r="J15" s="57">
        <f>I15</f>
        <v>16.45</v>
      </c>
      <c r="N15" s="56"/>
      <c r="P15" s="406"/>
      <c r="Q15" s="406"/>
      <c r="R15" s="406"/>
      <c r="S15" s="406"/>
      <c r="T15" s="406"/>
      <c r="U15" s="406"/>
      <c r="V15" s="406"/>
      <c r="W15" s="58"/>
      <c r="Y15" s="402">
        <v>0.08</v>
      </c>
      <c r="Z15" s="402"/>
      <c r="AA15" s="47"/>
      <c r="AB15" s="47"/>
      <c r="AC15" s="47"/>
    </row>
    <row r="16" spans="1:60" ht="14.5" x14ac:dyDescent="0.35">
      <c r="A16" s="56" t="s">
        <v>245</v>
      </c>
      <c r="B16" s="28" t="s">
        <v>1053</v>
      </c>
      <c r="C16" s="59" t="s">
        <v>246</v>
      </c>
      <c r="D16" s="59"/>
      <c r="E16" s="60" t="s">
        <v>761</v>
      </c>
      <c r="G16" s="62">
        <f>IEA_WEO!BZ94*1.165</f>
        <v>72.23</v>
      </c>
      <c r="H16" s="63">
        <f>SUMIF($N$15:$N$24,$E$16,P$15:P$24)*(1+$Y$15)</f>
        <v>74.52000000000001</v>
      </c>
      <c r="I16" s="63">
        <f>SUMIF($N$15:$N$24,$E$16,V$15:V$24)*(1+$Y$15)</f>
        <v>68.400000000000006</v>
      </c>
      <c r="J16" s="63">
        <f>SUMIF($N$15:$N$24,$E$16,W$15:W$24)*(1+$Y$15)</f>
        <v>87.11999999999999</v>
      </c>
      <c r="N16" s="64" t="s">
        <v>1052</v>
      </c>
      <c r="P16" s="407">
        <f>IEA_WEO!DK96</f>
        <v>69</v>
      </c>
      <c r="Q16" s="407"/>
      <c r="R16" s="407"/>
      <c r="S16" s="407"/>
      <c r="T16" s="407"/>
      <c r="U16" s="407"/>
      <c r="V16" s="407">
        <f>IEA_WEO!DL96</f>
        <v>35</v>
      </c>
      <c r="W16" s="408">
        <f>IEA_WEO!DM96</f>
        <v>24</v>
      </c>
      <c r="Y16" s="47"/>
      <c r="Z16" s="47"/>
      <c r="AA16" s="47"/>
      <c r="AB16" s="47"/>
      <c r="AC16" s="47"/>
    </row>
    <row r="17" spans="1:43" ht="14.5" x14ac:dyDescent="0.35">
      <c r="A17" s="56" t="s">
        <v>247</v>
      </c>
      <c r="B17" s="28" t="s">
        <v>248</v>
      </c>
      <c r="G17" s="30"/>
      <c r="H17" s="30"/>
      <c r="I17" s="30"/>
      <c r="J17" s="30"/>
      <c r="N17" s="56" t="s">
        <v>763</v>
      </c>
      <c r="P17" s="407">
        <f>P16</f>
        <v>69</v>
      </c>
      <c r="Q17" s="407"/>
      <c r="R17" s="407"/>
      <c r="S17" s="407"/>
      <c r="T17" s="407"/>
      <c r="U17" s="407"/>
      <c r="V17" s="407">
        <f>IEA_WEO!CL101</f>
        <v>55.666666666666664</v>
      </c>
      <c r="W17" s="408">
        <f>IEA_WEO!CM101</f>
        <v>50.333333333333329</v>
      </c>
      <c r="Y17" s="47"/>
      <c r="Z17" s="47"/>
      <c r="AA17" s="47"/>
      <c r="AB17" s="47"/>
      <c r="AC17" s="47"/>
      <c r="AD17"/>
      <c r="AE17"/>
    </row>
    <row r="18" spans="1:43" ht="15" thickBot="1" x14ac:dyDescent="0.4">
      <c r="A18" s="65" t="s">
        <v>155</v>
      </c>
      <c r="B18" s="66" t="s">
        <v>249</v>
      </c>
      <c r="C18" s="66"/>
      <c r="D18" s="66"/>
      <c r="E18" s="66"/>
      <c r="F18" s="66"/>
      <c r="G18" s="67"/>
      <c r="H18" s="67"/>
      <c r="I18" s="66"/>
      <c r="J18" s="66"/>
      <c r="N18" s="68" t="s">
        <v>761</v>
      </c>
      <c r="O18" s="66"/>
      <c r="P18" s="409">
        <f>P17</f>
        <v>69</v>
      </c>
      <c r="Q18" s="409"/>
      <c r="R18" s="409"/>
      <c r="S18" s="409"/>
      <c r="T18" s="409"/>
      <c r="U18" s="409"/>
      <c r="V18" s="409">
        <f>IEA_WEO!CL102</f>
        <v>63.333333333333336</v>
      </c>
      <c r="W18" s="410">
        <f>IEA_WEO!CM102</f>
        <v>80.666666666666657</v>
      </c>
      <c r="Y18" s="47"/>
      <c r="Z18" s="47"/>
      <c r="AA18" s="47"/>
      <c r="AB18" s="47"/>
      <c r="AC18" s="47"/>
      <c r="AD18"/>
      <c r="AE18"/>
      <c r="AG18" s="29" t="s">
        <v>250</v>
      </c>
      <c r="AH18"/>
      <c r="AI18"/>
      <c r="AO18" s="30"/>
      <c r="AP18" s="30"/>
    </row>
    <row r="19" spans="1:43" ht="14.5" x14ac:dyDescent="0.35">
      <c r="A19" s="69" t="s">
        <v>251</v>
      </c>
      <c r="B19" s="52"/>
      <c r="C19" s="52"/>
      <c r="D19" s="52"/>
      <c r="E19" s="52"/>
      <c r="F19" s="52"/>
      <c r="G19" s="70"/>
      <c r="H19" s="70"/>
      <c r="I19" s="52"/>
      <c r="J19" s="52"/>
      <c r="Y19" s="47"/>
      <c r="Z19" s="47"/>
      <c r="AA19" s="47"/>
      <c r="AB19" s="47"/>
      <c r="AC19" s="47"/>
      <c r="AD19"/>
      <c r="AE19"/>
      <c r="AH19" s="28" t="str">
        <f>[8]Export!D5</f>
        <v>Oil Price (2015$/bbl)</v>
      </c>
      <c r="AO19" s="30"/>
      <c r="AP19" s="30"/>
    </row>
    <row r="20" spans="1:43" ht="14.5" x14ac:dyDescent="0.35">
      <c r="A20" s="71"/>
      <c r="C20" s="72"/>
      <c r="D20" s="72"/>
      <c r="G20" s="30" t="s">
        <v>252</v>
      </c>
      <c r="H20" s="30" t="s">
        <v>252</v>
      </c>
      <c r="J20" s="74"/>
      <c r="P20" s="75"/>
      <c r="Q20" s="75"/>
      <c r="R20" s="75"/>
      <c r="S20" s="75"/>
      <c r="T20" s="75"/>
      <c r="U20" s="75"/>
      <c r="V20" s="75"/>
      <c r="W20" s="75"/>
      <c r="X20"/>
      <c r="Y20"/>
      <c r="Z20"/>
      <c r="AA20"/>
      <c r="AB20"/>
      <c r="AC20"/>
      <c r="AD20"/>
      <c r="AE20"/>
      <c r="AH20" s="28">
        <f>[8]Export!D6</f>
        <v>2010</v>
      </c>
      <c r="AI20" s="28">
        <f>[8]Export!E6</f>
        <v>2015</v>
      </c>
      <c r="AJ20" s="28">
        <f>[8]Export!F6</f>
        <v>2020</v>
      </c>
      <c r="AK20" s="28">
        <f>[8]Export!G6</f>
        <v>2030</v>
      </c>
      <c r="AL20" s="28">
        <f>[8]Export!H6</f>
        <v>2050</v>
      </c>
      <c r="AO20" s="30"/>
      <c r="AP20" s="30"/>
    </row>
    <row r="21" spans="1:43" ht="14.5" x14ac:dyDescent="0.35">
      <c r="A21" s="71" t="s">
        <v>1055</v>
      </c>
      <c r="B21" s="76" t="s">
        <v>1050</v>
      </c>
      <c r="G21" s="77">
        <f>G15*G16</f>
        <v>1188.1835000000001</v>
      </c>
      <c r="H21" s="77">
        <f>H15*H16</f>
        <v>1225.854</v>
      </c>
      <c r="I21" s="77">
        <f>I15*I16</f>
        <v>1125.18</v>
      </c>
      <c r="J21" s="78">
        <f>J15*J16</f>
        <v>1433.1239999999998</v>
      </c>
      <c r="P21" s="75"/>
      <c r="Q21" s="75"/>
      <c r="R21" s="75"/>
      <c r="S21" s="75"/>
      <c r="T21" s="75"/>
      <c r="U21" s="75"/>
      <c r="V21" s="75"/>
      <c r="W21" s="75"/>
      <c r="X21"/>
      <c r="Y21"/>
      <c r="Z21"/>
      <c r="AA21"/>
      <c r="AB21"/>
      <c r="AC21"/>
      <c r="AD21"/>
      <c r="AE21"/>
      <c r="AG21" s="79">
        <f>[8]Export!C7</f>
        <v>0.05</v>
      </c>
      <c r="AH21" s="75">
        <f>[8]Export!D7</f>
        <v>84.76347793442072</v>
      </c>
      <c r="AI21" s="75">
        <f>[8]Export!E7</f>
        <v>51</v>
      </c>
      <c r="AJ21" s="75">
        <f>[8]Export!F7</f>
        <v>73.317017874156548</v>
      </c>
      <c r="AK21" s="75">
        <f>[8]Export!G7</f>
        <v>98.605353881111654</v>
      </c>
      <c r="AL21" s="75">
        <f>[8]Export!H7</f>
        <v>107.66021241145609</v>
      </c>
      <c r="AO21" s="30"/>
      <c r="AP21" s="30"/>
    </row>
    <row r="22" spans="1:43" ht="14.5" x14ac:dyDescent="0.35">
      <c r="A22" s="56" t="s">
        <v>203</v>
      </c>
      <c r="B22" s="57" t="s">
        <v>253</v>
      </c>
      <c r="C22" s="57"/>
      <c r="D22" s="57"/>
      <c r="E22"/>
      <c r="F22" s="30" t="str">
        <f>VLOOKUP(A22,FuelNames,2,FALSE)</f>
        <v>OCR</v>
      </c>
      <c r="G22" s="77">
        <f>G21*'Liq Fuel Prices'!$V$7</f>
        <v>196.45298120195667</v>
      </c>
      <c r="H22" s="77">
        <f>H21*'Liq Fuel Prices'!$V$7</f>
        <v>202.68138113207547</v>
      </c>
      <c r="I22" s="77">
        <f>I21*'Liq Fuel Prices'!$V$7</f>
        <v>186.03605031446543</v>
      </c>
      <c r="J22" s="78">
        <f>J21*'Liq Fuel Prices'!$V$7</f>
        <v>236.95117987421381</v>
      </c>
      <c r="O22"/>
      <c r="P22" s="75"/>
      <c r="Q22" s="75"/>
      <c r="R22" s="75"/>
      <c r="S22" s="75"/>
      <c r="T22" s="75"/>
      <c r="U22" s="75"/>
      <c r="V22" s="75"/>
      <c r="W22" s="75"/>
      <c r="X22"/>
      <c r="Y22"/>
      <c r="Z22"/>
      <c r="AA22"/>
      <c r="AB22"/>
      <c r="AC22"/>
      <c r="AD22"/>
      <c r="AE22"/>
      <c r="AG22" s="79">
        <f>[8]Export!C8</f>
        <v>0.25</v>
      </c>
      <c r="AH22" s="75">
        <f>[8]Export!D8</f>
        <v>84.76347793442072</v>
      </c>
      <c r="AI22" s="75">
        <f>[8]Export!E8</f>
        <v>51</v>
      </c>
      <c r="AJ22" s="75">
        <f>[8]Export!F8</f>
        <v>75.881960716452127</v>
      </c>
      <c r="AK22" s="75">
        <f>[8]Export!G8</f>
        <v>103.77027513658234</v>
      </c>
      <c r="AL22" s="75">
        <f>[8]Export!H8</f>
        <v>116.71930911569734</v>
      </c>
      <c r="AO22" s="30"/>
      <c r="AP22" s="30"/>
    </row>
    <row r="23" spans="1:43" ht="14.65" customHeight="1" x14ac:dyDescent="0.35">
      <c r="A23" s="80" t="s">
        <v>254</v>
      </c>
      <c r="B23" s="57" t="s">
        <v>1056</v>
      </c>
      <c r="C23" s="81"/>
      <c r="D23" s="81"/>
      <c r="E23" s="81"/>
      <c r="G23" s="82"/>
      <c r="H23" s="57">
        <f>H24*'Liq Fuel Prices'!$AC$9/1000</f>
        <v>9.3213201007950115</v>
      </c>
      <c r="I23" s="82"/>
      <c r="J23" s="83"/>
      <c r="P23" s="75"/>
      <c r="Q23" s="75"/>
      <c r="R23" s="75"/>
      <c r="S23" s="75"/>
      <c r="T23" s="75"/>
      <c r="U23" s="75"/>
      <c r="V23" s="75"/>
      <c r="W23" s="75"/>
      <c r="X23"/>
      <c r="Y23"/>
      <c r="Z23"/>
      <c r="AA23"/>
      <c r="AB23"/>
      <c r="AC23"/>
      <c r="AD23"/>
      <c r="AE23"/>
      <c r="AF23"/>
      <c r="AG23" s="79">
        <f>[8]Export!C9</f>
        <v>0.5</v>
      </c>
      <c r="AH23" s="75">
        <f>[8]Export!D9</f>
        <v>84.76347793442072</v>
      </c>
      <c r="AI23" s="75">
        <f>[8]Export!E9</f>
        <v>51</v>
      </c>
      <c r="AJ23" s="75">
        <f>[8]Export!F9</f>
        <v>78.619821053733901</v>
      </c>
      <c r="AK23" s="75">
        <f>[8]Export!G9</f>
        <v>107.433752652908</v>
      </c>
      <c r="AL23" s="75">
        <f>[8]Export!H9</f>
        <v>125.49232908190987</v>
      </c>
      <c r="AO23" s="30"/>
      <c r="AP23" s="30"/>
    </row>
    <row r="24" spans="1:43" ht="14.5" x14ac:dyDescent="0.35">
      <c r="A24" s="56" t="s">
        <v>205</v>
      </c>
      <c r="B24" s="57" t="s">
        <v>253</v>
      </c>
      <c r="C24" s="81"/>
      <c r="D24" s="81"/>
      <c r="E24" s="81"/>
      <c r="F24" s="30" t="str">
        <f>VLOOKUP(A24,FuelNames,2,FALSE)</f>
        <v>ODS</v>
      </c>
      <c r="G24" s="77">
        <f>(G21*'Liq Fuel Prices'!$X$7)+('Liq Fuel Prices'!$X$8*1.3)</f>
        <v>236.56389169057414</v>
      </c>
      <c r="H24" s="77">
        <f>H21*'Liq Fuel Prices'!$X$7+'Liq Fuel Prices'!$X$8</f>
        <v>244.65407088700817</v>
      </c>
      <c r="I24" s="77">
        <f>I21*'Liq Fuel Prices'!$X$7+'Liq Fuel Prices'!$X$8</f>
        <v>224.41968109431471</v>
      </c>
      <c r="J24" s="78">
        <f>J21*'Liq Fuel Prices'!$X$7+'Liq Fuel Prices'!$X$8</f>
        <v>286.31310869549469</v>
      </c>
      <c r="O24"/>
      <c r="P24" s="75"/>
      <c r="Q24" s="75"/>
      <c r="R24" s="75"/>
      <c r="S24" s="75"/>
      <c r="T24" s="75"/>
      <c r="U24" s="75"/>
      <c r="V24" s="75"/>
      <c r="W24" s="75"/>
      <c r="AF24" s="26"/>
      <c r="AG24" s="79">
        <f>[8]Export!C10</f>
        <v>0.75</v>
      </c>
      <c r="AH24" s="75">
        <f>[8]Export!D10</f>
        <v>84.76347793442072</v>
      </c>
      <c r="AI24" s="75">
        <f>[8]Export!E10</f>
        <v>51</v>
      </c>
      <c r="AJ24" s="75">
        <f>[8]Export!F10</f>
        <v>81.098305148536369</v>
      </c>
      <c r="AK24" s="75">
        <f>[8]Export!G10</f>
        <v>114.76296804497092</v>
      </c>
      <c r="AL24" s="75">
        <f>[8]Export!H10</f>
        <v>132.35817079459795</v>
      </c>
      <c r="AO24" s="30"/>
      <c r="AP24" s="30"/>
    </row>
    <row r="25" spans="1:43" ht="14.5" x14ac:dyDescent="0.35">
      <c r="A25" s="56" t="s">
        <v>211</v>
      </c>
      <c r="B25" s="57" t="s">
        <v>253</v>
      </c>
      <c r="C25" s="81"/>
      <c r="D25" s="81"/>
      <c r="E25" s="81"/>
      <c r="F25" s="30" t="str">
        <f>VLOOKUP(A25,FuelNames,2,FALSE)</f>
        <v>OKE</v>
      </c>
      <c r="G25" s="77">
        <f>G21*'Liq Fuel Prices'!$Y$7+'Liq Fuel Prices'!$Y$8</f>
        <v>243.45484454706207</v>
      </c>
      <c r="H25" s="77">
        <f>H21*'Liq Fuel Prices'!$Y$7+'Liq Fuel Prices'!$Y$8</f>
        <v>250.76740309449676</v>
      </c>
      <c r="I25" s="77">
        <f>I21*'Liq Fuel Prices'!$Y$7+'Liq Fuel Prices'!$Y$8</f>
        <v>231.22467020790273</v>
      </c>
      <c r="J25" s="78">
        <f>J21*'Liq Fuel Prices'!$Y$7+'Liq Fuel Prices'!$Y$8</f>
        <v>291.00244139042559</v>
      </c>
      <c r="O25"/>
      <c r="P25" s="77"/>
      <c r="Q25" s="77"/>
      <c r="R25" s="77"/>
      <c r="S25" s="77"/>
      <c r="T25" s="77"/>
      <c r="U25" s="77"/>
      <c r="AG25" s="79">
        <f>[8]Export!C11</f>
        <v>0.95</v>
      </c>
      <c r="AH25" s="75">
        <f>[8]Export!D11</f>
        <v>84.76347793442072</v>
      </c>
      <c r="AI25" s="75">
        <f>[8]Export!E11</f>
        <v>51</v>
      </c>
      <c r="AJ25" s="75">
        <f>[8]Export!F11</f>
        <v>84.210820058288292</v>
      </c>
      <c r="AK25" s="75">
        <f>[8]Export!G11</f>
        <v>126.81972514636294</v>
      </c>
      <c r="AL25" s="75">
        <f>[8]Export!H11</f>
        <v>141.25833597771214</v>
      </c>
      <c r="AO25" s="30"/>
      <c r="AP25" s="30"/>
    </row>
    <row r="26" spans="1:43" ht="14.5" x14ac:dyDescent="0.35">
      <c r="A26" s="56" t="s">
        <v>207</v>
      </c>
      <c r="B26" s="57" t="s">
        <v>253</v>
      </c>
      <c r="C26" s="81"/>
      <c r="D26" s="81"/>
      <c r="E26" s="81"/>
      <c r="F26" s="30" t="str">
        <f>VLOOKUP(A26,FuelNames,2,FALSE)</f>
        <v>OGS</v>
      </c>
      <c r="G26" s="77">
        <f>G21*'Liq Fuel Prices'!$W$7+'Liq Fuel Prices'!$W$8*1.3</f>
        <v>247.03405739193275</v>
      </c>
      <c r="H26" s="77">
        <f>H21*'Liq Fuel Prices'!$W$7+'Liq Fuel Prices'!$W$8</f>
        <v>253.06623635843414</v>
      </c>
      <c r="I26" s="77">
        <f>I21*'Liq Fuel Prices'!$W$7+'Liq Fuel Prices'!$W$8</f>
        <v>232.71621829347131</v>
      </c>
      <c r="J26" s="78">
        <f>J21*'Liq Fuel Prices'!$W$7+'Liq Fuel Prices'!$W$8</f>
        <v>294.96333237453405</v>
      </c>
      <c r="O26"/>
      <c r="P26" s="77"/>
      <c r="Q26" s="77"/>
      <c r="R26" s="77"/>
      <c r="S26" s="77"/>
      <c r="T26" s="77"/>
      <c r="U26" s="77"/>
      <c r="AG26" s="79"/>
      <c r="AH26" s="28" t="str">
        <f>[8]Export!D12</f>
        <v>LNG (2015$/MMBTU)</v>
      </c>
      <c r="AO26" s="30"/>
      <c r="AP26" s="30"/>
    </row>
    <row r="27" spans="1:43" ht="15" thickBot="1" x14ac:dyDescent="0.4">
      <c r="A27" s="56" t="s">
        <v>213</v>
      </c>
      <c r="B27" s="57" t="s">
        <v>253</v>
      </c>
      <c r="C27" s="81"/>
      <c r="D27" s="81"/>
      <c r="E27" s="81"/>
      <c r="F27" s="30" t="str">
        <f>VLOOKUP(A27,FuelNames,2,FALSE)</f>
        <v>OLP</v>
      </c>
      <c r="G27" s="77">
        <f>G21*'Liq Fuel Prices'!$Z$7+'Liq Fuel Prices'!$Z$8</f>
        <v>376.62224144497708</v>
      </c>
      <c r="H27" s="77">
        <f>H21*'Liq Fuel Prices'!$Z$7+'Liq Fuel Prices'!$Z$8</f>
        <v>382.94989907290471</v>
      </c>
      <c r="I27" s="77">
        <f>I21*'Liq Fuel Prices'!$Z$7+'Liq Fuel Prices'!$Z$8</f>
        <v>366.03930314149977</v>
      </c>
      <c r="J27" s="78">
        <f>J21*'Liq Fuel Prices'!$Z$7+'Liq Fuel Prices'!$Z$8</f>
        <v>417.76583187285604</v>
      </c>
      <c r="O27"/>
      <c r="P27" s="28" t="s">
        <v>255</v>
      </c>
      <c r="AG27" s="79"/>
      <c r="AH27" s="28">
        <f>[8]Export!D13</f>
        <v>2010</v>
      </c>
      <c r="AI27" s="28">
        <f>[8]Export!E13</f>
        <v>2015</v>
      </c>
      <c r="AJ27" s="28">
        <f>[8]Export!F13</f>
        <v>2020</v>
      </c>
      <c r="AK27" s="28">
        <f>[8]Export!G13</f>
        <v>2030</v>
      </c>
      <c r="AL27" s="28">
        <f>[8]Export!H13</f>
        <v>2050</v>
      </c>
      <c r="AM27" s="28">
        <f>AH27</f>
        <v>2010</v>
      </c>
      <c r="AN27" s="28">
        <f>AI27</f>
        <v>2015</v>
      </c>
      <c r="AO27" s="28">
        <f>AJ27</f>
        <v>2020</v>
      </c>
      <c r="AP27" s="28">
        <f>AK27</f>
        <v>2030</v>
      </c>
      <c r="AQ27" s="28">
        <f>AL27</f>
        <v>2050</v>
      </c>
    </row>
    <row r="28" spans="1:43" ht="15.5" thickBot="1" x14ac:dyDescent="0.4">
      <c r="A28" s="56" t="s">
        <v>209</v>
      </c>
      <c r="B28" s="57" t="s">
        <v>253</v>
      </c>
      <c r="C28" s="81"/>
      <c r="D28" s="81"/>
      <c r="E28" s="81"/>
      <c r="F28" s="30" t="str">
        <f>VLOOKUP(A28,FuelNames,2,FALSE)</f>
        <v>OHF</v>
      </c>
      <c r="G28" s="77">
        <f>G22</f>
        <v>196.45298120195667</v>
      </c>
      <c r="H28" s="77">
        <f>H22</f>
        <v>202.68138113207547</v>
      </c>
      <c r="I28" s="77">
        <f>I22</f>
        <v>186.03605031446543</v>
      </c>
      <c r="J28" s="78">
        <f>J22</f>
        <v>236.95117987421381</v>
      </c>
      <c r="O28"/>
      <c r="P28" s="84"/>
      <c r="Q28" s="413"/>
      <c r="R28" s="413"/>
      <c r="S28" s="413"/>
      <c r="T28" s="413"/>
      <c r="U28" s="413"/>
      <c r="V28" s="85" t="s">
        <v>256</v>
      </c>
      <c r="W28" s="86"/>
      <c r="Y28" s="87" t="s">
        <v>257</v>
      </c>
      <c r="Z28" s="417"/>
      <c r="AA28" s="88"/>
      <c r="AB28" s="86"/>
      <c r="AC28" s="85" t="s">
        <v>258</v>
      </c>
      <c r="AD28" s="86"/>
      <c r="AG28" s="79">
        <f>[8]Export!C14</f>
        <v>0.05</v>
      </c>
      <c r="AH28" s="75">
        <f>[8]Export!D14</f>
        <v>8.1503344167712228</v>
      </c>
      <c r="AI28" s="75">
        <f>[8]Export!E14</f>
        <v>8.1503344167712228</v>
      </c>
      <c r="AJ28" s="75">
        <f>[8]Export!F14</f>
        <v>8.3428147519412956</v>
      </c>
      <c r="AK28" s="75">
        <f>[8]Export!G14</f>
        <v>9.8008280757574973</v>
      </c>
      <c r="AL28" s="75">
        <f>[8]Export!H14</f>
        <v>10.64026158109483</v>
      </c>
      <c r="AM28" s="89">
        <f t="shared" ref="AM28:AQ32" si="5">AH28/AH21</f>
        <v>9.6153846153846145E-2</v>
      </c>
      <c r="AN28" s="89">
        <f t="shared" si="5"/>
        <v>0.15981047876022006</v>
      </c>
      <c r="AO28" s="89">
        <f t="shared" si="5"/>
        <v>0.11379097232597682</v>
      </c>
      <c r="AP28" s="89">
        <f t="shared" si="5"/>
        <v>9.9394482043787827E-2</v>
      </c>
      <c r="AQ28" s="89">
        <f t="shared" si="5"/>
        <v>9.883188359716262E-2</v>
      </c>
    </row>
    <row r="29" spans="1:43" ht="15" thickBot="1" x14ac:dyDescent="0.4">
      <c r="A29" s="80" t="s">
        <v>259</v>
      </c>
      <c r="B29" s="57" t="s">
        <v>1056</v>
      </c>
      <c r="C29" s="57"/>
      <c r="D29" s="57"/>
      <c r="E29"/>
      <c r="F29" s="30"/>
      <c r="G29" s="77"/>
      <c r="H29" s="403">
        <f>H30*'Liq Fuel Prices'!$AC$9/1000</f>
        <v>18.277098236852964</v>
      </c>
      <c r="I29" s="77"/>
      <c r="J29" s="78"/>
      <c r="O29"/>
      <c r="P29" s="90" t="s">
        <v>252</v>
      </c>
      <c r="Q29" s="414"/>
      <c r="R29" s="414"/>
      <c r="S29" s="414"/>
      <c r="T29" s="414"/>
      <c r="U29" s="414"/>
      <c r="V29" s="91" t="s">
        <v>260</v>
      </c>
      <c r="W29" s="92" t="s">
        <v>261</v>
      </c>
      <c r="X29" s="92" t="s">
        <v>262</v>
      </c>
      <c r="Y29" s="92" t="s">
        <v>263</v>
      </c>
      <c r="Z29" s="92"/>
      <c r="AA29" s="92" t="s">
        <v>264</v>
      </c>
      <c r="AB29" s="92" t="s">
        <v>265</v>
      </c>
      <c r="AC29" s="92" t="s">
        <v>264</v>
      </c>
      <c r="AD29" s="92" t="s">
        <v>265</v>
      </c>
      <c r="AG29" s="79">
        <f>[8]Export!C15</f>
        <v>0.25</v>
      </c>
      <c r="AH29" s="75">
        <f>[8]Export!D15</f>
        <v>8.1503344167712228</v>
      </c>
      <c r="AI29" s="75">
        <f>[8]Export!E15</f>
        <v>8.1503344167712228</v>
      </c>
      <c r="AJ29" s="75">
        <f>[8]Export!F15</f>
        <v>8.6297778388377875</v>
      </c>
      <c r="AK29" s="75">
        <f>[8]Export!G15</f>
        <v>10.297404179962657</v>
      </c>
      <c r="AL29" s="75">
        <f>[8]Export!H15</f>
        <v>11.434919186730026</v>
      </c>
      <c r="AM29" s="89">
        <f t="shared" si="5"/>
        <v>9.6153846153846145E-2</v>
      </c>
      <c r="AN29" s="89">
        <f t="shared" si="5"/>
        <v>0.15981047876022006</v>
      </c>
      <c r="AO29" s="89">
        <f t="shared" si="5"/>
        <v>0.1137263423000448</v>
      </c>
      <c r="AP29" s="89">
        <f t="shared" si="5"/>
        <v>9.9232696130074072E-2</v>
      </c>
      <c r="AQ29" s="89">
        <f t="shared" si="5"/>
        <v>9.7969387185073448E-2</v>
      </c>
    </row>
    <row r="30" spans="1:43" ht="15" thickBot="1" x14ac:dyDescent="0.4">
      <c r="A30" s="56" t="str">
        <f>A24</f>
        <v>Oil Diesel</v>
      </c>
      <c r="B30" t="s">
        <v>253</v>
      </c>
      <c r="C30" s="57"/>
      <c r="D30" s="57"/>
      <c r="E30"/>
      <c r="F30" s="30" t="str">
        <f>"xxx"&amp;F24</f>
        <v>xxxODS</v>
      </c>
      <c r="G30" s="77">
        <f>G24/0.51</f>
        <v>463.8507680207336</v>
      </c>
      <c r="H30" s="77">
        <f>H24/0.51</f>
        <v>479.71386448432975</v>
      </c>
      <c r="I30" s="77">
        <f t="shared" ref="I30:J32" si="6">I24/0.51</f>
        <v>440.03859038100921</v>
      </c>
      <c r="J30" s="77">
        <f t="shared" si="6"/>
        <v>561.39825234410728</v>
      </c>
      <c r="O30"/>
      <c r="P30" s="90" t="s">
        <v>266</v>
      </c>
      <c r="Q30" s="414"/>
      <c r="R30" s="414"/>
      <c r="S30" s="414"/>
      <c r="T30" s="414"/>
      <c r="U30" s="414"/>
      <c r="V30" s="93" t="s">
        <v>267</v>
      </c>
      <c r="W30" s="94" t="s">
        <v>268</v>
      </c>
      <c r="X30" s="94" t="s">
        <v>269</v>
      </c>
      <c r="Y30" s="94" t="s">
        <v>270</v>
      </c>
      <c r="Z30" s="94"/>
      <c r="AA30" s="94" t="s">
        <v>271</v>
      </c>
      <c r="AB30" s="94" t="s">
        <v>271</v>
      </c>
      <c r="AC30" s="94" t="s">
        <v>272</v>
      </c>
      <c r="AD30" s="94" t="s">
        <v>272</v>
      </c>
      <c r="AG30" s="79">
        <f>[8]Export!C16</f>
        <v>0.5</v>
      </c>
      <c r="AH30" s="75">
        <f>[8]Export!D16</f>
        <v>8.1503344167712228</v>
      </c>
      <c r="AI30" s="75">
        <f>[8]Export!E16</f>
        <v>8.1503344167712228</v>
      </c>
      <c r="AJ30" s="75">
        <f>[8]Export!F16</f>
        <v>9.0140661065885528</v>
      </c>
      <c r="AK30" s="75">
        <f>[8]Export!G16</f>
        <v>10.959143415150999</v>
      </c>
      <c r="AL30" s="75">
        <f>[8]Export!H16</f>
        <v>12.559665336244453</v>
      </c>
      <c r="AM30" s="89">
        <f t="shared" si="5"/>
        <v>9.6153846153846145E-2</v>
      </c>
      <c r="AN30" s="89">
        <f t="shared" si="5"/>
        <v>0.15981047876022006</v>
      </c>
      <c r="AO30" s="89">
        <f t="shared" si="5"/>
        <v>0.11465386191133345</v>
      </c>
      <c r="AP30" s="89">
        <f t="shared" si="5"/>
        <v>0.10200838325509576</v>
      </c>
      <c r="AQ30" s="89">
        <f t="shared" si="5"/>
        <v>0.10008313199802561</v>
      </c>
    </row>
    <row r="31" spans="1:43" ht="15" thickBot="1" x14ac:dyDescent="0.4">
      <c r="A31" s="56" t="str">
        <f>A25</f>
        <v>Oil Kerosene</v>
      </c>
      <c r="B31" t="s">
        <v>253</v>
      </c>
      <c r="C31" s="57"/>
      <c r="D31" s="57"/>
      <c r="E31"/>
      <c r="F31" s="30" t="str">
        <f>"xxx"&amp;F25</f>
        <v>xxxOKE</v>
      </c>
      <c r="G31" s="77">
        <f>G25*'Liq Fuel Prices'!$Y$15+'Liq Fuel Prices'!$Y$16</f>
        <v>274.98999134210584</v>
      </c>
      <c r="H31" s="77">
        <f>H25*'Liq Fuel Prices'!$Y$15+'Liq Fuel Prices'!$Y$16</f>
        <v>282.80673850172928</v>
      </c>
      <c r="I31" s="77">
        <f>I25*'Liq Fuel Prices'!$Y$15+'Liq Fuel Prices'!$Y$16</f>
        <v>261.91656705330325</v>
      </c>
      <c r="J31" s="78">
        <f>J25*'Liq Fuel Prices'!$Y$15+'Liq Fuel Prices'!$Y$16</f>
        <v>325.81591501319468</v>
      </c>
      <c r="O31"/>
      <c r="P31" s="90" t="s">
        <v>273</v>
      </c>
      <c r="Q31" s="414"/>
      <c r="R31" s="414"/>
      <c r="S31" s="414"/>
      <c r="T31" s="414"/>
      <c r="U31" s="414"/>
      <c r="V31" s="93" t="s">
        <v>274</v>
      </c>
      <c r="W31" s="94" t="s">
        <v>274</v>
      </c>
      <c r="X31" s="94" t="s">
        <v>274</v>
      </c>
      <c r="Y31" s="94" t="s">
        <v>274</v>
      </c>
      <c r="Z31" s="94"/>
      <c r="AA31" s="94" t="s">
        <v>275</v>
      </c>
      <c r="AB31" s="94" t="s">
        <v>275</v>
      </c>
      <c r="AC31" s="94" t="s">
        <v>276</v>
      </c>
      <c r="AD31" s="94" t="s">
        <v>276</v>
      </c>
      <c r="AG31" s="79">
        <f>[8]Export!C17</f>
        <v>0.75</v>
      </c>
      <c r="AH31" s="75">
        <f>[8]Export!D17</f>
        <v>8.1503344167712228</v>
      </c>
      <c r="AI31" s="75">
        <f>[8]Export!E17</f>
        <v>8.1503344167712228</v>
      </c>
      <c r="AJ31" s="75">
        <f>[8]Export!F17</f>
        <v>9.7554918405642095</v>
      </c>
      <c r="AK31" s="75">
        <f>[8]Export!G17</f>
        <v>11.953450254270349</v>
      </c>
      <c r="AL31" s="75">
        <f>[8]Export!H17</f>
        <v>14.283461065391567</v>
      </c>
      <c r="AM31" s="89">
        <f t="shared" si="5"/>
        <v>9.6153846153846145E-2</v>
      </c>
      <c r="AN31" s="89">
        <f t="shared" si="5"/>
        <v>0.15981047876022006</v>
      </c>
      <c r="AO31" s="89">
        <f t="shared" si="5"/>
        <v>0.1202921790128221</v>
      </c>
      <c r="AP31" s="89">
        <f t="shared" si="5"/>
        <v>0.104157730127599</v>
      </c>
      <c r="AQ31" s="89">
        <f t="shared" si="5"/>
        <v>0.10791521958668931</v>
      </c>
    </row>
    <row r="32" spans="1:43" ht="15" thickBot="1" x14ac:dyDescent="0.4">
      <c r="A32" s="56" t="str">
        <f>A26</f>
        <v>Oil Gasoline</v>
      </c>
      <c r="B32" t="s">
        <v>253</v>
      </c>
      <c r="C32" s="57"/>
      <c r="D32" s="57"/>
      <c r="E32"/>
      <c r="F32" s="30" t="str">
        <f>"xxx"&amp;F26</f>
        <v>xxxOGS</v>
      </c>
      <c r="G32" s="77">
        <f>G26/0.51</f>
        <v>484.38050469006419</v>
      </c>
      <c r="H32" s="77">
        <f>H26/0.51</f>
        <v>496.20830658516496</v>
      </c>
      <c r="I32" s="77">
        <f t="shared" si="6"/>
        <v>456.30631037935552</v>
      </c>
      <c r="J32" s="77">
        <f t="shared" si="6"/>
        <v>578.35947524418441</v>
      </c>
      <c r="O32"/>
      <c r="P32" s="90" t="s">
        <v>277</v>
      </c>
      <c r="Q32" s="414"/>
      <c r="R32" s="414"/>
      <c r="S32" s="414"/>
      <c r="T32" s="414"/>
      <c r="U32" s="414"/>
      <c r="V32" s="93" t="s">
        <v>278</v>
      </c>
      <c r="W32" s="94" t="s">
        <v>279</v>
      </c>
      <c r="X32" s="94" t="s">
        <v>280</v>
      </c>
      <c r="Y32" s="94" t="s">
        <v>270</v>
      </c>
      <c r="Z32" s="94"/>
      <c r="AA32" s="94" t="s">
        <v>281</v>
      </c>
      <c r="AB32" s="94" t="s">
        <v>282</v>
      </c>
      <c r="AC32" s="94" t="s">
        <v>281</v>
      </c>
      <c r="AD32" s="94" t="s">
        <v>282</v>
      </c>
      <c r="AG32" s="79">
        <f>[8]Export!C18</f>
        <v>0.95</v>
      </c>
      <c r="AH32" s="75">
        <f>[8]Export!D18</f>
        <v>8.1503344167712228</v>
      </c>
      <c r="AI32" s="75">
        <f>[8]Export!E18</f>
        <v>8.1503344167712228</v>
      </c>
      <c r="AJ32" s="75">
        <f>[8]Export!F18</f>
        <v>10.091744074846128</v>
      </c>
      <c r="AK32" s="75">
        <f>[8]Export!G18</f>
        <v>12.855473233969482</v>
      </c>
      <c r="AL32" s="75">
        <f>[8]Export!H18</f>
        <v>15.974655456871597</v>
      </c>
      <c r="AM32" s="89">
        <f t="shared" si="5"/>
        <v>9.6153846153846145E-2</v>
      </c>
      <c r="AN32" s="89">
        <f t="shared" si="5"/>
        <v>0.15981047876022006</v>
      </c>
      <c r="AO32" s="89">
        <f t="shared" si="5"/>
        <v>0.11983904286718636</v>
      </c>
      <c r="AP32" s="89">
        <f t="shared" si="5"/>
        <v>0.10136808938146609</v>
      </c>
      <c r="AQ32" s="89">
        <f t="shared" si="5"/>
        <v>0.11308823190011308</v>
      </c>
    </row>
    <row r="33" spans="1:50" ht="15" thickBot="1" x14ac:dyDescent="0.4">
      <c r="A33" s="56" t="str">
        <f>A27</f>
        <v>Oil LPG</v>
      </c>
      <c r="B33" t="s">
        <v>253</v>
      </c>
      <c r="C33" s="57"/>
      <c r="D33" s="57"/>
      <c r="E33"/>
      <c r="F33" s="30" t="str">
        <f>"xxx"&amp;F27</f>
        <v>xxxOLP</v>
      </c>
      <c r="G33" s="77">
        <f>G27*'Liq Fuel Prices'!$Z$15+'Liq Fuel Prices'!$Z$16</f>
        <v>543.84647647769111</v>
      </c>
      <c r="H33" s="77">
        <f>H27*'Liq Fuel Prices'!$Z$15+'Liq Fuel Prices'!$Z$16</f>
        <v>552.13883380512175</v>
      </c>
      <c r="I33" s="77">
        <f>I27*'Liq Fuel Prices'!$Z$15+'Liq Fuel Prices'!$Z$16</f>
        <v>529.97759937548165</v>
      </c>
      <c r="J33" s="78">
        <f>J27*'Liq Fuel Prices'!$Z$15+'Liq Fuel Prices'!$Z$16</f>
        <v>597.76490468967506</v>
      </c>
      <c r="O33"/>
      <c r="P33" s="90" t="s">
        <v>283</v>
      </c>
      <c r="Q33" s="414"/>
      <c r="R33" s="414"/>
      <c r="S33" s="414"/>
      <c r="T33" s="414"/>
      <c r="U33" s="414"/>
      <c r="V33" s="93" t="s">
        <v>284</v>
      </c>
      <c r="W33" s="94" t="s">
        <v>285</v>
      </c>
      <c r="X33" s="94" t="s">
        <v>286</v>
      </c>
      <c r="Y33" s="94" t="s">
        <v>287</v>
      </c>
      <c r="Z33" s="94"/>
      <c r="AA33" s="94" t="s">
        <v>288</v>
      </c>
      <c r="AB33" s="94" t="s">
        <v>289</v>
      </c>
      <c r="AC33" s="94" t="s">
        <v>290</v>
      </c>
      <c r="AD33" s="94" t="s">
        <v>291</v>
      </c>
      <c r="AG33" s="79"/>
      <c r="AH33" s="28" t="str">
        <f>[8]Export!D19</f>
        <v>Shale(2015$/MMBTU)</v>
      </c>
      <c r="AO33" s="30"/>
      <c r="AP33" s="30"/>
    </row>
    <row r="34" spans="1:50" ht="13.5" customHeight="1" thickBot="1" x14ac:dyDescent="0.4">
      <c r="A34" s="65" t="str">
        <f>A28</f>
        <v>Oil HFO</v>
      </c>
      <c r="B34" s="95" t="s">
        <v>253</v>
      </c>
      <c r="C34" s="96"/>
      <c r="D34" s="96"/>
      <c r="E34" s="95"/>
      <c r="F34" s="67" t="str">
        <f>"xxx"&amp;F28</f>
        <v>xxxOHF</v>
      </c>
      <c r="G34" s="97">
        <f>G22</f>
        <v>196.45298120195667</v>
      </c>
      <c r="H34" s="97">
        <f>H22</f>
        <v>202.68138113207547</v>
      </c>
      <c r="I34" s="97">
        <f>I22</f>
        <v>186.03605031446543</v>
      </c>
      <c r="J34" s="98">
        <f>J22</f>
        <v>236.95117987421381</v>
      </c>
      <c r="P34"/>
      <c r="Q34"/>
      <c r="R34"/>
      <c r="S34"/>
      <c r="T34"/>
      <c r="U34"/>
      <c r="W34"/>
      <c r="AG34" s="79"/>
      <c r="AH34" s="28">
        <f>[8]Export!D20</f>
        <v>2010</v>
      </c>
      <c r="AI34" s="28">
        <f>[8]Export!E20</f>
        <v>2015</v>
      </c>
      <c r="AJ34" s="28">
        <f>[8]Export!F20</f>
        <v>2020</v>
      </c>
      <c r="AK34" s="28">
        <f>[8]Export!G20</f>
        <v>2030</v>
      </c>
      <c r="AL34" s="28">
        <f>[8]Export!H20</f>
        <v>2050</v>
      </c>
      <c r="AM34" s="28">
        <f>AH34</f>
        <v>2010</v>
      </c>
      <c r="AN34" s="28">
        <f>AI34</f>
        <v>2015</v>
      </c>
      <c r="AO34" s="28">
        <f>AJ34</f>
        <v>2020</v>
      </c>
      <c r="AP34" s="28">
        <f>AK34</f>
        <v>2030</v>
      </c>
      <c r="AQ34" s="28">
        <f>AL34</f>
        <v>2050</v>
      </c>
    </row>
    <row r="35" spans="1:50" ht="13.5" customHeight="1" thickBot="1" x14ac:dyDescent="0.4">
      <c r="C35" s="30"/>
      <c r="D35" s="30"/>
      <c r="E35" s="99" t="s">
        <v>292</v>
      </c>
      <c r="P35" s="100" t="s">
        <v>293</v>
      </c>
      <c r="Q35" s="100"/>
      <c r="R35" s="100"/>
      <c r="S35" s="100"/>
      <c r="T35" s="100"/>
      <c r="U35" s="100"/>
      <c r="V35" s="100"/>
      <c r="W35" s="100"/>
      <c r="X35" s="100"/>
      <c r="Y35" s="100"/>
      <c r="Z35" s="101"/>
      <c r="AA35" s="101"/>
      <c r="AC35" s="102" t="s">
        <v>2</v>
      </c>
      <c r="AG35" s="79">
        <f>[8]Export!C21</f>
        <v>0.05</v>
      </c>
      <c r="AH35" s="75">
        <f>[8]Export!D21</f>
        <v>8.0869454986247469</v>
      </c>
      <c r="AI35" s="75">
        <f>[8]Export!E21</f>
        <v>6.7049296712283812</v>
      </c>
      <c r="AJ35" s="75">
        <f>[8]Export!F21</f>
        <v>4.7692975220111435</v>
      </c>
      <c r="AK35" s="75">
        <f>[8]Export!G21</f>
        <v>4.9613919398112687</v>
      </c>
      <c r="AL35" s="75">
        <f>[8]Export!H21</f>
        <v>4.5057574706483354</v>
      </c>
      <c r="AM35" s="103">
        <f>AH35/AH21</f>
        <v>9.5406013246429139E-2</v>
      </c>
      <c r="AN35" s="103">
        <f t="shared" ref="AN35:AQ39" si="7">AI35/AI21</f>
        <v>0.13146920923977218</v>
      </c>
      <c r="AO35" s="103">
        <f t="shared" si="7"/>
        <v>6.5050347931462568E-2</v>
      </c>
      <c r="AP35" s="103">
        <f t="shared" si="7"/>
        <v>5.0315644582475838E-2</v>
      </c>
      <c r="AQ35" s="103">
        <f t="shared" si="7"/>
        <v>4.1851649460138717E-2</v>
      </c>
    </row>
    <row r="36" spans="1:50" ht="13.5" customHeight="1" x14ac:dyDescent="0.35">
      <c r="A36" s="29" t="s">
        <v>294</v>
      </c>
      <c r="C36" s="30"/>
      <c r="D36" s="30"/>
      <c r="E36" s="60" t="str">
        <f>E16</f>
        <v>Stated Policies</v>
      </c>
      <c r="G36" s="30"/>
      <c r="H36" s="30"/>
      <c r="K36" s="28" t="s">
        <v>296</v>
      </c>
      <c r="P36" s="104" t="s">
        <v>297</v>
      </c>
      <c r="Q36" s="222"/>
      <c r="R36" s="222"/>
      <c r="S36" s="222"/>
      <c r="T36" s="222"/>
      <c r="U36" s="222"/>
      <c r="V36" s="52" t="s">
        <v>298</v>
      </c>
      <c r="W36" s="52" t="s">
        <v>299</v>
      </c>
      <c r="X36" s="105" t="str">
        <f>N16</f>
        <v>Net Zero</v>
      </c>
      <c r="Y36" s="52" t="str">
        <f>N17</f>
        <v>Announced Pledges</v>
      </c>
      <c r="Z36" s="52"/>
      <c r="AA36" s="52" t="str">
        <f>N18</f>
        <v>Stated Policies</v>
      </c>
      <c r="AB36" s="28" t="s">
        <v>295</v>
      </c>
      <c r="AC36" s="106"/>
      <c r="AG36" s="79">
        <f>[8]Export!C22</f>
        <v>0.25</v>
      </c>
      <c r="AH36" s="75">
        <f>[8]Export!D22</f>
        <v>8.1465330338997113</v>
      </c>
      <c r="AI36" s="75">
        <f>[8]Export!E22</f>
        <v>8.2025938686525883</v>
      </c>
      <c r="AJ36" s="75">
        <f>[8]Export!F22</f>
        <v>7.3517748968881653</v>
      </c>
      <c r="AK36" s="75">
        <f>[8]Export!G22</f>
        <v>8.120572408201209</v>
      </c>
      <c r="AL36" s="75">
        <f>[8]Export!H22</f>
        <v>7.4201738278995295</v>
      </c>
      <c r="AM36" s="103">
        <f>AH36/AH22</f>
        <v>9.6108999210750529E-2</v>
      </c>
      <c r="AN36" s="103">
        <f t="shared" si="7"/>
        <v>0.16083517389514879</v>
      </c>
      <c r="AO36" s="103">
        <f t="shared" si="7"/>
        <v>9.6884356011299161E-2</v>
      </c>
      <c r="AP36" s="103">
        <f t="shared" si="7"/>
        <v>7.8255284545722933E-2</v>
      </c>
      <c r="AQ36" s="103">
        <f t="shared" si="7"/>
        <v>6.3572804569502081E-2</v>
      </c>
    </row>
    <row r="37" spans="1:50" ht="13.5" customHeight="1" x14ac:dyDescent="0.35">
      <c r="A37" s="107" t="str">
        <f>NameConv!B25</f>
        <v>Gas Indigenous Ibhubezi</v>
      </c>
      <c r="C37" s="30" t="str">
        <f>B68</f>
        <v>MINGIB</v>
      </c>
      <c r="D37" s="30"/>
      <c r="E37" s="30" t="str">
        <f>VLOOKUP(A37,FuelNames,2,FALSE)</f>
        <v>GIB</v>
      </c>
      <c r="F37" s="108">
        <f t="shared" ref="F37:F42" si="8">SUMIF($P$36:$AB$36,$E$36,P37:AB37)</f>
        <v>0.10454194041570421</v>
      </c>
      <c r="G37" s="45">
        <f t="shared" ref="G37:G42" si="9">($F37*G$16+$AC37)*G$15/1.055</f>
        <v>117.73934470134871</v>
      </c>
      <c r="H37" s="45">
        <f t="shared" ref="H37:J42" si="10">IF($K37,($F37*H$16+$AC37)*H$15/1.055,G37)</f>
        <v>121.47218561739591</v>
      </c>
      <c r="I37" s="45">
        <f t="shared" si="10"/>
        <v>111.49620902079818</v>
      </c>
      <c r="J37" s="45">
        <f t="shared" si="10"/>
        <v>142.01096096333239</v>
      </c>
      <c r="K37" s="109">
        <v>1</v>
      </c>
      <c r="P37" s="110">
        <v>7.0000000000000007E-2</v>
      </c>
      <c r="Q37" s="415"/>
      <c r="R37" s="415"/>
      <c r="S37" s="415"/>
      <c r="T37" s="415"/>
      <c r="U37" s="415"/>
      <c r="V37" s="89">
        <f>(P37+W37)/2</f>
        <v>9.5000000000000001E-2</v>
      </c>
      <c r="W37" s="111">
        <v>0.12</v>
      </c>
      <c r="X37" s="112">
        <f t="shared" ref="X37:Y40" si="11">$AB37</f>
        <v>0.10454194041570421</v>
      </c>
      <c r="Y37" s="112">
        <f t="shared" si="11"/>
        <v>0.10454194041570421</v>
      </c>
      <c r="Z37" s="112"/>
      <c r="AA37" s="112">
        <f>$AB37</f>
        <v>0.10454194041570421</v>
      </c>
      <c r="AB37" s="89">
        <f>$AB$41-1%</f>
        <v>0.10454194041570421</v>
      </c>
      <c r="AC37" s="106"/>
      <c r="AG37" s="79">
        <f>[8]Export!C23</f>
        <v>0.5</v>
      </c>
      <c r="AH37" s="75">
        <f>[8]Export!D23</f>
        <v>8.1881379396328526</v>
      </c>
      <c r="AI37" s="75">
        <f>[8]Export!E23</f>
        <v>9.39276444788484</v>
      </c>
      <c r="AJ37" s="75">
        <f>[8]Export!F23</f>
        <v>10.773557760174372</v>
      </c>
      <c r="AK37" s="75">
        <f>[8]Export!G23</f>
        <v>10.8172157152895</v>
      </c>
      <c r="AL37" s="75">
        <f>[8]Export!H23</f>
        <v>10.88496798036755</v>
      </c>
      <c r="AM37" s="103">
        <f>AH37/AH23</f>
        <v>9.659983449437741E-2</v>
      </c>
      <c r="AN37" s="103">
        <f t="shared" si="7"/>
        <v>0.1841718519193106</v>
      </c>
      <c r="AO37" s="103">
        <f t="shared" si="7"/>
        <v>0.13703360826541466</v>
      </c>
      <c r="AP37" s="89">
        <f t="shared" si="7"/>
        <v>0.10068731146567374</v>
      </c>
      <c r="AQ37" s="103">
        <f t="shared" si="7"/>
        <v>8.673811427360506E-2</v>
      </c>
    </row>
    <row r="38" spans="1:50" ht="13.5" customHeight="1" x14ac:dyDescent="0.35">
      <c r="A38" t="s">
        <v>300</v>
      </c>
      <c r="C38" s="30" t="str">
        <f>B69</f>
        <v>MINGAS</v>
      </c>
      <c r="D38" s="30"/>
      <c r="E38" s="30" t="s">
        <v>170</v>
      </c>
      <c r="F38" s="108">
        <f t="shared" si="8"/>
        <v>9.4541940415704198E-2</v>
      </c>
      <c r="G38" s="45">
        <f t="shared" si="9"/>
        <v>106.47694185774681</v>
      </c>
      <c r="H38" s="45">
        <f t="shared" si="10"/>
        <v>106.47694185774681</v>
      </c>
      <c r="I38" s="45">
        <f t="shared" si="10"/>
        <v>106.47694185774681</v>
      </c>
      <c r="J38" s="45">
        <f t="shared" si="10"/>
        <v>106.47694185774681</v>
      </c>
      <c r="K38" s="109">
        <v>0</v>
      </c>
      <c r="P38" s="110">
        <v>7.0000000000000007E-2</v>
      </c>
      <c r="Q38" s="415"/>
      <c r="R38" s="415"/>
      <c r="S38" s="415"/>
      <c r="T38" s="415"/>
      <c r="U38" s="415"/>
      <c r="V38" s="89">
        <f>(P38+W38)/2</f>
        <v>8.5000000000000006E-2</v>
      </c>
      <c r="W38" s="113">
        <v>0.1</v>
      </c>
      <c r="X38" s="112">
        <f t="shared" si="11"/>
        <v>9.4541940415704198E-2</v>
      </c>
      <c r="Y38" s="112">
        <f t="shared" si="11"/>
        <v>9.4541940415704198E-2</v>
      </c>
      <c r="Z38" s="112"/>
      <c r="AA38" s="112">
        <f>$AB38</f>
        <v>9.4541940415704198E-2</v>
      </c>
      <c r="AB38" s="89">
        <f>AB41-2%</f>
        <v>9.4541940415704198E-2</v>
      </c>
      <c r="AC38" s="106"/>
      <c r="AG38" s="79">
        <f>[8]Export!C24</f>
        <v>0.75</v>
      </c>
      <c r="AH38" s="75">
        <f>[8]Export!D24</f>
        <v>8.2301326312875958</v>
      </c>
      <c r="AI38" s="75">
        <f>[8]Export!E24</f>
        <v>10.507400823250775</v>
      </c>
      <c r="AJ38" s="75">
        <f>[8]Export!F24</f>
        <v>14.3817212159371</v>
      </c>
      <c r="AK38" s="75">
        <f>[8]Export!G24</f>
        <v>13.406527739419724</v>
      </c>
      <c r="AL38" s="75">
        <f>[8]Export!H24</f>
        <v>13.997003925763375</v>
      </c>
      <c r="AM38" s="103">
        <f>AH38/AH24</f>
        <v>9.7095268290607814E-2</v>
      </c>
      <c r="AN38" s="103">
        <f t="shared" si="7"/>
        <v>0.2060274671225642</v>
      </c>
      <c r="AO38" s="103">
        <f t="shared" si="7"/>
        <v>0.17733688995837979</v>
      </c>
      <c r="AP38" s="103">
        <f t="shared" si="7"/>
        <v>0.11681928384917907</v>
      </c>
      <c r="AQ38" s="103">
        <f t="shared" si="7"/>
        <v>0.10575096226952878</v>
      </c>
    </row>
    <row r="39" spans="1:50" ht="13.5" customHeight="1" x14ac:dyDescent="0.35">
      <c r="A39" t="str">
        <f>NameConv!B26</f>
        <v>Gas Indigenous Shale</v>
      </c>
      <c r="C39" s="30" t="str">
        <f>B70</f>
        <v>MINGIH</v>
      </c>
      <c r="D39" s="30"/>
      <c r="E39" s="30" t="str">
        <f>VLOOKUP(A39,FuelNames,2,FALSE)</f>
        <v>GIH</v>
      </c>
      <c r="F39" s="108">
        <f t="shared" si="8"/>
        <v>0.10068731146567374</v>
      </c>
      <c r="G39" s="45">
        <f t="shared" si="9"/>
        <v>113.39810629656337</v>
      </c>
      <c r="H39" s="45">
        <f t="shared" si="10"/>
        <v>113.39810629656337</v>
      </c>
      <c r="I39" s="45">
        <f t="shared" si="10"/>
        <v>113.39810629656337</v>
      </c>
      <c r="J39" s="45">
        <f t="shared" si="10"/>
        <v>113.39810629656337</v>
      </c>
      <c r="K39" s="109">
        <v>0</v>
      </c>
      <c r="P39" s="110">
        <v>0.06</v>
      </c>
      <c r="Q39" s="415"/>
      <c r="R39" s="415"/>
      <c r="S39" s="415"/>
      <c r="T39" s="415"/>
      <c r="U39" s="415"/>
      <c r="V39" s="89">
        <f>(P39+W39)/2</f>
        <v>0.08</v>
      </c>
      <c r="W39" s="113">
        <v>0.1</v>
      </c>
      <c r="X39" s="112">
        <f t="shared" si="11"/>
        <v>0.10068731146567374</v>
      </c>
      <c r="Y39" s="112">
        <f t="shared" si="11"/>
        <v>0.10068731146567374</v>
      </c>
      <c r="Z39" s="112"/>
      <c r="AA39" s="112">
        <f>$AB39</f>
        <v>0.10068731146567374</v>
      </c>
      <c r="AB39" s="114">
        <f>AP37</f>
        <v>0.10068731146567374</v>
      </c>
      <c r="AC39" s="106"/>
      <c r="AG39" s="79">
        <f>[8]Export!C25</f>
        <v>0.95</v>
      </c>
      <c r="AH39" s="75">
        <f>[8]Export!D25</f>
        <v>8.2818014980867112</v>
      </c>
      <c r="AI39" s="75">
        <f>[8]Export!E25</f>
        <v>12.017743499367629</v>
      </c>
      <c r="AJ39" s="75">
        <f>[8]Export!F25</f>
        <v>16.91401912191181</v>
      </c>
      <c r="AK39" s="75">
        <f>[8]Export!G25</f>
        <v>16.545164815873392</v>
      </c>
      <c r="AL39" s="75">
        <f>[8]Export!H25</f>
        <v>16.813949721541967</v>
      </c>
      <c r="AM39" s="103">
        <f>AH39/AH25</f>
        <v>9.770483349555481E-2</v>
      </c>
      <c r="AN39" s="103">
        <f t="shared" si="7"/>
        <v>0.23564202939936529</v>
      </c>
      <c r="AO39" s="103">
        <f t="shared" si="7"/>
        <v>0.20085327645787579</v>
      </c>
      <c r="AP39" s="103">
        <f t="shared" si="7"/>
        <v>0.13046207754179073</v>
      </c>
      <c r="AQ39" s="103">
        <f t="shared" si="7"/>
        <v>0.11902978755317412</v>
      </c>
    </row>
    <row r="40" spans="1:50" ht="13.5" customHeight="1" x14ac:dyDescent="0.35">
      <c r="A40" s="115" t="str">
        <f>NameConv!B24</f>
        <v>Gas Northern Mozambique</v>
      </c>
      <c r="C40" s="28" t="str">
        <f>B98</f>
        <v>MIRGRM</v>
      </c>
      <c r="E40" s="30" t="str">
        <f>VLOOKUP(A40,FuelNames,2,FALSE)</f>
        <v>GRM</v>
      </c>
      <c r="F40" s="108">
        <f t="shared" si="8"/>
        <v>0.10454194041570421</v>
      </c>
      <c r="G40" s="45">
        <f t="shared" si="9"/>
        <v>117.73934470134871</v>
      </c>
      <c r="H40" s="45">
        <f t="shared" si="10"/>
        <v>117.73934470134871</v>
      </c>
      <c r="I40" s="45">
        <f t="shared" si="10"/>
        <v>117.73934470134871</v>
      </c>
      <c r="J40" s="45">
        <f t="shared" si="10"/>
        <v>117.73934470134871</v>
      </c>
      <c r="K40" s="109">
        <v>0</v>
      </c>
      <c r="P40" s="110">
        <v>0.03</v>
      </c>
      <c r="Q40" s="415"/>
      <c r="R40" s="415"/>
      <c r="S40" s="415"/>
      <c r="T40" s="415"/>
      <c r="U40" s="415"/>
      <c r="V40" s="89">
        <f>(P40+W40)/2</f>
        <v>5.5E-2</v>
      </c>
      <c r="W40" s="113">
        <v>0.08</v>
      </c>
      <c r="X40" s="112">
        <f t="shared" si="11"/>
        <v>0.10454194041570421</v>
      </c>
      <c r="Y40" s="112">
        <f t="shared" si="11"/>
        <v>0.10454194041570421</v>
      </c>
      <c r="Z40" s="112"/>
      <c r="AA40" s="112">
        <f>$AB40</f>
        <v>0.10454194041570421</v>
      </c>
      <c r="AB40" s="89">
        <f>$AB$41-1%</f>
        <v>0.10454194041570421</v>
      </c>
      <c r="AC40" s="106"/>
    </row>
    <row r="41" spans="1:50" ht="13.5" customHeight="1" x14ac:dyDescent="0.35">
      <c r="A41" t="str">
        <f>NameConv!B22</f>
        <v>Gas Regional LNG</v>
      </c>
      <c r="C41" s="30" t="str">
        <f>B83</f>
        <v>IMPGRL</v>
      </c>
      <c r="D41" s="30"/>
      <c r="E41" s="30" t="str">
        <f>VLOOKUP(A41,FuelNames,2,FALSE)</f>
        <v>GRL</v>
      </c>
      <c r="F41" s="108">
        <f t="shared" si="8"/>
        <v>0.12225288831835687</v>
      </c>
      <c r="G41" s="45">
        <f t="shared" si="9"/>
        <v>143.92309452816528</v>
      </c>
      <c r="H41" s="45">
        <f t="shared" si="10"/>
        <v>148.28833379773559</v>
      </c>
      <c r="I41" s="45">
        <f t="shared" si="10"/>
        <v>136.62227950525954</v>
      </c>
      <c r="J41" s="45">
        <f t="shared" si="10"/>
        <v>172.30668087048045</v>
      </c>
      <c r="K41" s="109">
        <v>1</v>
      </c>
      <c r="P41" s="110">
        <v>0.1</v>
      </c>
      <c r="Q41" s="415"/>
      <c r="R41" s="415"/>
      <c r="S41" s="415"/>
      <c r="T41" s="415"/>
      <c r="U41" s="415"/>
      <c r="V41" s="116"/>
      <c r="W41" s="113">
        <v>0.16</v>
      </c>
      <c r="X41" s="112">
        <f>AVERAGE(IEA_WEO!DL108:DM108)</f>
        <v>0.1919642857142857</v>
      </c>
      <c r="Y41" s="117">
        <f>AVERAGE(IEA_WEO!DN108:DO108)</f>
        <v>0.13276041666666666</v>
      </c>
      <c r="Z41" s="117"/>
      <c r="AA41" s="117">
        <f>AVERAGE(IEA_WEO!DP108:DQ108)</f>
        <v>0.12225288831835687</v>
      </c>
      <c r="AB41" s="114">
        <f>AVERAGE(AM30:AQ30)</f>
        <v>0.1145419404157042</v>
      </c>
      <c r="AC41" s="118">
        <v>0.4</v>
      </c>
    </row>
    <row r="42" spans="1:50" ht="13.5" customHeight="1" thickBot="1" x14ac:dyDescent="0.4">
      <c r="A42" t="str">
        <f>NameConv!B23</f>
        <v>Gas International LNG</v>
      </c>
      <c r="C42" s="30" t="str">
        <f>B84</f>
        <v>IMPGWL</v>
      </c>
      <c r="D42" s="30"/>
      <c r="E42" s="30" t="str">
        <f>VLOOKUP(A42,FuelNames,2,FALSE)</f>
        <v>GWL</v>
      </c>
      <c r="F42" s="108">
        <f t="shared" si="8"/>
        <v>0.12225288831835687</v>
      </c>
      <c r="G42" s="45">
        <f t="shared" si="9"/>
        <v>150.16006135280986</v>
      </c>
      <c r="H42" s="45">
        <f t="shared" si="10"/>
        <v>154.52530062238017</v>
      </c>
      <c r="I42" s="45">
        <f t="shared" si="10"/>
        <v>142.85924632990407</v>
      </c>
      <c r="J42" s="45">
        <f t="shared" si="10"/>
        <v>178.543647695125</v>
      </c>
      <c r="K42" s="109">
        <v>1</v>
      </c>
      <c r="P42" s="119">
        <f>P41</f>
        <v>0.1</v>
      </c>
      <c r="Q42" s="416"/>
      <c r="R42" s="416"/>
      <c r="S42" s="416"/>
      <c r="T42" s="416"/>
      <c r="U42" s="416"/>
      <c r="V42" s="120"/>
      <c r="W42" s="121">
        <v>0.16</v>
      </c>
      <c r="X42" s="122">
        <f>X41</f>
        <v>0.1919642857142857</v>
      </c>
      <c r="Y42" s="123">
        <f>Y41</f>
        <v>0.13276041666666666</v>
      </c>
      <c r="Z42" s="123"/>
      <c r="AA42" s="123">
        <f>AA41</f>
        <v>0.12225288831835687</v>
      </c>
      <c r="AB42" s="114">
        <f>AB41</f>
        <v>0.1145419404157042</v>
      </c>
      <c r="AC42" s="124">
        <v>0.8</v>
      </c>
      <c r="AG42" s="28" t="s">
        <v>301</v>
      </c>
    </row>
    <row r="43" spans="1:50" ht="13.5" customHeight="1" x14ac:dyDescent="0.35">
      <c r="C43" s="30"/>
      <c r="D43" s="30"/>
      <c r="E43" s="30"/>
      <c r="F43" s="30"/>
      <c r="G43" s="30"/>
      <c r="H43" s="30"/>
      <c r="I43" s="30"/>
      <c r="J43" s="30"/>
      <c r="K43" s="125"/>
      <c r="L43" s="125"/>
      <c r="M43" s="125"/>
      <c r="O43"/>
      <c r="AF43" s="126"/>
      <c r="AG43" s="127"/>
      <c r="AH43" s="127" t="s">
        <v>302</v>
      </c>
      <c r="AI43" s="127">
        <v>2010</v>
      </c>
      <c r="AJ43" s="127">
        <v>2020</v>
      </c>
      <c r="AK43" s="127">
        <v>2025</v>
      </c>
      <c r="AL43" s="127">
        <v>2030</v>
      </c>
      <c r="AM43" s="127">
        <v>2035</v>
      </c>
      <c r="AN43" s="127">
        <v>2040</v>
      </c>
      <c r="AO43" s="127">
        <v>2045</v>
      </c>
      <c r="AP43" s="127">
        <v>2050</v>
      </c>
      <c r="AQ43" s="28">
        <f>AI43</f>
        <v>2010</v>
      </c>
      <c r="AR43" s="28">
        <f t="shared" ref="AR43:AX43" si="12">AJ43</f>
        <v>2020</v>
      </c>
      <c r="AS43" s="28">
        <f t="shared" si="12"/>
        <v>2025</v>
      </c>
      <c r="AT43" s="28">
        <f t="shared" si="12"/>
        <v>2030</v>
      </c>
      <c r="AU43" s="28">
        <f t="shared" si="12"/>
        <v>2035</v>
      </c>
      <c r="AV43" s="28">
        <f t="shared" si="12"/>
        <v>2040</v>
      </c>
      <c r="AW43" s="28">
        <f t="shared" si="12"/>
        <v>2045</v>
      </c>
      <c r="AX43" s="28">
        <f t="shared" si="12"/>
        <v>2050</v>
      </c>
    </row>
    <row r="44" spans="1:50" ht="13.5" customHeight="1" x14ac:dyDescent="0.35">
      <c r="C44" s="30"/>
      <c r="D44" s="30"/>
      <c r="E44" s="30"/>
      <c r="F44" s="30"/>
      <c r="G44" s="30"/>
      <c r="H44" s="30"/>
      <c r="I44" s="30"/>
      <c r="J44" s="30"/>
      <c r="K44" s="125"/>
      <c r="L44" s="125"/>
      <c r="M44" s="125"/>
      <c r="O44"/>
      <c r="AF44" s="128" t="s">
        <v>303</v>
      </c>
      <c r="AH44" s="24" t="s">
        <v>304</v>
      </c>
      <c r="AI44" s="129">
        <v>78</v>
      </c>
      <c r="AJ44" s="129">
        <v>118</v>
      </c>
      <c r="AK44" s="129">
        <v>127</v>
      </c>
      <c r="AL44" s="129">
        <v>134</v>
      </c>
      <c r="AM44" s="129">
        <v>140</v>
      </c>
      <c r="AN44" s="129">
        <v>143</v>
      </c>
      <c r="AO44" s="129">
        <v>146</v>
      </c>
      <c r="AP44" s="129">
        <v>149</v>
      </c>
    </row>
    <row r="45" spans="1:50" ht="14.5" x14ac:dyDescent="0.35">
      <c r="A45" s="130" t="s">
        <v>305</v>
      </c>
      <c r="B45" s="131" t="s">
        <v>306</v>
      </c>
      <c r="C45" s="132"/>
      <c r="D45" s="132"/>
      <c r="E45" s="133" t="s">
        <v>307</v>
      </c>
      <c r="F45" s="134"/>
      <c r="G45" s="134"/>
      <c r="H45" s="134"/>
      <c r="I45" s="134"/>
      <c r="J45" s="134"/>
      <c r="O45"/>
      <c r="V45"/>
      <c r="AF45"/>
      <c r="AG45" s="127" t="s">
        <v>308</v>
      </c>
      <c r="AH45" s="127" t="s">
        <v>309</v>
      </c>
      <c r="AI45" s="135">
        <v>78</v>
      </c>
      <c r="AJ45" s="135">
        <v>97</v>
      </c>
      <c r="AK45" s="135">
        <v>97</v>
      </c>
      <c r="AL45" s="135">
        <v>97</v>
      </c>
      <c r="AM45" s="135">
        <v>97</v>
      </c>
      <c r="AN45" s="135">
        <v>92</v>
      </c>
      <c r="AO45" s="135">
        <v>89</v>
      </c>
      <c r="AP45" s="135">
        <v>87</v>
      </c>
    </row>
    <row r="46" spans="1:50" ht="14.5" x14ac:dyDescent="0.35">
      <c r="A46" s="136" t="s">
        <v>238</v>
      </c>
      <c r="B46" s="30" t="s">
        <v>310</v>
      </c>
      <c r="C46" s="45" t="s">
        <v>311</v>
      </c>
      <c r="D46" s="45"/>
      <c r="E46" s="45" t="s">
        <v>312</v>
      </c>
      <c r="F46" s="45" t="s">
        <v>313</v>
      </c>
      <c r="G46" s="45" t="s">
        <v>314</v>
      </c>
      <c r="H46" s="45"/>
      <c r="I46" s="45"/>
      <c r="J46" s="45"/>
      <c r="L46" s="50"/>
      <c r="M46" s="50"/>
      <c r="N46" s="38"/>
      <c r="O46"/>
      <c r="V46"/>
      <c r="AF46" s="128" t="s">
        <v>315</v>
      </c>
      <c r="AH46" s="24" t="s">
        <v>304</v>
      </c>
      <c r="AI46" s="129">
        <v>99</v>
      </c>
      <c r="AJ46" s="129">
        <v>109</v>
      </c>
      <c r="AK46" s="129">
        <v>113</v>
      </c>
      <c r="AL46" s="129">
        <v>116</v>
      </c>
      <c r="AM46" s="129">
        <v>118</v>
      </c>
      <c r="AN46" s="129">
        <v>121</v>
      </c>
      <c r="AO46" s="129">
        <v>123</v>
      </c>
      <c r="AP46" s="129">
        <v>126</v>
      </c>
    </row>
    <row r="47" spans="1:50" ht="14.5" x14ac:dyDescent="0.35">
      <c r="A47" s="28" t="s">
        <v>240</v>
      </c>
      <c r="B47" s="30" t="s">
        <v>316</v>
      </c>
      <c r="C47" s="45"/>
      <c r="D47" s="45"/>
      <c r="E47" s="45"/>
      <c r="F47" s="45"/>
      <c r="G47" s="45"/>
      <c r="H47" s="45"/>
      <c r="I47" s="50"/>
      <c r="J47" s="50"/>
      <c r="L47" s="50"/>
      <c r="M47" s="50"/>
      <c r="N47" s="38"/>
      <c r="O47"/>
      <c r="V47"/>
      <c r="AF47"/>
      <c r="AG47" s="127" t="s">
        <v>317</v>
      </c>
      <c r="AH47" s="127" t="s">
        <v>309</v>
      </c>
      <c r="AI47" s="135">
        <v>99</v>
      </c>
      <c r="AJ47" s="135">
        <v>93</v>
      </c>
      <c r="AK47" s="135">
        <v>83</v>
      </c>
      <c r="AL47" s="135">
        <v>74</v>
      </c>
      <c r="AM47" s="135">
        <v>68</v>
      </c>
      <c r="AN47" s="135">
        <v>64</v>
      </c>
      <c r="AO47" s="135">
        <v>62</v>
      </c>
      <c r="AP47" s="135">
        <v>60</v>
      </c>
    </row>
    <row r="48" spans="1:50" ht="14.5" x14ac:dyDescent="0.35">
      <c r="A48" s="28" t="s">
        <v>241</v>
      </c>
      <c r="B48" s="30" t="s">
        <v>318</v>
      </c>
      <c r="C48" s="45"/>
      <c r="D48" s="45"/>
      <c r="E48" s="45"/>
      <c r="F48" s="45"/>
      <c r="G48" s="45"/>
      <c r="H48" s="45"/>
      <c r="I48" s="50"/>
      <c r="J48" s="50"/>
      <c r="L48" s="50"/>
      <c r="M48" s="50"/>
      <c r="N48" s="38"/>
      <c r="O48"/>
      <c r="V48"/>
      <c r="AF48" s="127" t="s">
        <v>319</v>
      </c>
      <c r="AG48"/>
      <c r="AH48" s="24" t="s">
        <v>304</v>
      </c>
      <c r="AI48" s="129">
        <v>4</v>
      </c>
      <c r="AJ48" s="129">
        <v>7</v>
      </c>
      <c r="AK48" s="129">
        <v>8</v>
      </c>
      <c r="AL48" s="129">
        <v>8</v>
      </c>
      <c r="AM48" s="129">
        <v>9</v>
      </c>
      <c r="AN48" s="129">
        <v>9</v>
      </c>
      <c r="AO48" s="129">
        <v>9</v>
      </c>
      <c r="AP48" s="129">
        <v>10</v>
      </c>
    </row>
    <row r="49" spans="1:60" ht="14.5" x14ac:dyDescent="0.35">
      <c r="A49" s="28" t="s">
        <v>320</v>
      </c>
      <c r="B49" s="30" t="s">
        <v>321</v>
      </c>
      <c r="C49" s="45"/>
      <c r="D49" s="45"/>
      <c r="E49" s="45"/>
      <c r="F49" s="45"/>
      <c r="G49" s="45"/>
      <c r="H49" s="45"/>
      <c r="I49" s="50"/>
      <c r="J49" s="50"/>
      <c r="L49" s="50"/>
      <c r="M49" s="50"/>
      <c r="N49" s="38"/>
      <c r="O49"/>
      <c r="V49"/>
      <c r="AF49"/>
      <c r="AG49" s="127" t="s">
        <v>322</v>
      </c>
      <c r="AH49" s="127" t="s">
        <v>309</v>
      </c>
      <c r="AI49" s="135">
        <v>4</v>
      </c>
      <c r="AJ49" s="135">
        <v>7</v>
      </c>
      <c r="AK49" s="135">
        <v>8</v>
      </c>
      <c r="AL49" s="135">
        <v>8</v>
      </c>
      <c r="AM49" s="135">
        <v>8</v>
      </c>
      <c r="AN49" s="135">
        <v>7</v>
      </c>
      <c r="AO49" s="135">
        <v>7</v>
      </c>
      <c r="AP49" s="135">
        <v>7</v>
      </c>
    </row>
    <row r="50" spans="1:60" ht="14.5" x14ac:dyDescent="0.35">
      <c r="A50" s="130" t="s">
        <v>323</v>
      </c>
      <c r="B50" s="131" t="s">
        <v>306</v>
      </c>
      <c r="C50" s="45"/>
      <c r="D50" s="45"/>
      <c r="E50" s="45"/>
      <c r="F50" s="45"/>
      <c r="G50" s="45"/>
      <c r="H50" s="45"/>
      <c r="I50" s="50"/>
      <c r="J50" s="50"/>
      <c r="L50" s="50"/>
      <c r="M50" s="50"/>
      <c r="N50" s="38"/>
      <c r="O50" s="38"/>
      <c r="AF50" s="127" t="s">
        <v>324</v>
      </c>
      <c r="AG50"/>
      <c r="AH50" s="24" t="s">
        <v>304</v>
      </c>
      <c r="AI50" s="129">
        <v>7</v>
      </c>
      <c r="AJ50" s="129">
        <v>11</v>
      </c>
      <c r="AK50" s="129">
        <v>12</v>
      </c>
      <c r="AL50" s="129">
        <v>13</v>
      </c>
      <c r="AM50" s="129">
        <v>13</v>
      </c>
      <c r="AN50" s="129">
        <v>13</v>
      </c>
      <c r="AO50" s="129">
        <v>14</v>
      </c>
      <c r="AP50" s="129">
        <v>14</v>
      </c>
    </row>
    <row r="51" spans="1:60" ht="14.5" x14ac:dyDescent="0.35">
      <c r="A51" s="29" t="s">
        <v>325</v>
      </c>
      <c r="B51" s="30" t="s">
        <v>168</v>
      </c>
      <c r="C51" s="45"/>
      <c r="D51" s="45"/>
      <c r="E51" s="45"/>
      <c r="F51" s="45"/>
      <c r="G51" s="45"/>
      <c r="H51" s="45"/>
      <c r="I51" s="50"/>
      <c r="J51" s="50"/>
      <c r="L51" s="50"/>
      <c r="M51" s="50"/>
      <c r="N51" s="38"/>
      <c r="O51" s="38"/>
      <c r="AD51" t="s">
        <v>326</v>
      </c>
      <c r="AE51">
        <v>0.5</v>
      </c>
      <c r="AG51" s="127" t="s">
        <v>322</v>
      </c>
      <c r="AH51" s="127" t="s">
        <v>309</v>
      </c>
      <c r="AI51" s="135">
        <v>7</v>
      </c>
      <c r="AJ51" s="135">
        <v>10</v>
      </c>
      <c r="AK51" s="135">
        <v>10</v>
      </c>
      <c r="AL51" s="135">
        <v>10</v>
      </c>
      <c r="AM51" s="135">
        <v>9</v>
      </c>
      <c r="AN51" s="135">
        <v>9</v>
      </c>
      <c r="AO51" s="135">
        <v>9</v>
      </c>
      <c r="AP51" s="135">
        <v>8</v>
      </c>
    </row>
    <row r="52" spans="1:60" ht="14.5" x14ac:dyDescent="0.3">
      <c r="A52" s="29" t="s">
        <v>327</v>
      </c>
      <c r="B52" s="30" t="s">
        <v>166</v>
      </c>
      <c r="C52" s="45"/>
      <c r="D52" s="45"/>
      <c r="E52" s="45"/>
      <c r="F52" s="45" t="s">
        <v>328</v>
      </c>
      <c r="G52" s="45"/>
      <c r="H52" s="45"/>
      <c r="I52" s="50"/>
      <c r="J52" s="50"/>
      <c r="L52" s="50"/>
      <c r="M52" s="50"/>
      <c r="N52" s="38"/>
      <c r="O52" s="38"/>
      <c r="AF52" s="127" t="s">
        <v>329</v>
      </c>
      <c r="AH52" s="24" t="s">
        <v>304</v>
      </c>
      <c r="AI52" s="129">
        <v>11</v>
      </c>
      <c r="AJ52" s="129">
        <v>14</v>
      </c>
      <c r="AK52" s="129">
        <v>14</v>
      </c>
      <c r="AL52" s="129">
        <v>15</v>
      </c>
      <c r="AM52" s="129">
        <v>15</v>
      </c>
      <c r="AN52" s="129">
        <v>15</v>
      </c>
      <c r="AO52" s="129">
        <v>16</v>
      </c>
      <c r="AP52" s="129">
        <v>16</v>
      </c>
    </row>
    <row r="53" spans="1:60" ht="15" thickBot="1" x14ac:dyDescent="0.4">
      <c r="A53" s="137"/>
      <c r="B53" s="138"/>
      <c r="C53" s="138"/>
      <c r="D53" s="138"/>
      <c r="E53" s="139"/>
      <c r="F53" s="140"/>
      <c r="G53" s="45"/>
      <c r="H53" s="138"/>
      <c r="I53" s="138"/>
      <c r="J53" s="138"/>
      <c r="L53" s="138"/>
      <c r="M53" s="138"/>
      <c r="N53" s="38"/>
      <c r="O53" s="38"/>
      <c r="AD53" t="str">
        <f>AD51</f>
        <v>weighting</v>
      </c>
      <c r="AE53">
        <v>0.5</v>
      </c>
      <c r="AG53" s="127" t="s">
        <v>322</v>
      </c>
      <c r="AH53" s="127" t="s">
        <v>309</v>
      </c>
      <c r="AI53" s="135">
        <v>11</v>
      </c>
      <c r="AJ53" s="135">
        <v>12</v>
      </c>
      <c r="AK53" s="135">
        <v>12</v>
      </c>
      <c r="AL53" s="135">
        <v>12</v>
      </c>
      <c r="AM53" s="135">
        <v>12</v>
      </c>
      <c r="AN53" s="135">
        <v>12</v>
      </c>
      <c r="AO53" s="135">
        <v>11</v>
      </c>
      <c r="AP53" s="135">
        <v>11</v>
      </c>
    </row>
    <row r="54" spans="1:60" ht="14.5" x14ac:dyDescent="0.35">
      <c r="C54" s="39"/>
      <c r="D54" s="39"/>
      <c r="E54" s="139" t="s">
        <v>330</v>
      </c>
      <c r="F54" s="141">
        <v>1</v>
      </c>
      <c r="I54" s="39"/>
      <c r="J54" s="39"/>
      <c r="K54" s="39"/>
      <c r="L54" s="38"/>
      <c r="AF54" t="s">
        <v>230</v>
      </c>
      <c r="AH54" s="142" t="str">
        <f>AH52</f>
        <v>6DS</v>
      </c>
      <c r="AI54">
        <f t="shared" ref="AI54:AP55" si="13">AI50*$AE$51+AI52*$AE$53</f>
        <v>9</v>
      </c>
      <c r="AJ54">
        <f t="shared" si="13"/>
        <v>12.5</v>
      </c>
      <c r="AK54">
        <f t="shared" si="13"/>
        <v>13</v>
      </c>
      <c r="AL54">
        <f t="shared" si="13"/>
        <v>14</v>
      </c>
      <c r="AM54">
        <f t="shared" si="13"/>
        <v>14</v>
      </c>
      <c r="AN54">
        <f t="shared" si="13"/>
        <v>14</v>
      </c>
      <c r="AO54">
        <f t="shared" si="13"/>
        <v>15</v>
      </c>
      <c r="AP54">
        <f t="shared" si="13"/>
        <v>15</v>
      </c>
      <c r="AQ54" s="89">
        <f>AI54/AI44</f>
        <v>0.11538461538461539</v>
      </c>
      <c r="AR54" s="89">
        <f t="shared" ref="AR54:AX55" si="14">AJ54/AJ44</f>
        <v>0.1059322033898305</v>
      </c>
      <c r="AS54" s="89">
        <f t="shared" si="14"/>
        <v>0.10236220472440945</v>
      </c>
      <c r="AT54" s="89">
        <f t="shared" si="14"/>
        <v>0.1044776119402985</v>
      </c>
      <c r="AU54" s="89">
        <f t="shared" si="14"/>
        <v>0.1</v>
      </c>
      <c r="AV54" s="89">
        <f t="shared" si="14"/>
        <v>9.7902097902097904E-2</v>
      </c>
      <c r="AW54" s="89">
        <f t="shared" si="14"/>
        <v>0.10273972602739725</v>
      </c>
      <c r="AX54" s="89">
        <f t="shared" si="14"/>
        <v>0.10067114093959731</v>
      </c>
    </row>
    <row r="55" spans="1:60" ht="18" x14ac:dyDescent="0.4">
      <c r="A55" s="143" t="s">
        <v>331</v>
      </c>
      <c r="B55" s="296"/>
      <c r="C55" s="296"/>
      <c r="D55" s="296" t="s">
        <v>332</v>
      </c>
      <c r="F55" s="296"/>
      <c r="G55" s="296"/>
      <c r="H55" s="296"/>
      <c r="I55" s="296"/>
      <c r="J55" s="296"/>
      <c r="K55" s="296"/>
      <c r="L55" s="386"/>
      <c r="M55" s="296"/>
      <c r="N55" s="296"/>
      <c r="O55" s="296"/>
      <c r="P55" s="296"/>
      <c r="Q55" s="296"/>
      <c r="R55" s="296"/>
      <c r="S55" s="296"/>
      <c r="T55" s="296"/>
      <c r="U55" s="296"/>
      <c r="V55" s="296"/>
      <c r="W55" s="296"/>
      <c r="X55" s="296"/>
      <c r="Y55" s="296"/>
      <c r="Z55" s="296"/>
      <c r="AA55" s="296"/>
      <c r="AB55" s="296"/>
      <c r="AC55" s="296"/>
      <c r="AF55"/>
      <c r="AG55" t="str">
        <f>AG53</f>
        <v>(2010 US$/Mbtu)</v>
      </c>
      <c r="AH55" s="142" t="str">
        <f>AH53</f>
        <v>2DS</v>
      </c>
      <c r="AI55">
        <f t="shared" si="13"/>
        <v>9</v>
      </c>
      <c r="AJ55">
        <f t="shared" si="13"/>
        <v>11</v>
      </c>
      <c r="AK55">
        <f t="shared" si="13"/>
        <v>11</v>
      </c>
      <c r="AL55">
        <f t="shared" si="13"/>
        <v>11</v>
      </c>
      <c r="AM55">
        <f t="shared" si="13"/>
        <v>10.5</v>
      </c>
      <c r="AN55">
        <f t="shared" si="13"/>
        <v>10.5</v>
      </c>
      <c r="AO55">
        <f t="shared" si="13"/>
        <v>10</v>
      </c>
      <c r="AP55">
        <f t="shared" si="13"/>
        <v>9.5</v>
      </c>
      <c r="AQ55" s="89">
        <f>AI55/AI45</f>
        <v>0.11538461538461539</v>
      </c>
      <c r="AR55" s="89">
        <f t="shared" si="14"/>
        <v>0.1134020618556701</v>
      </c>
      <c r="AS55" s="89">
        <f t="shared" si="14"/>
        <v>0.1134020618556701</v>
      </c>
      <c r="AT55" s="89">
        <f t="shared" si="14"/>
        <v>0.1134020618556701</v>
      </c>
      <c r="AU55" s="89">
        <f t="shared" si="14"/>
        <v>0.10824742268041238</v>
      </c>
      <c r="AV55" s="89">
        <f t="shared" si="14"/>
        <v>0.11413043478260869</v>
      </c>
      <c r="AW55" s="89">
        <f t="shared" si="14"/>
        <v>0.11235955056179775</v>
      </c>
      <c r="AX55" s="89">
        <f t="shared" si="14"/>
        <v>0.10919540229885058</v>
      </c>
      <c r="AY55" s="30"/>
    </row>
    <row r="56" spans="1:60" ht="26.25" customHeight="1" x14ac:dyDescent="0.35">
      <c r="A56" s="388" t="s">
        <v>333</v>
      </c>
      <c r="B56" s="386" t="s">
        <v>334</v>
      </c>
      <c r="C56" s="386" t="s">
        <v>335</v>
      </c>
      <c r="D56" s="386" t="s">
        <v>1112</v>
      </c>
      <c r="E56" s="386" t="s">
        <v>336</v>
      </c>
      <c r="F56" s="386" t="str">
        <f>"COST"&amp;$F$52&amp;F57</f>
        <v>COST~0</v>
      </c>
      <c r="G56" s="386" t="str">
        <f t="shared" ref="G56:J56" si="15">"COST"&amp;$F$52&amp;G57</f>
        <v>COST~2017</v>
      </c>
      <c r="H56" s="386" t="str">
        <f t="shared" si="15"/>
        <v>COST~2021</v>
      </c>
      <c r="I56" s="386" t="str">
        <f t="shared" si="15"/>
        <v>COST~2030</v>
      </c>
      <c r="J56" s="386" t="str">
        <f t="shared" si="15"/>
        <v>COST~2050</v>
      </c>
      <c r="K56" s="386" t="str">
        <f>"BNDACT~UP"&amp;$F$52&amp;K57</f>
        <v>BNDACT~UP~0</v>
      </c>
      <c r="L56" s="386" t="str">
        <f t="shared" ref="L56:P56" si="16">"BNDACT~UP"&amp;$F$52&amp;L57</f>
        <v>BNDACT~UP~2017</v>
      </c>
      <c r="M56" s="386" t="str">
        <f t="shared" si="16"/>
        <v>BNDACT~UP~2019</v>
      </c>
      <c r="N56" s="386" t="str">
        <f t="shared" si="16"/>
        <v>BNDACT~UP~2021</v>
      </c>
      <c r="O56" s="386" t="str">
        <f t="shared" si="16"/>
        <v>BNDACT~UP~2030</v>
      </c>
      <c r="P56" s="386" t="str">
        <f t="shared" si="16"/>
        <v>BNDACT~UP~2050</v>
      </c>
      <c r="Q56" s="386" t="str">
        <f>"BNDACT~FX"&amp;$F$52&amp;Q57</f>
        <v>BNDACT~FX~0</v>
      </c>
      <c r="R56" s="386" t="str">
        <f t="shared" ref="R56:U56" si="17">"BNDACT~FX"&amp;$F$52&amp;R57</f>
        <v>BNDACT~FX~2020</v>
      </c>
      <c r="S56" s="386" t="str">
        <f t="shared" si="17"/>
        <v>BNDACT~FX~2030</v>
      </c>
      <c r="T56" s="386" t="str">
        <f t="shared" si="17"/>
        <v>BNDACT~FX~2040</v>
      </c>
      <c r="U56" s="386" t="str">
        <f t="shared" si="17"/>
        <v>BNDACT~FX~2050</v>
      </c>
      <c r="V56" s="386" t="s">
        <v>337</v>
      </c>
      <c r="W56" s="386" t="s">
        <v>338</v>
      </c>
      <c r="X56" s="387" t="s">
        <v>1093</v>
      </c>
      <c r="Y56" s="387" t="s">
        <v>1094</v>
      </c>
      <c r="Z56" s="387" t="s">
        <v>1117</v>
      </c>
      <c r="AA56" s="145" t="s">
        <v>339</v>
      </c>
      <c r="AB56" s="145" t="s">
        <v>340</v>
      </c>
      <c r="AC56" s="145" t="s">
        <v>1129</v>
      </c>
      <c r="AD56" s="145"/>
      <c r="AE56" s="145"/>
      <c r="AF56" s="145" t="s">
        <v>341</v>
      </c>
      <c r="AG56" s="145">
        <f t="shared" ref="AG56:AN56" si="18">AVERAGE(AI54:AI55)</f>
        <v>9</v>
      </c>
      <c r="AH56" s="145">
        <f t="shared" si="18"/>
        <v>11.75</v>
      </c>
      <c r="AI56" s="145">
        <f t="shared" si="18"/>
        <v>12</v>
      </c>
      <c r="AJ56" s="145">
        <f t="shared" si="18"/>
        <v>12.5</v>
      </c>
      <c r="AK56" s="145">
        <f t="shared" si="18"/>
        <v>12.25</v>
      </c>
      <c r="AL56" s="145">
        <f t="shared" si="18"/>
        <v>12.25</v>
      </c>
      <c r="AM56" s="145">
        <f t="shared" si="18"/>
        <v>12.5</v>
      </c>
      <c r="AN56" s="145">
        <f t="shared" si="18"/>
        <v>12.25</v>
      </c>
      <c r="AO56" s="146">
        <f t="shared" ref="AO56:AV56" si="19">AG56/AVERAGE(AI44:AI45)</f>
        <v>0.11538461538461539</v>
      </c>
      <c r="AP56" s="146">
        <f t="shared" si="19"/>
        <v>0.10930232558139535</v>
      </c>
      <c r="AQ56" s="146">
        <f t="shared" si="19"/>
        <v>0.10714285714285714</v>
      </c>
      <c r="AR56" s="146">
        <f t="shared" si="19"/>
        <v>0.10822510822510822</v>
      </c>
      <c r="AS56" s="146">
        <f t="shared" si="19"/>
        <v>0.10337552742616034</v>
      </c>
      <c r="AT56" s="146">
        <f t="shared" si="19"/>
        <v>0.10425531914893617</v>
      </c>
      <c r="AU56" s="146">
        <f t="shared" si="19"/>
        <v>0.10638297872340426</v>
      </c>
      <c r="AV56" s="146">
        <f t="shared" si="19"/>
        <v>0.1038135593220339</v>
      </c>
      <c r="AW56" s="145"/>
      <c r="AY56" s="420"/>
      <c r="AZ56" s="420"/>
      <c r="BA56" s="420"/>
      <c r="BB56" s="420"/>
      <c r="BC56" s="420"/>
      <c r="BD56" s="420"/>
      <c r="BE56" s="420"/>
    </row>
    <row r="57" spans="1:60" ht="26" x14ac:dyDescent="0.3">
      <c r="A57" s="147" t="s">
        <v>342</v>
      </c>
      <c r="B57" s="147" t="s">
        <v>343</v>
      </c>
      <c r="C57" s="147" t="s">
        <v>344</v>
      </c>
      <c r="D57" s="145"/>
      <c r="E57" s="145" t="s">
        <v>345</v>
      </c>
      <c r="F57" s="145">
        <v>0</v>
      </c>
      <c r="G57" s="148">
        <v>2017</v>
      </c>
      <c r="H57" s="148">
        <v>2021</v>
      </c>
      <c r="I57" s="148">
        <v>2030</v>
      </c>
      <c r="J57" s="148">
        <v>2050</v>
      </c>
      <c r="K57" s="148">
        <v>0</v>
      </c>
      <c r="L57" s="148">
        <v>2017</v>
      </c>
      <c r="M57" s="148">
        <v>2019</v>
      </c>
      <c r="N57" s="148">
        <v>2021</v>
      </c>
      <c r="O57" s="148">
        <f>I57</f>
        <v>2030</v>
      </c>
      <c r="P57" s="148">
        <f>J57</f>
        <v>2050</v>
      </c>
      <c r="Q57" s="148">
        <v>0</v>
      </c>
      <c r="R57" s="148">
        <v>2020</v>
      </c>
      <c r="S57" s="148">
        <v>2030</v>
      </c>
      <c r="T57" s="148">
        <v>2040</v>
      </c>
      <c r="U57" s="148">
        <v>2050</v>
      </c>
      <c r="V57" s="148"/>
      <c r="W57" s="148" t="s">
        <v>239</v>
      </c>
      <c r="Z57" s="28" t="s">
        <v>1130</v>
      </c>
      <c r="AA57" s="148"/>
      <c r="AB57" s="148"/>
      <c r="AC57" s="148"/>
      <c r="AD57" s="148"/>
      <c r="AE57" s="149"/>
      <c r="AF57" s="149"/>
      <c r="AG57" s="149"/>
      <c r="AH57" s="149"/>
      <c r="AI57" s="149"/>
      <c r="AJ57" s="149"/>
      <c r="AK57" s="149"/>
      <c r="AL57" s="149"/>
      <c r="AM57" s="149"/>
      <c r="AN57" s="149"/>
      <c r="AO57" s="149"/>
      <c r="AP57" s="149"/>
      <c r="AQ57" s="149"/>
      <c r="AR57" s="149"/>
      <c r="AS57" s="149"/>
      <c r="AT57" s="149"/>
      <c r="AU57" s="149"/>
      <c r="AV57" s="149"/>
      <c r="AW57" s="149"/>
      <c r="AZ57" s="421"/>
      <c r="BA57" s="420"/>
      <c r="BB57" s="420"/>
      <c r="BC57" s="420"/>
      <c r="BD57" s="420"/>
      <c r="BE57" s="420"/>
      <c r="BG57" s="42"/>
      <c r="BH57" s="42"/>
    </row>
    <row r="58" spans="1:60" s="66" customFormat="1" ht="13.5" thickBot="1" x14ac:dyDescent="0.35">
      <c r="A58" s="66" t="s">
        <v>346</v>
      </c>
      <c r="B58" s="150"/>
      <c r="C58" s="150"/>
      <c r="D58" s="150"/>
      <c r="E58" s="150"/>
      <c r="F58" s="150"/>
      <c r="G58" s="67"/>
      <c r="H58" s="67"/>
      <c r="I58" s="140"/>
      <c r="J58" s="140"/>
      <c r="K58" s="140"/>
      <c r="L58" s="151"/>
      <c r="M58" s="151"/>
      <c r="N58" s="151"/>
      <c r="O58" s="151"/>
      <c r="P58" s="151"/>
      <c r="Q58" s="151"/>
      <c r="R58" s="151"/>
      <c r="S58" s="151"/>
      <c r="T58" s="151"/>
      <c r="U58" s="151"/>
      <c r="V58" s="151"/>
      <c r="W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c r="AW58" s="151"/>
      <c r="AZ58" s="152"/>
      <c r="BA58" s="153"/>
      <c r="BB58" s="153"/>
      <c r="BC58" s="153"/>
      <c r="BD58" s="153"/>
      <c r="BE58" s="153"/>
      <c r="BF58" s="154"/>
      <c r="BG58" s="154"/>
    </row>
    <row r="59" spans="1:60" ht="13" x14ac:dyDescent="0.3">
      <c r="A59" s="155" t="s">
        <v>347</v>
      </c>
      <c r="B59" s="156"/>
      <c r="C59" s="157"/>
      <c r="D59" s="157"/>
      <c r="E59" s="157"/>
      <c r="F59" s="157"/>
      <c r="G59" s="157"/>
      <c r="H59" s="157"/>
      <c r="I59" s="157"/>
      <c r="J59" s="157"/>
      <c r="K59" s="157"/>
      <c r="L59" s="157"/>
      <c r="M59" s="157"/>
      <c r="N59" s="157"/>
      <c r="O59" s="157"/>
      <c r="P59" s="157"/>
      <c r="Q59" s="157"/>
      <c r="R59" s="157"/>
      <c r="S59" s="157"/>
      <c r="T59" s="157"/>
      <c r="U59" s="157"/>
      <c r="V59" s="157"/>
      <c r="W59" s="157"/>
      <c r="AA59" s="157"/>
      <c r="AB59" s="157"/>
      <c r="AC59" s="157"/>
      <c r="AD59" s="157"/>
      <c r="AE59" s="172" t="s">
        <v>1118</v>
      </c>
      <c r="AF59" s="157"/>
      <c r="AG59" s="157"/>
      <c r="AH59" s="157"/>
      <c r="AI59" s="157"/>
      <c r="AJ59" s="157"/>
      <c r="AK59" s="157"/>
      <c r="AL59" s="157"/>
      <c r="AM59" s="157"/>
      <c r="AN59" s="157"/>
      <c r="AO59" s="157"/>
      <c r="AP59" s="157"/>
      <c r="AQ59" s="157"/>
      <c r="AR59" s="157"/>
      <c r="AS59" s="157"/>
      <c r="AT59" s="157"/>
      <c r="AU59" s="157"/>
      <c r="AV59" s="157"/>
      <c r="AW59" s="157"/>
      <c r="AX59" s="157"/>
      <c r="AY59" s="157"/>
    </row>
    <row r="60" spans="1:60" ht="14.5" x14ac:dyDescent="0.35">
      <c r="A60" s="158" t="str">
        <f t="shared" ref="A60:A68" si="20">"Extraction of "&amp;INDEX(FuelNamesLong,MATCH(E60,FuelNamesShort,0))</f>
        <v>Extraction of Coal</v>
      </c>
      <c r="B60" s="30" t="str">
        <f>$B$46&amp;E60</f>
        <v>MINCOA</v>
      </c>
      <c r="C60" s="157"/>
      <c r="E60" s="159" t="str">
        <f>NameConv!C11</f>
        <v>COA</v>
      </c>
      <c r="F60" s="30">
        <v>0</v>
      </c>
      <c r="G60" s="82">
        <f>45*1.256</f>
        <v>56.52</v>
      </c>
      <c r="H60" s="82">
        <f>G60</f>
        <v>56.52</v>
      </c>
      <c r="I60" s="82">
        <f>H60</f>
        <v>56.52</v>
      </c>
      <c r="J60" s="82">
        <f>I60</f>
        <v>56.52</v>
      </c>
      <c r="K60" s="82"/>
      <c r="L60" s="82"/>
      <c r="M60" s="82"/>
      <c r="N60"/>
      <c r="O60"/>
      <c r="P60"/>
      <c r="Q60"/>
      <c r="R60"/>
      <c r="S60"/>
      <c r="T60"/>
      <c r="U60"/>
      <c r="V60"/>
      <c r="W60" t="str">
        <f>""</f>
        <v/>
      </c>
      <c r="X60" s="379">
        <f>FugitiveEmissions!V140</f>
        <v>3.4182298104635631E-3</v>
      </c>
      <c r="Y60" s="379">
        <f>FugitiveEmissions!V141</f>
        <v>1.0719713938661056E-2</v>
      </c>
      <c r="AA60" s="144"/>
      <c r="AB60" s="144"/>
      <c r="AC60" s="157">
        <v>24</v>
      </c>
      <c r="AD60" s="157"/>
      <c r="AE60" s="157"/>
      <c r="AF60" s="157"/>
      <c r="AG60" s="157"/>
      <c r="AH60" s="157"/>
      <c r="AI60" s="157"/>
      <c r="AJ60" s="157"/>
      <c r="AK60" s="157"/>
      <c r="AL60" s="157"/>
      <c r="AM60" s="157"/>
      <c r="AN60" s="157"/>
      <c r="AO60" s="157"/>
      <c r="AP60" s="157"/>
      <c r="AQ60" s="157"/>
      <c r="AR60" s="157"/>
      <c r="AS60" s="157"/>
      <c r="AT60" s="157"/>
      <c r="AU60" s="157"/>
      <c r="AV60" s="157"/>
      <c r="AW60" s="157"/>
      <c r="AX60" s="157"/>
      <c r="AY60" s="157"/>
    </row>
    <row r="61" spans="1:60" ht="14.5" x14ac:dyDescent="0.35">
      <c r="A61" s="158"/>
      <c r="B61" s="30"/>
      <c r="C61" s="157"/>
      <c r="D61" s="157" t="s">
        <v>982</v>
      </c>
      <c r="E61" s="159"/>
      <c r="F61" s="30"/>
      <c r="G61" s="82"/>
      <c r="H61" s="82"/>
      <c r="I61" s="82"/>
      <c r="J61" s="82"/>
      <c r="K61" s="82"/>
      <c r="L61" s="82"/>
      <c r="M61" s="82"/>
      <c r="N61"/>
      <c r="O61"/>
      <c r="P61"/>
      <c r="Q61"/>
      <c r="R61"/>
      <c r="S61"/>
      <c r="T61"/>
      <c r="U61"/>
      <c r="V61"/>
      <c r="W61"/>
      <c r="X61" s="379"/>
      <c r="Y61" s="379"/>
      <c r="Z61" s="379">
        <f>AJ69/AC60</f>
        <v>26.875</v>
      </c>
      <c r="AA61" s="144"/>
      <c r="AB61" s="144"/>
      <c r="AC61" s="157"/>
      <c r="AD61" s="157"/>
      <c r="AE61" s="157"/>
      <c r="AF61" s="157"/>
      <c r="AG61" s="157"/>
      <c r="AH61" s="157"/>
      <c r="AI61" s="157"/>
      <c r="AJ61" s="157"/>
      <c r="AK61" s="157"/>
      <c r="AL61" s="157"/>
      <c r="AM61" s="157"/>
      <c r="AN61" s="157"/>
      <c r="AO61" s="157"/>
      <c r="AP61" s="157"/>
      <c r="AQ61" s="157"/>
      <c r="AR61" s="157"/>
      <c r="AS61" s="157"/>
      <c r="AT61" s="157"/>
      <c r="AU61" s="157"/>
      <c r="AV61" s="157"/>
      <c r="AW61" s="157"/>
      <c r="AX61" s="157"/>
      <c r="AY61" s="157"/>
    </row>
    <row r="62" spans="1:60" ht="14.5" x14ac:dyDescent="0.35">
      <c r="A62" s="158" t="str">
        <f t="shared" si="20"/>
        <v>Extraction of Coal low grade</v>
      </c>
      <c r="B62" s="30" t="str">
        <f t="shared" ref="B62:B70" si="21">$B$46&amp;E62</f>
        <v>MINCLE</v>
      </c>
      <c r="E62" s="159" t="str">
        <f>NameConv!C14</f>
        <v>CLE</v>
      </c>
      <c r="F62" s="30">
        <v>0</v>
      </c>
      <c r="G62" s="82">
        <f>G60/2</f>
        <v>28.26</v>
      </c>
      <c r="H62" s="82">
        <f>H60/2</f>
        <v>28.26</v>
      </c>
      <c r="I62" s="82">
        <f>H62</f>
        <v>28.26</v>
      </c>
      <c r="J62" s="82">
        <f>I62</f>
        <v>28.26</v>
      </c>
      <c r="K62" s="82"/>
      <c r="L62" s="82"/>
      <c r="M62" s="82"/>
      <c r="N62"/>
      <c r="O62"/>
      <c r="P62"/>
      <c r="Q62"/>
      <c r="R62"/>
      <c r="S62"/>
      <c r="T62"/>
      <c r="U62"/>
      <c r="V62"/>
      <c r="W62" t="str">
        <f>$W$60</f>
        <v/>
      </c>
      <c r="X62" s="379">
        <f>FugitiveEmissions!V135</f>
        <v>3.9065483548155009E-3</v>
      </c>
      <c r="Y62" s="379">
        <f>FugitiveEmissions!V136</f>
        <v>1.2251101644184062E-2</v>
      </c>
      <c r="Z62" s="379"/>
      <c r="AA62" s="144"/>
      <c r="AC62" s="30">
        <v>21</v>
      </c>
      <c r="AD62" s="172" t="s">
        <v>1126</v>
      </c>
      <c r="AE62" s="172"/>
      <c r="AF62" s="172"/>
      <c r="AG62" s="160"/>
      <c r="AH62" s="139" t="s">
        <v>1127</v>
      </c>
      <c r="AI62" s="160"/>
      <c r="AJ62" s="160"/>
      <c r="AK62" s="160"/>
      <c r="AL62" s="160"/>
      <c r="AM62" s="160"/>
      <c r="AN62" s="160"/>
      <c r="AO62" s="160"/>
      <c r="AP62" s="160"/>
      <c r="AQ62" s="160"/>
      <c r="AR62" s="160"/>
      <c r="AS62" s="160"/>
      <c r="AT62" s="160"/>
      <c r="AU62" s="160"/>
      <c r="AV62" s="160"/>
      <c r="AW62" s="160"/>
      <c r="AY62" s="157"/>
    </row>
    <row r="63" spans="1:60" ht="14.5" x14ac:dyDescent="0.35">
      <c r="A63" s="158"/>
      <c r="B63" s="30"/>
      <c r="D63" s="157" t="s">
        <v>982</v>
      </c>
      <c r="E63" s="159"/>
      <c r="F63" s="30"/>
      <c r="G63" s="82"/>
      <c r="H63" s="82"/>
      <c r="I63" s="82"/>
      <c r="J63" s="82"/>
      <c r="K63" s="82"/>
      <c r="L63" s="82"/>
      <c r="M63" s="82"/>
      <c r="N63"/>
      <c r="O63"/>
      <c r="P63"/>
      <c r="Q63"/>
      <c r="R63"/>
      <c r="S63"/>
      <c r="T63"/>
      <c r="U63"/>
      <c r="V63"/>
      <c r="W63"/>
      <c r="X63" s="379"/>
      <c r="Y63" s="379"/>
      <c r="Z63" s="379">
        <f>AG69/AC62</f>
        <v>10.714285714285714</v>
      </c>
      <c r="AA63" s="144"/>
      <c r="AC63" s="30"/>
      <c r="AD63" s="172"/>
      <c r="AE63" s="172"/>
      <c r="AF63" s="172"/>
      <c r="AG63" s="160"/>
      <c r="AH63" s="139"/>
      <c r="AI63" s="160"/>
      <c r="AJ63" s="160"/>
      <c r="AK63" s="160"/>
      <c r="AL63" s="160"/>
      <c r="AM63" s="160"/>
      <c r="AN63" s="160"/>
      <c r="AO63" s="160"/>
      <c r="AP63" s="160"/>
      <c r="AQ63" s="160"/>
      <c r="AR63" s="160"/>
      <c r="AS63" s="160"/>
      <c r="AT63" s="160"/>
      <c r="AU63" s="160"/>
      <c r="AV63" s="160"/>
      <c r="AW63" s="160"/>
      <c r="AY63" s="157"/>
    </row>
    <row r="64" spans="1:60" ht="14.5" x14ac:dyDescent="0.35">
      <c r="A64" s="158" t="str">
        <f t="shared" si="20"/>
        <v>Extraction of Coal Discard</v>
      </c>
      <c r="B64" s="30" t="str">
        <f t="shared" si="21"/>
        <v>MINCLD</v>
      </c>
      <c r="E64" s="159" t="str">
        <f>NameConv!C13</f>
        <v>CLD</v>
      </c>
      <c r="F64" s="30">
        <v>0</v>
      </c>
      <c r="G64" s="82">
        <f>G62/2</f>
        <v>14.13</v>
      </c>
      <c r="H64" s="82">
        <f t="shared" ref="H64:J64" si="22">H62/2</f>
        <v>14.13</v>
      </c>
      <c r="I64" s="82">
        <f t="shared" si="22"/>
        <v>14.13</v>
      </c>
      <c r="J64" s="82">
        <f t="shared" si="22"/>
        <v>14.13</v>
      </c>
      <c r="K64" s="82"/>
      <c r="L64" s="82"/>
      <c r="M64" s="82"/>
      <c r="N64"/>
      <c r="O64"/>
      <c r="P64"/>
      <c r="Q64"/>
      <c r="R64"/>
      <c r="S64"/>
      <c r="T64"/>
      <c r="U64"/>
      <c r="V64"/>
      <c r="W64" t="str">
        <f>$W$60</f>
        <v/>
      </c>
      <c r="Z64" s="379"/>
      <c r="AC64" s="30">
        <v>13</v>
      </c>
      <c r="AD64" s="172" t="s">
        <v>1119</v>
      </c>
      <c r="AE64" s="172" t="s">
        <v>1120</v>
      </c>
      <c r="AF64" s="172" t="s">
        <v>1121</v>
      </c>
      <c r="AG64" s="160" t="s">
        <v>743</v>
      </c>
      <c r="AH64" s="139" t="str">
        <f>AE64</f>
        <v>Opencast</v>
      </c>
      <c r="AI64" s="139" t="str">
        <f>AF64</f>
        <v>underground</v>
      </c>
      <c r="AJ64" s="160" t="s">
        <v>1128</v>
      </c>
      <c r="AK64" s="160"/>
      <c r="AL64" s="160"/>
      <c r="AM64" s="160"/>
      <c r="AN64" s="160"/>
      <c r="AO64" s="160"/>
      <c r="AP64" s="160"/>
      <c r="AQ64" s="160"/>
      <c r="AR64" s="160"/>
      <c r="AS64" s="160"/>
      <c r="AT64" s="160"/>
      <c r="AU64" s="160"/>
      <c r="AV64" s="160"/>
      <c r="AW64" s="160"/>
      <c r="AY64" s="157"/>
    </row>
    <row r="65" spans="1:58" ht="14.5" x14ac:dyDescent="0.35">
      <c r="A65" s="158"/>
      <c r="B65" s="30"/>
      <c r="D65" s="157" t="s">
        <v>982</v>
      </c>
      <c r="E65" s="159"/>
      <c r="F65" s="30"/>
      <c r="G65" s="82"/>
      <c r="H65" s="82"/>
      <c r="I65" s="82"/>
      <c r="J65" s="82"/>
      <c r="K65" s="82"/>
      <c r="L65" s="82"/>
      <c r="M65" s="82"/>
      <c r="N65"/>
      <c r="O65"/>
      <c r="P65"/>
      <c r="Q65"/>
      <c r="R65"/>
      <c r="S65"/>
      <c r="T65"/>
      <c r="U65"/>
      <c r="V65"/>
      <c r="W65"/>
      <c r="Z65" s="379">
        <f>AG69/AC64</f>
        <v>17.307692307692307</v>
      </c>
      <c r="AC65" s="30"/>
      <c r="AD65" s="172"/>
      <c r="AE65" s="172"/>
      <c r="AF65" s="172"/>
      <c r="AG65" s="160"/>
      <c r="AH65" s="139"/>
      <c r="AI65" s="139"/>
      <c r="AJ65" s="160"/>
      <c r="AK65" s="160"/>
      <c r="AL65" s="160"/>
      <c r="AM65" s="160"/>
      <c r="AN65" s="160"/>
      <c r="AO65" s="160"/>
      <c r="AP65" s="160"/>
      <c r="AQ65" s="160"/>
      <c r="AR65" s="160"/>
      <c r="AS65" s="160"/>
      <c r="AT65" s="160"/>
      <c r="AU65" s="160"/>
      <c r="AV65" s="160"/>
      <c r="AW65" s="160"/>
      <c r="AY65" s="157"/>
    </row>
    <row r="66" spans="1:58" ht="14.5" x14ac:dyDescent="0.35">
      <c r="A66" s="158" t="str">
        <f t="shared" si="20"/>
        <v>Extraction of Oil Crude</v>
      </c>
      <c r="B66" s="30" t="str">
        <f t="shared" si="21"/>
        <v>MINOCR</v>
      </c>
      <c r="E66" s="159" t="str">
        <f>NameConv!C37</f>
        <v>OCR</v>
      </c>
      <c r="F66" s="30">
        <v>0</v>
      </c>
      <c r="G66" s="82">
        <f>SUMIF($F$22:$F$34,$E66,G$22:G$34)*0.9</f>
        <v>176.80768308176101</v>
      </c>
      <c r="H66" s="82">
        <f>SUMIF($F$22:$F$34,$E66,H$22:H$34)*0.9</f>
        <v>182.41324301886792</v>
      </c>
      <c r="I66" s="82">
        <f>SUMIF($F$22:$F$34,$E66,I$22:I$34)*0.9</f>
        <v>167.43244528301889</v>
      </c>
      <c r="J66" s="82">
        <f>SUMIF($F$22:$F$34,$E66,J$22:J$34)*0.9</f>
        <v>213.25606188679242</v>
      </c>
      <c r="K66" s="82">
        <v>3</v>
      </c>
      <c r="L66" s="82">
        <v>0</v>
      </c>
      <c r="M66" s="82">
        <v>0</v>
      </c>
      <c r="N66"/>
      <c r="O66">
        <f>M66</f>
        <v>0</v>
      </c>
      <c r="P66">
        <f t="shared" ref="P66" si="23">O66</f>
        <v>0</v>
      </c>
      <c r="Q66"/>
      <c r="R66"/>
      <c r="S66"/>
      <c r="T66"/>
      <c r="U66"/>
      <c r="V66"/>
      <c r="W66" t="str">
        <f>$W$60</f>
        <v/>
      </c>
      <c r="AC66" s="35"/>
      <c r="AD66" s="172" t="s">
        <v>1122</v>
      </c>
      <c r="AE66" s="418">
        <v>338</v>
      </c>
      <c r="AF66" s="418">
        <v>341</v>
      </c>
      <c r="AG66" s="160"/>
      <c r="AH66" s="160">
        <v>610</v>
      </c>
      <c r="AI66" s="160">
        <v>820</v>
      </c>
      <c r="AJ66" s="160"/>
      <c r="AK66" s="160"/>
      <c r="AL66" s="160"/>
      <c r="AM66" s="160"/>
      <c r="AN66" s="160"/>
      <c r="AO66" s="160"/>
      <c r="AP66" s="160"/>
      <c r="AQ66" s="160"/>
      <c r="AR66" s="160"/>
      <c r="AS66" s="160"/>
      <c r="AT66" s="160"/>
      <c r="AU66" s="160"/>
      <c r="AV66" s="160"/>
      <c r="AW66" s="160"/>
      <c r="AY66" s="157"/>
    </row>
    <row r="67" spans="1:58" ht="14.5" x14ac:dyDescent="0.35">
      <c r="A67" s="158" t="str">
        <f t="shared" si="20"/>
        <v>Extraction of Coastal Gas</v>
      </c>
      <c r="B67" s="30" t="str">
        <f t="shared" si="21"/>
        <v>MINGIC</v>
      </c>
      <c r="E67" s="159" t="str">
        <f>NameConv!C27</f>
        <v>GIC</v>
      </c>
      <c r="F67" s="30">
        <v>0</v>
      </c>
      <c r="G67" s="82">
        <f>G97</f>
        <v>70</v>
      </c>
      <c r="H67" s="82">
        <f>H97</f>
        <v>120</v>
      </c>
      <c r="I67" s="82">
        <f>H67</f>
        <v>120</v>
      </c>
      <c r="J67" s="82">
        <f>I67</f>
        <v>120</v>
      </c>
      <c r="K67" s="82">
        <v>3</v>
      </c>
      <c r="L67" s="82">
        <f>25838/1000</f>
        <v>25.838000000000001</v>
      </c>
      <c r="M67" s="82">
        <f>25838/1000</f>
        <v>25.838000000000001</v>
      </c>
      <c r="N67">
        <v>0</v>
      </c>
      <c r="O67">
        <v>0</v>
      </c>
      <c r="P67">
        <v>0</v>
      </c>
      <c r="Q67"/>
      <c r="R67"/>
      <c r="S67"/>
      <c r="T67"/>
      <c r="U67"/>
      <c r="V67"/>
      <c r="W67"/>
      <c r="AC67" s="35"/>
      <c r="AD67" s="172" t="s">
        <v>1123</v>
      </c>
      <c r="AE67" s="418">
        <v>227</v>
      </c>
      <c r="AF67" s="418">
        <v>83</v>
      </c>
      <c r="AG67" s="160"/>
      <c r="AH67" s="160">
        <v>284</v>
      </c>
      <c r="AI67" s="160">
        <v>327</v>
      </c>
      <c r="AJ67" s="160"/>
      <c r="AK67" s="160"/>
      <c r="AL67" s="160"/>
      <c r="AM67" s="160"/>
      <c r="AN67" s="160"/>
      <c r="AO67" s="160"/>
      <c r="AP67" s="160"/>
      <c r="AQ67" s="160"/>
      <c r="AR67" s="160"/>
      <c r="AS67" s="160"/>
      <c r="AT67" s="160"/>
      <c r="AU67" s="160"/>
      <c r="AV67" s="160"/>
      <c r="AW67" s="160"/>
      <c r="AY67" s="157"/>
    </row>
    <row r="68" spans="1:58" ht="14.5" x14ac:dyDescent="0.35">
      <c r="A68" s="158" t="str">
        <f t="shared" si="20"/>
        <v>Extraction of Gas Indigenous Ibhubezi</v>
      </c>
      <c r="B68" s="30" t="str">
        <f t="shared" si="21"/>
        <v>MINGIB</v>
      </c>
      <c r="E68" s="159" t="str">
        <f>NameConv!C25</f>
        <v>GIB</v>
      </c>
      <c r="F68" s="30">
        <v>0</v>
      </c>
      <c r="G68" s="82">
        <f t="shared" ref="G68:J69" si="24">SUMIF($E$37:$E$42,$E68,G$37:G$42)*$F$54</f>
        <v>117.73934470134871</v>
      </c>
      <c r="H68" s="82">
        <f t="shared" si="24"/>
        <v>121.47218561739591</v>
      </c>
      <c r="I68" s="82">
        <f t="shared" si="24"/>
        <v>111.49620902079818</v>
      </c>
      <c r="J68" s="82">
        <f t="shared" si="24"/>
        <v>142.01096096333239</v>
      </c>
      <c r="K68" s="82">
        <v>3</v>
      </c>
      <c r="L68" s="82"/>
      <c r="M68" s="82"/>
      <c r="N68"/>
      <c r="O68">
        <f>80*365/1000</f>
        <v>29.2</v>
      </c>
      <c r="P68"/>
      <c r="Q68"/>
      <c r="R68"/>
      <c r="S68"/>
      <c r="T68"/>
      <c r="U68"/>
      <c r="V68">
        <v>2025</v>
      </c>
      <c r="W68">
        <f>544*1.055</f>
        <v>573.91999999999996</v>
      </c>
      <c r="AC68" s="35"/>
      <c r="AD68" s="172" t="s">
        <v>1124</v>
      </c>
      <c r="AE68" s="418">
        <v>50</v>
      </c>
      <c r="AF68" s="418">
        <v>179</v>
      </c>
      <c r="AG68" s="160"/>
      <c r="AH68" s="160">
        <v>47</v>
      </c>
      <c r="AI68" s="160">
        <v>93</v>
      </c>
      <c r="AJ68" s="160"/>
      <c r="AK68" s="160"/>
      <c r="AL68" s="160"/>
      <c r="AM68" s="160"/>
      <c r="AN68" s="160"/>
      <c r="AO68" s="160"/>
      <c r="AP68" s="160"/>
      <c r="AQ68" s="160"/>
      <c r="AR68" s="160"/>
      <c r="AS68" s="160"/>
      <c r="AT68" s="160"/>
      <c r="AU68" s="160"/>
      <c r="AV68" s="160"/>
      <c r="AW68" s="160"/>
      <c r="AY68" s="157"/>
    </row>
    <row r="69" spans="1:58" ht="14.5" x14ac:dyDescent="0.35">
      <c r="A69" s="158" t="s">
        <v>348</v>
      </c>
      <c r="B69" s="30" t="str">
        <f>$B$46&amp;E69</f>
        <v>MINGAS</v>
      </c>
      <c r="E69" s="159" t="str">
        <f>NameConv!C19</f>
        <v>GAS</v>
      </c>
      <c r="F69" s="30">
        <v>0</v>
      </c>
      <c r="G69" s="82">
        <f t="shared" si="24"/>
        <v>106.47694185774681</v>
      </c>
      <c r="H69" s="82">
        <f t="shared" si="24"/>
        <v>106.47694185774681</v>
      </c>
      <c r="I69" s="82">
        <f t="shared" si="24"/>
        <v>106.47694185774681</v>
      </c>
      <c r="J69" s="82">
        <f t="shared" si="24"/>
        <v>106.47694185774681</v>
      </c>
      <c r="K69" s="82">
        <v>3</v>
      </c>
      <c r="L69" s="82">
        <v>0</v>
      </c>
      <c r="M69" s="82"/>
      <c r="N69"/>
      <c r="O69"/>
      <c r="P69"/>
      <c r="Q69"/>
      <c r="R69"/>
      <c r="S69"/>
      <c r="T69"/>
      <c r="U69"/>
      <c r="V69">
        <v>2030</v>
      </c>
      <c r="W69">
        <v>6100</v>
      </c>
      <c r="AC69" s="35"/>
      <c r="AD69" s="172" t="s">
        <v>1125</v>
      </c>
      <c r="AE69" s="418">
        <f>AE66-AE68</f>
        <v>288</v>
      </c>
      <c r="AF69" s="418">
        <f>AF66-AF68</f>
        <v>162</v>
      </c>
      <c r="AG69" s="160">
        <f>AVERAGE(AE69:AF69)</f>
        <v>225</v>
      </c>
      <c r="AH69" s="418">
        <f t="shared" ref="AH69:AI69" si="25">AH66-AH68</f>
        <v>563</v>
      </c>
      <c r="AI69" s="418">
        <f t="shared" si="25"/>
        <v>727</v>
      </c>
      <c r="AJ69" s="160">
        <f>AVERAGE(AH69:AI69)</f>
        <v>645</v>
      </c>
      <c r="AK69" s="160"/>
      <c r="AL69" s="160"/>
      <c r="AM69" s="160"/>
      <c r="AN69" s="160"/>
      <c r="AO69" s="160"/>
      <c r="AP69" s="160"/>
      <c r="AQ69" s="160"/>
      <c r="AR69" s="160"/>
      <c r="AS69" s="160"/>
      <c r="AT69" s="160"/>
      <c r="AU69" s="160"/>
      <c r="AV69" s="160"/>
      <c r="AW69" s="160"/>
      <c r="AY69" s="157"/>
    </row>
    <row r="70" spans="1:58" ht="14.5" x14ac:dyDescent="0.35">
      <c r="A70" s="158" t="str">
        <f>"Extraction of "&amp;INDEX(FuelNamesLong,MATCH(E70,FuelNamesShort,0))</f>
        <v>Extraction of Gas Indigenous Shale</v>
      </c>
      <c r="B70" s="30" t="str">
        <f t="shared" si="21"/>
        <v>MINGIH</v>
      </c>
      <c r="E70" s="159" t="str">
        <f>NameConv!C26</f>
        <v>GIH</v>
      </c>
      <c r="F70" s="30">
        <v>0</v>
      </c>
      <c r="G70" s="82">
        <f>SUMIF($F$22:$F$42,$E70,J$22:J$42)</f>
        <v>0</v>
      </c>
      <c r="H70" s="82">
        <f>SUMIF($F$22:$F$42,$E70,K$22:K$42)</f>
        <v>0</v>
      </c>
      <c r="I70" s="82">
        <f>SUMIF($F$22:$F$42,$E70,L$22:L$42)</f>
        <v>0</v>
      </c>
      <c r="J70" s="82">
        <f>SUMIF($F$22:$F$42,$E70,M$22:M$42)</f>
        <v>0</v>
      </c>
      <c r="K70" s="82">
        <v>3</v>
      </c>
      <c r="L70" s="82">
        <v>0</v>
      </c>
      <c r="M70" s="82"/>
      <c r="N70"/>
      <c r="O70"/>
      <c r="P70"/>
      <c r="Q70"/>
      <c r="R70"/>
      <c r="S70"/>
      <c r="T70"/>
      <c r="U70"/>
      <c r="V70">
        <v>2027</v>
      </c>
      <c r="W70">
        <v>40000</v>
      </c>
      <c r="AC70" s="35"/>
      <c r="AD70" s="35"/>
      <c r="AE70" s="160"/>
      <c r="AF70" s="160"/>
      <c r="AG70" s="160"/>
      <c r="AH70" s="160"/>
      <c r="AI70" s="160"/>
      <c r="AJ70" s="160"/>
      <c r="AK70" s="160"/>
      <c r="AL70" s="160"/>
      <c r="AM70" s="160"/>
      <c r="AN70" s="160"/>
      <c r="AO70" s="160"/>
      <c r="AP70" s="160"/>
      <c r="AQ70" s="160"/>
      <c r="AR70" s="160"/>
      <c r="AS70" s="160"/>
      <c r="AT70" s="160"/>
      <c r="AU70" s="160"/>
      <c r="AV70" s="160"/>
      <c r="AW70" s="160"/>
      <c r="AY70" s="157"/>
    </row>
    <row r="71" spans="1:58" ht="14.5" x14ac:dyDescent="0.35">
      <c r="A71" s="155" t="s">
        <v>349</v>
      </c>
      <c r="B71" s="30"/>
      <c r="E71" s="159"/>
      <c r="G71" s="82"/>
      <c r="H71" s="82"/>
      <c r="I71" s="82"/>
      <c r="J71" s="82"/>
      <c r="K71" s="82"/>
      <c r="L71" s="82"/>
      <c r="M71" s="82"/>
      <c r="N71"/>
      <c r="O71"/>
      <c r="P71"/>
      <c r="Q71"/>
      <c r="R71"/>
      <c r="S71"/>
      <c r="T71"/>
      <c r="U71"/>
      <c r="V71"/>
      <c r="W71"/>
      <c r="AC71" s="35"/>
      <c r="AD71" s="35"/>
      <c r="AE71" s="35"/>
      <c r="AF71" s="35"/>
      <c r="AG71" s="35"/>
      <c r="AH71" s="35"/>
      <c r="AI71" s="35"/>
      <c r="AJ71" s="35"/>
      <c r="AK71" s="160"/>
      <c r="AL71" s="160"/>
      <c r="AM71" s="160"/>
      <c r="AN71" s="160"/>
      <c r="AO71" s="160"/>
      <c r="AP71" s="160"/>
      <c r="AQ71" s="160"/>
      <c r="AR71" s="160"/>
      <c r="AS71" s="160"/>
      <c r="AT71" s="160"/>
      <c r="AU71" s="160"/>
      <c r="AV71" s="160"/>
      <c r="AW71" s="160"/>
      <c r="AX71" s="160"/>
      <c r="AY71" s="160"/>
      <c r="AZ71" s="160"/>
      <c r="BA71" s="160"/>
      <c r="BB71" s="160"/>
      <c r="BC71" s="160"/>
      <c r="BD71" s="160"/>
      <c r="BF71" s="157"/>
    </row>
    <row r="72" spans="1:58" ht="14.5" x14ac:dyDescent="0.35">
      <c r="A72" s="158" t="str">
        <f t="shared" ref="A72:A79" si="26">"Extraction of "&amp;INDEX(FuelNamesLong,MATCH(E72,FuelNamesShort,0))</f>
        <v>Extraction of Biogas</v>
      </c>
      <c r="B72" s="30" t="str">
        <f t="shared" ref="B72:B78" si="27">$B$46&amp;E72</f>
        <v>MINBIG</v>
      </c>
      <c r="E72" s="159" t="str">
        <f>NameConv!C5</f>
        <v>BIG</v>
      </c>
      <c r="F72" s="30">
        <v>0</v>
      </c>
      <c r="G72" s="82">
        <f>G74</f>
        <v>59.346000000000004</v>
      </c>
      <c r="H72" s="82">
        <f t="shared" ref="H72:J72" si="28">H74</f>
        <v>59.346000000000004</v>
      </c>
      <c r="I72" s="82">
        <f t="shared" si="28"/>
        <v>59.346000000000004</v>
      </c>
      <c r="J72" s="82">
        <f t="shared" si="28"/>
        <v>59.346000000000004</v>
      </c>
      <c r="K72" s="82"/>
      <c r="L72" s="82"/>
      <c r="M72" s="82"/>
      <c r="N72"/>
      <c r="O72"/>
      <c r="P72"/>
      <c r="Q72"/>
      <c r="R72"/>
      <c r="S72"/>
      <c r="T72"/>
      <c r="U72"/>
      <c r="V72"/>
      <c r="W72" t="str">
        <f t="shared" ref="W72:W79" si="29">$W$60</f>
        <v/>
      </c>
      <c r="AC72" s="35"/>
      <c r="AD72" s="35"/>
      <c r="AE72" s="35"/>
      <c r="AF72" s="35"/>
      <c r="AG72" s="35"/>
      <c r="AH72" s="35"/>
      <c r="AI72" s="35"/>
      <c r="AJ72" s="35"/>
      <c r="AK72" s="160"/>
      <c r="AL72" s="160"/>
      <c r="AM72" s="160"/>
      <c r="AN72" s="160"/>
      <c r="AO72" s="160"/>
      <c r="AP72" s="160"/>
      <c r="AQ72" s="160"/>
      <c r="AR72" s="160"/>
      <c r="AS72" s="160"/>
      <c r="AT72" s="160"/>
      <c r="AU72" s="160"/>
      <c r="AV72" s="160"/>
      <c r="AW72" s="160"/>
      <c r="AX72" s="160"/>
      <c r="AY72" s="160"/>
      <c r="AZ72" s="160"/>
      <c r="BA72" s="160"/>
      <c r="BB72" s="160"/>
      <c r="BC72" s="160"/>
      <c r="BD72" s="160"/>
      <c r="BF72" s="157"/>
    </row>
    <row r="73" spans="1:58" ht="14.5" x14ac:dyDescent="0.35">
      <c r="A73" s="158" t="str">
        <f t="shared" si="26"/>
        <v>Extraction of Biomass bagasse</v>
      </c>
      <c r="B73" s="30" t="str">
        <f t="shared" si="27"/>
        <v>MINBIB</v>
      </c>
      <c r="E73" s="159" t="str">
        <f>NameConv!C8</f>
        <v>BIB</v>
      </c>
      <c r="F73" s="30">
        <v>0</v>
      </c>
      <c r="G73" s="82">
        <f>G60</f>
        <v>56.52</v>
      </c>
      <c r="H73" s="82">
        <f>G73</f>
        <v>56.52</v>
      </c>
      <c r="I73" s="82">
        <f>H73</f>
        <v>56.52</v>
      </c>
      <c r="J73" s="82">
        <f>I73</f>
        <v>56.52</v>
      </c>
      <c r="K73" s="82"/>
      <c r="L73" s="82"/>
      <c r="M73" s="82"/>
      <c r="N73"/>
      <c r="O73"/>
      <c r="P73"/>
      <c r="Q73"/>
      <c r="R73"/>
      <c r="S73"/>
      <c r="T73"/>
      <c r="U73"/>
      <c r="V73"/>
      <c r="W73" t="str">
        <f t="shared" si="29"/>
        <v/>
      </c>
      <c r="AC73" s="35"/>
      <c r="AD73" s="35"/>
      <c r="AE73" s="35"/>
      <c r="AF73" s="35"/>
      <c r="AG73" s="35"/>
      <c r="AH73" s="35"/>
      <c r="AI73" s="35"/>
      <c r="AJ73" s="35"/>
      <c r="AK73" s="160"/>
      <c r="AL73" s="160"/>
      <c r="AM73" s="160"/>
      <c r="AN73" s="160"/>
      <c r="AO73" s="160"/>
      <c r="AP73" s="160"/>
      <c r="AQ73" s="160"/>
      <c r="AR73" s="160"/>
      <c r="AS73" s="160"/>
      <c r="AT73" s="160"/>
      <c r="AU73" s="160"/>
      <c r="AV73" s="160"/>
      <c r="AW73" s="160"/>
      <c r="AX73" s="160"/>
      <c r="AY73" s="160"/>
      <c r="AZ73" s="160"/>
      <c r="BA73" s="160"/>
      <c r="BB73" s="160"/>
      <c r="BC73" s="160"/>
      <c r="BD73" s="160"/>
      <c r="BF73" s="157"/>
    </row>
    <row r="74" spans="1:58" ht="14.5" x14ac:dyDescent="0.35">
      <c r="A74" s="158" t="str">
        <f t="shared" si="26"/>
        <v>Extraction of Biomass Other</v>
      </c>
      <c r="B74" s="30" t="str">
        <f t="shared" si="27"/>
        <v>MINBIO</v>
      </c>
      <c r="E74" s="159" t="str">
        <f>NameConv!C9</f>
        <v>BIO</v>
      </c>
      <c r="F74" s="30">
        <v>0</v>
      </c>
      <c r="G74" s="82">
        <f t="shared" ref="G74:J74" si="30">G60*1.05</f>
        <v>59.346000000000004</v>
      </c>
      <c r="H74" s="82">
        <f t="shared" si="30"/>
        <v>59.346000000000004</v>
      </c>
      <c r="I74" s="82">
        <f t="shared" si="30"/>
        <v>59.346000000000004</v>
      </c>
      <c r="J74" s="82">
        <f t="shared" si="30"/>
        <v>59.346000000000004</v>
      </c>
      <c r="K74" s="82">
        <v>3</v>
      </c>
      <c r="L74" s="82">
        <v>167</v>
      </c>
      <c r="N74"/>
      <c r="O74"/>
      <c r="P74" s="82">
        <f>L74*1.5</f>
        <v>250.5</v>
      </c>
      <c r="Q74" s="82"/>
      <c r="R74" s="82"/>
      <c r="S74" s="82"/>
      <c r="T74" s="82"/>
      <c r="U74" s="82"/>
      <c r="V74"/>
      <c r="W74" t="str">
        <f t="shared" si="29"/>
        <v/>
      </c>
      <c r="AC74" s="35"/>
      <c r="AD74" s="35"/>
      <c r="AE74" s="35"/>
      <c r="AF74" s="35"/>
      <c r="AG74" s="35"/>
      <c r="AH74" s="35"/>
      <c r="AI74" s="35"/>
      <c r="AJ74" s="35"/>
      <c r="AK74" s="160"/>
      <c r="AL74" s="160"/>
      <c r="AM74" s="160"/>
      <c r="AN74" s="160"/>
      <c r="AO74" s="160"/>
      <c r="AP74" s="160"/>
      <c r="AQ74" s="160"/>
      <c r="AR74" s="160"/>
      <c r="AS74" s="160"/>
      <c r="AT74" s="160"/>
      <c r="AU74" s="160"/>
      <c r="AV74" s="160"/>
      <c r="AW74" s="160"/>
      <c r="AX74" s="160"/>
      <c r="AY74" s="160"/>
      <c r="AZ74" s="160"/>
      <c r="BA74" s="160"/>
      <c r="BB74" s="160"/>
      <c r="BC74" s="160"/>
      <c r="BD74" s="160"/>
      <c r="BF74" s="157"/>
    </row>
    <row r="75" spans="1:58" ht="14.5" x14ac:dyDescent="0.35">
      <c r="A75" s="158" t="str">
        <f t="shared" si="26"/>
        <v>Extraction of Biomass Wood</v>
      </c>
      <c r="B75" s="30" t="str">
        <f t="shared" si="27"/>
        <v>MINBIW</v>
      </c>
      <c r="E75" s="159" t="str">
        <f>NameConv!C10</f>
        <v>BIW</v>
      </c>
      <c r="F75" s="30">
        <v>0</v>
      </c>
      <c r="G75" s="82">
        <f>G60</f>
        <v>56.52</v>
      </c>
      <c r="H75" s="82">
        <f t="shared" ref="H75:J76" si="31">G75</f>
        <v>56.52</v>
      </c>
      <c r="I75" s="82">
        <f t="shared" si="31"/>
        <v>56.52</v>
      </c>
      <c r="J75" s="82">
        <f t="shared" si="31"/>
        <v>56.52</v>
      </c>
      <c r="K75" s="82">
        <v>3</v>
      </c>
      <c r="L75" s="82">
        <v>177</v>
      </c>
      <c r="N75"/>
      <c r="O75"/>
      <c r="P75" s="82">
        <f>L75*2</f>
        <v>354</v>
      </c>
      <c r="Q75" s="82"/>
      <c r="R75" s="82"/>
      <c r="S75" s="82"/>
      <c r="T75" s="82"/>
      <c r="U75" s="82"/>
      <c r="V75"/>
      <c r="W75" t="str">
        <f t="shared" si="29"/>
        <v/>
      </c>
      <c r="AC75" s="35"/>
      <c r="AD75" s="35"/>
      <c r="AE75" s="35"/>
      <c r="AF75" s="35"/>
      <c r="AG75" s="35"/>
      <c r="AH75" s="35"/>
      <c r="AI75" s="35"/>
      <c r="AJ75" s="35"/>
      <c r="AK75" s="160"/>
      <c r="AL75" s="160"/>
      <c r="AM75" s="160"/>
      <c r="AN75" s="160"/>
      <c r="AO75" s="160"/>
      <c r="AP75" s="160"/>
      <c r="AQ75" s="160"/>
      <c r="AR75" s="160"/>
      <c r="AS75" s="160"/>
      <c r="AT75" s="160"/>
      <c r="AU75" s="160"/>
      <c r="AV75" s="160"/>
      <c r="AW75" s="160"/>
      <c r="AX75" s="160"/>
      <c r="AY75" s="160"/>
      <c r="AZ75" s="160"/>
      <c r="BA75" s="160"/>
      <c r="BB75" s="160"/>
      <c r="BC75" s="160"/>
      <c r="BD75" s="160"/>
      <c r="BF75" s="157"/>
    </row>
    <row r="76" spans="1:58" ht="14.5" x14ac:dyDescent="0.35">
      <c r="A76" s="158" t="str">
        <f t="shared" si="26"/>
        <v>Extraction of Waste</v>
      </c>
      <c r="B76" s="30" t="str">
        <f>$B$46&amp;E76</f>
        <v>MINWAS</v>
      </c>
      <c r="E76" s="159" t="str">
        <f>NameConv!C47</f>
        <v>WAS</v>
      </c>
      <c r="F76" s="30">
        <v>0</v>
      </c>
      <c r="G76" s="82">
        <v>0</v>
      </c>
      <c r="H76" s="82">
        <f t="shared" si="31"/>
        <v>0</v>
      </c>
      <c r="I76" s="82">
        <f t="shared" si="31"/>
        <v>0</v>
      </c>
      <c r="J76" s="82">
        <f t="shared" si="31"/>
        <v>0</v>
      </c>
      <c r="K76" s="82">
        <v>3</v>
      </c>
      <c r="L76" s="82">
        <v>25</v>
      </c>
      <c r="M76" s="82"/>
      <c r="N76"/>
      <c r="O76"/>
      <c r="P76"/>
      <c r="Q76"/>
      <c r="R76"/>
      <c r="S76"/>
      <c r="T76"/>
      <c r="U76"/>
      <c r="V76"/>
      <c r="W76" t="str">
        <f t="shared" si="29"/>
        <v/>
      </c>
      <c r="AC76" s="35"/>
      <c r="AD76" s="35"/>
      <c r="AE76" s="35"/>
      <c r="AF76" s="35"/>
      <c r="AG76" s="35"/>
      <c r="AH76" s="35"/>
      <c r="AI76" s="35"/>
      <c r="AJ76" s="35"/>
      <c r="AK76" s="160"/>
      <c r="AL76" s="160"/>
      <c r="AM76" s="160"/>
      <c r="AN76" s="160"/>
      <c r="AO76" s="160"/>
      <c r="AP76" s="160"/>
      <c r="AQ76" s="160"/>
      <c r="AR76" s="160"/>
      <c r="AS76" s="160"/>
      <c r="AT76" s="160"/>
      <c r="AU76" s="160"/>
      <c r="AV76" s="160"/>
      <c r="AW76" s="160"/>
      <c r="AX76" s="160"/>
      <c r="AY76" s="160"/>
      <c r="AZ76" s="160"/>
      <c r="BA76" s="160"/>
      <c r="BB76" s="160"/>
      <c r="BC76" s="160"/>
      <c r="BD76" s="160"/>
      <c r="BF76" s="157"/>
    </row>
    <row r="77" spans="1:58" ht="14.5" x14ac:dyDescent="0.35">
      <c r="A77" s="158" t="str">
        <f t="shared" si="26"/>
        <v>Extraction of Hydro</v>
      </c>
      <c r="B77" s="30" t="str">
        <f>$B$46&amp;E77</f>
        <v>MINHYD</v>
      </c>
      <c r="E77" s="159" t="str">
        <f>NameConv!C33</f>
        <v>HYD</v>
      </c>
      <c r="F77" s="30">
        <v>0</v>
      </c>
      <c r="G77" s="82"/>
      <c r="H77" s="82"/>
      <c r="I77" s="82"/>
      <c r="J77" s="82"/>
      <c r="K77" s="82"/>
      <c r="L77" s="82"/>
      <c r="M77" s="82"/>
      <c r="N77"/>
      <c r="O77"/>
      <c r="P77"/>
      <c r="Q77"/>
      <c r="R77"/>
      <c r="S77"/>
      <c r="T77"/>
      <c r="U77"/>
      <c r="V77"/>
      <c r="W77" t="str">
        <f t="shared" si="29"/>
        <v/>
      </c>
      <c r="AC77" s="35"/>
      <c r="AD77" s="35"/>
      <c r="AE77" s="35"/>
      <c r="AF77" s="35"/>
      <c r="AG77" s="35"/>
      <c r="AH77" s="35"/>
      <c r="AI77" s="35"/>
      <c r="AJ77" s="35"/>
      <c r="AK77" s="160"/>
      <c r="AL77" s="160"/>
      <c r="AM77" s="160"/>
      <c r="AN77" s="160"/>
      <c r="AO77" s="160"/>
      <c r="AP77" s="160"/>
      <c r="AQ77" s="160"/>
      <c r="AR77" s="160"/>
      <c r="AS77" s="160"/>
      <c r="AT77" s="160"/>
      <c r="AU77" s="160"/>
      <c r="AV77" s="160"/>
      <c r="AW77" s="160"/>
      <c r="AX77" s="160"/>
      <c r="AY77" s="160"/>
      <c r="AZ77" s="160"/>
      <c r="BA77" s="160"/>
      <c r="BB77" s="160"/>
      <c r="BC77" s="160"/>
      <c r="BD77" s="160"/>
      <c r="BF77" s="157"/>
    </row>
    <row r="78" spans="1:58" ht="14.5" x14ac:dyDescent="0.35">
      <c r="A78" s="158" t="str">
        <f t="shared" si="26"/>
        <v>Extraction of Solar</v>
      </c>
      <c r="B78" s="30" t="str">
        <f t="shared" si="27"/>
        <v>MINSOL</v>
      </c>
      <c r="E78" s="159" t="str">
        <f>NameConv!C45</f>
        <v>SOL</v>
      </c>
      <c r="F78" s="30">
        <v>0</v>
      </c>
      <c r="G78" s="82"/>
      <c r="H78" s="82"/>
      <c r="I78" s="82"/>
      <c r="J78" s="82"/>
      <c r="K78" s="82"/>
      <c r="L78" s="82"/>
      <c r="M78" s="82"/>
      <c r="N78"/>
      <c r="O78"/>
      <c r="P78"/>
      <c r="Q78"/>
      <c r="R78"/>
      <c r="S78"/>
      <c r="T78"/>
      <c r="U78"/>
      <c r="V78"/>
      <c r="W78" t="str">
        <f t="shared" si="29"/>
        <v/>
      </c>
      <c r="AC78" s="35"/>
      <c r="AD78" s="35"/>
      <c r="AE78" s="35"/>
      <c r="AF78" s="35"/>
      <c r="AG78" s="35"/>
      <c r="AH78" s="35"/>
      <c r="AI78" s="35"/>
      <c r="AJ78" s="35"/>
      <c r="AK78" s="160"/>
      <c r="AL78" s="160"/>
      <c r="AM78" s="160"/>
      <c r="AN78" s="160"/>
      <c r="AO78" s="160"/>
      <c r="AP78" s="160"/>
      <c r="AQ78" s="160"/>
      <c r="AR78" s="160"/>
      <c r="AS78" s="160"/>
      <c r="AT78" s="160"/>
      <c r="AU78" s="160"/>
      <c r="AV78" s="160"/>
      <c r="AW78" s="160"/>
      <c r="AX78" s="160"/>
      <c r="AY78" s="160"/>
      <c r="AZ78" s="160"/>
      <c r="BA78" s="160"/>
      <c r="BB78" s="160"/>
      <c r="BC78" s="160"/>
      <c r="BD78" s="160"/>
      <c r="BF78" s="157"/>
    </row>
    <row r="79" spans="1:58" ht="14.5" x14ac:dyDescent="0.35">
      <c r="A79" s="158" t="str">
        <f t="shared" si="26"/>
        <v>Extraction of Wind</v>
      </c>
      <c r="B79" s="30" t="str">
        <f>$B$46&amp;E79</f>
        <v>MINWND</v>
      </c>
      <c r="E79" s="159" t="str">
        <f>NameConv!C46</f>
        <v>WND</v>
      </c>
      <c r="F79" s="30">
        <v>0</v>
      </c>
      <c r="G79" s="82"/>
      <c r="H79" s="82"/>
      <c r="I79" s="82"/>
      <c r="J79" s="82"/>
      <c r="K79" s="82"/>
      <c r="L79" s="82"/>
      <c r="M79" s="82"/>
      <c r="N79"/>
      <c r="O79"/>
      <c r="P79"/>
      <c r="Q79"/>
      <c r="R79"/>
      <c r="S79"/>
      <c r="T79"/>
      <c r="U79"/>
      <c r="V79"/>
      <c r="W79" t="str">
        <f t="shared" si="29"/>
        <v/>
      </c>
      <c r="AC79" s="35"/>
      <c r="AD79" s="35"/>
      <c r="AE79" s="35"/>
      <c r="AF79" s="35"/>
      <c r="AG79" s="35"/>
      <c r="AH79" s="35"/>
      <c r="AI79" s="35"/>
      <c r="AJ79" s="35"/>
      <c r="AK79" s="160"/>
      <c r="AL79" s="160"/>
      <c r="AM79" s="160"/>
      <c r="AN79" s="160"/>
      <c r="AO79" s="160"/>
      <c r="AP79" s="160"/>
      <c r="AQ79" s="160"/>
      <c r="AR79" s="160"/>
      <c r="AS79" s="160"/>
      <c r="AT79" s="160"/>
      <c r="AU79" s="160"/>
      <c r="AV79" s="160"/>
      <c r="AW79" s="160"/>
      <c r="AX79" s="160"/>
      <c r="AY79" s="160"/>
      <c r="AZ79" s="160"/>
      <c r="BA79" s="160"/>
      <c r="BB79" s="160"/>
      <c r="BC79" s="160"/>
      <c r="BD79" s="160"/>
      <c r="BF79" s="157"/>
    </row>
    <row r="80" spans="1:58" ht="14.5" x14ac:dyDescent="0.35">
      <c r="A80" s="155" t="s">
        <v>350</v>
      </c>
      <c r="B80" s="38"/>
      <c r="E80" s="159"/>
      <c r="G80" s="82"/>
      <c r="H80" s="82"/>
      <c r="I80" s="82"/>
      <c r="J80" s="82"/>
      <c r="K80" s="82"/>
      <c r="L80" s="82"/>
      <c r="M80" s="82"/>
      <c r="N80"/>
      <c r="O80"/>
      <c r="P80"/>
      <c r="Q80"/>
      <c r="R80"/>
      <c r="S80"/>
      <c r="T80"/>
      <c r="U80"/>
      <c r="V80"/>
      <c r="W80"/>
      <c r="AC80" s="35"/>
      <c r="AD80" s="35"/>
      <c r="AE80" s="35"/>
      <c r="AF80" s="35"/>
      <c r="AG80" s="35"/>
      <c r="AH80" s="35"/>
      <c r="AI80" s="35"/>
      <c r="AJ80" s="35"/>
      <c r="AK80" s="160"/>
      <c r="AL80" s="160"/>
      <c r="AM80" s="160"/>
      <c r="AN80" s="160"/>
      <c r="AO80" s="160"/>
      <c r="AP80" s="160"/>
      <c r="AQ80" s="160"/>
      <c r="AR80" s="160"/>
      <c r="AS80" s="160"/>
      <c r="AT80" s="160"/>
      <c r="AU80" s="160"/>
      <c r="AV80" s="160"/>
      <c r="AW80" s="160"/>
      <c r="AX80" s="160"/>
      <c r="AY80" s="160"/>
      <c r="AZ80" s="160"/>
      <c r="BA80" s="160"/>
      <c r="BB80" s="160"/>
      <c r="BC80" s="160"/>
      <c r="BD80" s="160"/>
      <c r="BF80" s="157"/>
    </row>
    <row r="81" spans="1:58" ht="14.5" x14ac:dyDescent="0.35">
      <c r="A81" s="158" t="str">
        <f t="shared" ref="A81:A95" si="32">"Imports of "&amp;INDEX(FuelNamesLong,MATCH(E81,FuelNamesShort,0))</f>
        <v>Imports of Coal Coking</v>
      </c>
      <c r="B81" s="30" t="str">
        <f>"IMP"&amp;E81</f>
        <v>IMPCOK</v>
      </c>
      <c r="E81" s="159" t="str">
        <f>NameConv!C12</f>
        <v>COK</v>
      </c>
      <c r="F81" s="30">
        <v>0</v>
      </c>
      <c r="G81" s="82">
        <f t="shared" ref="G81" si="33">G60*1.5</f>
        <v>84.78</v>
      </c>
      <c r="H81" s="82">
        <f>H60*1.5</f>
        <v>84.78</v>
      </c>
      <c r="I81" s="82">
        <f t="shared" ref="I81:J81" si="34">I60*1.5</f>
        <v>84.78</v>
      </c>
      <c r="J81" s="82">
        <f t="shared" si="34"/>
        <v>84.78</v>
      </c>
      <c r="K81" s="82">
        <v>3</v>
      </c>
      <c r="L81" s="82"/>
      <c r="M81" s="82"/>
      <c r="N81"/>
      <c r="O81"/>
      <c r="P81"/>
      <c r="Q81"/>
      <c r="R81"/>
      <c r="S81"/>
      <c r="T81"/>
      <c r="U81"/>
      <c r="V81"/>
      <c r="W81" t="str">
        <f t="shared" ref="W81:W95" si="35">$W$60</f>
        <v/>
      </c>
      <c r="AC81" s="35"/>
      <c r="AD81" s="35"/>
      <c r="AE81" s="35"/>
      <c r="AF81" s="35"/>
      <c r="AG81" s="35"/>
      <c r="AH81" s="35"/>
      <c r="AI81" s="35"/>
      <c r="AJ81" s="35"/>
      <c r="AK81" s="160"/>
      <c r="AL81" s="160"/>
      <c r="AM81" s="160"/>
      <c r="AN81" s="160"/>
      <c r="AO81" s="160"/>
      <c r="AP81" s="160"/>
      <c r="AQ81" s="160"/>
      <c r="AR81" s="160"/>
      <c r="AS81" s="160"/>
      <c r="AT81" s="160"/>
      <c r="AU81" s="160"/>
      <c r="AV81" s="160"/>
      <c r="AW81" s="160"/>
      <c r="AX81" s="160"/>
      <c r="AY81" s="160"/>
      <c r="AZ81" s="160"/>
      <c r="BA81" s="160"/>
      <c r="BB81" s="160"/>
      <c r="BC81" s="160"/>
      <c r="BD81" s="160"/>
      <c r="BF81" s="157"/>
    </row>
    <row r="82" spans="1:58" ht="14.5" x14ac:dyDescent="0.35">
      <c r="A82" s="158" t="s">
        <v>1058</v>
      </c>
      <c r="B82" s="30"/>
      <c r="E82" s="159" t="str">
        <f>E83</f>
        <v>GRL</v>
      </c>
      <c r="F82" s="30"/>
      <c r="G82" s="82">
        <f>G83/G15</f>
        <v>8.7491242874264614</v>
      </c>
      <c r="H82" s="82">
        <f t="shared" ref="H82:J82" si="36">H83/H15</f>
        <v>9.0144883767620421</v>
      </c>
      <c r="I82" s="82">
        <f t="shared" si="36"/>
        <v>8.3053057450005809</v>
      </c>
      <c r="J82" s="82">
        <f t="shared" si="36"/>
        <v>10.474570265682702</v>
      </c>
      <c r="K82" s="82"/>
      <c r="L82" s="82"/>
      <c r="M82" s="82"/>
      <c r="N82"/>
      <c r="O82"/>
      <c r="P82"/>
      <c r="Q82"/>
      <c r="R82"/>
      <c r="S82"/>
      <c r="T82"/>
      <c r="U82"/>
      <c r="V82"/>
      <c r="W82"/>
      <c r="AC82" s="35"/>
      <c r="AD82" s="35"/>
      <c r="AE82" s="35"/>
      <c r="AF82" s="35"/>
      <c r="AG82" s="35"/>
      <c r="AH82" s="35"/>
      <c r="AI82" s="35"/>
      <c r="AJ82" s="35"/>
      <c r="AK82" s="160"/>
      <c r="AL82" s="160"/>
      <c r="AM82" s="160"/>
      <c r="AN82" s="160"/>
      <c r="AO82" s="160"/>
      <c r="AP82" s="160"/>
      <c r="AQ82" s="160"/>
      <c r="AR82" s="160"/>
      <c r="AS82" s="160"/>
      <c r="AT82" s="160"/>
      <c r="AU82" s="160"/>
      <c r="AV82" s="160"/>
      <c r="AW82" s="160"/>
      <c r="AX82" s="160"/>
      <c r="AY82" s="160"/>
      <c r="AZ82" s="160"/>
      <c r="BA82" s="160"/>
      <c r="BB82" s="160"/>
      <c r="BC82" s="160"/>
      <c r="BD82" s="160"/>
      <c r="BF82" s="157"/>
    </row>
    <row r="83" spans="1:58" ht="14.5" x14ac:dyDescent="0.35">
      <c r="A83" s="158" t="str">
        <f t="shared" si="32"/>
        <v>Imports of Gas Regional LNG</v>
      </c>
      <c r="B83" s="30" t="str">
        <f>"IMP"&amp;E83</f>
        <v>IMPGRL</v>
      </c>
      <c r="E83" s="159" t="str">
        <f>NameConv!C22</f>
        <v>GRL</v>
      </c>
      <c r="F83" s="30">
        <v>0</v>
      </c>
      <c r="G83" s="82">
        <f t="shared" ref="G83:J84" si="37">SUMIF($C$37:$C$42,$B83,G$37:G$42)*$F$54</f>
        <v>143.92309452816528</v>
      </c>
      <c r="H83" s="82">
        <f t="shared" si="37"/>
        <v>148.28833379773559</v>
      </c>
      <c r="I83" s="82">
        <f t="shared" si="37"/>
        <v>136.62227950525954</v>
      </c>
      <c r="J83" s="82">
        <f t="shared" si="37"/>
        <v>172.30668087048045</v>
      </c>
      <c r="K83" s="82"/>
      <c r="L83" s="82"/>
      <c r="M83" s="82"/>
      <c r="N83"/>
      <c r="O83"/>
      <c r="P83"/>
      <c r="Q83"/>
      <c r="R83"/>
      <c r="S83"/>
      <c r="T83"/>
      <c r="U83"/>
      <c r="V83">
        <v>2027</v>
      </c>
      <c r="W83" t="str">
        <f t="shared" si="35"/>
        <v/>
      </c>
      <c r="AC83" s="35"/>
      <c r="AD83" s="35"/>
      <c r="AE83" s="35"/>
      <c r="AF83" s="35"/>
      <c r="AG83" s="35"/>
      <c r="AH83" s="35"/>
      <c r="AI83" s="35"/>
      <c r="AJ83" s="35"/>
      <c r="AK83" s="160"/>
      <c r="AL83" s="160"/>
      <c r="AM83" s="160"/>
      <c r="AN83" s="160"/>
      <c r="AO83" s="160"/>
      <c r="AP83" s="160"/>
      <c r="AQ83" s="160"/>
      <c r="AR83" s="160"/>
      <c r="AS83" s="160"/>
      <c r="AT83" s="160"/>
      <c r="AU83" s="160"/>
      <c r="AV83" s="160"/>
      <c r="AW83" s="160"/>
      <c r="AX83" s="160"/>
      <c r="AY83" s="160"/>
      <c r="AZ83" s="160"/>
      <c r="BA83" s="160"/>
      <c r="BB83" s="160"/>
      <c r="BC83" s="160"/>
      <c r="BD83" s="160"/>
      <c r="BF83" s="157"/>
    </row>
    <row r="84" spans="1:58" ht="14.5" x14ac:dyDescent="0.35">
      <c r="A84" s="158" t="str">
        <f t="shared" si="32"/>
        <v>Imports of Gas International LNG</v>
      </c>
      <c r="B84" s="30" t="str">
        <f>"IMP"&amp;NameConv!C23</f>
        <v>IMPGWL</v>
      </c>
      <c r="E84" s="159" t="str">
        <f>NameConv!C23</f>
        <v>GWL</v>
      </c>
      <c r="F84" s="30">
        <v>0</v>
      </c>
      <c r="G84" s="82">
        <f t="shared" si="37"/>
        <v>150.16006135280986</v>
      </c>
      <c r="H84" s="82">
        <f t="shared" si="37"/>
        <v>154.52530062238017</v>
      </c>
      <c r="I84" s="82">
        <f t="shared" si="37"/>
        <v>142.85924632990407</v>
      </c>
      <c r="J84" s="82">
        <f t="shared" si="37"/>
        <v>178.543647695125</v>
      </c>
      <c r="K84" s="82" t="s">
        <v>252</v>
      </c>
      <c r="L84" s="82" t="s">
        <v>252</v>
      </c>
      <c r="M84" s="82" t="s">
        <v>252</v>
      </c>
      <c r="N84"/>
      <c r="O84" t="s">
        <v>252</v>
      </c>
      <c r="P84" t="s">
        <v>252</v>
      </c>
      <c r="Q84"/>
      <c r="R84"/>
      <c r="S84"/>
      <c r="T84"/>
      <c r="U84"/>
      <c r="V84">
        <v>2027</v>
      </c>
      <c r="W84" t="str">
        <f t="shared" si="35"/>
        <v/>
      </c>
      <c r="AB84" s="161"/>
      <c r="AC84" s="162"/>
      <c r="AD84" s="35"/>
      <c r="AE84" s="35"/>
      <c r="AF84" s="35"/>
      <c r="AG84" s="35"/>
      <c r="AH84" s="35"/>
      <c r="AI84" s="35"/>
      <c r="AJ84" s="35"/>
      <c r="AK84" s="160"/>
      <c r="AL84" s="160"/>
      <c r="AM84" s="160"/>
      <c r="AN84" s="160"/>
      <c r="AO84" s="160"/>
      <c r="AP84" s="160"/>
      <c r="AQ84" s="160"/>
      <c r="AR84" s="160"/>
      <c r="AS84" s="160"/>
      <c r="AT84" s="160"/>
      <c r="AU84" s="160"/>
      <c r="AV84" s="160"/>
      <c r="AW84" s="160"/>
      <c r="AX84" s="160"/>
      <c r="AY84" s="160"/>
      <c r="AZ84" s="160"/>
      <c r="BA84" s="160"/>
      <c r="BB84" s="160"/>
      <c r="BC84" s="160"/>
      <c r="BD84" s="160"/>
      <c r="BF84" s="157"/>
    </row>
    <row r="85" spans="1:58" ht="14.5" x14ac:dyDescent="0.35">
      <c r="A85" s="158" t="s">
        <v>1058</v>
      </c>
      <c r="B85" s="30"/>
      <c r="E85" s="159" t="str">
        <f>E84</f>
        <v>GWL</v>
      </c>
      <c r="F85" s="30"/>
      <c r="G85" s="82">
        <f>G84/G15</f>
        <v>9.1282712068577432</v>
      </c>
      <c r="H85" s="82">
        <f t="shared" ref="H85:J85" si="38">H84/H15</f>
        <v>9.3936352961933238</v>
      </c>
      <c r="I85" s="82">
        <f t="shared" si="38"/>
        <v>8.6844526644318591</v>
      </c>
      <c r="J85" s="82">
        <f t="shared" si="38"/>
        <v>10.853717185113982</v>
      </c>
      <c r="K85" s="82"/>
      <c r="L85" s="82"/>
      <c r="M85" s="82"/>
      <c r="N85"/>
      <c r="O85"/>
      <c r="P85"/>
      <c r="Q85"/>
      <c r="R85"/>
      <c r="S85"/>
      <c r="T85"/>
      <c r="U85"/>
      <c r="V85"/>
      <c r="W85"/>
      <c r="AB85" s="161"/>
      <c r="AC85" s="162"/>
      <c r="AD85" s="35"/>
      <c r="AE85" s="35"/>
      <c r="AF85" s="35"/>
      <c r="AG85" s="35"/>
      <c r="AH85" s="35"/>
      <c r="AI85" s="35"/>
      <c r="AJ85" s="35"/>
      <c r="AK85" s="160"/>
      <c r="AL85" s="160"/>
      <c r="AM85" s="160"/>
      <c r="AN85" s="160"/>
      <c r="AO85" s="160"/>
      <c r="AP85" s="160"/>
      <c r="AQ85" s="160"/>
      <c r="AR85" s="160"/>
      <c r="AS85" s="160"/>
      <c r="AT85" s="160"/>
      <c r="AU85" s="160"/>
      <c r="AV85" s="160"/>
      <c r="AW85" s="160"/>
      <c r="AX85" s="160"/>
      <c r="AY85" s="160"/>
      <c r="AZ85" s="160"/>
      <c r="BA85" s="160"/>
      <c r="BB85" s="160"/>
      <c r="BC85" s="160"/>
      <c r="BD85" s="160"/>
      <c r="BF85" s="157"/>
    </row>
    <row r="86" spans="1:58" ht="14.5" x14ac:dyDescent="0.35">
      <c r="A86" s="158" t="str">
        <f t="shared" si="32"/>
        <v>Imports of Nuclear</v>
      </c>
      <c r="B86" s="30" t="str">
        <f t="shared" ref="B86:B94" si="39">"IMP"&amp;E86</f>
        <v>IMPNUC</v>
      </c>
      <c r="E86" s="159" t="str">
        <f>NameConv!C35</f>
        <v>NUC</v>
      </c>
      <c r="F86" s="30">
        <v>0</v>
      </c>
      <c r="G86" s="82">
        <f>9.1*1.152</f>
        <v>10.483199999999998</v>
      </c>
      <c r="H86" s="82">
        <f>G86</f>
        <v>10.483199999999998</v>
      </c>
      <c r="I86" s="82">
        <f>H86</f>
        <v>10.483199999999998</v>
      </c>
      <c r="J86" s="82">
        <f>I86</f>
        <v>10.483199999999998</v>
      </c>
      <c r="K86" s="82">
        <v>0</v>
      </c>
      <c r="L86" s="82">
        <f t="shared" ref="L86:L88" si="40">SUMIF($C$8:$BG$8,E86,$C$11:$BG$11)</f>
        <v>170.374545454545</v>
      </c>
      <c r="M86" s="82"/>
      <c r="N86"/>
      <c r="O86"/>
      <c r="P86"/>
      <c r="Q86"/>
      <c r="R86"/>
      <c r="S86"/>
      <c r="T86"/>
      <c r="U86"/>
      <c r="V86"/>
      <c r="W86" t="str">
        <f t="shared" si="35"/>
        <v/>
      </c>
      <c r="AA86" s="161" t="s">
        <v>351</v>
      </c>
      <c r="AC86" s="35"/>
      <c r="AD86" s="35"/>
      <c r="AE86" s="35"/>
      <c r="AF86" s="35"/>
      <c r="AG86" s="35"/>
      <c r="AH86" s="35"/>
      <c r="AI86" s="35"/>
      <c r="AJ86" s="35"/>
      <c r="AK86" s="160"/>
      <c r="AL86" s="160"/>
      <c r="AM86" s="160"/>
      <c r="AN86" s="160"/>
      <c r="AO86" s="160"/>
      <c r="AP86" s="160"/>
      <c r="AQ86" s="160"/>
      <c r="AR86" s="160"/>
      <c r="AS86" s="160"/>
      <c r="AT86" s="160"/>
      <c r="AU86" s="160"/>
      <c r="AV86" s="160"/>
      <c r="AW86" s="160"/>
      <c r="AX86" s="160"/>
      <c r="AY86" s="160"/>
      <c r="AZ86" s="160"/>
      <c r="BA86" s="160"/>
      <c r="BB86" s="160"/>
      <c r="BC86" s="160"/>
      <c r="BD86" s="160"/>
      <c r="BF86" s="157"/>
    </row>
    <row r="87" spans="1:58" ht="14.5" x14ac:dyDescent="0.35">
      <c r="A87" s="158" t="str">
        <f t="shared" si="32"/>
        <v>Imports of Oil Av Gasoline</v>
      </c>
      <c r="B87" s="30" t="str">
        <f t="shared" si="39"/>
        <v>IMPOAG</v>
      </c>
      <c r="E87" s="159" t="str">
        <f>NameConv!C36</f>
        <v>OAG</v>
      </c>
      <c r="F87" s="30">
        <v>0</v>
      </c>
      <c r="G87" s="82">
        <f t="shared" ref="G87:J87" si="41">G90</f>
        <v>247.03405739193275</v>
      </c>
      <c r="H87" s="82">
        <f t="shared" si="41"/>
        <v>253.06623635843414</v>
      </c>
      <c r="I87" s="82">
        <f t="shared" si="41"/>
        <v>232.71621829347131</v>
      </c>
      <c r="J87" s="82">
        <f t="shared" si="41"/>
        <v>294.96333237453405</v>
      </c>
      <c r="K87" s="82">
        <v>0</v>
      </c>
      <c r="L87" s="82">
        <f t="shared" si="40"/>
        <v>1.394321535205479</v>
      </c>
      <c r="M87" s="82"/>
      <c r="N87"/>
      <c r="O87"/>
      <c r="P87"/>
      <c r="Q87"/>
      <c r="R87"/>
      <c r="S87"/>
      <c r="T87"/>
      <c r="U87"/>
      <c r="V87"/>
      <c r="W87" t="str">
        <f t="shared" si="35"/>
        <v/>
      </c>
      <c r="AC87" s="35"/>
      <c r="AD87" s="35"/>
      <c r="AE87" s="35"/>
      <c r="AF87" s="35"/>
      <c r="AG87" s="35"/>
      <c r="AH87" s="35"/>
      <c r="AI87" s="35"/>
      <c r="AJ87" s="35"/>
      <c r="AK87" s="160"/>
      <c r="AL87" s="160"/>
      <c r="AM87" s="160"/>
      <c r="AN87" s="160"/>
      <c r="AO87" s="160"/>
      <c r="AP87" s="160"/>
      <c r="AQ87" s="160"/>
      <c r="AR87" s="160"/>
      <c r="AS87" s="160"/>
      <c r="AT87" s="160"/>
      <c r="AU87" s="160"/>
      <c r="AV87" s="160"/>
      <c r="AW87" s="160"/>
      <c r="AX87" s="160"/>
      <c r="AY87" s="160"/>
      <c r="AZ87" s="160"/>
      <c r="BA87" s="160"/>
      <c r="BB87" s="160"/>
      <c r="BC87" s="160"/>
      <c r="BD87" s="160"/>
      <c r="BF87" s="157"/>
    </row>
    <row r="88" spans="1:58" ht="14.5" x14ac:dyDescent="0.35">
      <c r="A88" s="158" t="str">
        <f t="shared" si="32"/>
        <v>Imports of Oil Crude</v>
      </c>
      <c r="B88" s="30" t="str">
        <f t="shared" si="39"/>
        <v>IMPOCR</v>
      </c>
      <c r="E88" s="159" t="str">
        <f>NameConv!C37</f>
        <v>OCR</v>
      </c>
      <c r="F88" s="30">
        <v>0</v>
      </c>
      <c r="G88" s="82">
        <f t="shared" ref="G88:J93" si="42">SUMIF($F$22:$F$34,$E88,G$22:G$34)</f>
        <v>196.45298120195667</v>
      </c>
      <c r="H88" s="82">
        <f t="shared" si="42"/>
        <v>202.68138113207547</v>
      </c>
      <c r="I88" s="82">
        <f t="shared" si="42"/>
        <v>186.03605031446543</v>
      </c>
      <c r="J88" s="82">
        <f t="shared" si="42"/>
        <v>236.95117987421381</v>
      </c>
      <c r="K88" s="82">
        <v>0</v>
      </c>
      <c r="L88" s="82">
        <f t="shared" si="40"/>
        <v>941.22622485351599</v>
      </c>
      <c r="M88" s="82"/>
      <c r="N88"/>
      <c r="O88"/>
      <c r="P88"/>
      <c r="Q88"/>
      <c r="R88"/>
      <c r="S88"/>
      <c r="T88"/>
      <c r="U88"/>
      <c r="V88"/>
      <c r="W88" t="str">
        <f t="shared" si="35"/>
        <v/>
      </c>
      <c r="AC88" s="35"/>
      <c r="AD88" s="35"/>
      <c r="AE88" s="35"/>
      <c r="AF88" s="35"/>
      <c r="AG88" s="35"/>
      <c r="AH88" s="35"/>
      <c r="AI88" s="35"/>
      <c r="AJ88" s="35"/>
      <c r="AK88" s="160"/>
      <c r="AL88" s="160"/>
      <c r="AM88" s="160"/>
      <c r="AN88" s="160"/>
      <c r="AO88" s="160"/>
      <c r="AP88" s="160"/>
      <c r="AQ88" s="160"/>
      <c r="AR88" s="160"/>
      <c r="AS88" s="160"/>
      <c r="AT88" s="160"/>
      <c r="AU88" s="160"/>
      <c r="AV88" s="160"/>
      <c r="AW88" s="160"/>
      <c r="AX88" s="160"/>
      <c r="AY88" s="160"/>
      <c r="AZ88" s="160"/>
      <c r="BA88" s="160"/>
      <c r="BB88" s="160"/>
      <c r="BC88" s="160"/>
      <c r="BD88" s="160"/>
      <c r="BF88" s="157"/>
    </row>
    <row r="89" spans="1:58" ht="14.5" x14ac:dyDescent="0.35">
      <c r="A89" s="158" t="str">
        <f t="shared" si="32"/>
        <v>Imports of Oil Diesel</v>
      </c>
      <c r="B89" s="30" t="str">
        <f t="shared" si="39"/>
        <v>IMPODS</v>
      </c>
      <c r="E89" s="159" t="str">
        <f>NameConv!C38</f>
        <v>ODS</v>
      </c>
      <c r="F89" s="30">
        <v>0</v>
      </c>
      <c r="G89" s="82">
        <f t="shared" si="42"/>
        <v>236.56389169057414</v>
      </c>
      <c r="H89" s="82">
        <f t="shared" si="42"/>
        <v>244.65407088700817</v>
      </c>
      <c r="I89" s="82">
        <f t="shared" si="42"/>
        <v>224.41968109431471</v>
      </c>
      <c r="J89" s="82">
        <f t="shared" si="42"/>
        <v>286.31310869549469</v>
      </c>
      <c r="K89" s="82">
        <v>0</v>
      </c>
      <c r="L89" s="82">
        <v>162</v>
      </c>
      <c r="M89" s="82"/>
      <c r="N89"/>
      <c r="O89"/>
      <c r="P89"/>
      <c r="Q89"/>
      <c r="R89"/>
      <c r="S89"/>
      <c r="T89"/>
      <c r="U89"/>
      <c r="V89"/>
      <c r="W89" t="str">
        <f t="shared" si="35"/>
        <v/>
      </c>
      <c r="AC89" s="35"/>
      <c r="AD89" s="35"/>
      <c r="AE89" s="35"/>
      <c r="AF89" s="35"/>
      <c r="AG89" s="35"/>
      <c r="AH89" s="35"/>
      <c r="AI89" s="35"/>
      <c r="AJ89" s="35"/>
      <c r="AK89" s="160"/>
      <c r="AL89" s="160"/>
      <c r="AM89" s="160"/>
      <c r="AN89" s="160"/>
      <c r="AO89" s="160"/>
      <c r="AP89" s="160"/>
      <c r="AQ89" s="160"/>
      <c r="AR89" s="160"/>
      <c r="AS89" s="160"/>
      <c r="AT89" s="160"/>
      <c r="AU89" s="160"/>
      <c r="AV89" s="160"/>
      <c r="AW89" s="160"/>
      <c r="AX89" s="160"/>
      <c r="AY89" s="160"/>
      <c r="AZ89" s="160"/>
      <c r="BA89" s="160"/>
      <c r="BB89" s="160"/>
      <c r="BC89" s="160"/>
      <c r="BD89" s="160"/>
      <c r="BF89" s="157"/>
    </row>
    <row r="90" spans="1:58" ht="14.5" x14ac:dyDescent="0.35">
      <c r="A90" s="158" t="str">
        <f t="shared" si="32"/>
        <v>Imports of Oil Gasoline</v>
      </c>
      <c r="B90" s="30" t="str">
        <f t="shared" si="39"/>
        <v>IMPOGS</v>
      </c>
      <c r="E90" s="159" t="str">
        <f>NameConv!C39</f>
        <v>OGS</v>
      </c>
      <c r="F90" s="30">
        <v>0</v>
      </c>
      <c r="G90" s="82">
        <f t="shared" si="42"/>
        <v>247.03405739193275</v>
      </c>
      <c r="H90" s="82">
        <f t="shared" si="42"/>
        <v>253.06623635843414</v>
      </c>
      <c r="I90" s="82">
        <f t="shared" si="42"/>
        <v>232.71621829347131</v>
      </c>
      <c r="J90" s="82">
        <f t="shared" si="42"/>
        <v>294.96333237453405</v>
      </c>
      <c r="K90" s="82">
        <v>0</v>
      </c>
      <c r="L90" s="82">
        <v>35.299999999999997</v>
      </c>
      <c r="M90" s="82"/>
      <c r="N90"/>
      <c r="O90"/>
      <c r="P90"/>
      <c r="Q90"/>
      <c r="R90"/>
      <c r="S90"/>
      <c r="T90"/>
      <c r="U90"/>
      <c r="V90"/>
      <c r="W90" t="str">
        <f t="shared" si="35"/>
        <v/>
      </c>
      <c r="AC90" s="35"/>
      <c r="AD90" s="35"/>
      <c r="AE90" s="35"/>
      <c r="AF90" s="35"/>
      <c r="AG90" s="35"/>
      <c r="AH90" s="35"/>
      <c r="AI90" s="35"/>
      <c r="AJ90" s="35"/>
      <c r="AK90" s="160"/>
      <c r="AL90" s="160"/>
      <c r="AM90" s="160"/>
      <c r="AN90" s="160"/>
      <c r="AO90" s="160"/>
      <c r="AP90" s="160"/>
      <c r="AQ90" s="160"/>
      <c r="AR90" s="160"/>
      <c r="AS90" s="160"/>
      <c r="AT90" s="160"/>
      <c r="AU90" s="160"/>
      <c r="AV90" s="160"/>
      <c r="AW90" s="160"/>
      <c r="AX90" s="160"/>
      <c r="AY90" s="160"/>
      <c r="AZ90" s="160"/>
      <c r="BA90" s="160"/>
      <c r="BB90" s="160"/>
      <c r="BC90" s="160"/>
      <c r="BD90" s="160"/>
      <c r="BF90" s="157"/>
    </row>
    <row r="91" spans="1:58" ht="14.5" x14ac:dyDescent="0.35">
      <c r="A91" s="158" t="str">
        <f t="shared" si="32"/>
        <v>Imports of Oil HFO</v>
      </c>
      <c r="B91" s="30" t="str">
        <f t="shared" si="39"/>
        <v>IMPOHF</v>
      </c>
      <c r="E91" s="159" t="str">
        <f>NameConv!C40</f>
        <v>OHF</v>
      </c>
      <c r="F91" s="30">
        <v>0</v>
      </c>
      <c r="G91" s="82">
        <f t="shared" si="42"/>
        <v>196.45298120195667</v>
      </c>
      <c r="H91" s="82">
        <f t="shared" si="42"/>
        <v>202.68138113207547</v>
      </c>
      <c r="I91" s="82">
        <f t="shared" si="42"/>
        <v>186.03605031446543</v>
      </c>
      <c r="J91" s="82">
        <f t="shared" si="42"/>
        <v>236.95117987421381</v>
      </c>
      <c r="K91" s="82">
        <v>0</v>
      </c>
      <c r="L91" s="82">
        <v>0</v>
      </c>
      <c r="M91" s="82"/>
      <c r="N91"/>
      <c r="O91"/>
      <c r="P91"/>
      <c r="Q91"/>
      <c r="R91"/>
      <c r="S91"/>
      <c r="T91"/>
      <c r="U91"/>
      <c r="V91"/>
      <c r="W91" t="str">
        <f t="shared" si="35"/>
        <v/>
      </c>
      <c r="AC91" s="35"/>
      <c r="AD91" s="35"/>
      <c r="AE91" s="35"/>
      <c r="AF91" s="35"/>
      <c r="AG91" s="35"/>
      <c r="AH91" s="35"/>
      <c r="AI91" s="35"/>
      <c r="AJ91" s="35"/>
      <c r="AK91" s="160"/>
      <c r="AL91" s="160"/>
      <c r="AM91" s="160"/>
      <c r="AN91" s="160"/>
      <c r="AO91" s="160"/>
      <c r="AP91" s="160"/>
      <c r="AQ91" s="160"/>
      <c r="AR91" s="160"/>
      <c r="AS91" s="160"/>
      <c r="AT91" s="160"/>
      <c r="AU91" s="160"/>
      <c r="AV91" s="160"/>
      <c r="AW91" s="160"/>
      <c r="AX91" s="160"/>
      <c r="AY91" s="160"/>
      <c r="AZ91" s="160"/>
      <c r="BA91" s="160"/>
      <c r="BB91" s="160"/>
      <c r="BC91" s="160"/>
      <c r="BD91" s="160"/>
      <c r="BF91" s="157"/>
    </row>
    <row r="92" spans="1:58" ht="14.5" x14ac:dyDescent="0.35">
      <c r="A92" s="158" t="str">
        <f t="shared" si="32"/>
        <v>Imports of Oil LPG</v>
      </c>
      <c r="B92" s="30" t="str">
        <f t="shared" si="39"/>
        <v>IMPOLP</v>
      </c>
      <c r="E92" s="159" t="str">
        <f>NameConv!C43</f>
        <v>OLP</v>
      </c>
      <c r="F92" s="30">
        <v>0</v>
      </c>
      <c r="G92" s="82">
        <f t="shared" si="42"/>
        <v>376.62224144497708</v>
      </c>
      <c r="H92" s="82">
        <f t="shared" si="42"/>
        <v>382.94989907290471</v>
      </c>
      <c r="I92" s="82">
        <f t="shared" si="42"/>
        <v>366.03930314149977</v>
      </c>
      <c r="J92" s="82">
        <f t="shared" si="42"/>
        <v>417.76583187285604</v>
      </c>
      <c r="K92" s="82">
        <v>0</v>
      </c>
      <c r="L92" s="82">
        <v>14.6</v>
      </c>
      <c r="M92" s="82"/>
      <c r="N92"/>
      <c r="O92"/>
      <c r="P92"/>
      <c r="Q92"/>
      <c r="R92"/>
      <c r="S92"/>
      <c r="T92"/>
      <c r="U92"/>
      <c r="V92"/>
      <c r="W92" t="str">
        <f t="shared" si="35"/>
        <v/>
      </c>
      <c r="AC92" s="35"/>
      <c r="AD92" s="35"/>
      <c r="AE92" s="35"/>
      <c r="AF92" s="35"/>
      <c r="AG92" s="35"/>
      <c r="AH92" s="35"/>
      <c r="AI92" s="35"/>
      <c r="AJ92" s="35"/>
      <c r="AK92" s="160"/>
      <c r="AL92" s="160"/>
      <c r="AM92" s="160"/>
      <c r="AN92" s="160"/>
      <c r="AO92" s="160"/>
      <c r="AP92" s="160"/>
      <c r="AQ92" s="160"/>
      <c r="AR92" s="160"/>
      <c r="AS92" s="160"/>
      <c r="AT92" s="160"/>
      <c r="AU92" s="160"/>
      <c r="AV92" s="160"/>
      <c r="AW92" s="160"/>
      <c r="AX92" s="160"/>
      <c r="AY92" s="160"/>
      <c r="AZ92" s="160"/>
      <c r="BA92" s="160"/>
      <c r="BB92" s="160"/>
      <c r="BC92" s="160"/>
      <c r="BD92" s="160"/>
      <c r="BF92" s="157"/>
    </row>
    <row r="93" spans="1:58" ht="14.5" x14ac:dyDescent="0.35">
      <c r="A93" s="158" t="str">
        <f t="shared" si="32"/>
        <v>Imports of Oil Kerosene</v>
      </c>
      <c r="B93" s="30" t="str">
        <f t="shared" si="39"/>
        <v>IMPOKE</v>
      </c>
      <c r="E93" s="159" t="str">
        <f>NameConv!C42</f>
        <v>OKE</v>
      </c>
      <c r="F93" s="30">
        <v>0</v>
      </c>
      <c r="G93" s="82">
        <f t="shared" si="42"/>
        <v>243.45484454706207</v>
      </c>
      <c r="H93" s="82">
        <f t="shared" si="42"/>
        <v>250.76740309449676</v>
      </c>
      <c r="I93" s="82">
        <f t="shared" si="42"/>
        <v>231.22467020790273</v>
      </c>
      <c r="J93" s="82">
        <f t="shared" si="42"/>
        <v>291.00244139042559</v>
      </c>
      <c r="K93" s="82">
        <v>0</v>
      </c>
      <c r="L93" s="82">
        <v>15</v>
      </c>
      <c r="M93" s="82"/>
      <c r="N93"/>
      <c r="O93"/>
      <c r="P93"/>
      <c r="Q93"/>
      <c r="R93"/>
      <c r="S93"/>
      <c r="T93"/>
      <c r="U93"/>
      <c r="V93"/>
      <c r="W93" t="str">
        <f t="shared" si="35"/>
        <v/>
      </c>
      <c r="AC93" s="35"/>
      <c r="AD93" s="35"/>
      <c r="AE93" s="35"/>
      <c r="AF93" s="35"/>
      <c r="AG93" s="35"/>
      <c r="AH93" s="35"/>
      <c r="AI93" s="35"/>
      <c r="AJ93" s="35"/>
      <c r="AK93" s="160"/>
      <c r="AL93" s="160"/>
      <c r="AM93" s="160"/>
      <c r="AN93" s="160"/>
      <c r="AO93" s="160"/>
      <c r="AP93" s="160"/>
      <c r="AQ93" s="160"/>
      <c r="AR93" s="160"/>
      <c r="AS93" s="160"/>
      <c r="AT93" s="160"/>
      <c r="AU93" s="160"/>
      <c r="AV93" s="160"/>
      <c r="AW93" s="160"/>
      <c r="AX93" s="160"/>
      <c r="AY93" s="160"/>
      <c r="AZ93" s="160"/>
      <c r="BA93" s="160"/>
      <c r="BB93" s="160"/>
      <c r="BC93" s="160"/>
      <c r="BD93" s="160"/>
      <c r="BF93" s="157"/>
    </row>
    <row r="94" spans="1:58" ht="14.5" x14ac:dyDescent="0.35">
      <c r="A94" s="158" t="str">
        <f t="shared" si="32"/>
        <v>Imports of Biodiesel</v>
      </c>
      <c r="B94" s="30" t="str">
        <f t="shared" si="39"/>
        <v>IMPBID</v>
      </c>
      <c r="E94" s="159" t="str">
        <f>NameConv!C7</f>
        <v>BID</v>
      </c>
      <c r="F94" s="30">
        <v>0</v>
      </c>
      <c r="G94" s="82">
        <f>G89*1.05</f>
        <v>248.39208627510286</v>
      </c>
      <c r="H94" s="82">
        <f t="shared" ref="H94:J95" si="43">H89*1.05</f>
        <v>256.88677443135862</v>
      </c>
      <c r="I94" s="82">
        <f t="shared" si="43"/>
        <v>235.64066514903047</v>
      </c>
      <c r="J94" s="82">
        <f t="shared" si="43"/>
        <v>300.62876413026942</v>
      </c>
      <c r="K94" s="82">
        <v>0</v>
      </c>
      <c r="L94" s="82"/>
      <c r="M94" s="82"/>
      <c r="N94"/>
      <c r="O94"/>
      <c r="P94"/>
      <c r="Q94"/>
      <c r="R94"/>
      <c r="S94"/>
      <c r="T94"/>
      <c r="U94"/>
      <c r="V94"/>
      <c r="W94" t="str">
        <f t="shared" si="35"/>
        <v/>
      </c>
      <c r="AC94" s="35"/>
      <c r="AD94" s="35"/>
      <c r="AE94" s="35"/>
      <c r="AF94" s="35"/>
      <c r="AG94" s="35"/>
      <c r="AH94" s="35"/>
      <c r="AI94" s="35"/>
      <c r="AJ94" s="35"/>
      <c r="AK94" s="160"/>
      <c r="AL94" s="160"/>
      <c r="AM94" s="160"/>
      <c r="AN94" s="160"/>
      <c r="AO94" s="160"/>
      <c r="AP94" s="160"/>
      <c r="AQ94" s="160"/>
      <c r="AR94" s="160"/>
      <c r="AS94" s="160"/>
      <c r="AT94" s="160"/>
      <c r="AU94" s="160"/>
      <c r="AV94" s="160"/>
      <c r="AW94" s="160"/>
      <c r="AX94" s="160"/>
      <c r="AY94" s="160"/>
      <c r="AZ94" s="160"/>
      <c r="BA94" s="160"/>
      <c r="BB94" s="160"/>
      <c r="BC94" s="160"/>
      <c r="BD94" s="160"/>
      <c r="BF94" s="157"/>
    </row>
    <row r="95" spans="1:58" ht="14.5" x14ac:dyDescent="0.35">
      <c r="A95" s="158" t="str">
        <f t="shared" si="32"/>
        <v>Imports of Bioethanol</v>
      </c>
      <c r="B95" s="30" t="str">
        <f>"IMP"&amp;E95</f>
        <v>IMPBIE</v>
      </c>
      <c r="E95" s="159" t="str">
        <f>NameConv!C6</f>
        <v>BIE</v>
      </c>
      <c r="F95" s="30">
        <v>0</v>
      </c>
      <c r="G95" s="82">
        <f>G90*1.05</f>
        <v>259.38576026152941</v>
      </c>
      <c r="H95" s="82">
        <f t="shared" si="43"/>
        <v>265.71954817635583</v>
      </c>
      <c r="I95" s="82">
        <f t="shared" si="43"/>
        <v>244.3520292081449</v>
      </c>
      <c r="J95" s="82">
        <f t="shared" si="43"/>
        <v>309.71149899326076</v>
      </c>
      <c r="K95" s="82">
        <v>0</v>
      </c>
      <c r="L95" s="82"/>
      <c r="M95" s="82"/>
      <c r="N95"/>
      <c r="O95"/>
      <c r="P95"/>
      <c r="Q95"/>
      <c r="R95"/>
      <c r="S95"/>
      <c r="T95"/>
      <c r="U95"/>
      <c r="V95"/>
      <c r="W95" t="str">
        <f t="shared" si="35"/>
        <v/>
      </c>
      <c r="AC95" s="35"/>
      <c r="AD95" s="35"/>
      <c r="AE95" s="35"/>
      <c r="AF95" s="35"/>
      <c r="AG95" s="35"/>
      <c r="AH95" s="35"/>
      <c r="AI95" s="35"/>
      <c r="AJ95" s="35"/>
      <c r="AK95" s="160"/>
      <c r="AL95" s="160"/>
      <c r="AM95" s="160"/>
      <c r="AN95" s="160"/>
      <c r="AO95" s="160"/>
      <c r="AP95" s="160"/>
      <c r="AQ95" s="160"/>
      <c r="AR95" s="160"/>
      <c r="AS95" s="160"/>
      <c r="AT95" s="160"/>
      <c r="AU95" s="160"/>
      <c r="AV95" s="160"/>
      <c r="AW95" s="160"/>
      <c r="AX95" s="160"/>
      <c r="AY95" s="160"/>
      <c r="AZ95" s="160"/>
      <c r="BA95" s="160"/>
      <c r="BB95" s="160"/>
      <c r="BC95" s="160"/>
      <c r="BD95" s="160"/>
      <c r="BF95" s="157"/>
    </row>
    <row r="96" spans="1:58" ht="14.5" x14ac:dyDescent="0.35">
      <c r="A96" s="155" t="s">
        <v>352</v>
      </c>
      <c r="B96" s="38"/>
      <c r="E96" s="159"/>
      <c r="G96" s="82"/>
      <c r="H96" s="82"/>
      <c r="I96" s="82"/>
      <c r="J96" s="82"/>
      <c r="K96" s="82"/>
      <c r="L96" s="82"/>
      <c r="M96" s="82"/>
      <c r="N96"/>
      <c r="O96"/>
      <c r="P96"/>
      <c r="Q96"/>
      <c r="R96"/>
      <c r="S96"/>
      <c r="T96"/>
      <c r="U96"/>
      <c r="V96"/>
      <c r="W96"/>
      <c r="AC96" s="35"/>
      <c r="AD96" s="35"/>
      <c r="AE96" s="35"/>
      <c r="AF96" s="35"/>
      <c r="AG96" s="35"/>
      <c r="AH96" s="35"/>
      <c r="AI96" s="35"/>
      <c r="AJ96" s="35"/>
      <c r="AK96" s="160"/>
      <c r="AL96" s="160"/>
      <c r="AM96" s="160"/>
      <c r="AN96" s="160"/>
      <c r="AO96" s="160"/>
      <c r="AP96" s="160"/>
      <c r="AQ96" s="160"/>
      <c r="AR96" s="160"/>
      <c r="AS96" s="160"/>
      <c r="AT96" s="160"/>
      <c r="AU96" s="160"/>
      <c r="AV96" s="160"/>
      <c r="AW96" s="160"/>
      <c r="AX96" s="160"/>
      <c r="AY96" s="160"/>
      <c r="AZ96" s="160"/>
      <c r="BA96" s="160"/>
      <c r="BB96" s="160"/>
      <c r="BC96" s="160"/>
      <c r="BD96" s="160"/>
      <c r="BF96" s="157"/>
    </row>
    <row r="97" spans="1:58" ht="14.5" x14ac:dyDescent="0.35">
      <c r="A97" s="158" t="str">
        <f>"Extraction of "&amp;INDEX(FuelNamesLong,MATCH(E97,FuelNamesShort,0))</f>
        <v>Extraction of Gas Southern Mozambique</v>
      </c>
      <c r="B97" s="30" t="str">
        <f>$B$49&amp;RIGHT($E97,3)</f>
        <v>MIRGRS</v>
      </c>
      <c r="E97" s="159" t="str">
        <f>NameConv!C20</f>
        <v>GRS</v>
      </c>
      <c r="F97" s="30">
        <v>0</v>
      </c>
      <c r="G97" s="82">
        <v>70</v>
      </c>
      <c r="H97" s="82">
        <v>120</v>
      </c>
      <c r="I97" s="82">
        <f>H97</f>
        <v>120</v>
      </c>
      <c r="J97" s="82">
        <f>I97</f>
        <v>120</v>
      </c>
      <c r="K97" s="82">
        <v>3</v>
      </c>
      <c r="L97" s="82">
        <v>156</v>
      </c>
      <c r="M97" s="82"/>
      <c r="N97"/>
      <c r="O97"/>
      <c r="P97"/>
      <c r="Q97"/>
      <c r="R97"/>
      <c r="S97"/>
      <c r="T97"/>
      <c r="U97"/>
      <c r="V97"/>
      <c r="W97">
        <v>4500</v>
      </c>
      <c r="AC97" s="35"/>
      <c r="AD97" s="35"/>
      <c r="AE97" s="35"/>
      <c r="AF97" s="35"/>
      <c r="AG97" s="35"/>
      <c r="AH97" s="35"/>
      <c r="AI97" s="35"/>
      <c r="AJ97" s="35"/>
      <c r="AK97" s="160"/>
      <c r="AL97" s="160"/>
      <c r="AM97" s="160"/>
      <c r="AN97" s="160"/>
      <c r="AO97" s="160"/>
      <c r="AP97" s="160"/>
      <c r="AQ97" s="160"/>
      <c r="AR97" s="160"/>
      <c r="AS97" s="160"/>
      <c r="AT97" s="160"/>
      <c r="AU97" s="160"/>
      <c r="AV97" s="160"/>
      <c r="AW97" s="160"/>
      <c r="AX97" s="160"/>
      <c r="AY97" s="160"/>
      <c r="AZ97" s="160"/>
      <c r="BA97" s="160"/>
      <c r="BB97" s="160"/>
      <c r="BC97" s="160"/>
      <c r="BD97" s="160"/>
      <c r="BF97" s="157"/>
    </row>
    <row r="98" spans="1:58" ht="14.5" x14ac:dyDescent="0.35">
      <c r="A98" s="158" t="str">
        <f>"Extraction of "&amp;INDEX(FuelNamesLong,MATCH(E98,FuelNamesShort,0))</f>
        <v>Extraction of Gas Northern Mozambique</v>
      </c>
      <c r="B98" s="30" t="str">
        <f>$B$49&amp;RIGHT($E98,3)</f>
        <v>MIRGRM</v>
      </c>
      <c r="E98" s="159" t="str">
        <f>NameConv!C24</f>
        <v>GRM</v>
      </c>
      <c r="F98" s="30">
        <v>0</v>
      </c>
      <c r="G98" s="82">
        <f>G84-(1.5*G15)</f>
        <v>125.48506135280986</v>
      </c>
      <c r="H98" s="82">
        <f t="shared" ref="H98:J98" si="44">H84-(1.5*H15)</f>
        <v>129.85030062238019</v>
      </c>
      <c r="I98" s="82">
        <f t="shared" si="44"/>
        <v>118.18424632990407</v>
      </c>
      <c r="J98" s="82">
        <f t="shared" si="44"/>
        <v>153.86864769512499</v>
      </c>
      <c r="K98" s="82"/>
      <c r="L98" s="82"/>
      <c r="M98" s="82"/>
      <c r="N98"/>
      <c r="O98"/>
      <c r="P98"/>
      <c r="Q98"/>
      <c r="R98"/>
      <c r="S98"/>
      <c r="T98"/>
      <c r="U98"/>
      <c r="V98">
        <v>2030</v>
      </c>
      <c r="W98">
        <v>170000</v>
      </c>
      <c r="AC98" s="35"/>
      <c r="AD98" s="35"/>
      <c r="AE98" s="35"/>
      <c r="AF98" s="35"/>
      <c r="AG98" s="35"/>
      <c r="AH98" s="35"/>
      <c r="AI98" s="35"/>
      <c r="AJ98" s="35"/>
      <c r="AK98" s="160"/>
      <c r="AL98" s="160"/>
      <c r="AM98" s="160"/>
      <c r="AN98" s="160"/>
      <c r="AO98" s="160"/>
      <c r="AP98" s="160"/>
      <c r="AQ98" s="160"/>
      <c r="AR98" s="160"/>
      <c r="AS98" s="160"/>
      <c r="AT98" s="160"/>
      <c r="AU98" s="160"/>
      <c r="AV98" s="160"/>
      <c r="AW98" s="160"/>
      <c r="AX98" s="160"/>
      <c r="AY98" s="160"/>
      <c r="AZ98" s="160"/>
      <c r="BA98" s="160"/>
      <c r="BB98" s="160"/>
      <c r="BC98" s="160"/>
      <c r="BD98" s="160"/>
      <c r="BF98" s="157"/>
    </row>
    <row r="99" spans="1:58" ht="14.5" x14ac:dyDescent="0.35">
      <c r="A99" s="155" t="s">
        <v>353</v>
      </c>
      <c r="B99" s="38">
        <v>-0.95</v>
      </c>
      <c r="E99" s="159"/>
      <c r="G99" s="82"/>
      <c r="H99" s="82"/>
      <c r="I99" s="82"/>
      <c r="J99" s="82"/>
      <c r="K99" s="82"/>
      <c r="L99" s="82"/>
      <c r="M99" s="82"/>
      <c r="N99"/>
      <c r="O99"/>
      <c r="P99"/>
      <c r="Q99"/>
      <c r="R99"/>
      <c r="S99"/>
      <c r="T99"/>
      <c r="U99"/>
      <c r="V99"/>
      <c r="W99"/>
      <c r="AC99" s="35"/>
      <c r="AD99" s="35"/>
      <c r="AE99" s="35"/>
      <c r="AF99" s="35"/>
      <c r="AG99" s="35"/>
      <c r="AH99" s="35"/>
      <c r="AI99" s="35"/>
      <c r="AJ99" s="35"/>
      <c r="AK99" s="160"/>
      <c r="AL99" s="160"/>
      <c r="AM99" s="160"/>
      <c r="AN99" s="160"/>
      <c r="AO99" s="160"/>
      <c r="AP99" s="160"/>
      <c r="AQ99" s="160"/>
      <c r="AR99" s="160"/>
      <c r="AS99" s="160"/>
      <c r="AT99" s="160"/>
      <c r="AU99" s="160"/>
      <c r="AV99" s="160"/>
      <c r="AW99" s="160"/>
      <c r="AX99" s="160"/>
      <c r="AY99" s="160"/>
      <c r="AZ99" s="160"/>
      <c r="BA99" s="160"/>
      <c r="BB99" s="160"/>
      <c r="BC99" s="160"/>
      <c r="BD99" s="160"/>
      <c r="BF99" s="157"/>
    </row>
    <row r="100" spans="1:58" ht="14.5" x14ac:dyDescent="0.35">
      <c r="A100" s="158" t="str">
        <f t="shared" ref="A100:A107" si="45">"Exports of "&amp;INDEX(FuelNamesLong,MATCH(C100,FuelNamesShort,0))</f>
        <v>Exports of Coal</v>
      </c>
      <c r="B100" s="30" t="str">
        <f t="shared" ref="B100:B107" si="46">"PEX"&amp;C100</f>
        <v>PEXCOA</v>
      </c>
      <c r="C100" s="159" t="str">
        <f>NameConv!C11</f>
        <v>COA</v>
      </c>
      <c r="D100" s="159"/>
      <c r="F100" s="30">
        <v>3</v>
      </c>
      <c r="G100" s="82">
        <f>G60*$B$99</f>
        <v>-53.694000000000003</v>
      </c>
      <c r="H100" s="82">
        <f>H60*$B$99</f>
        <v>-53.694000000000003</v>
      </c>
      <c r="I100" s="82">
        <f>I60*$B$99</f>
        <v>-53.694000000000003</v>
      </c>
      <c r="J100" s="82">
        <f>J60*$B$99</f>
        <v>-53.694000000000003</v>
      </c>
      <c r="K100" s="82"/>
      <c r="L100" s="82"/>
      <c r="M100" s="82"/>
      <c r="N100"/>
      <c r="O100"/>
      <c r="P100"/>
      <c r="Q100">
        <v>3</v>
      </c>
      <c r="R100" s="82">
        <v>1727</v>
      </c>
      <c r="S100">
        <v>1000</v>
      </c>
      <c r="T100">
        <v>1000</v>
      </c>
      <c r="U100">
        <v>500</v>
      </c>
      <c r="V100"/>
      <c r="W100" t="str">
        <f t="shared" ref="W100:W107" si="47">$W$60</f>
        <v/>
      </c>
      <c r="AC100" s="35"/>
      <c r="AD100" s="35"/>
      <c r="AE100" s="35"/>
      <c r="AF100" s="35"/>
      <c r="AG100" s="35"/>
      <c r="AH100" s="35"/>
      <c r="AI100" s="35"/>
      <c r="AJ100" s="35"/>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F100" s="157"/>
    </row>
    <row r="101" spans="1:58" ht="14.5" x14ac:dyDescent="0.35">
      <c r="A101" s="158" t="str">
        <f t="shared" si="45"/>
        <v>Exports of Coal Coking</v>
      </c>
      <c r="B101" s="30" t="str">
        <f t="shared" si="46"/>
        <v>PEXCOK</v>
      </c>
      <c r="C101" s="159" t="str">
        <f>NameConv!C12</f>
        <v>COK</v>
      </c>
      <c r="D101" s="159"/>
      <c r="F101" s="30">
        <v>0</v>
      </c>
      <c r="G101" s="82">
        <f>G81*$B$99</f>
        <v>-80.540999999999997</v>
      </c>
      <c r="H101" s="82">
        <f>H81*$B$99</f>
        <v>-80.540999999999997</v>
      </c>
      <c r="I101" s="82">
        <f>I81*$B$99</f>
        <v>-80.540999999999997</v>
      </c>
      <c r="J101" s="82">
        <f>J81*$B$99</f>
        <v>-80.540999999999997</v>
      </c>
      <c r="K101" s="82">
        <v>0</v>
      </c>
      <c r="L101" s="393">
        <f>SUMIF($C$8:$BG$8,C101,$C$12:$BG$12)</f>
        <v>20.834015000000001</v>
      </c>
      <c r="M101" s="82"/>
      <c r="N101"/>
      <c r="O101"/>
      <c r="P101"/>
      <c r="Q101"/>
      <c r="R101"/>
      <c r="S101"/>
      <c r="T101"/>
      <c r="U101"/>
      <c r="V101"/>
      <c r="W101" t="str">
        <f t="shared" si="47"/>
        <v/>
      </c>
      <c r="AC101" s="35"/>
      <c r="AD101" s="35"/>
      <c r="AE101" s="35"/>
      <c r="AF101" s="35"/>
      <c r="AG101" s="35"/>
      <c r="AH101" s="35"/>
      <c r="AI101" s="35"/>
      <c r="AJ101" s="35"/>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F101" s="157"/>
    </row>
    <row r="102" spans="1:58" ht="14.5" x14ac:dyDescent="0.35">
      <c r="A102" s="158" t="str">
        <f t="shared" si="45"/>
        <v>Exports of Oil Av Gasoline</v>
      </c>
      <c r="B102" s="30" t="str">
        <f t="shared" si="46"/>
        <v>PEXOAG</v>
      </c>
      <c r="C102" s="159" t="str">
        <f>NameConv!C36</f>
        <v>OAG</v>
      </c>
      <c r="D102" s="159"/>
      <c r="F102" s="30">
        <v>0</v>
      </c>
      <c r="G102" s="82">
        <f t="shared" ref="G102:J102" si="48">G105</f>
        <v>-234.68235452233611</v>
      </c>
      <c r="H102" s="82">
        <f t="shared" si="48"/>
        <v>-240.41292454051242</v>
      </c>
      <c r="I102" s="82">
        <f t="shared" si="48"/>
        <v>-221.08040737879773</v>
      </c>
      <c r="J102" s="82">
        <f t="shared" si="48"/>
        <v>-280.21516575580733</v>
      </c>
      <c r="K102" s="82">
        <v>0</v>
      </c>
      <c r="L102" s="393">
        <f>SUMIF($C$8:$BG$8,C102,$C$12:$BG$12)</f>
        <v>0.22564281164383562</v>
      </c>
      <c r="M102" s="82"/>
      <c r="N102"/>
      <c r="O102"/>
      <c r="P102"/>
      <c r="Q102"/>
      <c r="R102"/>
      <c r="S102"/>
      <c r="T102"/>
      <c r="U102"/>
      <c r="V102"/>
      <c r="W102" t="str">
        <f t="shared" si="47"/>
        <v/>
      </c>
      <c r="AC102" s="35"/>
      <c r="AD102" s="35"/>
      <c r="AE102" s="35"/>
      <c r="AF102" s="35"/>
      <c r="AG102" s="35"/>
      <c r="AH102" s="35"/>
      <c r="AI102" s="35"/>
      <c r="AJ102" s="35"/>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F102" s="157"/>
    </row>
    <row r="103" spans="1:58" ht="14.5" x14ac:dyDescent="0.35">
      <c r="A103" s="158" t="str">
        <f t="shared" si="45"/>
        <v>Exports of Oil Crude</v>
      </c>
      <c r="B103" s="30" t="str">
        <f t="shared" si="46"/>
        <v>PEXOCR</v>
      </c>
      <c r="C103" s="159" t="str">
        <f>NameConv!C37</f>
        <v>OCR</v>
      </c>
      <c r="D103" s="159"/>
      <c r="F103" s="30">
        <v>0</v>
      </c>
      <c r="G103" s="82">
        <f t="shared" ref="G103:J107" si="49">SUMIF($F$22:$F$34,$C103,G$22:G$34)*$B$99</f>
        <v>-186.63033214185884</v>
      </c>
      <c r="H103" s="82">
        <f t="shared" si="49"/>
        <v>-192.54731207547169</v>
      </c>
      <c r="I103" s="82">
        <f t="shared" si="49"/>
        <v>-176.73424779874216</v>
      </c>
      <c r="J103" s="82">
        <f t="shared" si="49"/>
        <v>-225.10362088050312</v>
      </c>
      <c r="K103" s="82">
        <v>0</v>
      </c>
      <c r="L103" s="393">
        <f>SUMIF($C$8:$BG$8,C103,$C$12:$BG$12)</f>
        <v>20.83803412968</v>
      </c>
      <c r="M103" s="82"/>
      <c r="N103"/>
      <c r="O103"/>
      <c r="P103"/>
      <c r="Q103"/>
      <c r="R103"/>
      <c r="S103"/>
      <c r="T103"/>
      <c r="U103"/>
      <c r="V103"/>
      <c r="W103" t="str">
        <f t="shared" si="47"/>
        <v/>
      </c>
      <c r="AC103" s="35"/>
      <c r="AD103" s="35"/>
      <c r="AE103" s="35"/>
      <c r="AF103" s="35"/>
      <c r="AG103" s="35"/>
      <c r="AH103" s="35"/>
      <c r="AI103" s="35"/>
      <c r="AJ103" s="35"/>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F103" s="157"/>
    </row>
    <row r="104" spans="1:58" ht="14.5" x14ac:dyDescent="0.35">
      <c r="A104" s="158" t="str">
        <f t="shared" si="45"/>
        <v>Exports of Oil Diesel</v>
      </c>
      <c r="B104" s="30" t="str">
        <f t="shared" si="46"/>
        <v>PEXODS</v>
      </c>
      <c r="C104" s="159" t="str">
        <f>NameConv!C38</f>
        <v>ODS</v>
      </c>
      <c r="D104" s="159"/>
      <c r="F104" s="30">
        <v>0</v>
      </c>
      <c r="G104" s="82">
        <f t="shared" si="49"/>
        <v>-224.73569710604542</v>
      </c>
      <c r="H104" s="82">
        <f t="shared" si="49"/>
        <v>-232.42136734265776</v>
      </c>
      <c r="I104" s="82">
        <f t="shared" si="49"/>
        <v>-213.19869703959895</v>
      </c>
      <c r="J104" s="82">
        <f t="shared" si="49"/>
        <v>-271.99745326071996</v>
      </c>
      <c r="K104" s="82">
        <v>0</v>
      </c>
      <c r="L104" s="393">
        <f>SUMIF($C$8:$BG$8,C104,$C$12:$BG$12)</f>
        <v>28.73659252275862</v>
      </c>
      <c r="M104" s="82"/>
      <c r="N104"/>
      <c r="O104"/>
      <c r="P104"/>
      <c r="Q104"/>
      <c r="R104"/>
      <c r="S104"/>
      <c r="T104"/>
      <c r="U104"/>
      <c r="V104"/>
      <c r="W104" t="str">
        <f t="shared" si="47"/>
        <v/>
      </c>
      <c r="AC104" s="35"/>
      <c r="AD104" s="35"/>
      <c r="AE104" s="35"/>
      <c r="AF104" s="35"/>
      <c r="AG104" s="35"/>
      <c r="AH104" s="35"/>
      <c r="AI104" s="35"/>
      <c r="AJ104" s="35"/>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F104" s="157"/>
    </row>
    <row r="105" spans="1:58" ht="14.5" x14ac:dyDescent="0.35">
      <c r="A105" s="158" t="str">
        <f t="shared" si="45"/>
        <v>Exports of Oil Gasoline</v>
      </c>
      <c r="B105" s="30" t="str">
        <f t="shared" si="46"/>
        <v>PEXOGS</v>
      </c>
      <c r="C105" s="159" t="str">
        <f>NameConv!C39</f>
        <v>OGS</v>
      </c>
      <c r="D105" s="159"/>
      <c r="F105" s="30">
        <v>0</v>
      </c>
      <c r="G105" s="82">
        <f t="shared" si="49"/>
        <v>-234.68235452233611</v>
      </c>
      <c r="H105" s="82">
        <f t="shared" si="49"/>
        <v>-240.41292454051242</v>
      </c>
      <c r="I105" s="82">
        <f t="shared" si="49"/>
        <v>-221.08040737879773</v>
      </c>
      <c r="J105" s="82">
        <f t="shared" si="49"/>
        <v>-280.21516575580733</v>
      </c>
      <c r="K105" s="82">
        <v>0</v>
      </c>
      <c r="L105" s="393">
        <f>SUMIF($C$8:$BG$8,C105,$C$12:$BG$12)</f>
        <v>3.5488458656756761</v>
      </c>
      <c r="M105" s="82"/>
      <c r="N105"/>
      <c r="O105"/>
      <c r="P105"/>
      <c r="Q105"/>
      <c r="R105"/>
      <c r="S105"/>
      <c r="T105"/>
      <c r="U105"/>
      <c r="V105"/>
      <c r="W105" t="str">
        <f t="shared" si="47"/>
        <v/>
      </c>
      <c r="AC105" s="35"/>
      <c r="AD105" s="35"/>
      <c r="AE105" s="35"/>
      <c r="AF105" s="35"/>
      <c r="AG105" s="35"/>
      <c r="AH105" s="35"/>
      <c r="AI105" s="35"/>
      <c r="AJ105" s="35"/>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F105" s="157"/>
    </row>
    <row r="106" spans="1:58" ht="14.5" x14ac:dyDescent="0.35">
      <c r="A106" s="158" t="str">
        <f t="shared" si="45"/>
        <v>Exports of Oil HFO</v>
      </c>
      <c r="B106" s="30" t="str">
        <f t="shared" si="46"/>
        <v>PEXOHF</v>
      </c>
      <c r="C106" s="159" t="str">
        <f>NameConv!C40</f>
        <v>OHF</v>
      </c>
      <c r="D106" s="159"/>
      <c r="F106" s="30">
        <v>0</v>
      </c>
      <c r="G106" s="82">
        <f t="shared" si="49"/>
        <v>-186.63033214185884</v>
      </c>
      <c r="H106" s="82">
        <f t="shared" si="49"/>
        <v>-192.54731207547169</v>
      </c>
      <c r="I106" s="82">
        <f t="shared" si="49"/>
        <v>-176.73424779874216</v>
      </c>
      <c r="J106" s="82">
        <f t="shared" si="49"/>
        <v>-225.10362088050312</v>
      </c>
      <c r="K106" s="82">
        <v>0</v>
      </c>
      <c r="L106" s="393"/>
      <c r="M106" s="82"/>
      <c r="N106"/>
      <c r="O106"/>
      <c r="P106"/>
      <c r="Q106"/>
      <c r="R106"/>
      <c r="S106"/>
      <c r="T106"/>
      <c r="U106"/>
      <c r="V106"/>
      <c r="W106" t="str">
        <f t="shared" si="47"/>
        <v/>
      </c>
      <c r="AC106" s="35"/>
      <c r="AD106" s="35"/>
      <c r="AE106" s="35"/>
      <c r="AF106" s="35"/>
      <c r="AG106" s="35"/>
      <c r="AH106" s="35"/>
      <c r="AI106" s="35"/>
      <c r="AJ106" s="35"/>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F106" s="157"/>
    </row>
    <row r="107" spans="1:58" ht="14.5" x14ac:dyDescent="0.35">
      <c r="A107" s="158" t="str">
        <f t="shared" si="45"/>
        <v>Exports of Oil Kerosene</v>
      </c>
      <c r="B107" s="30" t="str">
        <f t="shared" si="46"/>
        <v>PEXOKE</v>
      </c>
      <c r="C107" s="159" t="str">
        <f>NameConv!C42</f>
        <v>OKE</v>
      </c>
      <c r="D107" s="159"/>
      <c r="F107" s="30">
        <v>0</v>
      </c>
      <c r="G107" s="82">
        <f t="shared" si="49"/>
        <v>-231.28210231970894</v>
      </c>
      <c r="H107" s="82">
        <f t="shared" si="49"/>
        <v>-238.22903293977191</v>
      </c>
      <c r="I107" s="82">
        <f t="shared" si="49"/>
        <v>-219.66343669750759</v>
      </c>
      <c r="J107" s="82">
        <f t="shared" si="49"/>
        <v>-276.45231932090428</v>
      </c>
      <c r="K107" s="82">
        <v>0</v>
      </c>
      <c r="L107" s="393">
        <f>SUMIF($C$8:$BG$8,C107,$C$12:$BG$12)</f>
        <v>5.0273560461728382</v>
      </c>
      <c r="M107" s="82"/>
      <c r="N107"/>
      <c r="O107"/>
      <c r="P107"/>
      <c r="Q107"/>
      <c r="R107"/>
      <c r="S107"/>
      <c r="T107"/>
      <c r="U107"/>
      <c r="V107"/>
      <c r="W107" t="str">
        <f t="shared" si="47"/>
        <v/>
      </c>
      <c r="AC107" s="35"/>
      <c r="AD107" s="35"/>
      <c r="AE107" s="35"/>
      <c r="AF107" s="35"/>
      <c r="AG107" s="35"/>
      <c r="AH107" s="35"/>
      <c r="AI107" s="35"/>
      <c r="AJ107" s="35"/>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F107" s="157"/>
    </row>
    <row r="108" spans="1:58" ht="13" x14ac:dyDescent="0.3">
      <c r="A108" s="155" t="s">
        <v>1115</v>
      </c>
      <c r="B108" s="157"/>
      <c r="F108" s="164"/>
      <c r="G108" s="164"/>
      <c r="H108" s="164"/>
      <c r="I108" s="164"/>
      <c r="J108" s="164"/>
      <c r="K108" s="164"/>
      <c r="L108" s="165"/>
      <c r="M108" s="165"/>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D108" s="157"/>
    </row>
    <row r="109" spans="1:58" x14ac:dyDescent="0.25">
      <c r="A109" s="163"/>
      <c r="B109" s="157" t="s">
        <v>968</v>
      </c>
      <c r="E109" s="28" t="s">
        <v>982</v>
      </c>
      <c r="G109" s="397">
        <f>2154/270736</f>
        <v>7.9560900655989593E-3</v>
      </c>
      <c r="H109" s="164"/>
      <c r="I109" s="166"/>
      <c r="J109" s="167"/>
      <c r="K109" s="165"/>
      <c r="L109" s="165"/>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C109" s="157"/>
    </row>
    <row r="110" spans="1:58" x14ac:dyDescent="0.25">
      <c r="A110" s="163"/>
      <c r="B110" s="157"/>
      <c r="F110" s="164"/>
      <c r="G110" s="164"/>
      <c r="H110" s="164"/>
      <c r="I110" s="164"/>
      <c r="J110" s="164"/>
      <c r="K110" s="165"/>
      <c r="L110" s="165"/>
      <c r="M110" s="160"/>
      <c r="N110" s="160"/>
      <c r="O110" s="160"/>
      <c r="P110" s="160"/>
      <c r="Q110" s="160"/>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row>
    <row r="111" spans="1:58" x14ac:dyDescent="0.25">
      <c r="A111" s="163"/>
      <c r="B111" s="157"/>
      <c r="F111" s="164"/>
      <c r="G111" s="164"/>
      <c r="H111" s="164"/>
      <c r="I111" s="166"/>
      <c r="J111" s="164"/>
      <c r="K111" s="165"/>
      <c r="L111" s="165"/>
      <c r="M111" s="160"/>
      <c r="N111" s="160"/>
      <c r="O111" s="160"/>
      <c r="P111" s="160"/>
      <c r="Q111" s="160"/>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C111" s="157"/>
    </row>
    <row r="112" spans="1:58" x14ac:dyDescent="0.25">
      <c r="A112" s="163"/>
      <c r="B112" s="157"/>
      <c r="F112" s="164"/>
      <c r="G112" s="164"/>
      <c r="H112" s="164"/>
      <c r="I112" s="167"/>
      <c r="J112" s="167"/>
      <c r="K112" s="160"/>
      <c r="L112" s="160"/>
      <c r="M112" s="160"/>
      <c r="N112" s="160"/>
      <c r="O112" s="160"/>
      <c r="P112" s="160"/>
      <c r="Q112" s="160"/>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row>
    <row r="152" spans="9:9" x14ac:dyDescent="0.25">
      <c r="I152" s="168" t="s">
        <v>355</v>
      </c>
    </row>
  </sheetData>
  <mergeCells count="3">
    <mergeCell ref="B3:E3"/>
    <mergeCell ref="AY56:BE56"/>
    <mergeCell ref="AZ57:BE57"/>
  </mergeCells>
  <dataValidations count="2">
    <dataValidation type="list" allowBlank="1" showInputMessage="1" showErrorMessage="1" sqref="E16" xr:uid="{9343D23E-47C4-4F9D-81EE-6AC025431A59}">
      <formula1>$N$15:$N$24</formula1>
    </dataValidation>
    <dataValidation type="list" allowBlank="1" showInputMessage="1" showErrorMessage="1" sqref="E36" xr:uid="{A725FED7-1EB6-40C4-B182-FF7DCE6262A9}">
      <formula1>$P$36:$AB$36</formula1>
    </dataValidation>
  </dataValidations>
  <hyperlinks>
    <hyperlink ref="I152"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53125" defaultRowHeight="12.5" x14ac:dyDescent="0.25"/>
  <cols>
    <col min="1" max="1" width="47" style="28" customWidth="1"/>
    <col min="2" max="2" width="17.26953125" style="28" customWidth="1"/>
    <col min="3" max="8" width="10" style="28" customWidth="1"/>
    <col min="9" max="9" width="11" style="28" customWidth="1"/>
    <col min="10" max="11" width="10" style="28" customWidth="1"/>
    <col min="12" max="12" width="9.7265625" style="28" customWidth="1"/>
    <col min="13" max="13" width="7.26953125" style="28" customWidth="1"/>
    <col min="14" max="15" width="11.453125" style="28"/>
    <col min="16" max="16" width="16.81640625" style="28" customWidth="1"/>
    <col min="17" max="16384" width="11.453125" style="28"/>
  </cols>
  <sheetData>
    <row r="1" spans="1:17" ht="17.5" thickBot="1" x14ac:dyDescent="0.45">
      <c r="A1" s="36"/>
      <c r="B1" s="398" t="s">
        <v>1091</v>
      </c>
      <c r="C1" s="398"/>
      <c r="D1" s="37"/>
      <c r="E1" s="37"/>
      <c r="F1" s="29"/>
      <c r="G1" s="36"/>
      <c r="H1" s="36"/>
      <c r="I1" s="36"/>
    </row>
    <row r="2" spans="1:17" ht="13" thickTop="1" x14ac:dyDescent="0.25">
      <c r="A2" s="30"/>
      <c r="B2" s="38"/>
      <c r="C2" s="38"/>
      <c r="D2" s="38"/>
      <c r="E2" s="38"/>
      <c r="F2" s="30"/>
      <c r="G2" s="38"/>
      <c r="H2" s="38"/>
      <c r="I2" s="38"/>
      <c r="J2" s="30" t="s">
        <v>1083</v>
      </c>
      <c r="K2" s="38">
        <f>SUP!G15</f>
        <v>16.45</v>
      </c>
      <c r="L2" s="38"/>
    </row>
    <row r="3" spans="1:17" ht="14.5" x14ac:dyDescent="0.35">
      <c r="A3" s="296"/>
      <c r="B3" s="296"/>
      <c r="C3" s="296"/>
      <c r="D3" s="296" t="s">
        <v>332</v>
      </c>
      <c r="E3" s="296"/>
      <c r="F3" s="296"/>
      <c r="G3" s="296"/>
      <c r="H3" s="296"/>
      <c r="I3" s="296"/>
      <c r="J3" s="296"/>
      <c r="K3" s="296"/>
      <c r="L3" s="296"/>
      <c r="M3" s="296"/>
      <c r="N3" s="296"/>
      <c r="O3" s="296"/>
      <c r="P3" s="296"/>
    </row>
    <row r="4" spans="1:17" ht="42.75" customHeight="1" x14ac:dyDescent="0.3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5.5" thickBot="1" x14ac:dyDescent="0.3">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5">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5">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5">
      <c r="A8" s="163"/>
      <c r="B8" s="157"/>
      <c r="E8" s="164"/>
      <c r="F8" s="164"/>
      <c r="G8" s="164"/>
      <c r="H8" s="164"/>
      <c r="I8" s="164"/>
      <c r="J8" s="164"/>
      <c r="K8" s="164"/>
      <c r="L8" s="167"/>
      <c r="M8" s="160"/>
    </row>
    <row r="17" spans="1:22" ht="14.5" x14ac:dyDescent="0.3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4.5" x14ac:dyDescent="0.3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4.5" x14ac:dyDescent="0.3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4.5" x14ac:dyDescent="0.3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4.5" x14ac:dyDescent="0.35">
      <c r="A21"/>
      <c r="B21"/>
      <c r="C21" t="s">
        <v>1073</v>
      </c>
      <c r="D21"/>
      <c r="E21"/>
      <c r="F21"/>
      <c r="G21"/>
      <c r="H21"/>
      <c r="I21"/>
      <c r="J21"/>
      <c r="K21"/>
      <c r="L21"/>
      <c r="M21"/>
      <c r="N21"/>
      <c r="O21"/>
      <c r="P21"/>
    </row>
    <row r="22" spans="1:22" ht="14.5" x14ac:dyDescent="0.35">
      <c r="A22"/>
      <c r="B22"/>
      <c r="C22">
        <f>1.05/45000</f>
        <v>2.3333333333333336E-5</v>
      </c>
      <c r="D22"/>
      <c r="E22"/>
      <c r="F22"/>
      <c r="G22"/>
      <c r="H22"/>
      <c r="I22"/>
      <c r="J22"/>
      <c r="K22"/>
      <c r="L22"/>
      <c r="M22"/>
      <c r="N22"/>
      <c r="O22"/>
      <c r="P22"/>
    </row>
    <row r="26" spans="1:22" x14ac:dyDescent="0.25">
      <c r="C26" s="411"/>
    </row>
    <row r="28" spans="1:22" x14ac:dyDescent="0.25">
      <c r="A28" s="28" t="s">
        <v>1086</v>
      </c>
      <c r="B28" s="28" t="s">
        <v>1046</v>
      </c>
      <c r="L28" s="28" t="s">
        <v>1088</v>
      </c>
    </row>
    <row r="30" spans="1:22" x14ac:dyDescent="0.25">
      <c r="C30" s="125"/>
    </row>
    <row r="43" spans="2:2" x14ac:dyDescent="0.25">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53125" defaultRowHeight="12.5" x14ac:dyDescent="0.25"/>
  <cols>
    <col min="1" max="1" width="47" style="28" customWidth="1"/>
    <col min="2" max="2" width="17.26953125" style="28" customWidth="1"/>
    <col min="3" max="10" width="10" style="28" customWidth="1"/>
    <col min="11" max="11" width="11.26953125" style="28" customWidth="1"/>
    <col min="12" max="12" width="7.26953125" style="28" customWidth="1"/>
    <col min="13" max="16" width="11.453125" style="28"/>
    <col min="17" max="17" width="16" style="28" customWidth="1"/>
    <col min="18" max="16384" width="11.453125" style="28"/>
  </cols>
  <sheetData>
    <row r="1" spans="1:18" ht="17.5" thickBot="1" x14ac:dyDescent="0.45">
      <c r="A1" s="36"/>
      <c r="B1" s="398" t="s">
        <v>1092</v>
      </c>
      <c r="C1" s="398"/>
      <c r="D1" s="37"/>
      <c r="E1" s="37"/>
      <c r="F1" s="29"/>
      <c r="G1" s="36"/>
      <c r="H1" s="36"/>
    </row>
    <row r="2" spans="1:18" ht="13" thickTop="1" x14ac:dyDescent="0.25">
      <c r="A2" s="30"/>
      <c r="B2" s="38"/>
      <c r="C2" s="38"/>
      <c r="D2" s="38"/>
      <c r="E2" s="38"/>
      <c r="F2" s="30"/>
      <c r="G2" s="38"/>
      <c r="H2" s="38"/>
      <c r="I2" s="30" t="s">
        <v>1083</v>
      </c>
      <c r="J2" s="38">
        <f>SUP!G15</f>
        <v>16.45</v>
      </c>
      <c r="K2" s="38"/>
    </row>
    <row r="3" spans="1:18" ht="14.5" x14ac:dyDescent="0.35">
      <c r="A3" s="296"/>
      <c r="B3" s="296"/>
      <c r="C3" s="296"/>
      <c r="D3" s="296" t="s">
        <v>332</v>
      </c>
      <c r="E3" s="296"/>
      <c r="F3" s="296"/>
      <c r="G3" s="296"/>
      <c r="H3" s="296"/>
      <c r="I3" s="296"/>
      <c r="J3" s="296"/>
      <c r="K3" s="296"/>
      <c r="L3" s="296"/>
      <c r="M3" s="296"/>
      <c r="N3" s="296"/>
      <c r="O3" s="296"/>
      <c r="P3" s="296"/>
      <c r="Q3" s="296"/>
    </row>
    <row r="4" spans="1:18" ht="42.75" customHeight="1" x14ac:dyDescent="0.3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5.5" thickBot="1" x14ac:dyDescent="0.3">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4.5" x14ac:dyDescent="0.3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5">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5">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5">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5">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5">
      <c r="A11" s="163"/>
      <c r="B11" s="157"/>
      <c r="E11" s="394"/>
      <c r="F11" s="396"/>
      <c r="G11" s="396"/>
      <c r="H11" s="167"/>
      <c r="I11" s="394"/>
      <c r="J11" s="396"/>
      <c r="K11" s="396"/>
      <c r="L11" s="394"/>
      <c r="M11" s="160"/>
      <c r="N11" s="160"/>
    </row>
    <row r="12" spans="1:18" x14ac:dyDescent="0.25">
      <c r="A12" s="163"/>
      <c r="B12" s="157"/>
      <c r="E12" s="394"/>
      <c r="F12" s="396"/>
      <c r="G12" s="396"/>
      <c r="H12" s="167"/>
      <c r="I12" s="394"/>
      <c r="J12" s="396"/>
      <c r="K12" s="396"/>
      <c r="L12" s="394"/>
      <c r="M12" s="160"/>
      <c r="N12" s="160"/>
    </row>
    <row r="13" spans="1:18" x14ac:dyDescent="0.25">
      <c r="A13" s="163"/>
      <c r="B13" s="157"/>
      <c r="E13" s="164"/>
      <c r="F13" s="164"/>
      <c r="G13" s="164"/>
      <c r="H13" s="164"/>
      <c r="I13" s="164"/>
      <c r="J13" s="164"/>
      <c r="K13" s="167"/>
      <c r="L13" s="160"/>
    </row>
    <row r="28" spans="1:3" x14ac:dyDescent="0.25">
      <c r="A28" s="28" t="s">
        <v>1065</v>
      </c>
    </row>
    <row r="29" spans="1:3" x14ac:dyDescent="0.25">
      <c r="A29" s="28" t="s">
        <v>1064</v>
      </c>
    </row>
    <row r="30" spans="1:3" x14ac:dyDescent="0.25">
      <c r="A30" s="28" t="s">
        <v>1060</v>
      </c>
      <c r="B30" s="28" t="s">
        <v>1043</v>
      </c>
      <c r="C30" s="28">
        <v>300</v>
      </c>
    </row>
    <row r="31" spans="1:3" x14ac:dyDescent="0.25">
      <c r="B31" s="28" t="s">
        <v>1059</v>
      </c>
      <c r="C31" s="411">
        <f>-PMT(10%,5,1)</f>
        <v>0.26379748079474541</v>
      </c>
    </row>
    <row r="32" spans="1:3" x14ac:dyDescent="0.25">
      <c r="A32" s="28" t="s">
        <v>1044</v>
      </c>
      <c r="B32" s="28" t="s">
        <v>1043</v>
      </c>
      <c r="C32" s="28">
        <f>C31*C30</f>
        <v>79.139244238423629</v>
      </c>
    </row>
    <row r="33" spans="1:5" x14ac:dyDescent="0.25">
      <c r="B33" s="28" t="s">
        <v>1062</v>
      </c>
      <c r="C33" s="28">
        <f>C32*19</f>
        <v>1503.6456405300489</v>
      </c>
    </row>
    <row r="34" spans="1:5" x14ac:dyDescent="0.25">
      <c r="A34" s="28" t="s">
        <v>1061</v>
      </c>
      <c r="B34" s="28" t="s">
        <v>239</v>
      </c>
      <c r="C34" s="28">
        <v>120</v>
      </c>
      <c r="D34" s="28" t="s">
        <v>1068</v>
      </c>
      <c r="E34" s="28" t="s">
        <v>1069</v>
      </c>
    </row>
    <row r="35" spans="1:5" x14ac:dyDescent="0.25">
      <c r="A35" s="28" t="s">
        <v>1063</v>
      </c>
      <c r="B35" s="28" t="s">
        <v>253</v>
      </c>
      <c r="C35" s="125">
        <f>C33/C34</f>
        <v>12.530380337750408</v>
      </c>
    </row>
    <row r="36" spans="1:5" x14ac:dyDescent="0.25">
      <c r="A36" s="28" t="s">
        <v>1066</v>
      </c>
      <c r="B36" s="28" t="s">
        <v>253</v>
      </c>
      <c r="C36" s="28">
        <v>70</v>
      </c>
    </row>
    <row r="37" spans="1:5" x14ac:dyDescent="0.25">
      <c r="A37" s="28" t="s">
        <v>1067</v>
      </c>
      <c r="B37" s="28" t="s">
        <v>253</v>
      </c>
      <c r="C37" s="28">
        <v>120</v>
      </c>
    </row>
    <row r="38" spans="1:5" x14ac:dyDescent="0.25">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6953125" defaultRowHeight="14.5" x14ac:dyDescent="0.35"/>
  <cols>
    <col min="1" max="1" width="22.26953125" customWidth="1"/>
    <col min="2" max="2" width="25.7265625" customWidth="1"/>
    <col min="3" max="3" width="12.54296875" customWidth="1"/>
    <col min="4" max="4" width="18" customWidth="1"/>
    <col min="5" max="5" width="13.7265625" customWidth="1"/>
    <col min="6" max="7" width="25.26953125" customWidth="1"/>
    <col min="8" max="8" width="10.7265625" customWidth="1"/>
    <col min="9" max="9" width="13.26953125" customWidth="1"/>
    <col min="10" max="11" width="18.26953125" customWidth="1"/>
    <col min="12" max="12" width="17" customWidth="1"/>
    <col min="13" max="13" width="22.54296875" customWidth="1"/>
    <col min="14" max="14" width="15.26953125" customWidth="1"/>
    <col min="15" max="15" width="13.453125" customWidth="1"/>
    <col min="16" max="16" width="11.26953125" customWidth="1"/>
    <col min="17" max="17" width="13.26953125" customWidth="1"/>
    <col min="18" max="18" width="23" customWidth="1"/>
    <col min="19" max="19" width="7.7265625" customWidth="1"/>
    <col min="20" max="20" width="6" customWidth="1"/>
    <col min="21" max="21" width="10.26953125" customWidth="1"/>
    <col min="22" max="22" width="15.54296875" customWidth="1"/>
    <col min="23" max="23" width="10" customWidth="1"/>
  </cols>
  <sheetData>
    <row r="2" spans="1:31" ht="17.5" thickBot="1" x14ac:dyDescent="0.45">
      <c r="B2" s="169" t="s">
        <v>987</v>
      </c>
      <c r="C2" s="169"/>
      <c r="D2" s="169"/>
      <c r="E2" s="169"/>
    </row>
    <row r="3" spans="1:31" ht="15" thickTop="1" x14ac:dyDescent="0.35"/>
    <row r="6" spans="1:31" ht="15" customHeight="1" x14ac:dyDescent="0.35">
      <c r="A6" t="s">
        <v>359</v>
      </c>
      <c r="U6" s="173" t="s">
        <v>360</v>
      </c>
      <c r="V6" s="174">
        <v>15.3</v>
      </c>
      <c r="W6" s="175" t="s">
        <v>361</v>
      </c>
      <c r="AC6" s="440" t="s">
        <v>362</v>
      </c>
      <c r="AD6" s="440"/>
      <c r="AE6" s="440"/>
    </row>
    <row r="7" spans="1:31" ht="15.75" customHeight="1" x14ac:dyDescent="0.35">
      <c r="A7" s="441" t="s">
        <v>363</v>
      </c>
      <c r="B7" s="443" t="s">
        <v>364</v>
      </c>
      <c r="C7" s="445" t="s">
        <v>365</v>
      </c>
      <c r="D7" s="446"/>
      <c r="E7" s="447"/>
      <c r="F7" s="450" t="s">
        <v>366</v>
      </c>
      <c r="G7" s="176"/>
      <c r="H7" s="176"/>
      <c r="I7" s="176"/>
      <c r="J7" s="176"/>
      <c r="U7" s="173" t="s">
        <v>367</v>
      </c>
      <c r="V7" s="174">
        <v>18.235131074122162</v>
      </c>
      <c r="W7" s="175" t="s">
        <v>368</v>
      </c>
      <c r="AC7" s="177" t="s">
        <v>369</v>
      </c>
      <c r="AD7" s="178">
        <f>AD8*AD9/10^3</f>
        <v>5.4839199999999998E-2</v>
      </c>
      <c r="AE7" s="179" t="s">
        <v>239</v>
      </c>
    </row>
    <row r="8" spans="1:31" x14ac:dyDescent="0.35">
      <c r="A8" s="442"/>
      <c r="B8" s="444"/>
      <c r="C8" s="448"/>
      <c r="D8" s="449"/>
      <c r="E8" s="449"/>
      <c r="F8" s="451"/>
      <c r="G8" s="176"/>
      <c r="H8" s="176"/>
      <c r="I8" s="176"/>
      <c r="J8" s="176"/>
      <c r="V8" t="s">
        <v>370</v>
      </c>
      <c r="W8" t="s">
        <v>370</v>
      </c>
      <c r="X8" t="s">
        <v>370</v>
      </c>
      <c r="Y8" t="s">
        <v>371</v>
      </c>
      <c r="Z8" t="s">
        <v>371</v>
      </c>
      <c r="AA8" t="s">
        <v>371</v>
      </c>
      <c r="AC8" s="180" t="s">
        <v>372</v>
      </c>
      <c r="AD8" s="178">
        <v>52</v>
      </c>
      <c r="AE8" s="179" t="s">
        <v>373</v>
      </c>
    </row>
    <row r="9" spans="1:31" x14ac:dyDescent="0.3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3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3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3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3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3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3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3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3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3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3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3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3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35">
      <c r="C22" s="57"/>
      <c r="D22" s="57"/>
      <c r="F22" s="57"/>
      <c r="H22" s="186"/>
      <c r="I22" s="57"/>
      <c r="J22" s="57"/>
      <c r="AC22" s="180" t="s">
        <v>431</v>
      </c>
      <c r="AD22" s="178">
        <v>5.8</v>
      </c>
      <c r="AE22" s="179" t="s">
        <v>239</v>
      </c>
    </row>
    <row r="23" spans="1:31" x14ac:dyDescent="0.35">
      <c r="C23" s="57"/>
      <c r="D23" s="57"/>
      <c r="F23" s="57"/>
      <c r="H23" s="186"/>
      <c r="I23" s="57"/>
      <c r="J23" s="57"/>
      <c r="AC23" s="180"/>
      <c r="AD23" s="178"/>
      <c r="AE23" s="179"/>
    </row>
    <row r="24" spans="1:31" x14ac:dyDescent="0.35">
      <c r="C24" s="57"/>
      <c r="D24" s="57"/>
      <c r="F24" s="57"/>
      <c r="H24" s="186"/>
      <c r="I24" s="57"/>
      <c r="J24" s="57"/>
    </row>
    <row r="25" spans="1:31" x14ac:dyDescent="0.35">
      <c r="C25" s="57"/>
      <c r="D25" s="57"/>
      <c r="F25" s="57"/>
      <c r="H25" s="186"/>
      <c r="I25" s="57"/>
      <c r="J25" s="57"/>
      <c r="V25" s="217"/>
      <c r="AC25" s="439" t="s">
        <v>432</v>
      </c>
      <c r="AD25" s="439"/>
      <c r="AE25" s="439"/>
    </row>
    <row r="26" spans="1:31" x14ac:dyDescent="0.35">
      <c r="C26" s="57"/>
      <c r="D26" s="57"/>
      <c r="F26" s="57"/>
      <c r="H26" s="186"/>
      <c r="I26" s="57"/>
      <c r="J26" s="57"/>
      <c r="AC26" s="173" t="s">
        <v>367</v>
      </c>
      <c r="AD26" s="174">
        <f>1/AD7</f>
        <v>18.235131074122162</v>
      </c>
      <c r="AE26" s="218" t="s">
        <v>368</v>
      </c>
    </row>
    <row r="27" spans="1:31" x14ac:dyDescent="0.35">
      <c r="C27" s="57"/>
      <c r="D27" s="57"/>
      <c r="F27" s="57"/>
      <c r="H27" s="186"/>
      <c r="I27" s="57"/>
      <c r="J27" s="57"/>
      <c r="AC27" s="173" t="s">
        <v>360</v>
      </c>
      <c r="AD27" s="218">
        <f>15.3*0.001*1000</f>
        <v>15.3</v>
      </c>
      <c r="AE27" s="218" t="s">
        <v>361</v>
      </c>
    </row>
    <row r="28" spans="1:31" x14ac:dyDescent="0.35">
      <c r="C28" s="57"/>
      <c r="D28" s="57"/>
      <c r="F28" s="57"/>
      <c r="H28" s="186"/>
      <c r="I28" s="57"/>
      <c r="J28" s="57"/>
      <c r="AC28" s="173" t="s">
        <v>433</v>
      </c>
      <c r="AD28" s="219">
        <f>20*0.001</f>
        <v>0.02</v>
      </c>
      <c r="AE28" s="218" t="s">
        <v>434</v>
      </c>
    </row>
    <row r="29" spans="1:31" x14ac:dyDescent="0.35">
      <c r="C29" s="57"/>
      <c r="D29" s="57"/>
      <c r="F29" s="57"/>
      <c r="H29" s="186"/>
      <c r="I29" s="57"/>
      <c r="J29" s="57"/>
      <c r="AC29" s="173" t="s">
        <v>435</v>
      </c>
      <c r="AD29" s="218">
        <f>12/16</f>
        <v>0.75</v>
      </c>
      <c r="AE29" s="218" t="s">
        <v>361</v>
      </c>
    </row>
    <row r="30" spans="1:31" x14ac:dyDescent="0.35">
      <c r="C30" s="57"/>
      <c r="D30" s="57"/>
    </row>
    <row r="31" spans="1:31" ht="18.75" customHeight="1" thickBot="1" x14ac:dyDescent="0.4">
      <c r="H31" s="435"/>
      <c r="I31" s="435"/>
      <c r="R31" t="s">
        <v>370</v>
      </c>
      <c r="S31" t="s">
        <v>370</v>
      </c>
      <c r="T31" t="s">
        <v>370</v>
      </c>
      <c r="U31" t="s">
        <v>371</v>
      </c>
      <c r="V31" t="s">
        <v>371</v>
      </c>
      <c r="W31" t="s">
        <v>371</v>
      </c>
    </row>
    <row r="32" spans="1:31" ht="17.25" customHeight="1" x14ac:dyDescent="0.35">
      <c r="L32" s="427" t="s">
        <v>436</v>
      </c>
      <c r="M32" s="436" t="s">
        <v>437</v>
      </c>
      <c r="N32" s="220" t="s">
        <v>438</v>
      </c>
      <c r="O32" s="221" t="s">
        <v>439</v>
      </c>
      <c r="P32" s="222" t="s">
        <v>438</v>
      </c>
      <c r="Q32" s="223" t="s">
        <v>439</v>
      </c>
      <c r="R32" s="427" t="s">
        <v>389</v>
      </c>
      <c r="S32" s="427" t="s">
        <v>393</v>
      </c>
      <c r="T32" s="427" t="s">
        <v>440</v>
      </c>
      <c r="U32" s="427" t="s">
        <v>389</v>
      </c>
      <c r="V32" s="427" t="s">
        <v>393</v>
      </c>
      <c r="W32" s="427" t="s">
        <v>440</v>
      </c>
    </row>
    <row r="33" spans="1:24" x14ac:dyDescent="0.35">
      <c r="A33" t="s">
        <v>441</v>
      </c>
      <c r="C33" t="s">
        <v>442</v>
      </c>
      <c r="D33" t="s">
        <v>442</v>
      </c>
      <c r="E33" t="s">
        <v>442</v>
      </c>
      <c r="F33" s="142" t="s">
        <v>443</v>
      </c>
      <c r="G33" s="142" t="s">
        <v>444</v>
      </c>
      <c r="H33" s="434" t="s">
        <v>445</v>
      </c>
      <c r="I33" s="434"/>
      <c r="J33" s="142" t="s">
        <v>443</v>
      </c>
      <c r="K33" t="s">
        <v>444</v>
      </c>
      <c r="L33" s="428"/>
      <c r="M33" s="437"/>
      <c r="N33" s="16"/>
      <c r="O33" s="73"/>
      <c r="P33" s="73"/>
      <c r="Q33" s="224"/>
      <c r="R33" s="428"/>
      <c r="S33" s="428"/>
      <c r="T33" s="428"/>
      <c r="U33" s="428"/>
      <c r="V33" s="428"/>
      <c r="W33" s="428"/>
    </row>
    <row r="34" spans="1:24" ht="15" thickBot="1" x14ac:dyDescent="0.4">
      <c r="A34" t="s">
        <v>446</v>
      </c>
      <c r="F34" s="142" t="s">
        <v>447</v>
      </c>
      <c r="G34" s="142" t="s">
        <v>448</v>
      </c>
      <c r="H34" s="142"/>
      <c r="I34" s="142"/>
      <c r="J34" s="142" t="s">
        <v>447</v>
      </c>
      <c r="K34" t="s">
        <v>447</v>
      </c>
      <c r="L34" s="429"/>
      <c r="M34" s="438"/>
      <c r="N34" s="225" t="s">
        <v>449</v>
      </c>
      <c r="O34" s="226" t="s">
        <v>449</v>
      </c>
      <c r="P34" s="95" t="s">
        <v>449</v>
      </c>
      <c r="Q34" s="227" t="s">
        <v>449</v>
      </c>
      <c r="R34" s="429"/>
      <c r="S34" s="429"/>
      <c r="T34" s="429"/>
      <c r="U34" s="429"/>
      <c r="V34" s="429"/>
      <c r="W34" s="429"/>
    </row>
    <row r="35" spans="1:24" ht="15" thickBot="1" x14ac:dyDescent="0.4">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35">
      <c r="A36" s="191" t="s">
        <v>451</v>
      </c>
      <c r="B36" s="107" t="s">
        <v>385</v>
      </c>
      <c r="C36" s="107">
        <v>0.9</v>
      </c>
      <c r="D36" s="15">
        <v>2.9</v>
      </c>
      <c r="E36" s="8">
        <f>AVERAGE(C36:D36)</f>
        <v>1.9</v>
      </c>
      <c r="F36">
        <f>D36*$F$35/25</f>
        <v>0.10439999999999999</v>
      </c>
      <c r="G36">
        <f>D36*$G$35</f>
        <v>0.28999999999999998</v>
      </c>
      <c r="H36" s="237">
        <f>F36*25+G36</f>
        <v>2.9</v>
      </c>
      <c r="I36" s="237"/>
      <c r="L36" s="430"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3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31"/>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35">
      <c r="A38" s="73"/>
      <c r="B38" t="s">
        <v>395</v>
      </c>
      <c r="D38" s="11">
        <v>7.8</v>
      </c>
      <c r="E38" s="8">
        <f t="shared" si="2"/>
        <v>7.8</v>
      </c>
      <c r="F38">
        <f>D38*90%/25</f>
        <v>0.28079999999999999</v>
      </c>
      <c r="G38">
        <f t="shared" si="4"/>
        <v>0.78</v>
      </c>
      <c r="H38" s="237">
        <f t="shared" ref="H38:H49" si="12">F38*25+G38</f>
        <v>7.8</v>
      </c>
      <c r="I38" s="237"/>
      <c r="L38" s="431"/>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35">
      <c r="A39" s="243" t="s">
        <v>454</v>
      </c>
      <c r="B39" s="237" t="s">
        <v>407</v>
      </c>
      <c r="C39" s="237"/>
      <c r="D39" s="244">
        <v>23.4</v>
      </c>
      <c r="E39" s="245">
        <f t="shared" si="2"/>
        <v>23.4</v>
      </c>
      <c r="F39">
        <f t="shared" si="3"/>
        <v>0.84239999999999993</v>
      </c>
      <c r="G39">
        <f t="shared" si="4"/>
        <v>2.34</v>
      </c>
      <c r="H39" s="237">
        <f t="shared" si="12"/>
        <v>23.4</v>
      </c>
      <c r="I39" s="237"/>
      <c r="K39" s="237"/>
      <c r="L39" s="431"/>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35">
      <c r="A40" s="73"/>
      <c r="B40" t="s">
        <v>455</v>
      </c>
      <c r="D40" s="11">
        <v>17.899999999999999</v>
      </c>
      <c r="E40" s="8">
        <f t="shared" si="2"/>
        <v>17.899999999999999</v>
      </c>
      <c r="F40">
        <f t="shared" si="3"/>
        <v>0.64439999999999997</v>
      </c>
      <c r="G40">
        <f t="shared" si="4"/>
        <v>1.79</v>
      </c>
      <c r="H40" s="237">
        <f t="shared" si="12"/>
        <v>17.899999999999999</v>
      </c>
      <c r="I40" s="237"/>
      <c r="L40" s="431"/>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 thickBot="1" x14ac:dyDescent="0.4">
      <c r="A41" s="210"/>
      <c r="B41" s="13" t="s">
        <v>456</v>
      </c>
      <c r="C41" s="13">
        <v>3</v>
      </c>
      <c r="D41" s="14">
        <v>16.899999999999999</v>
      </c>
      <c r="E41" s="8">
        <f t="shared" si="2"/>
        <v>9.9499999999999993</v>
      </c>
      <c r="F41">
        <f>D41*90%/25</f>
        <v>0.60839999999999994</v>
      </c>
      <c r="G41">
        <f t="shared" si="4"/>
        <v>1.69</v>
      </c>
      <c r="H41" s="237">
        <f t="shared" si="12"/>
        <v>16.899999999999999</v>
      </c>
      <c r="I41" s="237"/>
      <c r="L41" s="432"/>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35">
      <c r="A42" s="191" t="s">
        <v>457</v>
      </c>
      <c r="B42" s="107" t="s">
        <v>385</v>
      </c>
      <c r="C42" s="107"/>
      <c r="D42" s="15">
        <v>4.2</v>
      </c>
      <c r="E42" s="8">
        <f t="shared" si="2"/>
        <v>4.2</v>
      </c>
      <c r="F42">
        <f t="shared" si="3"/>
        <v>0.1512</v>
      </c>
      <c r="G42">
        <f t="shared" si="4"/>
        <v>0.42000000000000004</v>
      </c>
      <c r="H42" s="237">
        <f t="shared" si="12"/>
        <v>4.2</v>
      </c>
      <c r="I42" s="237"/>
      <c r="L42" s="430"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35">
      <c r="A43" s="73"/>
      <c r="B43" t="s">
        <v>395</v>
      </c>
      <c r="D43" s="11">
        <v>3.5</v>
      </c>
      <c r="E43" s="8">
        <f t="shared" si="2"/>
        <v>3.5</v>
      </c>
      <c r="F43">
        <f t="shared" si="3"/>
        <v>0.126</v>
      </c>
      <c r="G43">
        <f t="shared" si="4"/>
        <v>0.35000000000000003</v>
      </c>
      <c r="H43" s="237">
        <f t="shared" si="12"/>
        <v>3.5</v>
      </c>
      <c r="I43" s="237"/>
      <c r="L43" s="431"/>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3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31"/>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 thickBot="1" x14ac:dyDescent="0.4">
      <c r="A45" s="210"/>
      <c r="B45" s="13" t="s">
        <v>455</v>
      </c>
      <c r="C45" s="13"/>
      <c r="D45" s="14">
        <v>8.9</v>
      </c>
      <c r="E45" s="8">
        <f t="shared" si="2"/>
        <v>8.9</v>
      </c>
      <c r="F45">
        <f t="shared" si="3"/>
        <v>0.32040000000000002</v>
      </c>
      <c r="G45">
        <f t="shared" si="4"/>
        <v>0.89000000000000012</v>
      </c>
      <c r="H45" s="237">
        <f t="shared" si="12"/>
        <v>8.9</v>
      </c>
      <c r="I45" s="237"/>
      <c r="L45" s="432"/>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 thickBot="1" x14ac:dyDescent="0.4">
      <c r="A46" s="248" t="s">
        <v>458</v>
      </c>
      <c r="B46" s="249" t="s">
        <v>459</v>
      </c>
      <c r="C46" s="249"/>
      <c r="D46" s="250"/>
      <c r="E46" s="8"/>
      <c r="F46">
        <f t="shared" si="3"/>
        <v>0</v>
      </c>
      <c r="G46">
        <f t="shared" si="4"/>
        <v>0</v>
      </c>
      <c r="H46" s="237">
        <f t="shared" si="12"/>
        <v>0</v>
      </c>
      <c r="I46" s="237"/>
      <c r="L46" s="430"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 thickBot="1" x14ac:dyDescent="0.4">
      <c r="A47" s="73" t="s">
        <v>460</v>
      </c>
      <c r="B47" t="s">
        <v>385</v>
      </c>
      <c r="D47" s="11">
        <v>1.9</v>
      </c>
      <c r="E47" s="8">
        <f t="shared" si="2"/>
        <v>1.9</v>
      </c>
      <c r="F47">
        <f t="shared" si="3"/>
        <v>6.8400000000000002E-2</v>
      </c>
      <c r="G47">
        <f t="shared" si="4"/>
        <v>0.19</v>
      </c>
      <c r="H47" s="237">
        <f t="shared" si="12"/>
        <v>1.9</v>
      </c>
      <c r="I47" s="237"/>
      <c r="L47" s="431"/>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 thickBot="1" x14ac:dyDescent="0.4">
      <c r="A48" s="73"/>
      <c r="B48" t="s">
        <v>395</v>
      </c>
      <c r="D48" s="11">
        <v>2.7</v>
      </c>
      <c r="E48" s="8">
        <f t="shared" si="2"/>
        <v>2.7</v>
      </c>
      <c r="F48">
        <f t="shared" si="3"/>
        <v>9.7200000000000009E-2</v>
      </c>
      <c r="G48">
        <f t="shared" si="4"/>
        <v>0.27</v>
      </c>
      <c r="H48" s="237">
        <f t="shared" si="12"/>
        <v>2.7</v>
      </c>
      <c r="I48" s="237"/>
      <c r="L48" s="432"/>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3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35">
      <c r="A50" t="s">
        <v>461</v>
      </c>
      <c r="O50" s="237"/>
      <c r="P50" s="237"/>
      <c r="R50" s="237"/>
    </row>
    <row r="52" spans="1:18" x14ac:dyDescent="0.35">
      <c r="A52" t="s">
        <v>462</v>
      </c>
    </row>
    <row r="53" spans="1:18" x14ac:dyDescent="0.35">
      <c r="A53" t="s">
        <v>463</v>
      </c>
      <c r="F53" t="s">
        <v>464</v>
      </c>
      <c r="G53" t="s">
        <v>465</v>
      </c>
      <c r="H53" t="s">
        <v>466</v>
      </c>
    </row>
    <row r="54" spans="1:18" x14ac:dyDescent="0.35">
      <c r="A54" t="s">
        <v>356</v>
      </c>
      <c r="B54" t="s">
        <v>467</v>
      </c>
      <c r="C54" s="254">
        <v>0.8</v>
      </c>
      <c r="F54" t="s">
        <v>468</v>
      </c>
      <c r="G54">
        <v>56</v>
      </c>
      <c r="H54">
        <f t="shared" ref="H54:H59" si="15">G54*10^9/10^9</f>
        <v>56</v>
      </c>
    </row>
    <row r="55" spans="1:18" x14ac:dyDescent="0.35">
      <c r="A55" t="s">
        <v>469</v>
      </c>
      <c r="B55" t="s">
        <v>371</v>
      </c>
      <c r="F55" t="s">
        <v>470</v>
      </c>
      <c r="G55">
        <v>77</v>
      </c>
      <c r="H55">
        <f t="shared" si="15"/>
        <v>77</v>
      </c>
    </row>
    <row r="56" spans="1:18" x14ac:dyDescent="0.35">
      <c r="A56" t="s">
        <v>471</v>
      </c>
      <c r="B56" t="s">
        <v>472</v>
      </c>
      <c r="F56" t="s">
        <v>473</v>
      </c>
      <c r="G56">
        <v>69</v>
      </c>
      <c r="H56">
        <f t="shared" si="15"/>
        <v>69</v>
      </c>
    </row>
    <row r="57" spans="1:18" x14ac:dyDescent="0.35">
      <c r="A57" t="s">
        <v>474</v>
      </c>
      <c r="B57" t="s">
        <v>475</v>
      </c>
      <c r="F57" t="s">
        <v>476</v>
      </c>
      <c r="G57">
        <v>74</v>
      </c>
      <c r="H57">
        <f t="shared" si="15"/>
        <v>74</v>
      </c>
    </row>
    <row r="58" spans="1:18" x14ac:dyDescent="0.35">
      <c r="A58" t="s">
        <v>477</v>
      </c>
      <c r="B58" t="s">
        <v>478</v>
      </c>
      <c r="F58" t="s">
        <v>479</v>
      </c>
      <c r="G58">
        <v>63</v>
      </c>
      <c r="H58">
        <f t="shared" si="15"/>
        <v>63</v>
      </c>
    </row>
    <row r="59" spans="1:18" x14ac:dyDescent="0.35">
      <c r="A59" t="s">
        <v>480</v>
      </c>
      <c r="B59" t="s">
        <v>481</v>
      </c>
      <c r="F59" t="s">
        <v>155</v>
      </c>
      <c r="G59">
        <v>96</v>
      </c>
      <c r="H59">
        <f t="shared" si="15"/>
        <v>96</v>
      </c>
    </row>
    <row r="60" spans="1:18" x14ac:dyDescent="0.35">
      <c r="A60" t="s">
        <v>482</v>
      </c>
      <c r="B60" t="s">
        <v>483</v>
      </c>
    </row>
    <row r="63" spans="1:18" x14ac:dyDescent="0.35">
      <c r="A63" t="s">
        <v>484</v>
      </c>
    </row>
    <row r="66" spans="1:7" x14ac:dyDescent="0.35">
      <c r="A66" s="255" t="s">
        <v>485</v>
      </c>
    </row>
    <row r="67" spans="1:7" x14ac:dyDescent="0.35">
      <c r="A67" t="s">
        <v>486</v>
      </c>
      <c r="D67" t="str">
        <f>AC12</f>
        <v>1 m3 CH4 =</v>
      </c>
      <c r="E67" s="256">
        <f>AD19</f>
        <v>0.66200000000000003</v>
      </c>
      <c r="F67" s="256" t="str">
        <f>AE19</f>
        <v>kg CH4</v>
      </c>
    </row>
    <row r="68" spans="1:7" x14ac:dyDescent="0.35">
      <c r="A68" s="257" t="s">
        <v>487</v>
      </c>
      <c r="B68" s="57">
        <v>1333</v>
      </c>
      <c r="C68" t="s">
        <v>488</v>
      </c>
      <c r="D68" t="s">
        <v>489</v>
      </c>
      <c r="E68">
        <f>0.77*0.662</f>
        <v>0.50974000000000008</v>
      </c>
      <c r="F68" s="256" t="s">
        <v>490</v>
      </c>
    </row>
    <row r="69" spans="1:7" x14ac:dyDescent="0.35">
      <c r="A69">
        <f>B69/$B$68</f>
        <v>5.7764441110277572E-4</v>
      </c>
      <c r="B69">
        <v>0.77</v>
      </c>
      <c r="C69" t="s">
        <v>488</v>
      </c>
      <c r="D69" t="str">
        <f>D67</f>
        <v>1 m3 CH4 =</v>
      </c>
      <c r="E69" s="256">
        <f>AD12</f>
        <v>37</v>
      </c>
      <c r="F69" t="s">
        <v>400</v>
      </c>
      <c r="G69">
        <f>1/37</f>
        <v>2.7027027027027029E-2</v>
      </c>
    </row>
    <row r="70" spans="1:7" x14ac:dyDescent="0.35">
      <c r="A70">
        <f>B70/$B$68</f>
        <v>1.350337584396099E-4</v>
      </c>
      <c r="B70">
        <v>0.18</v>
      </c>
      <c r="C70" t="s">
        <v>488</v>
      </c>
      <c r="D70" t="str">
        <f>D68</f>
        <v xml:space="preserve">0.77 m3 CH4 = </v>
      </c>
      <c r="E70">
        <f>E68/(1000*1000)</f>
        <v>5.0974000000000012E-7</v>
      </c>
      <c r="F70" t="s">
        <v>491</v>
      </c>
    </row>
    <row r="71" spans="1:7" x14ac:dyDescent="0.35">
      <c r="D71" t="str">
        <f>D69</f>
        <v>1 m3 CH4 =</v>
      </c>
      <c r="E71">
        <f>E70/(0.0243/1000)</f>
        <v>2.0976954732510295E-2</v>
      </c>
      <c r="G71">
        <f>E70/(0.0243/1000)</f>
        <v>2.0976954732510295E-2</v>
      </c>
    </row>
    <row r="72" spans="1:7" x14ac:dyDescent="0.35">
      <c r="A72" t="s">
        <v>492</v>
      </c>
    </row>
    <row r="73" spans="1:7" x14ac:dyDescent="0.35">
      <c r="A73">
        <f>A69*1000/(0.0243*1000)</f>
        <v>2.3771374942501061E-2</v>
      </c>
      <c r="B73" t="s">
        <v>449</v>
      </c>
      <c r="F73">
        <v>24.3</v>
      </c>
      <c r="G73" t="s">
        <v>493</v>
      </c>
    </row>
    <row r="78" spans="1:7" x14ac:dyDescent="0.35">
      <c r="A78" s="26" t="s">
        <v>494</v>
      </c>
    </row>
    <row r="79" spans="1:7" x14ac:dyDescent="0.35">
      <c r="A79" s="8" t="s">
        <v>495</v>
      </c>
      <c r="B79" s="8" t="s">
        <v>496</v>
      </c>
      <c r="C79" s="8" t="s">
        <v>497</v>
      </c>
      <c r="D79" s="433" t="s">
        <v>498</v>
      </c>
      <c r="E79" s="433"/>
    </row>
    <row r="80" spans="1:7" x14ac:dyDescent="0.35">
      <c r="A80" s="8">
        <v>2000</v>
      </c>
      <c r="B80" s="8">
        <v>152430357</v>
      </c>
      <c r="C80" s="8">
        <v>135174090</v>
      </c>
      <c r="D80" s="259">
        <f>B80/(SUM($B$80:$C$80))</f>
        <v>0.53000000031292982</v>
      </c>
      <c r="E80" s="259">
        <f>C80/(SUM($B$80:$C$80))</f>
        <v>0.46999999968707018</v>
      </c>
    </row>
    <row r="81" spans="1:5" x14ac:dyDescent="0.35">
      <c r="A81" s="8">
        <v>2001</v>
      </c>
      <c r="B81" s="8">
        <v>151473376</v>
      </c>
      <c r="C81" s="8">
        <v>134325446</v>
      </c>
      <c r="D81" s="259">
        <f>B81/(SUM($B$81:$C$81))</f>
        <v>0.53000000118964796</v>
      </c>
      <c r="E81" s="259">
        <f>C81/(SUM($B$81:$C$81))</f>
        <v>0.46999999881035198</v>
      </c>
    </row>
    <row r="82" spans="1:5" x14ac:dyDescent="0.35">
      <c r="A82" s="8">
        <v>2002</v>
      </c>
      <c r="B82" s="8">
        <v>149287553</v>
      </c>
      <c r="C82" s="8">
        <v>132387075</v>
      </c>
      <c r="D82" s="259">
        <f>B82/(SUM($B$82:$C$82))</f>
        <v>0.53000000056803132</v>
      </c>
      <c r="E82" s="259">
        <f>C82/(SUM($B$82:$C$82))</f>
        <v>0.46999999943196874</v>
      </c>
    </row>
    <row r="98" spans="1:11" x14ac:dyDescent="0.35">
      <c r="A98" s="260" t="s">
        <v>432</v>
      </c>
      <c r="B98" s="261" t="s">
        <v>499</v>
      </c>
    </row>
    <row r="99" spans="1:11" x14ac:dyDescent="0.35">
      <c r="A99" s="262" t="s">
        <v>500</v>
      </c>
      <c r="C99" s="261"/>
    </row>
    <row r="100" spans="1:11" x14ac:dyDescent="0.35">
      <c r="A100" s="261"/>
    </row>
    <row r="101" spans="1:11" ht="15" thickBot="1" x14ac:dyDescent="0.4">
      <c r="A101" s="263" t="s">
        <v>501</v>
      </c>
      <c r="F101" t="s">
        <v>502</v>
      </c>
    </row>
    <row r="102" spans="1:11" ht="23" thickBot="1" x14ac:dyDescent="0.4">
      <c r="A102" s="264" t="s">
        <v>503</v>
      </c>
      <c r="B102" s="265" t="s">
        <v>504</v>
      </c>
      <c r="C102" s="265" t="s">
        <v>505</v>
      </c>
      <c r="D102" s="265" t="s">
        <v>506</v>
      </c>
      <c r="E102" s="265" t="s">
        <v>507</v>
      </c>
    </row>
    <row r="103" spans="1:11" ht="15" thickBot="1" x14ac:dyDescent="0.4">
      <c r="A103" s="422" t="s">
        <v>508</v>
      </c>
      <c r="B103" s="266" t="s">
        <v>509</v>
      </c>
      <c r="C103" s="424" t="s">
        <v>510</v>
      </c>
      <c r="D103" s="266">
        <v>0.77</v>
      </c>
      <c r="E103" s="266">
        <v>18</v>
      </c>
    </row>
    <row r="104" spans="1:11" ht="15" thickBot="1" x14ac:dyDescent="0.4">
      <c r="A104" s="423"/>
      <c r="B104" s="266" t="s">
        <v>511</v>
      </c>
      <c r="C104" s="425"/>
      <c r="D104" s="266">
        <v>0.18</v>
      </c>
      <c r="E104" s="266">
        <v>2.5</v>
      </c>
      <c r="K104">
        <f>0.77/0.0243</f>
        <v>31.68724279835391</v>
      </c>
    </row>
    <row r="105" spans="1:11" ht="15" thickBot="1" x14ac:dyDescent="0.4">
      <c r="A105" s="422" t="s">
        <v>512</v>
      </c>
      <c r="B105" s="266" t="s">
        <v>513</v>
      </c>
      <c r="C105" s="425"/>
      <c r="D105" s="266">
        <v>0</v>
      </c>
      <c r="E105" s="266">
        <v>1.2</v>
      </c>
    </row>
    <row r="106" spans="1:11" ht="15" thickBot="1" x14ac:dyDescent="0.4">
      <c r="A106" s="423"/>
      <c r="B106" s="266" t="s">
        <v>514</v>
      </c>
      <c r="C106" s="426"/>
      <c r="D106" s="266">
        <v>0</v>
      </c>
      <c r="E106" s="266">
        <v>0.1</v>
      </c>
    </row>
    <row r="107" spans="1:11" ht="15" thickBot="1" x14ac:dyDescent="0.4">
      <c r="A107" s="422" t="s">
        <v>508</v>
      </c>
      <c r="B107" s="266" t="s">
        <v>513</v>
      </c>
      <c r="C107" s="424" t="s">
        <v>515</v>
      </c>
      <c r="D107" s="266">
        <v>7.6999999999999999E-2</v>
      </c>
      <c r="E107" s="266" t="s">
        <v>516</v>
      </c>
    </row>
    <row r="108" spans="1:11" ht="15" thickBot="1" x14ac:dyDescent="0.4">
      <c r="A108" s="423"/>
      <c r="B108" s="266" t="s">
        <v>514</v>
      </c>
      <c r="C108" s="425"/>
      <c r="D108" s="266">
        <v>1.7999999999999999E-2</v>
      </c>
      <c r="E108" s="266" t="s">
        <v>516</v>
      </c>
    </row>
    <row r="109" spans="1:11" ht="15" thickBot="1" x14ac:dyDescent="0.4">
      <c r="A109" s="422" t="s">
        <v>512</v>
      </c>
      <c r="B109" s="266" t="s">
        <v>513</v>
      </c>
      <c r="C109" s="425"/>
      <c r="D109" s="266">
        <v>0</v>
      </c>
      <c r="E109" s="266" t="s">
        <v>516</v>
      </c>
    </row>
    <row r="110" spans="1:11" ht="15" thickBot="1" x14ac:dyDescent="0.4">
      <c r="A110" s="423"/>
      <c r="B110" s="266" t="s">
        <v>514</v>
      </c>
      <c r="C110" s="426"/>
      <c r="D110" s="266">
        <v>0</v>
      </c>
      <c r="E110" s="266" t="s">
        <v>516</v>
      </c>
    </row>
    <row r="112" spans="1:11" x14ac:dyDescent="0.35">
      <c r="A112" s="262" t="s">
        <v>500</v>
      </c>
    </row>
    <row r="113" spans="1:22" x14ac:dyDescent="0.35">
      <c r="A113" s="261" t="s">
        <v>517</v>
      </c>
    </row>
    <row r="116" spans="1:22" x14ac:dyDescent="0.35">
      <c r="A116" s="261" t="s">
        <v>499</v>
      </c>
      <c r="R116" s="261" t="s">
        <v>518</v>
      </c>
    </row>
    <row r="117" spans="1:22" ht="15" thickBot="1" x14ac:dyDescent="0.4">
      <c r="A117" t="s">
        <v>519</v>
      </c>
      <c r="H117" t="s">
        <v>520</v>
      </c>
      <c r="N117">
        <f>0.0243/1000</f>
        <v>2.4299999999999998E-5</v>
      </c>
    </row>
    <row r="118" spans="1:22" x14ac:dyDescent="0.3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3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3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3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3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3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3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3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3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3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3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 thickBot="1" x14ac:dyDescent="0.4">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3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35">
      <c r="C131" t="s">
        <v>558</v>
      </c>
      <c r="D131" t="s">
        <v>558</v>
      </c>
      <c r="R131" t="s">
        <v>370</v>
      </c>
      <c r="U131" t="s">
        <v>557</v>
      </c>
      <c r="V131" s="282">
        <f>V128/V121</f>
        <v>0.25727313452786532</v>
      </c>
    </row>
    <row r="132" spans="1:22" x14ac:dyDescent="0.35">
      <c r="C132" s="283" t="s">
        <v>559</v>
      </c>
      <c r="D132" t="s">
        <v>560</v>
      </c>
      <c r="E132" s="283" t="s">
        <v>561</v>
      </c>
      <c r="F132" s="284" t="s">
        <v>562</v>
      </c>
      <c r="G132" t="s">
        <v>563</v>
      </c>
      <c r="H132" t="s">
        <v>564</v>
      </c>
      <c r="I132" t="s">
        <v>533</v>
      </c>
      <c r="J132" t="s">
        <v>565</v>
      </c>
      <c r="K132" s="284" t="s">
        <v>566</v>
      </c>
      <c r="L132" t="s">
        <v>567</v>
      </c>
    </row>
    <row r="133" spans="1:22" x14ac:dyDescent="0.3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3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3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3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3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3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3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3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3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3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3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3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E10" sqref="E10"/>
    </sheetView>
  </sheetViews>
  <sheetFormatPr defaultColWidth="8.7265625" defaultRowHeight="14.5" x14ac:dyDescent="0.35"/>
  <cols>
    <col min="1" max="1" width="7.7265625" bestFit="1" customWidth="1"/>
    <col min="2" max="2" width="11.54296875" bestFit="1" customWidth="1"/>
    <col min="3" max="3" width="9.7265625" bestFit="1" customWidth="1"/>
    <col min="4" max="4" width="10.7265625" bestFit="1" customWidth="1"/>
    <col min="5" max="5" width="10" bestFit="1" customWidth="1"/>
    <col min="6" max="6" width="10.54296875" bestFit="1" customWidth="1"/>
    <col min="7" max="7" width="9.26953125" bestFit="1" customWidth="1"/>
    <col min="8" max="8" width="9.81640625" bestFit="1" customWidth="1"/>
    <col min="9" max="9" width="8.81640625" bestFit="1" customWidth="1"/>
    <col min="10" max="10" width="9.7265625" bestFit="1" customWidth="1"/>
    <col min="11" max="11" width="8.7265625" bestFit="1" customWidth="1"/>
    <col min="12" max="13" width="9" bestFit="1" customWidth="1"/>
    <col min="14" max="15" width="7.26953125" customWidth="1"/>
    <col min="16" max="48" width="4.453125" bestFit="1" customWidth="1"/>
  </cols>
  <sheetData>
    <row r="1" spans="1:11" ht="17.5" thickBot="1" x14ac:dyDescent="0.45">
      <c r="A1" s="291"/>
      <c r="B1" s="169" t="s">
        <v>573</v>
      </c>
      <c r="C1" s="169"/>
      <c r="D1" s="169"/>
      <c r="E1" s="169"/>
    </row>
    <row r="2" spans="1:11" ht="15" thickTop="1" x14ac:dyDescent="0.35"/>
    <row r="5" spans="1:11" x14ac:dyDescent="0.35">
      <c r="B5" s="296" t="s">
        <v>574</v>
      </c>
    </row>
    <row r="6" spans="1:11" x14ac:dyDescent="0.35">
      <c r="B6" s="296" t="s">
        <v>575</v>
      </c>
      <c r="C6" t="s">
        <v>136</v>
      </c>
      <c r="D6" t="s">
        <v>137</v>
      </c>
      <c r="E6" t="s">
        <v>138</v>
      </c>
      <c r="F6" t="s">
        <v>576</v>
      </c>
      <c r="G6" t="s">
        <v>577</v>
      </c>
    </row>
    <row r="7" spans="1:11" x14ac:dyDescent="0.35">
      <c r="B7" t="s">
        <v>578</v>
      </c>
      <c r="C7">
        <v>1</v>
      </c>
      <c r="D7">
        <v>28</v>
      </c>
      <c r="E7">
        <v>265</v>
      </c>
      <c r="F7">
        <v>6630</v>
      </c>
      <c r="G7">
        <v>11000</v>
      </c>
    </row>
    <row r="9" spans="1:11" x14ac:dyDescent="0.35">
      <c r="B9" s="296" t="s">
        <v>574</v>
      </c>
      <c r="C9" s="26" t="s">
        <v>579</v>
      </c>
      <c r="D9" s="26" t="s">
        <v>580</v>
      </c>
      <c r="E9" s="26" t="s">
        <v>581</v>
      </c>
      <c r="J9" s="26"/>
      <c r="K9" s="26"/>
    </row>
    <row r="10" spans="1:11" x14ac:dyDescent="0.35">
      <c r="B10" s="296" t="s">
        <v>575</v>
      </c>
      <c r="C10" t="s">
        <v>1095</v>
      </c>
      <c r="D10" t="s">
        <v>582</v>
      </c>
      <c r="E10" t="s">
        <v>583</v>
      </c>
      <c r="F10" t="s">
        <v>584</v>
      </c>
      <c r="G10" t="s">
        <v>585</v>
      </c>
      <c r="H10" t="s">
        <v>586</v>
      </c>
      <c r="I10" t="s">
        <v>1109</v>
      </c>
      <c r="J10" t="s">
        <v>1110</v>
      </c>
    </row>
    <row r="11" spans="1:11" x14ac:dyDescent="0.35">
      <c r="B11" t="s">
        <v>136</v>
      </c>
      <c r="C11">
        <v>1</v>
      </c>
      <c r="D11">
        <v>1</v>
      </c>
      <c r="E11">
        <v>1</v>
      </c>
      <c r="F11">
        <v>1</v>
      </c>
      <c r="G11">
        <v>1</v>
      </c>
      <c r="H11">
        <v>1</v>
      </c>
      <c r="I11">
        <v>1</v>
      </c>
      <c r="J11">
        <v>1</v>
      </c>
    </row>
    <row r="13" spans="1:11" x14ac:dyDescent="0.35">
      <c r="B13" s="296" t="s">
        <v>574</v>
      </c>
      <c r="C13" s="26" t="s">
        <v>579</v>
      </c>
      <c r="D13" t="s">
        <v>580</v>
      </c>
    </row>
    <row r="14" spans="1:11" x14ac:dyDescent="0.35">
      <c r="B14" s="296" t="s">
        <v>575</v>
      </c>
      <c r="C14" t="s">
        <v>1096</v>
      </c>
      <c r="D14" t="s">
        <v>587</v>
      </c>
    </row>
    <row r="15" spans="1:11" x14ac:dyDescent="0.35">
      <c r="B15" t="s">
        <v>137</v>
      </c>
      <c r="C15">
        <v>1</v>
      </c>
      <c r="D15">
        <v>1</v>
      </c>
    </row>
    <row r="17" spans="2:2" x14ac:dyDescent="0.35">
      <c r="B17" s="296"/>
    </row>
    <row r="18" spans="2:2" x14ac:dyDescent="0.35">
      <c r="B18" s="296"/>
    </row>
    <row r="21" spans="2:2" x14ac:dyDescent="0.35">
      <c r="B21" s="296"/>
    </row>
    <row r="22" spans="2:2" x14ac:dyDescent="0.35">
      <c r="B22" s="296"/>
    </row>
    <row r="25" spans="2:2" x14ac:dyDescent="0.35">
      <c r="B25" s="296"/>
    </row>
    <row r="26" spans="2:2" x14ac:dyDescent="0.35">
      <c r="B26" s="296"/>
    </row>
    <row r="29" spans="2:2" x14ac:dyDescent="0.35">
      <c r="B29" s="296"/>
    </row>
    <row r="30" spans="2:2" x14ac:dyDescent="0.35">
      <c r="B30" s="296"/>
    </row>
    <row r="33" spans="2:54" x14ac:dyDescent="0.35">
      <c r="B33" s="296"/>
    </row>
    <row r="34" spans="2:54" x14ac:dyDescent="0.35">
      <c r="B34" s="296"/>
    </row>
    <row r="44" spans="2:54" x14ac:dyDescent="0.35">
      <c r="BA44">
        <v>1</v>
      </c>
      <c r="BB44">
        <v>1</v>
      </c>
    </row>
    <row r="45" spans="2:54" x14ac:dyDescent="0.35">
      <c r="BA45">
        <v>1</v>
      </c>
      <c r="BB45">
        <v>1</v>
      </c>
    </row>
    <row r="46" spans="2:54" x14ac:dyDescent="0.35">
      <c r="BA46">
        <v>1</v>
      </c>
      <c r="BB46">
        <v>1</v>
      </c>
    </row>
    <row r="47" spans="2:54" x14ac:dyDescent="0.35">
      <c r="BA47">
        <v>1</v>
      </c>
      <c r="BB47">
        <v>1</v>
      </c>
    </row>
    <row r="48" spans="2:54" x14ac:dyDescent="0.35">
      <c r="BA48">
        <v>1</v>
      </c>
      <c r="BB48">
        <v>1</v>
      </c>
    </row>
    <row r="49" spans="53:54" x14ac:dyDescent="0.35">
      <c r="BA49" t="e">
        <f>IF(BA48=#REF!,1,BA48+1)</f>
        <v>#REF!</v>
      </c>
      <c r="BB49" t="e">
        <f>IF(BA48=#REF!,BB48+1,BB48)</f>
        <v>#REF!</v>
      </c>
    </row>
    <row r="50" spans="53:54" x14ac:dyDescent="0.35">
      <c r="BA50" t="e">
        <f>IF(BA49=#REF!,1,BA49+1)</f>
        <v>#REF!</v>
      </c>
      <c r="BB50" t="e">
        <f>IF(BA49=#REF!,BB49+1,BB49)</f>
        <v>#REF!</v>
      </c>
    </row>
    <row r="51" spans="53:54" x14ac:dyDescent="0.35">
      <c r="BA51" t="e">
        <f>IF(BA50=#REF!,1,BA50+1)</f>
        <v>#REF!</v>
      </c>
      <c r="BB51" t="e">
        <f>IF(BA50=#REF!,BB50+1,BB50)</f>
        <v>#REF!</v>
      </c>
    </row>
    <row r="52" spans="53:54" x14ac:dyDescent="0.35">
      <c r="BA52" t="e">
        <f>IF(BA51=#REF!,1,BA51+1)</f>
        <v>#REF!</v>
      </c>
      <c r="BB52" t="e">
        <f>IF(BA51=#REF!,BB51+1,BB51)</f>
        <v>#REF!</v>
      </c>
    </row>
    <row r="53" spans="53:54" x14ac:dyDescent="0.35">
      <c r="BA53" t="e">
        <f>IF(BA52=#REF!,1,BA52+1)</f>
        <v>#REF!</v>
      </c>
      <c r="BB53" t="e">
        <f>IF(BA52=#REF!,BB52+1,BB52)</f>
        <v>#REF!</v>
      </c>
    </row>
    <row r="54" spans="53:54" x14ac:dyDescent="0.35">
      <c r="BA54" t="e">
        <f>IF(BA53=#REF!,1,BA53+1)</f>
        <v>#REF!</v>
      </c>
      <c r="BB54" t="e">
        <f>IF(BA53=#REF!,BB53+1,BB53)</f>
        <v>#REF!</v>
      </c>
    </row>
    <row r="55" spans="53:54" x14ac:dyDescent="0.35">
      <c r="BA55" t="e">
        <f>IF(BA54=#REF!,1,BA54+1)</f>
        <v>#REF!</v>
      </c>
      <c r="BB55" t="e">
        <f>IF(BA54=#REF!,BB54+1,BB54)</f>
        <v>#REF!</v>
      </c>
    </row>
    <row r="56" spans="53:54" x14ac:dyDescent="0.35">
      <c r="BA56" t="e">
        <f>IF(BA55=#REF!,1,BA55+1)</f>
        <v>#REF!</v>
      </c>
      <c r="BB56" t="e">
        <f>IF(BA55=#REF!,BB55+1,BB55)</f>
        <v>#REF!</v>
      </c>
    </row>
    <row r="57" spans="53:54" x14ac:dyDescent="0.35">
      <c r="BA57" t="e">
        <f>IF(BA56=#REF!,1,BA56+1)</f>
        <v>#REF!</v>
      </c>
      <c r="BB57" t="e">
        <f>IF(BA56=#REF!,BB56+1,BB56)</f>
        <v>#REF!</v>
      </c>
    </row>
    <row r="58" spans="53:54" x14ac:dyDescent="0.35">
      <c r="BA58" t="e">
        <f>IF(BA57=#REF!,1,BA57+1)</f>
        <v>#REF!</v>
      </c>
      <c r="BB58" t="e">
        <f>IF(BA57=#REF!,BB57+1,BB57)</f>
        <v>#REF!</v>
      </c>
    </row>
    <row r="59" spans="53:54" x14ac:dyDescent="0.35">
      <c r="BA59" t="e">
        <f>IF(BA58=#REF!,1,BA58+1)</f>
        <v>#REF!</v>
      </c>
      <c r="BB59" t="e">
        <f>IF(BA58=#REF!,BB58+1,BB58)</f>
        <v>#REF!</v>
      </c>
    </row>
    <row r="60" spans="53:54" x14ac:dyDescent="0.35">
      <c r="BA60" t="e">
        <f>IF(BA59=#REF!,1,BA59+1)</f>
        <v>#REF!</v>
      </c>
      <c r="BB60" t="e">
        <f>IF(BA59=#REF!,BB59+1,BB59)</f>
        <v>#REF!</v>
      </c>
    </row>
    <row r="61" spans="53:54" x14ac:dyDescent="0.35">
      <c r="BA61" t="e">
        <f>IF(BA60=#REF!,1,BA60+1)</f>
        <v>#REF!</v>
      </c>
      <c r="BB61" t="e">
        <f>IF(BA60=#REF!,BB60+1,BB60)</f>
        <v>#REF!</v>
      </c>
    </row>
    <row r="62" spans="53:54" x14ac:dyDescent="0.35">
      <c r="BA62" t="e">
        <f>IF(BA61=#REF!,1,BA61+1)</f>
        <v>#REF!</v>
      </c>
      <c r="BB62" t="e">
        <f>IF(BA61=#REF!,BB61+1,BB61)</f>
        <v>#REF!</v>
      </c>
    </row>
    <row r="63" spans="53:54" x14ac:dyDescent="0.35">
      <c r="BA63" t="e">
        <f>IF(BA62=#REF!,1,BA62+1)</f>
        <v>#REF!</v>
      </c>
      <c r="BB63" t="e">
        <f>IF(BA62=#REF!,BB62+1,BB62)</f>
        <v>#REF!</v>
      </c>
    </row>
    <row r="64" spans="53:54" x14ac:dyDescent="0.35">
      <c r="BA64" t="e">
        <f>IF(BA63=#REF!,1,BA63+1)</f>
        <v>#REF!</v>
      </c>
      <c r="BB64" t="e">
        <f>IF(BA63=#REF!,BB63+1,BB63)</f>
        <v>#REF!</v>
      </c>
    </row>
    <row r="65" spans="53:54" x14ac:dyDescent="0.35">
      <c r="BA65" t="e">
        <f>IF(BA64=#REF!,1,BA64+1)</f>
        <v>#REF!</v>
      </c>
      <c r="BB65" t="e">
        <f>IF(BA64=#REF!,BB64+1,BB64)</f>
        <v>#REF!</v>
      </c>
    </row>
    <row r="66" spans="53:54" x14ac:dyDescent="0.35">
      <c r="BA66" t="e">
        <f>IF(BA65=#REF!,1,BA65+1)</f>
        <v>#REF!</v>
      </c>
      <c r="BB66" t="e">
        <f>IF(BA65=#REF!,BB65+1,BB65)</f>
        <v>#REF!</v>
      </c>
    </row>
    <row r="67" spans="53:54" x14ac:dyDescent="0.35">
      <c r="BA67" t="e">
        <f>IF(BA66=#REF!,1,BA66+1)</f>
        <v>#REF!</v>
      </c>
      <c r="BB67" t="e">
        <f>IF(BA66=#REF!,BB66+1,BB66)</f>
        <v>#REF!</v>
      </c>
    </row>
    <row r="68" spans="53:54" x14ac:dyDescent="0.35">
      <c r="BA68" t="e">
        <f>IF(BA67=#REF!,1,BA67+1)</f>
        <v>#REF!</v>
      </c>
      <c r="BB68" t="e">
        <f>IF(BA67=#REF!,BB67+1,BB67)</f>
        <v>#REF!</v>
      </c>
    </row>
    <row r="69" spans="53:54" x14ac:dyDescent="0.35">
      <c r="BA69" t="e">
        <f>IF(BA68=#REF!,1,BA68+1)</f>
        <v>#REF!</v>
      </c>
      <c r="BB69" t="e">
        <f>IF(BA68=#REF!,BB68+1,BB68)</f>
        <v>#REF!</v>
      </c>
    </row>
    <row r="70" spans="53:54" x14ac:dyDescent="0.35">
      <c r="BA70" t="e">
        <f>IF(BA69=#REF!,1,BA69+1)</f>
        <v>#REF!</v>
      </c>
      <c r="BB70" t="e">
        <f>IF(BA69=#REF!,BB69+1,BB69)</f>
        <v>#REF!</v>
      </c>
    </row>
    <row r="71" spans="53:54" x14ac:dyDescent="0.35">
      <c r="BA71" t="e">
        <f>IF(BA70=#REF!,1,BA70+1)</f>
        <v>#REF!</v>
      </c>
      <c r="BB71" t="e">
        <f>IF(BA70=#REF!,BB70+1,BB70)</f>
        <v>#REF!</v>
      </c>
    </row>
    <row r="72" spans="53:54" x14ac:dyDescent="0.35">
      <c r="BA72" t="e">
        <f>IF(BA71=#REF!,1,BA71+1)</f>
        <v>#REF!</v>
      </c>
      <c r="BB72" t="e">
        <f>IF(BA71=#REF!,BB71+1,BB71)</f>
        <v>#REF!</v>
      </c>
    </row>
    <row r="73" spans="53:54" x14ac:dyDescent="0.35">
      <c r="BA73" t="e">
        <f>IF(BA72=#REF!,1,BA72+1)</f>
        <v>#REF!</v>
      </c>
      <c r="BB73" t="e">
        <f>IF(BA72=#REF!,BB72+1,BB72)</f>
        <v>#REF!</v>
      </c>
    </row>
    <row r="74" spans="53:54" x14ac:dyDescent="0.35">
      <c r="BA74" t="e">
        <f>IF(BA73=#REF!,1,BA73+1)</f>
        <v>#REF!</v>
      </c>
      <c r="BB74" t="e">
        <f>IF(BA73=#REF!,BB73+1,BB73)</f>
        <v>#REF!</v>
      </c>
    </row>
    <row r="75" spans="53:54" x14ac:dyDescent="0.35">
      <c r="BA75" t="e">
        <f>IF(BA74=#REF!,1,BA74+1)</f>
        <v>#REF!</v>
      </c>
      <c r="BB75" t="e">
        <f>IF(BA74=#REF!,BB74+1,BB74)</f>
        <v>#REF!</v>
      </c>
    </row>
    <row r="76" spans="53:54" x14ac:dyDescent="0.35">
      <c r="BA76" t="e">
        <f>IF(BA75=#REF!,1,BA75+1)</f>
        <v>#REF!</v>
      </c>
      <c r="BB76" t="e">
        <f>IF(BA75=#REF!,BB75+1,BB75)</f>
        <v>#REF!</v>
      </c>
    </row>
    <row r="77" spans="53:54" x14ac:dyDescent="0.35">
      <c r="BA77" t="e">
        <f>IF(BA76=#REF!,1,BA76+1)</f>
        <v>#REF!</v>
      </c>
      <c r="BB77" t="e">
        <f>IF(BA76=#REF!,BB76+1,BB76)</f>
        <v>#REF!</v>
      </c>
    </row>
    <row r="78" spans="53:54" x14ac:dyDescent="0.35">
      <c r="BA78" t="e">
        <f>IF(BA77=#REF!,1,BA77+1)</f>
        <v>#REF!</v>
      </c>
      <c r="BB78" t="e">
        <f>IF(BA77=#REF!,BB77+1,BB77)</f>
        <v>#REF!</v>
      </c>
    </row>
    <row r="79" spans="53:54" x14ac:dyDescent="0.35">
      <c r="BA79" t="e">
        <f>IF(BA78=#REF!,1,BA78+1)</f>
        <v>#REF!</v>
      </c>
      <c r="BB79" t="e">
        <f>IF(BA78=#REF!,BB78+1,BB78)</f>
        <v>#REF!</v>
      </c>
    </row>
    <row r="80" spans="53:54" x14ac:dyDescent="0.35">
      <c r="BA80" t="e">
        <f>IF(BA79=#REF!,1,BA79+1)</f>
        <v>#REF!</v>
      </c>
      <c r="BB80" t="e">
        <f>IF(BA79=#REF!,BB79+1,BB79)</f>
        <v>#REF!</v>
      </c>
    </row>
    <row r="81" spans="53:54" x14ac:dyDescent="0.35">
      <c r="BA81" t="e">
        <f>IF(BA80=#REF!,1,BA80+1)</f>
        <v>#REF!</v>
      </c>
      <c r="BB81" t="e">
        <f>IF(BA80=#REF!,BB80+1,BB80)</f>
        <v>#REF!</v>
      </c>
    </row>
    <row r="82" spans="53:54" x14ac:dyDescent="0.35">
      <c r="BA82" t="e">
        <f>IF(BA81=#REF!,1,BA81+1)</f>
        <v>#REF!</v>
      </c>
      <c r="BB82" t="e">
        <f>IF(BA81=#REF!,BB81+1,BB81)</f>
        <v>#REF!</v>
      </c>
    </row>
    <row r="83" spans="53:54" x14ac:dyDescent="0.35">
      <c r="BA83" t="e">
        <f>IF(BA82=#REF!,1,BA82+1)</f>
        <v>#REF!</v>
      </c>
      <c r="BB83" t="e">
        <f>IF(BA82=#REF!,BB82+1,BB82)</f>
        <v>#REF!</v>
      </c>
    </row>
    <row r="84" spans="53:54" x14ac:dyDescent="0.35">
      <c r="BA84" t="e">
        <f>IF(BA83=#REF!,1,BA83+1)</f>
        <v>#REF!</v>
      </c>
      <c r="BB84" t="e">
        <f>IF(BA83=#REF!,BB83+1,BB83)</f>
        <v>#REF!</v>
      </c>
    </row>
    <row r="85" spans="53:54" x14ac:dyDescent="0.35">
      <c r="BA85" t="e">
        <f>IF(BA84=#REF!,1,BA84+1)</f>
        <v>#REF!</v>
      </c>
      <c r="BB85" t="e">
        <f>IF(BA84=#REF!,BB84+1,BB84)</f>
        <v>#REF!</v>
      </c>
    </row>
    <row r="86" spans="53:54" x14ac:dyDescent="0.35">
      <c r="BA86" t="e">
        <f>IF(BA85=#REF!,1,BA85+1)</f>
        <v>#REF!</v>
      </c>
      <c r="BB86" t="e">
        <f>IF(BA85=#REF!,BB85+1,BB85)</f>
        <v>#REF!</v>
      </c>
    </row>
    <row r="87" spans="53:54" x14ac:dyDescent="0.35">
      <c r="BA87" t="e">
        <f>IF(BA86=#REF!,1,BA86+1)</f>
        <v>#REF!</v>
      </c>
      <c r="BB87" t="e">
        <f>IF(BA86=#REF!,BB86+1,BB86)</f>
        <v>#REF!</v>
      </c>
    </row>
    <row r="88" spans="53:54" x14ac:dyDescent="0.35">
      <c r="BA88" t="e">
        <f>IF(BA87=#REF!,1,BA87+1)</f>
        <v>#REF!</v>
      </c>
      <c r="BB88" t="e">
        <f>IF(BA87=#REF!,BB87+1,BB87)</f>
        <v>#REF!</v>
      </c>
    </row>
    <row r="89" spans="53:54" x14ac:dyDescent="0.35">
      <c r="BA89" t="e">
        <f>IF(BA88=#REF!,1,BA88+1)</f>
        <v>#REF!</v>
      </c>
      <c r="BB89" t="e">
        <f>IF(BA88=#REF!,BB88+1,BB88)</f>
        <v>#REF!</v>
      </c>
    </row>
    <row r="90" spans="53:54" x14ac:dyDescent="0.35">
      <c r="BA90" t="e">
        <f>IF(BA89=#REF!,1,BA89+1)</f>
        <v>#REF!</v>
      </c>
      <c r="BB90" t="e">
        <f>IF(BA89=#REF!,BB89+1,BB89)</f>
        <v>#REF!</v>
      </c>
    </row>
    <row r="91" spans="53:54" x14ac:dyDescent="0.35">
      <c r="BA91" t="e">
        <f>IF(BA90=#REF!,1,BA90+1)</f>
        <v>#REF!</v>
      </c>
      <c r="BB91" t="e">
        <f>IF(BA90=#REF!,BB90+1,BB90)</f>
        <v>#REF!</v>
      </c>
    </row>
    <row r="92" spans="53:54" x14ac:dyDescent="0.35">
      <c r="BA92" t="e">
        <f>IF(BA91=#REF!,1,BA91+1)</f>
        <v>#REF!</v>
      </c>
      <c r="BB92" t="e">
        <f>IF(BA91=#REF!,BB91+1,BB91)</f>
        <v>#REF!</v>
      </c>
    </row>
    <row r="93" spans="53:54" x14ac:dyDescent="0.35">
      <c r="BA93" t="e">
        <f>IF(BA92=#REF!,1,BA92+1)</f>
        <v>#REF!</v>
      </c>
      <c r="BB93" t="e">
        <f>IF(BA92=#REF!,BB92+1,BB92)</f>
        <v>#REF!</v>
      </c>
    </row>
    <row r="94" spans="53:54" x14ac:dyDescent="0.35">
      <c r="BA94" t="e">
        <f>IF(BA93=#REF!,1,BA93+1)</f>
        <v>#REF!</v>
      </c>
      <c r="BB94" t="e">
        <f>IF(BA93=#REF!,BB93+1,BB93)</f>
        <v>#REF!</v>
      </c>
    </row>
    <row r="95" spans="53:54" x14ac:dyDescent="0.35">
      <c r="BA95" t="e">
        <f>IF(BA94=#REF!,1,BA94+1)</f>
        <v>#REF!</v>
      </c>
      <c r="BB95" t="e">
        <f>IF(BA94=#REF!,BB94+1,BB94)</f>
        <v>#REF!</v>
      </c>
    </row>
    <row r="96" spans="53:54" x14ac:dyDescent="0.3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O1" workbookViewId="0">
      <selection activeCell="Y33" sqref="Y33:Y72"/>
    </sheetView>
  </sheetViews>
  <sheetFormatPr defaultColWidth="11.453125" defaultRowHeight="10.5" x14ac:dyDescent="0.25"/>
  <cols>
    <col min="1" max="4" width="11.453125" style="170" customWidth="1"/>
    <col min="5" max="5" width="22.1796875" style="170" customWidth="1"/>
    <col min="6" max="8" width="11.453125" style="170" customWidth="1"/>
    <col min="9" max="10" width="5" style="170" customWidth="1"/>
    <col min="11" max="11" width="12" style="170" customWidth="1"/>
    <col min="12" max="12" width="44.7265625" style="170" customWidth="1"/>
    <col min="13" max="13" width="11.453125" style="170" customWidth="1"/>
    <col min="14" max="14" width="17.26953125" style="170" customWidth="1"/>
    <col min="15" max="16384" width="11.453125" style="170"/>
  </cols>
  <sheetData>
    <row r="1" spans="1:27" x14ac:dyDescent="0.25">
      <c r="A1" s="292"/>
      <c r="B1" s="292"/>
      <c r="C1" s="292"/>
      <c r="D1" s="292"/>
      <c r="E1" s="292"/>
      <c r="F1" s="292"/>
      <c r="G1" s="292"/>
      <c r="H1" s="292"/>
      <c r="I1" s="292"/>
      <c r="J1" s="292"/>
      <c r="K1" s="171"/>
      <c r="L1" s="171"/>
      <c r="M1" s="171"/>
      <c r="N1" s="171"/>
      <c r="O1" s="171"/>
      <c r="P1" s="171"/>
      <c r="Q1" s="171"/>
    </row>
    <row r="2" spans="1:27" ht="17.5" thickBot="1" x14ac:dyDescent="0.45">
      <c r="A2" s="171"/>
      <c r="B2" s="169" t="s">
        <v>588</v>
      </c>
      <c r="C2" s="169"/>
      <c r="F2" s="171"/>
      <c r="G2" s="171"/>
      <c r="H2" s="171"/>
      <c r="I2" s="171"/>
      <c r="J2" s="171"/>
      <c r="M2" s="171"/>
      <c r="N2" s="171"/>
      <c r="O2" s="171"/>
      <c r="P2" s="171"/>
      <c r="Q2" s="171"/>
    </row>
    <row r="3" spans="1:27" ht="11" thickTop="1" x14ac:dyDescent="0.25">
      <c r="A3" s="171"/>
      <c r="C3" s="171"/>
      <c r="F3" s="171"/>
      <c r="G3" s="171"/>
      <c r="H3" s="171"/>
      <c r="I3" s="171"/>
      <c r="J3" s="171"/>
      <c r="M3" s="171"/>
      <c r="N3" s="171"/>
      <c r="O3" s="171"/>
      <c r="P3" s="171"/>
      <c r="Q3" s="171"/>
    </row>
    <row r="4" spans="1:27" x14ac:dyDescent="0.25">
      <c r="A4" s="171"/>
      <c r="B4" s="170" t="s">
        <v>991</v>
      </c>
      <c r="C4" s="171"/>
      <c r="F4" s="171"/>
      <c r="G4" s="171"/>
      <c r="H4" s="171"/>
      <c r="I4" s="171"/>
      <c r="J4" s="171"/>
      <c r="M4" s="171"/>
      <c r="N4" s="171"/>
      <c r="O4" s="171"/>
      <c r="P4" s="171"/>
      <c r="Q4" s="171"/>
    </row>
    <row r="5" spans="1:27" x14ac:dyDescent="0.25">
      <c r="A5" s="171"/>
      <c r="B5" s="171"/>
      <c r="C5" s="171"/>
      <c r="D5" s="171"/>
      <c r="E5" s="171"/>
      <c r="F5" s="171"/>
      <c r="G5" s="171"/>
      <c r="H5" s="171"/>
      <c r="I5" s="171"/>
      <c r="J5" s="171"/>
      <c r="K5" s="171"/>
      <c r="L5" s="171"/>
      <c r="M5" s="171"/>
      <c r="N5" s="171"/>
      <c r="O5" s="171"/>
      <c r="P5" s="171"/>
      <c r="Q5" s="171"/>
    </row>
    <row r="6" spans="1:27" ht="14.5" x14ac:dyDescent="0.3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4.5" x14ac:dyDescent="0.3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 thickBot="1" x14ac:dyDescent="0.4">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4.5" x14ac:dyDescent="0.3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0.01</v>
      </c>
      <c r="Z9">
        <v>1</v>
      </c>
      <c r="AA9" s="293"/>
    </row>
    <row r="10" spans="1:27" ht="14.5" x14ac:dyDescent="0.3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0.01</v>
      </c>
      <c r="Z10">
        <v>1</v>
      </c>
      <c r="AA10" s="24"/>
    </row>
    <row r="11" spans="1:27" ht="14.5" x14ac:dyDescent="0.3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0.01</v>
      </c>
      <c r="Z11">
        <v>1</v>
      </c>
      <c r="AA11" s="24"/>
    </row>
    <row r="12" spans="1:27" ht="14.5" x14ac:dyDescent="0.3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0.01</v>
      </c>
      <c r="Z12">
        <v>1</v>
      </c>
    </row>
    <row r="13" spans="1:27" ht="14.5" x14ac:dyDescent="0.3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0.01</v>
      </c>
      <c r="Z13">
        <v>1</v>
      </c>
    </row>
    <row r="14" spans="1:27" ht="14.5" x14ac:dyDescent="0.3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0.01</v>
      </c>
      <c r="Z14">
        <v>1</v>
      </c>
    </row>
    <row r="15" spans="1:27" ht="14.5" x14ac:dyDescent="0.3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0.01</v>
      </c>
      <c r="Z15">
        <v>1</v>
      </c>
    </row>
    <row r="16" spans="1:27" ht="14.5" x14ac:dyDescent="0.3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0.01</v>
      </c>
      <c r="Z16">
        <v>1</v>
      </c>
    </row>
    <row r="17" spans="2:26" ht="14.5" x14ac:dyDescent="0.3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0.01</v>
      </c>
      <c r="Z17">
        <v>1</v>
      </c>
    </row>
    <row r="18" spans="2:26" ht="14.5" x14ac:dyDescent="0.3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0.01</v>
      </c>
      <c r="Z18">
        <v>1</v>
      </c>
    </row>
    <row r="19" spans="2:26" ht="14.5" x14ac:dyDescent="0.3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0.01</v>
      </c>
      <c r="Z19">
        <v>1</v>
      </c>
    </row>
    <row r="20" spans="2:26" ht="14.5" x14ac:dyDescent="0.3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0.01</v>
      </c>
      <c r="Z20">
        <v>1</v>
      </c>
    </row>
    <row r="21" spans="2:26" ht="14.5" x14ac:dyDescent="0.3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0.01</v>
      </c>
      <c r="Z21">
        <v>1</v>
      </c>
    </row>
    <row r="22" spans="2:26" ht="14.5" x14ac:dyDescent="0.3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0.01</v>
      </c>
      <c r="Z22">
        <v>1</v>
      </c>
    </row>
    <row r="23" spans="2:26" ht="14.5" x14ac:dyDescent="0.3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4.5" x14ac:dyDescent="0.3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4.5" x14ac:dyDescent="0.3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4.5" x14ac:dyDescent="0.3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4.5" x14ac:dyDescent="0.3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4.5" x14ac:dyDescent="0.3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4.5" x14ac:dyDescent="0.3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4.5" x14ac:dyDescent="0.3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4.5" x14ac:dyDescent="0.3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4.5" x14ac:dyDescent="0.3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4.5" x14ac:dyDescent="0.3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0.01</v>
      </c>
      <c r="Z33">
        <v>1</v>
      </c>
    </row>
    <row r="34" spans="2:26" ht="14.5" x14ac:dyDescent="0.3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0.01</v>
      </c>
      <c r="Z34">
        <v>1</v>
      </c>
    </row>
    <row r="35" spans="2:26" ht="14.5" x14ac:dyDescent="0.3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0.01</v>
      </c>
      <c r="Z35">
        <v>1</v>
      </c>
    </row>
    <row r="36" spans="2:26" ht="14.5" x14ac:dyDescent="0.3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0.01</v>
      </c>
      <c r="Z36">
        <v>1</v>
      </c>
    </row>
    <row r="37" spans="2:26" ht="14.5" x14ac:dyDescent="0.3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0.01</v>
      </c>
      <c r="Z37">
        <v>1</v>
      </c>
    </row>
    <row r="38" spans="2:26" ht="14.5" x14ac:dyDescent="0.3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0.01</v>
      </c>
      <c r="Z38">
        <v>1</v>
      </c>
    </row>
    <row r="39" spans="2:26" ht="14.5" x14ac:dyDescent="0.3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0.01</v>
      </c>
      <c r="Z39">
        <v>1</v>
      </c>
    </row>
    <row r="40" spans="2:26" ht="14.5" x14ac:dyDescent="0.3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0.01</v>
      </c>
      <c r="Z40">
        <v>1</v>
      </c>
    </row>
    <row r="41" spans="2:26" ht="14.5" x14ac:dyDescent="0.3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0.01</v>
      </c>
      <c r="Z41">
        <v>1</v>
      </c>
    </row>
    <row r="42" spans="2:26" ht="14.5" x14ac:dyDescent="0.3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0.01</v>
      </c>
      <c r="Z42">
        <v>1</v>
      </c>
    </row>
    <row r="43" spans="2:26" ht="14.5" x14ac:dyDescent="0.3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0.01</v>
      </c>
      <c r="Z43">
        <v>1</v>
      </c>
    </row>
    <row r="44" spans="2:26" ht="14.5" x14ac:dyDescent="0.3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0.01</v>
      </c>
      <c r="Z44">
        <v>1</v>
      </c>
    </row>
    <row r="45" spans="2:26" ht="14.5" x14ac:dyDescent="0.3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0.01</v>
      </c>
      <c r="Z45">
        <v>1</v>
      </c>
    </row>
    <row r="46" spans="2:26" ht="14.5" x14ac:dyDescent="0.3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0.01</v>
      </c>
      <c r="Z46">
        <v>1</v>
      </c>
    </row>
    <row r="47" spans="2:26" ht="14.5" x14ac:dyDescent="0.3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0.01</v>
      </c>
      <c r="Z47">
        <v>1</v>
      </c>
    </row>
    <row r="48" spans="2:26" ht="14.5" x14ac:dyDescent="0.3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0.01</v>
      </c>
      <c r="Z48">
        <v>1</v>
      </c>
    </row>
    <row r="49" spans="2:31" ht="14.5" x14ac:dyDescent="0.3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0.01</v>
      </c>
      <c r="Z49">
        <v>1</v>
      </c>
      <c r="AE49"/>
    </row>
    <row r="50" spans="2:31" ht="14.5" x14ac:dyDescent="0.3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0.01</v>
      </c>
      <c r="Z50">
        <v>1</v>
      </c>
      <c r="AE50"/>
    </row>
    <row r="51" spans="2:31" ht="14.5" x14ac:dyDescent="0.3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0.01</v>
      </c>
      <c r="Z51">
        <v>1</v>
      </c>
      <c r="AE51"/>
    </row>
    <row r="52" spans="2:31" ht="14.5" x14ac:dyDescent="0.3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0.01</v>
      </c>
      <c r="Z52">
        <v>1</v>
      </c>
      <c r="AE52"/>
    </row>
    <row r="53" spans="2:31" ht="14.5" x14ac:dyDescent="0.3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0.01</v>
      </c>
      <c r="Z53">
        <v>1</v>
      </c>
      <c r="AE53"/>
    </row>
    <row r="54" spans="2:31" ht="14.5" x14ac:dyDescent="0.3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0.01</v>
      </c>
      <c r="Z54">
        <v>1</v>
      </c>
      <c r="AE54"/>
    </row>
    <row r="55" spans="2:31" ht="14.5" x14ac:dyDescent="0.3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0.01</v>
      </c>
      <c r="Z55">
        <v>1</v>
      </c>
      <c r="AE55"/>
    </row>
    <row r="56" spans="2:31" ht="14.5" x14ac:dyDescent="0.3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0.01</v>
      </c>
      <c r="Z56">
        <v>1</v>
      </c>
      <c r="AE56"/>
    </row>
    <row r="57" spans="2:31" ht="14.5" x14ac:dyDescent="0.3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0.01</v>
      </c>
      <c r="Z57">
        <v>1</v>
      </c>
      <c r="AE57"/>
    </row>
    <row r="58" spans="2:31" ht="14.5" x14ac:dyDescent="0.3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0.01</v>
      </c>
      <c r="Z58">
        <v>1</v>
      </c>
      <c r="AE58"/>
    </row>
    <row r="59" spans="2:31" ht="14.5" x14ac:dyDescent="0.3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0.01</v>
      </c>
      <c r="Z59">
        <v>1</v>
      </c>
      <c r="AE59"/>
    </row>
    <row r="60" spans="2:31" ht="14.5" x14ac:dyDescent="0.3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0.01</v>
      </c>
      <c r="Z60">
        <v>1</v>
      </c>
      <c r="AE60"/>
    </row>
    <row r="61" spans="2:31" ht="14.5" x14ac:dyDescent="0.3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0.01</v>
      </c>
      <c r="Z61">
        <v>1</v>
      </c>
      <c r="AE61"/>
    </row>
    <row r="62" spans="2:31" ht="14.5" x14ac:dyDescent="0.3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0.01</v>
      </c>
      <c r="Z62">
        <v>1</v>
      </c>
      <c r="AE62"/>
    </row>
    <row r="63" spans="2:31" ht="14.5" x14ac:dyDescent="0.3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0.01</v>
      </c>
      <c r="Z63">
        <v>1</v>
      </c>
      <c r="AE63"/>
    </row>
    <row r="64" spans="2:31" ht="14.5" x14ac:dyDescent="0.3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0.01</v>
      </c>
      <c r="Z64">
        <v>1</v>
      </c>
    </row>
    <row r="65" spans="2:26" ht="14.5" x14ac:dyDescent="0.3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0.01</v>
      </c>
      <c r="Z65">
        <v>1</v>
      </c>
    </row>
    <row r="66" spans="2:26" ht="14.5" x14ac:dyDescent="0.3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0.01</v>
      </c>
      <c r="Z66">
        <v>1</v>
      </c>
    </row>
    <row r="67" spans="2:26" ht="14.5" x14ac:dyDescent="0.3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0.01</v>
      </c>
      <c r="Z67">
        <v>1</v>
      </c>
    </row>
    <row r="68" spans="2:26" ht="14.5" x14ac:dyDescent="0.3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0.01</v>
      </c>
      <c r="Z68">
        <v>1</v>
      </c>
    </row>
    <row r="69" spans="2:26" ht="14.5" x14ac:dyDescent="0.3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0.01</v>
      </c>
      <c r="Z69">
        <v>1</v>
      </c>
    </row>
    <row r="70" spans="2:26" ht="14.5" x14ac:dyDescent="0.3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0.01</v>
      </c>
      <c r="Z70">
        <v>1</v>
      </c>
    </row>
    <row r="71" spans="2:26" ht="14.5" x14ac:dyDescent="0.3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0.01</v>
      </c>
      <c r="Z71">
        <v>1</v>
      </c>
    </row>
    <row r="72" spans="2:26" ht="14.5" x14ac:dyDescent="0.3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0.01</v>
      </c>
      <c r="Z72">
        <v>1</v>
      </c>
    </row>
    <row r="80" spans="2:26" ht="14.5" x14ac:dyDescent="0.35">
      <c r="B80"/>
    </row>
    <row r="81" spans="2:2" ht="14.5" x14ac:dyDescent="0.35">
      <c r="B81"/>
    </row>
    <row r="82" spans="2:2" ht="14.5" x14ac:dyDescent="0.35">
      <c r="B82"/>
    </row>
    <row r="83" spans="2:2" ht="14.5" x14ac:dyDescent="0.35">
      <c r="B83"/>
    </row>
    <row r="84" spans="2:2" ht="14.5" x14ac:dyDescent="0.35">
      <c r="B84"/>
    </row>
    <row r="85" spans="2:2" ht="14.5" x14ac:dyDescent="0.35">
      <c r="B85"/>
    </row>
    <row r="86" spans="2:2" ht="14.5" x14ac:dyDescent="0.35">
      <c r="B86"/>
    </row>
    <row r="87" spans="2:2" ht="14.5" x14ac:dyDescent="0.35">
      <c r="B87"/>
    </row>
    <row r="88" spans="2:2" ht="14.5" x14ac:dyDescent="0.35">
      <c r="B88"/>
    </row>
    <row r="89" spans="2:2" ht="14.5" x14ac:dyDescent="0.35">
      <c r="B89"/>
    </row>
    <row r="90" spans="2:2" ht="14.5" x14ac:dyDescent="0.35">
      <c r="B90"/>
    </row>
    <row r="91" spans="2:2" ht="14.5" x14ac:dyDescent="0.35">
      <c r="B91"/>
    </row>
    <row r="92" spans="2:2" ht="14.5" x14ac:dyDescent="0.35">
      <c r="B92"/>
    </row>
    <row r="93" spans="2:2" ht="14.5" x14ac:dyDescent="0.35">
      <c r="B93"/>
    </row>
    <row r="94" spans="2:2" ht="14.5" x14ac:dyDescent="0.35">
      <c r="B94"/>
    </row>
    <row r="95" spans="2:2" ht="14.5" x14ac:dyDescent="0.35">
      <c r="B95"/>
    </row>
    <row r="96" spans="2:2" ht="14.5" x14ac:dyDescent="0.35">
      <c r="B96"/>
    </row>
    <row r="97" spans="2:2" ht="14.5" x14ac:dyDescent="0.35">
      <c r="B97"/>
    </row>
    <row r="98" spans="2:2" ht="14.5" x14ac:dyDescent="0.35">
      <c r="B98"/>
    </row>
    <row r="99" spans="2:2" ht="14.5" x14ac:dyDescent="0.35">
      <c r="B99"/>
    </row>
    <row r="100" spans="2:2" ht="14.5" x14ac:dyDescent="0.35">
      <c r="B100"/>
    </row>
    <row r="101" spans="2:2" ht="14.5" x14ac:dyDescent="0.35">
      <c r="B101"/>
    </row>
    <row r="102" spans="2:2" ht="14.5" x14ac:dyDescent="0.35">
      <c r="B102"/>
    </row>
    <row r="103" spans="2:2" ht="14.5" x14ac:dyDescent="0.35">
      <c r="B103"/>
    </row>
    <row r="104" spans="2:2" ht="14.5" x14ac:dyDescent="0.35">
      <c r="B104"/>
    </row>
    <row r="105" spans="2:2" ht="14.5" x14ac:dyDescent="0.35">
      <c r="B105"/>
    </row>
    <row r="106" spans="2:2" ht="14.5" x14ac:dyDescent="0.35">
      <c r="B106"/>
    </row>
    <row r="107" spans="2:2" ht="14.5" x14ac:dyDescent="0.35">
      <c r="B107"/>
    </row>
    <row r="108" spans="2:2" ht="14.5" x14ac:dyDescent="0.35">
      <c r="B108"/>
    </row>
    <row r="109" spans="2:2" ht="14.5" x14ac:dyDescent="0.35">
      <c r="B109"/>
    </row>
    <row r="110" spans="2:2" ht="14.5" x14ac:dyDescent="0.35">
      <c r="B110"/>
    </row>
    <row r="111" spans="2:2" ht="14.5" x14ac:dyDescent="0.35">
      <c r="B111"/>
    </row>
    <row r="112" spans="2:2" ht="14.5" x14ac:dyDescent="0.35">
      <c r="B112"/>
    </row>
    <row r="113" spans="2:2" ht="14.5" x14ac:dyDescent="0.35">
      <c r="B113"/>
    </row>
    <row r="114" spans="2:2" ht="14.5" x14ac:dyDescent="0.35">
      <c r="B114"/>
    </row>
    <row r="115" spans="2:2" ht="14.5" x14ac:dyDescent="0.35">
      <c r="B115"/>
    </row>
    <row r="116" spans="2:2" ht="14.5" x14ac:dyDescent="0.35">
      <c r="B116"/>
    </row>
    <row r="117" spans="2:2" ht="14.5" x14ac:dyDescent="0.35">
      <c r="B117"/>
    </row>
    <row r="118" spans="2:2" ht="14.5" x14ac:dyDescent="0.35">
      <c r="B118"/>
    </row>
    <row r="119" spans="2:2" ht="14.5" x14ac:dyDescent="0.3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265625" defaultRowHeight="14.5" x14ac:dyDescent="0.35"/>
  <cols>
    <col min="10" max="10" width="9.54296875" customWidth="1"/>
    <col min="39" max="40" width="11.54296875" bestFit="1" customWidth="1"/>
    <col min="43" max="43" width="11.453125" customWidth="1"/>
    <col min="44" max="44" width="13.7265625" customWidth="1"/>
  </cols>
  <sheetData>
    <row r="1" spans="4:49" x14ac:dyDescent="0.35">
      <c r="U1" t="s">
        <v>609</v>
      </c>
      <c r="W1" s="294">
        <v>40909</v>
      </c>
      <c r="AS1" t="s">
        <v>610</v>
      </c>
      <c r="AU1" t="s">
        <v>611</v>
      </c>
      <c r="AV1" t="s">
        <v>612</v>
      </c>
    </row>
    <row r="2" spans="4:49" ht="17.5" thickBot="1" x14ac:dyDescent="0.45">
      <c r="D2" s="295" t="s">
        <v>988</v>
      </c>
      <c r="E2" s="295"/>
      <c r="F2" s="295"/>
      <c r="G2" s="295"/>
      <c r="H2" s="295"/>
      <c r="U2" t="s">
        <v>613</v>
      </c>
      <c r="V2" t="s">
        <v>244</v>
      </c>
      <c r="W2" s="82">
        <f>SUMIF($C$27:$C$110,$W$1,$J$27:$J$110)</f>
        <v>8.2121999999999993</v>
      </c>
      <c r="AS2" t="s">
        <v>614</v>
      </c>
      <c r="AT2" t="s">
        <v>615</v>
      </c>
      <c r="AU2">
        <v>661</v>
      </c>
    </row>
    <row r="3" spans="4:49" ht="15" thickTop="1" x14ac:dyDescent="0.35">
      <c r="D3" s="296" t="s">
        <v>616</v>
      </c>
      <c r="V3" t="s">
        <v>617</v>
      </c>
      <c r="W3">
        <f>SUMIF($C$27:$C$110,$W$1,$K$27:$K$110)</f>
        <v>107.96</v>
      </c>
      <c r="AS3" t="s">
        <v>618</v>
      </c>
      <c r="AT3" t="s">
        <v>253</v>
      </c>
      <c r="AU3">
        <f>AU2*W7+W8*1.3</f>
        <v>140.47035923202716</v>
      </c>
      <c r="AV3">
        <v>152.27714285714299</v>
      </c>
      <c r="AW3">
        <f>AV3/AU3</f>
        <v>1.0840517792484146</v>
      </c>
    </row>
    <row r="4" spans="4:49" x14ac:dyDescent="0.35">
      <c r="V4" t="s">
        <v>615</v>
      </c>
      <c r="W4">
        <f>W3*W2</f>
        <v>886.58911199999989</v>
      </c>
      <c r="AS4" t="s">
        <v>476</v>
      </c>
      <c r="AT4" t="s">
        <v>253</v>
      </c>
      <c r="AU4">
        <f>AU2*X7+X8*1.3</f>
        <v>130.60568568627889</v>
      </c>
      <c r="AV4">
        <v>144.90263157894699</v>
      </c>
      <c r="AW4">
        <f>AV4/AU4</f>
        <v>1.1094664892844714</v>
      </c>
    </row>
    <row r="5" spans="4:49" ht="17.5" thickBot="1" x14ac:dyDescent="0.45">
      <c r="U5" s="296" t="s">
        <v>619</v>
      </c>
      <c r="AB5" s="295" t="s">
        <v>620</v>
      </c>
      <c r="AC5" s="295"/>
      <c r="AD5" s="295"/>
      <c r="AF5" s="295" t="s">
        <v>621</v>
      </c>
      <c r="AG5" s="295"/>
      <c r="AH5" s="295"/>
      <c r="AI5" s="295"/>
      <c r="AJ5" s="295"/>
      <c r="AN5" t="s">
        <v>622</v>
      </c>
      <c r="AO5" t="s">
        <v>623</v>
      </c>
    </row>
    <row r="6" spans="4:49" ht="15.5" thickTop="1" thickBot="1" x14ac:dyDescent="0.4">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3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3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3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3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3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3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3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3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3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3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3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3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3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35">
      <c r="W20">
        <f>W9*1.3</f>
        <v>239.83438408530333</v>
      </c>
      <c r="X20">
        <f>X9*1.3</f>
        <v>229.40512674003031</v>
      </c>
    </row>
    <row r="21" spans="3:37" x14ac:dyDescent="0.35">
      <c r="W21">
        <v>152.27714285714299</v>
      </c>
      <c r="X21">
        <v>144.90263157894736</v>
      </c>
    </row>
    <row r="22" spans="3:37" ht="17" x14ac:dyDescent="0.4">
      <c r="D22" s="301" t="s">
        <v>661</v>
      </c>
      <c r="E22" s="301"/>
      <c r="F22" s="301"/>
      <c r="G22" s="301"/>
      <c r="H22" s="301"/>
      <c r="I22" s="301"/>
      <c r="K22" s="13"/>
      <c r="L22" s="13"/>
      <c r="M22" s="13"/>
      <c r="N22" s="13"/>
      <c r="O22" s="13"/>
      <c r="P22" s="13"/>
      <c r="Q22" s="301" t="s">
        <v>662</v>
      </c>
      <c r="R22" s="301"/>
      <c r="S22" s="301"/>
      <c r="T22" s="301"/>
      <c r="U22" s="301"/>
    </row>
    <row r="23" spans="3:37" x14ac:dyDescent="0.3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3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58" x14ac:dyDescent="0.3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3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3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3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3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3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3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3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3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3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3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3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3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3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3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3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3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3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3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3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3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3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3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3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3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3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3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3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3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3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3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3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3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3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3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3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3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3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3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3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3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3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3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3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3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3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3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3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3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3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3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3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3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3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3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3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3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3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3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3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3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3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3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3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3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3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3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3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3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3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3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3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3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3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3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3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3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3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3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3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3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3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3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3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3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3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35">
      <c r="E111" s="322">
        <v>884.85</v>
      </c>
      <c r="F111" s="322">
        <v>769</v>
      </c>
    </row>
    <row r="112" spans="3:47" x14ac:dyDescent="0.35">
      <c r="AM112" t="s">
        <v>473</v>
      </c>
      <c r="AN112" t="s">
        <v>476</v>
      </c>
      <c r="AO112">
        <v>0.82</v>
      </c>
    </row>
    <row r="113" spans="3:41" x14ac:dyDescent="0.35">
      <c r="AM113" t="s">
        <v>253</v>
      </c>
      <c r="AN113" t="s">
        <v>253</v>
      </c>
    </row>
    <row r="114" spans="3:41" x14ac:dyDescent="0.3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3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3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35">
      <c r="M118">
        <f t="array" ref="M118:N120">LINEST(M114:M116,$L$114:$L$116,TRUE,TRUE)</f>
        <v>0.95910807590847547</v>
      </c>
      <c r="N118">
        <v>-182.95080346020779</v>
      </c>
    </row>
    <row r="119" spans="3:41" x14ac:dyDescent="0.35">
      <c r="M119">
        <v>0.12935058131866148</v>
      </c>
      <c r="N119">
        <v>104.72930660320328</v>
      </c>
    </row>
    <row r="120" spans="3:41" x14ac:dyDescent="0.3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53125" defaultRowHeight="14.5" x14ac:dyDescent="0.35"/>
  <cols>
    <col min="1" max="2" width="10.7265625" customWidth="1"/>
    <col min="4" max="54" width="8" customWidth="1"/>
    <col min="61" max="61" width="19.453125" customWidth="1"/>
  </cols>
  <sheetData>
    <row r="2" spans="2:55" ht="17.5" thickBot="1" x14ac:dyDescent="0.45">
      <c r="B2" s="295" t="s">
        <v>989</v>
      </c>
      <c r="C2" s="295"/>
      <c r="D2" s="295"/>
      <c r="E2" s="295"/>
      <c r="F2" s="295"/>
    </row>
    <row r="3" spans="2:55" ht="15" thickTop="1" x14ac:dyDescent="0.35"/>
    <row r="9" spans="2:55" x14ac:dyDescent="0.35">
      <c r="G9" t="s">
        <v>707</v>
      </c>
      <c r="H9" t="s">
        <v>708</v>
      </c>
      <c r="I9" t="s">
        <v>709</v>
      </c>
    </row>
    <row r="10" spans="2:55" x14ac:dyDescent="0.35">
      <c r="B10" t="s">
        <v>710</v>
      </c>
      <c r="G10">
        <v>2009</v>
      </c>
      <c r="H10">
        <v>60.4</v>
      </c>
      <c r="I10" s="298">
        <f>H10*[11]Deflator!U20/[11]Deflator!T20</f>
        <v>61.096005114485806</v>
      </c>
      <c r="V10" t="s">
        <v>711</v>
      </c>
      <c r="AO10" t="s">
        <v>712</v>
      </c>
    </row>
    <row r="12" spans="2:55" ht="15" thickBot="1" x14ac:dyDescent="0.4">
      <c r="B12" t="s">
        <v>713</v>
      </c>
      <c r="D12" t="s">
        <v>714</v>
      </c>
      <c r="I12" t="s">
        <v>715</v>
      </c>
      <c r="N12">
        <v>450</v>
      </c>
      <c r="T12" t="s">
        <v>716</v>
      </c>
      <c r="V12" t="s">
        <v>714</v>
      </c>
      <c r="AA12" t="s">
        <v>715</v>
      </c>
      <c r="AF12">
        <v>450</v>
      </c>
      <c r="AM12" t="s">
        <v>717</v>
      </c>
      <c r="AO12" t="s">
        <v>714</v>
      </c>
      <c r="AT12" t="s">
        <v>715</v>
      </c>
      <c r="AY12">
        <v>450</v>
      </c>
    </row>
    <row r="13" spans="2:55" x14ac:dyDescent="0.3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3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3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3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3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3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 thickBot="1" x14ac:dyDescent="0.4">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3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3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3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3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3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3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3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3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3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3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3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 thickBot="1" x14ac:dyDescent="0.4">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3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3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35">
      <c r="B34" t="s">
        <v>735</v>
      </c>
    </row>
    <row r="35" spans="2:55" x14ac:dyDescent="0.3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3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3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3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35">
      <c r="B39" t="s">
        <v>715</v>
      </c>
      <c r="C39">
        <v>145</v>
      </c>
      <c r="D39">
        <v>8</v>
      </c>
      <c r="E39">
        <v>14.8</v>
      </c>
      <c r="F39">
        <v>12.5</v>
      </c>
    </row>
    <row r="40" spans="2:55" x14ac:dyDescent="0.35">
      <c r="B40" s="126">
        <v>450</v>
      </c>
      <c r="C40">
        <v>100</v>
      </c>
    </row>
    <row r="41" spans="2:55" x14ac:dyDescent="0.35">
      <c r="D41">
        <f>D39/$C$39</f>
        <v>5.5172413793103448E-2</v>
      </c>
      <c r="E41">
        <f>E39/$C$39</f>
        <v>0.10206896551724139</v>
      </c>
      <c r="F41">
        <f>F39/$C$39</f>
        <v>8.6206896551724144E-2</v>
      </c>
    </row>
    <row r="42" spans="2:55" x14ac:dyDescent="0.3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3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3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3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3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3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3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35">
      <c r="AN52" t="s">
        <v>744</v>
      </c>
      <c r="AY52" t="s">
        <v>745</v>
      </c>
    </row>
    <row r="61" spans="40:93" x14ac:dyDescent="0.3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3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3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3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3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3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3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35">
      <c r="BK68" t="s">
        <v>748</v>
      </c>
      <c r="BX68" t="s">
        <v>749</v>
      </c>
      <c r="CJ68" t="s">
        <v>750</v>
      </c>
      <c r="CU68" t="s">
        <v>751</v>
      </c>
      <c r="DF68" t="s">
        <v>752</v>
      </c>
    </row>
    <row r="70" spans="1:110" x14ac:dyDescent="0.35">
      <c r="F70" s="82">
        <f>U33</f>
        <v>104.73927357360537</v>
      </c>
    </row>
    <row r="73" spans="1:110" x14ac:dyDescent="0.3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35">
      <c r="C74" t="s">
        <v>753</v>
      </c>
    </row>
    <row r="75" spans="1:110" x14ac:dyDescent="0.3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2.5" x14ac:dyDescent="0.3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3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35">
      <c r="A78">
        <v>3</v>
      </c>
      <c r="B78" t="s">
        <v>757</v>
      </c>
    </row>
    <row r="80" spans="1:110" x14ac:dyDescent="0.35">
      <c r="AF80" t="s">
        <v>252</v>
      </c>
    </row>
    <row r="82" spans="1:121" x14ac:dyDescent="0.35">
      <c r="C82" t="s">
        <v>758</v>
      </c>
    </row>
    <row r="83" spans="1:121" x14ac:dyDescent="0.3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2.5" x14ac:dyDescent="0.3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3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35">
      <c r="A86">
        <v>3</v>
      </c>
      <c r="B86" t="s">
        <v>757</v>
      </c>
    </row>
    <row r="92" spans="1:121" x14ac:dyDescent="0.35">
      <c r="CJ92" t="s">
        <v>739</v>
      </c>
    </row>
    <row r="93" spans="1:121" x14ac:dyDescent="0.3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3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4" t="s">
        <v>762</v>
      </c>
      <c r="DM94" s="434"/>
      <c r="DN94" s="434" t="s">
        <v>763</v>
      </c>
      <c r="DO94" s="434"/>
      <c r="DP94" s="434" t="s">
        <v>761</v>
      </c>
      <c r="DQ94" s="434"/>
    </row>
    <row r="95" spans="1:121" x14ac:dyDescent="0.3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3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3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3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3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3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3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3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3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3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3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3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3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3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35">
      <c r="CJ110" t="s">
        <v>800</v>
      </c>
    </row>
    <row r="111" spans="63:121" x14ac:dyDescent="0.3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35">
      <c r="CJ112" t="str">
        <f>CJ94</f>
        <v>Stated Policies</v>
      </c>
      <c r="CK112">
        <v>46</v>
      </c>
      <c r="CN112">
        <v>53</v>
      </c>
      <c r="CO112">
        <v>44</v>
      </c>
      <c r="CP112">
        <v>47</v>
      </c>
      <c r="CQ112">
        <v>50</v>
      </c>
    </row>
    <row r="113" spans="88:96" x14ac:dyDescent="0.35">
      <c r="CJ113" t="str">
        <f>CJ95</f>
        <v>Sustainable Development</v>
      </c>
      <c r="CK113">
        <v>46</v>
      </c>
      <c r="CN113">
        <v>37</v>
      </c>
      <c r="CQ113">
        <v>32</v>
      </c>
    </row>
    <row r="114" spans="88:96" x14ac:dyDescent="0.35">
      <c r="CJ114" t="str">
        <f>CJ96</f>
        <v>Delayed Recovery</v>
      </c>
      <c r="CK114">
        <v>46</v>
      </c>
      <c r="CN114">
        <v>48</v>
      </c>
      <c r="CQ114">
        <v>44</v>
      </c>
    </row>
    <row r="116" spans="88:96" x14ac:dyDescent="0.35">
      <c r="CJ116" t="s">
        <v>801</v>
      </c>
    </row>
    <row r="117" spans="88:96" x14ac:dyDescent="0.3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35">
      <c r="CJ118" t="str">
        <f>CJ100</f>
        <v>Stated Policies</v>
      </c>
      <c r="CK118">
        <v>61</v>
      </c>
      <c r="CN118">
        <v>66</v>
      </c>
      <c r="CO118">
        <v>71</v>
      </c>
      <c r="CP118">
        <v>70</v>
      </c>
      <c r="CQ118">
        <v>69</v>
      </c>
    </row>
    <row r="119" spans="88:96" x14ac:dyDescent="0.35">
      <c r="CJ119" t="str">
        <f>CJ101</f>
        <v>Sustainable Development</v>
      </c>
      <c r="CK119">
        <v>61</v>
      </c>
      <c r="CN119">
        <v>57</v>
      </c>
      <c r="CQ119">
        <v>55</v>
      </c>
    </row>
    <row r="120" spans="88:96" x14ac:dyDescent="0.35">
      <c r="CJ120" t="str">
        <f>CJ102</f>
        <v>Delayed Recovery</v>
      </c>
      <c r="CK120">
        <v>61</v>
      </c>
      <c r="CN120">
        <v>60</v>
      </c>
      <c r="CQ120">
        <v>64</v>
      </c>
    </row>
    <row r="122" spans="88:96" x14ac:dyDescent="0.35">
      <c r="CJ122" t="s">
        <v>802</v>
      </c>
    </row>
    <row r="123" spans="88:96" x14ac:dyDescent="0.3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35">
      <c r="CJ124" t="str">
        <f>CJ112</f>
        <v>Stated Policies</v>
      </c>
      <c r="CK124">
        <v>92</v>
      </c>
      <c r="CN124">
        <v>83</v>
      </c>
      <c r="CO124">
        <v>83</v>
      </c>
      <c r="CP124">
        <v>82</v>
      </c>
      <c r="CQ124">
        <v>79</v>
      </c>
    </row>
    <row r="125" spans="88:96" x14ac:dyDescent="0.35">
      <c r="CJ125" t="str">
        <f t="shared" ref="CJ125:CJ126" si="46">CJ113</f>
        <v>Sustainable Development</v>
      </c>
      <c r="CK125">
        <v>92</v>
      </c>
      <c r="CN125">
        <v>73</v>
      </c>
      <c r="CQ125">
        <v>67</v>
      </c>
    </row>
    <row r="126" spans="88:96" x14ac:dyDescent="0.35">
      <c r="CJ126" t="str">
        <f t="shared" si="46"/>
        <v>Delayed Recovery</v>
      </c>
      <c r="CK126">
        <v>92</v>
      </c>
      <c r="CN126">
        <v>76</v>
      </c>
      <c r="CQ126">
        <v>73</v>
      </c>
    </row>
    <row r="128" spans="88:96" x14ac:dyDescent="0.35">
      <c r="CJ128" t="s">
        <v>803</v>
      </c>
    </row>
    <row r="129" spans="88:95" x14ac:dyDescent="0.35">
      <c r="CK129" t="s">
        <v>804</v>
      </c>
      <c r="CL129" t="s">
        <v>805</v>
      </c>
      <c r="CM129" t="s">
        <v>806</v>
      </c>
      <c r="CN129" t="s">
        <v>807</v>
      </c>
      <c r="CO129" t="s">
        <v>808</v>
      </c>
      <c r="CP129" t="s">
        <v>809</v>
      </c>
      <c r="CQ129" t="s">
        <v>810</v>
      </c>
    </row>
    <row r="130" spans="88:95" x14ac:dyDescent="0.3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3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3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35">
      <c r="CJ134" t="s">
        <v>811</v>
      </c>
    </row>
    <row r="135" spans="88:95" x14ac:dyDescent="0.35">
      <c r="CK135" t="s">
        <v>804</v>
      </c>
      <c r="CL135" t="s">
        <v>805</v>
      </c>
      <c r="CM135" t="s">
        <v>806</v>
      </c>
      <c r="CN135" t="s">
        <v>807</v>
      </c>
      <c r="CO135" t="s">
        <v>808</v>
      </c>
      <c r="CP135" t="s">
        <v>809</v>
      </c>
      <c r="CQ135" t="s">
        <v>810</v>
      </c>
    </row>
    <row r="136" spans="88:95" x14ac:dyDescent="0.3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3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3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6953125" defaultRowHeight="14.5" x14ac:dyDescent="0.35"/>
  <cols>
    <col min="1" max="1" width="13.7265625" customWidth="1"/>
    <col min="3" max="3" width="20.26953125" customWidth="1"/>
    <col min="4" max="4" width="16.26953125" customWidth="1"/>
    <col min="5" max="5" width="26.453125" customWidth="1"/>
    <col min="6" max="6" width="15.54296875" customWidth="1"/>
    <col min="7" max="7" width="15.26953125" customWidth="1"/>
    <col min="8" max="8" width="20.7265625" customWidth="1"/>
    <col min="9" max="9" width="17.26953125" customWidth="1"/>
  </cols>
  <sheetData>
    <row r="1" spans="2:39" ht="17.5" thickBot="1" x14ac:dyDescent="0.45">
      <c r="B1" s="169" t="s">
        <v>1011</v>
      </c>
      <c r="C1" s="169"/>
      <c r="D1" s="169"/>
      <c r="E1" s="169"/>
    </row>
    <row r="2" spans="2:39" ht="15" thickTop="1" x14ac:dyDescent="0.35"/>
    <row r="4" spans="2:39" x14ac:dyDescent="0.35">
      <c r="B4" t="s">
        <v>817</v>
      </c>
      <c r="E4">
        <v>2013</v>
      </c>
      <c r="F4">
        <v>2013</v>
      </c>
      <c r="G4" t="s">
        <v>818</v>
      </c>
    </row>
    <row r="5" spans="2:39" ht="29" x14ac:dyDescent="0.3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x14ac:dyDescent="0.3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3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3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3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3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3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3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3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3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3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3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3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3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3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3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3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3" x14ac:dyDescent="0.3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3" x14ac:dyDescent="0.3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3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3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3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3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3" x14ac:dyDescent="0.3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x14ac:dyDescent="0.3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3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3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35">
      <c r="C32" s="8"/>
      <c r="D32" s="452" t="s">
        <v>743</v>
      </c>
      <c r="E32" s="452"/>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3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3" x14ac:dyDescent="0.3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x14ac:dyDescent="0.3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3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3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3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3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3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3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3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3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35">
      <c r="A45" t="s">
        <v>877</v>
      </c>
      <c r="B45" t="s">
        <v>878</v>
      </c>
    </row>
    <row r="47" spans="1:39" x14ac:dyDescent="0.35">
      <c r="C47" s="142" t="s">
        <v>879</v>
      </c>
    </row>
    <row r="48" spans="1:39" x14ac:dyDescent="0.35">
      <c r="A48" s="26" t="s">
        <v>4</v>
      </c>
      <c r="C48" s="142" t="s">
        <v>875</v>
      </c>
      <c r="D48" t="s">
        <v>880</v>
      </c>
    </row>
    <row r="49" spans="1:18" x14ac:dyDescent="0.35">
      <c r="A49" t="s">
        <v>881</v>
      </c>
      <c r="C49" s="142">
        <f>200</f>
        <v>200</v>
      </c>
    </row>
    <row r="50" spans="1:18" x14ac:dyDescent="0.35">
      <c r="C50" s="142"/>
    </row>
    <row r="51" spans="1:18" x14ac:dyDescent="0.35">
      <c r="I51" s="142" t="s">
        <v>208</v>
      </c>
      <c r="J51" s="142" t="s">
        <v>206</v>
      </c>
    </row>
    <row r="52" spans="1:18" x14ac:dyDescent="0.35">
      <c r="A52" s="303">
        <f>[13]LossesCalib!V6</f>
        <v>0</v>
      </c>
      <c r="B52" s="107"/>
      <c r="C52" s="107"/>
      <c r="D52" s="107" t="s">
        <v>882</v>
      </c>
      <c r="E52" s="107"/>
      <c r="F52" s="15"/>
      <c r="H52" t="s">
        <v>883</v>
      </c>
      <c r="I52" t="s">
        <v>884</v>
      </c>
      <c r="J52" t="s">
        <v>884</v>
      </c>
      <c r="K52" t="s">
        <v>885</v>
      </c>
      <c r="L52" t="s">
        <v>886</v>
      </c>
    </row>
    <row r="53" spans="1:18" x14ac:dyDescent="0.3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3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3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3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3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35">
      <c r="A58" s="82" t="str">
        <f>[13]LossesCalib!X12</f>
        <v>Transport</v>
      </c>
      <c r="B58" s="82" t="str">
        <f>[13]LossesCalib!Y12</f>
        <v>TRAOGS</v>
      </c>
      <c r="C58" s="82"/>
      <c r="D58" s="82">
        <f>[13]LossesCalib!AA12</f>
        <v>384.06297777186296</v>
      </c>
      <c r="F58" s="11"/>
      <c r="J58" s="372"/>
      <c r="K58" s="372"/>
      <c r="L58" s="26"/>
    </row>
    <row r="59" spans="1:18" x14ac:dyDescent="0.35">
      <c r="A59" s="82" t="str">
        <f>[13]LossesCalib!X13</f>
        <v>Power</v>
      </c>
      <c r="B59" s="82" t="str">
        <f>[13]LossesCalib!Y13</f>
        <v>PWRODS</v>
      </c>
      <c r="C59" s="82"/>
      <c r="D59" s="82">
        <f>[13]LossesCalib!AA13</f>
        <v>21.6357</v>
      </c>
      <c r="F59" s="11"/>
      <c r="J59" s="372"/>
      <c r="K59" s="372"/>
      <c r="L59" s="26"/>
      <c r="P59" t="s">
        <v>891</v>
      </c>
    </row>
    <row r="60" spans="1:18" x14ac:dyDescent="0.35">
      <c r="A60" s="73"/>
      <c r="D60" s="82" t="str">
        <f>[13]LossesCalib!AA14</f>
        <v>SATIM</v>
      </c>
      <c r="F60" s="11"/>
      <c r="J60" s="372"/>
      <c r="K60" s="372"/>
      <c r="L60" s="26"/>
    </row>
    <row r="61" spans="1:18" x14ac:dyDescent="0.3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3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35">
      <c r="A63" s="82">
        <f>[13]LossesCalib!X17</f>
        <v>0</v>
      </c>
      <c r="B63" s="82">
        <f>[13]LossesCalib!Y17</f>
        <v>0</v>
      </c>
      <c r="C63" s="82">
        <f>[13]LossesCalib!Z17</f>
        <v>0</v>
      </c>
      <c r="D63" s="82">
        <f>[13]LossesCalib!AA17</f>
        <v>0</v>
      </c>
      <c r="F63" s="11"/>
      <c r="H63" s="8" t="s">
        <v>900</v>
      </c>
      <c r="I63" s="8">
        <v>0.745</v>
      </c>
      <c r="J63" s="373">
        <v>0.85</v>
      </c>
      <c r="K63" s="372"/>
      <c r="L63" s="26"/>
    </row>
    <row r="64" spans="1:18" x14ac:dyDescent="0.35">
      <c r="A64" s="210"/>
      <c r="B64" s="13"/>
      <c r="C64" s="13"/>
      <c r="D64" s="13"/>
      <c r="E64" s="13"/>
      <c r="F64" s="14"/>
      <c r="J64" s="372"/>
      <c r="K64" s="372"/>
      <c r="L64" s="26"/>
      <c r="P64" t="s">
        <v>901</v>
      </c>
      <c r="Q64">
        <f>Q62/Q61</f>
        <v>28.333333333333332</v>
      </c>
      <c r="R64" t="s">
        <v>902</v>
      </c>
    </row>
    <row r="65" spans="1:26" x14ac:dyDescent="0.35">
      <c r="J65" s="372"/>
      <c r="K65" s="372"/>
      <c r="L65" s="26"/>
      <c r="Q65">
        <f>0.25%*Q64</f>
        <v>7.0833333333333331E-2</v>
      </c>
    </row>
    <row r="66" spans="1:26" x14ac:dyDescent="0.35">
      <c r="J66" s="372"/>
      <c r="K66" s="372"/>
      <c r="L66" s="26"/>
    </row>
    <row r="69" spans="1:26" x14ac:dyDescent="0.35">
      <c r="E69" t="s">
        <v>903</v>
      </c>
      <c r="F69" t="s">
        <v>904</v>
      </c>
      <c r="G69" t="s">
        <v>905</v>
      </c>
      <c r="P69" t="s">
        <v>906</v>
      </c>
      <c r="Z69" t="s">
        <v>907</v>
      </c>
    </row>
    <row r="70" spans="1:26" x14ac:dyDescent="0.35">
      <c r="A70" s="26" t="s">
        <v>908</v>
      </c>
      <c r="E70" t="s">
        <v>909</v>
      </c>
      <c r="F70" t="s">
        <v>910</v>
      </c>
      <c r="G70" t="str">
        <f>E70</f>
        <v>USA$ million</v>
      </c>
      <c r="Y70">
        <v>2000</v>
      </c>
      <c r="Z70">
        <v>93.1</v>
      </c>
    </row>
    <row r="71" spans="1:26" x14ac:dyDescent="0.35">
      <c r="C71" t="s">
        <v>911</v>
      </c>
      <c r="E71">
        <v>380</v>
      </c>
      <c r="F71">
        <v>116</v>
      </c>
      <c r="G71">
        <v>122</v>
      </c>
      <c r="P71" s="254" t="s">
        <v>912</v>
      </c>
      <c r="Y71">
        <v>2010</v>
      </c>
      <c r="Z71">
        <v>114.5</v>
      </c>
    </row>
    <row r="72" spans="1:26" x14ac:dyDescent="0.35">
      <c r="C72" t="s">
        <v>265</v>
      </c>
      <c r="E72">
        <v>135</v>
      </c>
      <c r="F72">
        <v>116</v>
      </c>
      <c r="G72">
        <v>122</v>
      </c>
      <c r="P72" s="8" t="s">
        <v>913</v>
      </c>
      <c r="Q72" s="8"/>
      <c r="R72" s="8"/>
      <c r="S72" s="1">
        <v>7.98</v>
      </c>
      <c r="T72" s="1">
        <v>2.77</v>
      </c>
    </row>
    <row r="73" spans="1:26" x14ac:dyDescent="0.35">
      <c r="P73" s="8" t="s">
        <v>914</v>
      </c>
      <c r="Q73" s="8"/>
      <c r="R73" s="8"/>
      <c r="S73" s="453">
        <v>1.59</v>
      </c>
      <c r="T73" s="374">
        <v>19.5</v>
      </c>
      <c r="Y73" t="s">
        <v>915</v>
      </c>
      <c r="Z73">
        <f>Z71/Z70</f>
        <v>1.2298603651987112</v>
      </c>
    </row>
    <row r="74" spans="1:26" x14ac:dyDescent="0.35">
      <c r="C74" s="26" t="s">
        <v>916</v>
      </c>
      <c r="E74" s="26" t="s">
        <v>917</v>
      </c>
      <c r="F74" s="26" t="s">
        <v>918</v>
      </c>
      <c r="G74" s="26" t="s">
        <v>919</v>
      </c>
      <c r="H74" s="26" t="s">
        <v>864</v>
      </c>
      <c r="I74" s="26" t="s">
        <v>920</v>
      </c>
      <c r="P74" s="8" t="s">
        <v>921</v>
      </c>
      <c r="Q74" s="8"/>
      <c r="R74" s="8"/>
      <c r="S74" s="454"/>
      <c r="T74" s="1">
        <v>11.1</v>
      </c>
    </row>
    <row r="75" spans="1:26" x14ac:dyDescent="0.3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3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3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3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35">
      <c r="A79" s="8" t="s">
        <v>934</v>
      </c>
      <c r="B79" s="8"/>
      <c r="C79" s="8" t="s">
        <v>930</v>
      </c>
      <c r="D79" s="8" t="s">
        <v>936</v>
      </c>
      <c r="E79" s="8"/>
      <c r="F79" s="8"/>
      <c r="G79" s="8"/>
      <c r="H79" s="8"/>
      <c r="I79" s="8"/>
      <c r="J79" s="8"/>
      <c r="P79" s="8" t="s">
        <v>914</v>
      </c>
      <c r="Q79" s="8"/>
      <c r="R79" s="8"/>
      <c r="S79" s="455">
        <f>S73*Z73</f>
        <v>1.955477980665951</v>
      </c>
      <c r="T79" s="374">
        <f>T73*$Z$73</f>
        <v>23.982277121374867</v>
      </c>
    </row>
    <row r="80" spans="1:26" x14ac:dyDescent="0.3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6"/>
      <c r="T80" s="374">
        <f>T74*$Z$73</f>
        <v>13.651450053705695</v>
      </c>
    </row>
    <row r="81" spans="1:21" x14ac:dyDescent="0.3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3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35">
      <c r="P83" s="254" t="s">
        <v>912</v>
      </c>
      <c r="U83" t="s">
        <v>941</v>
      </c>
    </row>
    <row r="84" spans="1:21" x14ac:dyDescent="0.35">
      <c r="D84" t="s">
        <v>942</v>
      </c>
      <c r="E84" t="s">
        <v>943</v>
      </c>
      <c r="F84" t="s">
        <v>944</v>
      </c>
      <c r="G84" t="s">
        <v>131</v>
      </c>
      <c r="H84" s="237" t="s">
        <v>945</v>
      </c>
      <c r="P84" s="8" t="s">
        <v>913</v>
      </c>
      <c r="Q84" s="8"/>
      <c r="R84" s="8"/>
      <c r="S84" s="374">
        <f>S78*$Y$75</f>
        <v>110.90142857142861</v>
      </c>
      <c r="T84" s="374">
        <f>T78*$Y$75</f>
        <v>38.495859291084862</v>
      </c>
    </row>
    <row r="85" spans="1:21" x14ac:dyDescent="0.35">
      <c r="D85" t="s">
        <v>858</v>
      </c>
      <c r="H85" s="237" t="s">
        <v>858</v>
      </c>
      <c r="P85" s="8" t="s">
        <v>914</v>
      </c>
      <c r="Q85" s="8"/>
      <c r="R85" s="8"/>
      <c r="S85" s="455">
        <f>S79*Y75</f>
        <v>22.096901181525247</v>
      </c>
      <c r="T85" s="374">
        <f>T79*$Y$75</f>
        <v>270.99973147153599</v>
      </c>
    </row>
    <row r="86" spans="1:21" x14ac:dyDescent="0.35">
      <c r="C86" t="s">
        <v>946</v>
      </c>
      <c r="D86" s="342">
        <f>AVERAGE(I80:I82)</f>
        <v>37.586243002246</v>
      </c>
      <c r="F86" s="342">
        <f>D86*10%</f>
        <v>3.7586243002246</v>
      </c>
      <c r="G86">
        <v>60</v>
      </c>
      <c r="H86" s="82">
        <f>$T$89</f>
        <v>425.26111707841039</v>
      </c>
      <c r="P86" s="8" t="s">
        <v>921</v>
      </c>
      <c r="Q86" s="8"/>
      <c r="R86" s="8"/>
      <c r="S86" s="456"/>
      <c r="T86" s="374">
        <f>T80*$Y$75</f>
        <v>154.26138560687437</v>
      </c>
    </row>
    <row r="87" spans="1:21" x14ac:dyDescent="0.35">
      <c r="C87" t="s">
        <v>947</v>
      </c>
      <c r="D87" s="342">
        <f>D86</f>
        <v>37.586243002246</v>
      </c>
      <c r="F87" s="342">
        <f>D87*10%</f>
        <v>3.7586243002246</v>
      </c>
      <c r="G87">
        <v>60</v>
      </c>
      <c r="H87" s="82">
        <f>H86*0.95</f>
        <v>403.99806122448985</v>
      </c>
      <c r="P87" t="s">
        <v>948</v>
      </c>
    </row>
    <row r="88" spans="1:21" x14ac:dyDescent="0.35">
      <c r="C88" t="s">
        <v>949</v>
      </c>
      <c r="D88" s="342">
        <f>D87</f>
        <v>37.586243002246</v>
      </c>
      <c r="F88" s="342">
        <f>D88*10%</f>
        <v>3.7586243002246</v>
      </c>
      <c r="G88">
        <v>60</v>
      </c>
      <c r="H88" s="82">
        <f>H86</f>
        <v>425.26111707841039</v>
      </c>
    </row>
    <row r="89" spans="1:21" x14ac:dyDescent="0.3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35">
      <c r="S90" s="257" t="s">
        <v>952</v>
      </c>
      <c r="T90">
        <v>0.7</v>
      </c>
    </row>
    <row r="91" spans="1:21" x14ac:dyDescent="0.35">
      <c r="C91" t="s">
        <v>953</v>
      </c>
      <c r="D91" s="82">
        <f>I57</f>
        <v>25.463596835812123</v>
      </c>
      <c r="G91">
        <v>60</v>
      </c>
      <c r="T91">
        <f>T90*T89</f>
        <v>297.68278195488728</v>
      </c>
      <c r="U91" t="s">
        <v>902</v>
      </c>
    </row>
    <row r="92" spans="1:21" x14ac:dyDescent="0.35">
      <c r="C92" t="s">
        <v>954</v>
      </c>
      <c r="D92" s="82">
        <f>J57</f>
        <v>25.827936915797132</v>
      </c>
      <c r="G92">
        <v>60</v>
      </c>
    </row>
    <row r="94" spans="1:21" x14ac:dyDescent="0.35">
      <c r="A94" s="26" t="s">
        <v>955</v>
      </c>
    </row>
    <row r="95" spans="1:21" x14ac:dyDescent="0.35">
      <c r="B95" t="s">
        <v>5</v>
      </c>
      <c r="C95" t="s">
        <v>6</v>
      </c>
      <c r="D95" t="s">
        <v>7</v>
      </c>
      <c r="E95" t="s">
        <v>8</v>
      </c>
      <c r="F95" t="s">
        <v>9</v>
      </c>
      <c r="G95" t="s">
        <v>10</v>
      </c>
      <c r="H95" t="s">
        <v>11</v>
      </c>
    </row>
    <row r="96" spans="1:21" x14ac:dyDescent="0.3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35">
      <c r="A97" t="s">
        <v>208</v>
      </c>
      <c r="E97" s="82">
        <f>I57</f>
        <v>25.463596835812123</v>
      </c>
    </row>
    <row r="98" spans="1:15" x14ac:dyDescent="0.35">
      <c r="A98" t="s">
        <v>206</v>
      </c>
      <c r="E98" s="82">
        <f>J57</f>
        <v>25.827936915797132</v>
      </c>
      <c r="O98">
        <f>_xlfn.SINGLE(zar.2010)</f>
        <v>1.3094103081137336</v>
      </c>
    </row>
    <row r="101" spans="1:15" x14ac:dyDescent="0.3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35">
      <c r="A102" t="s">
        <v>957</v>
      </c>
      <c r="B102" s="254">
        <v>0.08</v>
      </c>
    </row>
    <row r="103" spans="1:15" x14ac:dyDescent="0.35">
      <c r="A103" t="s">
        <v>131</v>
      </c>
      <c r="B103">
        <v>60</v>
      </c>
    </row>
    <row r="106" spans="1:15" x14ac:dyDescent="0.35">
      <c r="A106" t="s">
        <v>958</v>
      </c>
      <c r="B106" t="s">
        <v>959</v>
      </c>
      <c r="C106" t="s">
        <v>958</v>
      </c>
      <c r="D106" t="s">
        <v>959</v>
      </c>
    </row>
    <row r="107" spans="1:15" x14ac:dyDescent="0.35">
      <c r="A107" s="255" t="s">
        <v>960</v>
      </c>
      <c r="B107" s="376" t="s">
        <v>960</v>
      </c>
      <c r="C107" s="255" t="s">
        <v>961</v>
      </c>
      <c r="D107" s="376" t="s">
        <v>850</v>
      </c>
    </row>
    <row r="108" spans="1:15" x14ac:dyDescent="0.35">
      <c r="A108" s="26" t="s">
        <v>855</v>
      </c>
      <c r="B108" s="377" t="s">
        <v>854</v>
      </c>
      <c r="C108" s="26" t="s">
        <v>962</v>
      </c>
      <c r="D108" s="377" t="s">
        <v>963</v>
      </c>
    </row>
    <row r="109" spans="1:15" x14ac:dyDescent="0.35">
      <c r="B109" s="377"/>
      <c r="D109" s="377"/>
    </row>
    <row r="110" spans="1:15" x14ac:dyDescent="0.35">
      <c r="A110">
        <v>20</v>
      </c>
      <c r="B110" s="377">
        <f t="shared" ref="B110:B116" si="9">A110*_xlfn.SINGLE(inchtocentimetre)</f>
        <v>50.8</v>
      </c>
      <c r="C110">
        <v>2</v>
      </c>
      <c r="D110" s="377">
        <f>C110*J23</f>
        <v>77.040000000000006</v>
      </c>
    </row>
    <row r="111" spans="1:15" x14ac:dyDescent="0.35">
      <c r="A111">
        <v>24</v>
      </c>
      <c r="B111" s="377">
        <f t="shared" si="9"/>
        <v>60.96</v>
      </c>
      <c r="C111">
        <v>3.2</v>
      </c>
      <c r="D111" s="377">
        <f t="shared" ref="D111:D116" si="10">C111*K140</f>
        <v>0</v>
      </c>
    </row>
    <row r="112" spans="1:15" x14ac:dyDescent="0.35">
      <c r="A112">
        <v>28</v>
      </c>
      <c r="B112" s="377">
        <f t="shared" si="9"/>
        <v>71.12</v>
      </c>
      <c r="C112">
        <v>4.7</v>
      </c>
      <c r="D112" s="377">
        <f t="shared" si="10"/>
        <v>0</v>
      </c>
    </row>
    <row r="113" spans="1:4" x14ac:dyDescent="0.35">
      <c r="A113">
        <v>32</v>
      </c>
      <c r="B113" s="377">
        <f t="shared" si="9"/>
        <v>81.28</v>
      </c>
      <c r="C113">
        <v>6.6</v>
      </c>
      <c r="D113" s="377">
        <f t="shared" si="10"/>
        <v>0</v>
      </c>
    </row>
    <row r="114" spans="1:4" x14ac:dyDescent="0.35">
      <c r="A114">
        <v>36</v>
      </c>
      <c r="B114" s="377">
        <f t="shared" si="9"/>
        <v>91.44</v>
      </c>
      <c r="C114">
        <v>9</v>
      </c>
      <c r="D114" s="377">
        <f t="shared" si="10"/>
        <v>0</v>
      </c>
    </row>
    <row r="115" spans="1:4" x14ac:dyDescent="0.35">
      <c r="A115">
        <v>40</v>
      </c>
      <c r="B115" s="377">
        <f t="shared" si="9"/>
        <v>101.6</v>
      </c>
      <c r="C115">
        <v>11.7</v>
      </c>
      <c r="D115" s="377">
        <f t="shared" si="10"/>
        <v>0</v>
      </c>
    </row>
    <row r="116" spans="1:4" x14ac:dyDescent="0.35">
      <c r="A116">
        <v>44</v>
      </c>
      <c r="B116" s="377">
        <f t="shared" si="9"/>
        <v>111.76</v>
      </c>
      <c r="C116">
        <v>14.9</v>
      </c>
      <c r="D116" s="377">
        <f t="shared" si="10"/>
        <v>0</v>
      </c>
    </row>
    <row r="117" spans="1:4" x14ac:dyDescent="0.3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2024-10-21T14:59:40Z</dcterms:modified>
</cp:coreProperties>
</file>