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10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11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1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4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threadedComments/threadedComment4.xml" ContentType="application/vnd.ms-excel.threadedcomments+xml"/>
  <Override PartName="/xl/drawings/drawing18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21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22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drawings/drawing23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drawings/drawing24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drawings/drawing25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ugarModel\Inputs\"/>
    </mc:Choice>
  </mc:AlternateContent>
  <xr:revisionPtr revIDLastSave="0" documentId="13_ncr:1_{CAB4FFD0-AF6E-4E27-9EFA-BEE68CF6A954}" xr6:coauthVersionLast="44" xr6:coauthVersionMax="44" xr10:uidLastSave="{00000000-0000-0000-0000-000000000000}"/>
  <bookViews>
    <workbookView xWindow="-120" yWindow="-120" windowWidth="29040" windowHeight="15840" tabRatio="780" firstSheet="11" activeTab="18" xr2:uid="{00000000-000D-0000-FFFF-FFFF00000000}"/>
  </bookViews>
  <sheets>
    <sheet name="ANSv2-692-Home" sheetId="9" r:id="rId1"/>
    <sheet name="Index" sheetId="60" r:id="rId2"/>
    <sheet name="RES" sheetId="52" r:id="rId3"/>
    <sheet name="RES_base" sheetId="73" r:id="rId4"/>
    <sheet name="RES_eth" sheetId="74" r:id="rId5"/>
    <sheet name="RES_bio" sheetId="75" r:id="rId6"/>
    <sheet name="EB_Exist" sheetId="27" r:id="rId7"/>
    <sheet name="EB_v2" sheetId="72" r:id="rId8"/>
    <sheet name="LCOE_Checks" sheetId="70" r:id="rId9"/>
    <sheet name="Costs_Exist" sheetId="59" r:id="rId10"/>
    <sheet name="Todo" sheetId="54" r:id="rId11"/>
    <sheet name="Cost of generation" sheetId="50" r:id="rId12"/>
    <sheet name="Add. Gen. cap" sheetId="48" r:id="rId13"/>
    <sheet name="Future expansion" sheetId="49" r:id="rId14"/>
    <sheet name="Constants" sheetId="51" r:id="rId15"/>
    <sheet name="SugarPrices" sheetId="55" r:id="rId16"/>
    <sheet name="ANSv2-692-REGIONS" sheetId="18" state="veryHidden" r:id="rId17"/>
    <sheet name="ANSv2-692-Commodities" sheetId="19" state="veryHidden" r:id="rId18"/>
    <sheet name="Commodities_BASE" sheetId="29" r:id="rId19"/>
    <sheet name="ANSv2-692-Processes" sheetId="20" state="veryHidden" r:id="rId20"/>
    <sheet name="ANSv2-692-Constraints" sheetId="23" state="veryHidden" r:id="rId21"/>
    <sheet name="ANSv2-692-CommData" sheetId="21" state="veryHidden" r:id="rId22"/>
    <sheet name="CommData_BASE" sheetId="30" r:id="rId23"/>
    <sheet name="Processes_BASE" sheetId="31" r:id="rId24"/>
    <sheet name="ANSv2-692-ProcData" sheetId="25" state="veryHidden" r:id="rId25"/>
    <sheet name="ProcData_Basic" sheetId="32" r:id="rId26"/>
    <sheet name="ProcData_Demands" sheetId="33" r:id="rId27"/>
    <sheet name="ProcData_Exist" sheetId="56" r:id="rId28"/>
    <sheet name="Basic Fuel Price" sheetId="65" r:id="rId29"/>
    <sheet name="Params" sheetId="53" r:id="rId30"/>
    <sheet name="ANSv2-692-ConstrData" sheetId="24" state="veryHidden" r:id="rId31"/>
    <sheet name="ANSv2-692-ITEMS" sheetId="10" state="veryHidden" r:id="rId32"/>
    <sheet name="ANSv2-692-TS DATA" sheetId="12" state="veryHidden" r:id="rId33"/>
    <sheet name="ANSv2-692-TID DATA" sheetId="13" state="veryHidden" r:id="rId34"/>
    <sheet name="ANSv2-692-TS&amp;TID DATA" sheetId="14" state="veryHidden" r:id="rId35"/>
    <sheet name="ANSv2-692-TS TRADE" sheetId="15" state="veryHidden" r:id="rId36"/>
    <sheet name="ANSv2-692-TID TRADE" sheetId="16" state="veryHidden" r:id="rId37"/>
    <sheet name="ANSv2-692-TS&amp;TID TRADE" sheetId="17" state="veryHidden" r:id="rId38"/>
  </sheets>
  <functionGroups builtInGroupCount="19"/>
  <externalReferences>
    <externalReference r:id="rId39"/>
    <externalReference r:id="rId40"/>
  </externalReference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1" i="75" l="1"/>
  <c r="AA65" i="75"/>
  <c r="N52" i="75"/>
  <c r="N51" i="75"/>
  <c r="N50" i="75"/>
  <c r="N49" i="75"/>
  <c r="N48" i="75"/>
  <c r="N40" i="75"/>
  <c r="N39" i="75"/>
  <c r="N38" i="75"/>
  <c r="N37" i="75"/>
  <c r="N36" i="75"/>
  <c r="C16" i="75"/>
  <c r="C12" i="75"/>
  <c r="AA9" i="75"/>
  <c r="C8" i="75"/>
  <c r="AA86" i="74"/>
  <c r="N73" i="74"/>
  <c r="N72" i="74"/>
  <c r="N71" i="74"/>
  <c r="N70" i="74"/>
  <c r="N69" i="74"/>
  <c r="N61" i="74"/>
  <c r="N60" i="74"/>
  <c r="N59" i="74"/>
  <c r="N58" i="74"/>
  <c r="N57" i="74"/>
  <c r="C49" i="74"/>
  <c r="C42" i="74"/>
  <c r="C21" i="74"/>
  <c r="C16" i="74"/>
  <c r="C12" i="74"/>
  <c r="AA9" i="74"/>
  <c r="C8" i="74"/>
  <c r="AA37" i="73"/>
  <c r="AA84" i="73"/>
  <c r="N71" i="73"/>
  <c r="N70" i="73"/>
  <c r="N69" i="73"/>
  <c r="N68" i="73"/>
  <c r="N67" i="73"/>
  <c r="N59" i="73"/>
  <c r="N58" i="73"/>
  <c r="N57" i="73"/>
  <c r="N56" i="73"/>
  <c r="N55" i="73"/>
  <c r="C21" i="73"/>
  <c r="C16" i="73"/>
  <c r="C12" i="73"/>
  <c r="AA9" i="73"/>
  <c r="C8" i="73"/>
  <c r="E33" i="65" l="1"/>
  <c r="P15" i="56" l="1"/>
  <c r="F15" i="56"/>
  <c r="E15" i="56"/>
  <c r="D15" i="56"/>
  <c r="C21" i="31"/>
  <c r="C15" i="56" s="1"/>
  <c r="B21" i="31"/>
  <c r="B15" i="56" s="1"/>
  <c r="K21" i="27"/>
  <c r="K19" i="27"/>
  <c r="AA49" i="27"/>
  <c r="AA50" i="27" s="1"/>
  <c r="AA52" i="27" s="1"/>
  <c r="E20" i="65"/>
  <c r="E17" i="65"/>
  <c r="C65" i="27"/>
  <c r="X48" i="27"/>
  <c r="F17" i="27" l="1"/>
  <c r="K17" i="27" s="1"/>
  <c r="F37" i="27" l="1"/>
  <c r="R43" i="27"/>
  <c r="F39" i="27" l="1"/>
  <c r="P9" i="56" l="1"/>
  <c r="C63" i="59"/>
  <c r="C64" i="59"/>
  <c r="C60" i="59"/>
  <c r="C75" i="59"/>
  <c r="C61" i="59"/>
  <c r="C58" i="59"/>
  <c r="C59" i="59" s="1"/>
  <c r="C57" i="59"/>
  <c r="C9" i="30" l="1"/>
  <c r="C8" i="30"/>
  <c r="C20" i="31" l="1"/>
  <c r="B20" i="31"/>
  <c r="N71" i="52"/>
  <c r="N70" i="52"/>
  <c r="N69" i="52"/>
  <c r="N68" i="52"/>
  <c r="N67" i="52"/>
  <c r="N57" i="52"/>
  <c r="N55" i="52"/>
  <c r="N56" i="52" l="1"/>
  <c r="N59" i="52"/>
  <c r="N58" i="52"/>
  <c r="J69" i="27"/>
  <c r="J68" i="27"/>
  <c r="J67" i="27"/>
  <c r="F33" i="56"/>
  <c r="AG5" i="56" s="1"/>
  <c r="C54" i="59"/>
  <c r="F13" i="56"/>
  <c r="E13" i="56"/>
  <c r="D13" i="56"/>
  <c r="L45" i="59"/>
  <c r="P13" i="56" l="1"/>
  <c r="E19" i="31"/>
  <c r="D19" i="31"/>
  <c r="H25" i="27" l="1"/>
  <c r="B19" i="31" s="1"/>
  <c r="B13" i="56" s="1"/>
  <c r="I25" i="27"/>
  <c r="C19" i="31" s="1"/>
  <c r="C13" i="56" s="1"/>
  <c r="G28" i="27" l="1"/>
  <c r="B27" i="27"/>
  <c r="I69" i="27" s="1"/>
  <c r="A27" i="27"/>
  <c r="H69" i="27" s="1"/>
  <c r="G11" i="27"/>
  <c r="AF20" i="27" l="1"/>
  <c r="W22" i="27" s="1"/>
  <c r="G13" i="27" s="1"/>
  <c r="F12" i="27"/>
  <c r="K12" i="27" s="1"/>
  <c r="K14" i="27" s="1"/>
  <c r="F13" i="27" l="1"/>
  <c r="G7" i="27"/>
  <c r="C33" i="29"/>
  <c r="C32" i="29"/>
  <c r="C31" i="29"/>
  <c r="C30" i="29"/>
  <c r="C29" i="29"/>
  <c r="C28" i="29"/>
  <c r="C27" i="29"/>
  <c r="C26" i="29"/>
  <c r="C25" i="29"/>
  <c r="C24" i="29"/>
  <c r="C23" i="29"/>
  <c r="C22" i="29"/>
  <c r="C21" i="29"/>
  <c r="C20" i="29"/>
  <c r="C19" i="29"/>
  <c r="C18" i="29"/>
  <c r="C17" i="29"/>
  <c r="C16" i="29"/>
  <c r="C15" i="29"/>
  <c r="C14" i="29"/>
  <c r="C13" i="29"/>
  <c r="C12" i="29"/>
  <c r="C11" i="29"/>
  <c r="C10" i="29"/>
  <c r="B33" i="29"/>
  <c r="B32" i="29"/>
  <c r="B31" i="29"/>
  <c r="B30" i="29"/>
  <c r="B29" i="29"/>
  <c r="B28" i="29"/>
  <c r="B27" i="29"/>
  <c r="B26" i="29"/>
  <c r="B25" i="29"/>
  <c r="B24" i="29"/>
  <c r="B23" i="29"/>
  <c r="B22" i="29"/>
  <c r="B21" i="29"/>
  <c r="B20" i="29"/>
  <c r="B19" i="29"/>
  <c r="B18" i="29"/>
  <c r="B17" i="29"/>
  <c r="B16" i="29"/>
  <c r="B15" i="29"/>
  <c r="B14" i="29"/>
  <c r="B13" i="29"/>
  <c r="B12" i="29"/>
  <c r="B11" i="29"/>
  <c r="B10" i="29"/>
  <c r="U17" i="27" l="1"/>
  <c r="T17" i="27"/>
  <c r="W17" i="27"/>
  <c r="X17" i="27"/>
  <c r="Y17" i="27"/>
  <c r="Z17" i="27"/>
  <c r="AA17" i="27"/>
  <c r="AB17" i="27"/>
  <c r="AC17" i="27"/>
  <c r="V17" i="27"/>
  <c r="S12" i="27"/>
  <c r="W13" i="27" s="1"/>
  <c r="T12" i="27"/>
  <c r="U12" i="27"/>
  <c r="V12" i="27"/>
  <c r="W12" i="27"/>
  <c r="X12" i="27"/>
  <c r="Y12" i="27"/>
  <c r="Z12" i="27"/>
  <c r="AA12" i="27"/>
  <c r="AB12" i="27"/>
  <c r="AC12" i="27"/>
  <c r="S13" i="27" l="1"/>
  <c r="AC13" i="27"/>
  <c r="AB13" i="27"/>
  <c r="V13" i="27"/>
  <c r="AA13" i="27"/>
  <c r="U13" i="27"/>
  <c r="Y13" i="27"/>
  <c r="Z13" i="27"/>
  <c r="T13" i="27"/>
  <c r="X13" i="27"/>
  <c r="R5" i="72" l="1"/>
  <c r="R38" i="72" s="1"/>
  <c r="R39" i="72" s="1"/>
  <c r="I4" i="72"/>
  <c r="I5" i="72" s="1"/>
  <c r="I17" i="65" l="1"/>
  <c r="G15" i="65" l="1"/>
  <c r="G17" i="65" s="1"/>
  <c r="F24" i="65" l="1"/>
  <c r="F25" i="65"/>
  <c r="F26" i="65"/>
  <c r="F27" i="65"/>
  <c r="E27" i="65"/>
  <c r="E26" i="65"/>
  <c r="E25" i="65"/>
  <c r="G20" i="65"/>
  <c r="E15" i="65"/>
  <c r="D15" i="65"/>
  <c r="D17" i="65" s="1"/>
  <c r="F15" i="65"/>
  <c r="F16" i="65"/>
  <c r="F19" i="65"/>
  <c r="D21" i="65"/>
  <c r="E21" i="65" s="1"/>
  <c r="D20" i="65"/>
  <c r="E22" i="65" l="1"/>
  <c r="E28" i="65"/>
  <c r="E29" i="65" s="1"/>
  <c r="D22" i="65"/>
  <c r="F21" i="65"/>
  <c r="H21" i="65"/>
  <c r="F17" i="65"/>
  <c r="F22" i="65" l="1"/>
  <c r="F28" i="65"/>
  <c r="F29" i="65" s="1"/>
  <c r="P14" i="56" l="1"/>
  <c r="F14" i="56"/>
  <c r="E14" i="56"/>
  <c r="D14" i="56"/>
  <c r="C14" i="56"/>
  <c r="B14" i="56"/>
  <c r="C51" i="59"/>
  <c r="E2" i="70"/>
  <c r="E6" i="70" s="1"/>
  <c r="E12" i="70" s="1"/>
  <c r="D2" i="70"/>
  <c r="E27" i="60" l="1"/>
  <c r="E26" i="60"/>
  <c r="D27" i="60"/>
  <c r="D26" i="60"/>
  <c r="E3" i="70" l="1"/>
  <c r="E8" i="70"/>
  <c r="E22" i="60"/>
  <c r="E21" i="60"/>
  <c r="E11" i="70" l="1"/>
  <c r="E13" i="70" s="1"/>
  <c r="C59" i="55"/>
  <c r="D22" i="60"/>
  <c r="D21" i="60"/>
  <c r="K25" i="55" l="1"/>
  <c r="C23" i="59" l="1"/>
  <c r="F41" i="27"/>
  <c r="F6" i="51"/>
  <c r="G5" i="27"/>
  <c r="D10" i="27" l="1"/>
  <c r="C25" i="31" s="1"/>
  <c r="B10" i="27"/>
  <c r="A10" i="27"/>
  <c r="M10" i="27"/>
  <c r="F20" i="56"/>
  <c r="C20" i="56"/>
  <c r="E16" i="60"/>
  <c r="E17" i="60"/>
  <c r="D16" i="60"/>
  <c r="E8" i="60"/>
  <c r="E9" i="60"/>
  <c r="E10" i="60"/>
  <c r="E11" i="60"/>
  <c r="E12" i="60"/>
  <c r="A2" i="56"/>
  <c r="D12" i="60" s="1"/>
  <c r="A2" i="33"/>
  <c r="D11" i="60" s="1"/>
  <c r="A2" i="32"/>
  <c r="D10" i="60" s="1"/>
  <c r="A2" i="31"/>
  <c r="D9" i="60" s="1"/>
  <c r="A2" i="30"/>
  <c r="D8" i="60" s="1"/>
  <c r="A2" i="29"/>
  <c r="D17" i="60"/>
  <c r="E7" i="60"/>
  <c r="D7" i="60" l="1"/>
  <c r="A1" i="29" l="1"/>
  <c r="A1" i="56"/>
  <c r="A1" i="33"/>
  <c r="A1" i="32"/>
  <c r="A1" i="30"/>
  <c r="A1" i="31"/>
  <c r="C76" i="59"/>
  <c r="C31" i="59"/>
  <c r="C28" i="59"/>
  <c r="C14" i="59"/>
  <c r="B14" i="59"/>
  <c r="C24" i="59"/>
  <c r="I22" i="56"/>
  <c r="C11" i="59"/>
  <c r="C8" i="59"/>
  <c r="C6" i="59"/>
  <c r="C9" i="59" s="1"/>
  <c r="C5" i="59"/>
  <c r="L20" i="59"/>
  <c r="M20" i="59"/>
  <c r="N20" i="59"/>
  <c r="O20" i="59"/>
  <c r="L21" i="59"/>
  <c r="M21" i="59"/>
  <c r="N21" i="59"/>
  <c r="O21" i="59"/>
  <c r="L22" i="59"/>
  <c r="M22" i="59"/>
  <c r="N22" i="59"/>
  <c r="O22" i="59"/>
  <c r="L23" i="59"/>
  <c r="M23" i="59"/>
  <c r="N23" i="59"/>
  <c r="O23" i="59"/>
  <c r="L24" i="59"/>
  <c r="M24" i="59"/>
  <c r="N24" i="59"/>
  <c r="O24" i="59"/>
  <c r="L25" i="59"/>
  <c r="M25" i="59"/>
  <c r="N25" i="59"/>
  <c r="O25" i="59"/>
  <c r="L26" i="59"/>
  <c r="M26" i="59"/>
  <c r="N26" i="59"/>
  <c r="O26" i="59"/>
  <c r="M19" i="59"/>
  <c r="N19" i="59"/>
  <c r="O19" i="59"/>
  <c r="L19" i="59"/>
  <c r="K20" i="59"/>
  <c r="K30" i="59" s="1"/>
  <c r="K21" i="59"/>
  <c r="K31" i="59" s="1"/>
  <c r="K22" i="59"/>
  <c r="K32" i="59" s="1"/>
  <c r="K23" i="59"/>
  <c r="K33" i="59" s="1"/>
  <c r="K24" i="59"/>
  <c r="K34" i="59" s="1"/>
  <c r="K25" i="59"/>
  <c r="K35" i="59" s="1"/>
  <c r="K26" i="59"/>
  <c r="K36" i="59" s="1"/>
  <c r="K18" i="59"/>
  <c r="L18" i="59"/>
  <c r="M18" i="59"/>
  <c r="N18" i="59"/>
  <c r="O18" i="59"/>
  <c r="K19" i="59"/>
  <c r="K29" i="59" s="1"/>
  <c r="L17" i="59"/>
  <c r="M17" i="59"/>
  <c r="N17" i="59"/>
  <c r="O17" i="59"/>
  <c r="K17" i="59"/>
  <c r="C15" i="59" l="1"/>
  <c r="M43" i="59" s="1"/>
  <c r="C44" i="59"/>
  <c r="C10" i="59"/>
  <c r="O30" i="59" s="1"/>
  <c r="B70" i="59"/>
  <c r="F70" i="59" s="1"/>
  <c r="M45" i="59"/>
  <c r="C43" i="59"/>
  <c r="G75" i="59"/>
  <c r="C85" i="59"/>
  <c r="G76" i="59"/>
  <c r="C84" i="59"/>
  <c r="J22" i="56"/>
  <c r="L22" i="56" s="1"/>
  <c r="K22" i="56"/>
  <c r="I28" i="56"/>
  <c r="C25" i="59"/>
  <c r="O33" i="59"/>
  <c r="N36" i="59"/>
  <c r="N33" i="59"/>
  <c r="C7" i="59"/>
  <c r="B68" i="59"/>
  <c r="C26" i="59"/>
  <c r="C29" i="59"/>
  <c r="B71" i="59"/>
  <c r="F71" i="59" s="1"/>
  <c r="B72" i="59"/>
  <c r="F72" i="59" s="1"/>
  <c r="L36" i="59" l="1"/>
  <c r="N31" i="59"/>
  <c r="O31" i="59"/>
  <c r="M32" i="59"/>
  <c r="C30" i="59"/>
  <c r="N32" i="59"/>
  <c r="O32" i="59"/>
  <c r="C27" i="59"/>
  <c r="O35" i="59"/>
  <c r="M35" i="59"/>
  <c r="L33" i="59"/>
  <c r="L32" i="59"/>
  <c r="N29" i="59"/>
  <c r="L31" i="59"/>
  <c r="O36" i="59"/>
  <c r="M33" i="59"/>
  <c r="N30" i="59"/>
  <c r="M30" i="59"/>
  <c r="O34" i="59"/>
  <c r="L29" i="59"/>
  <c r="C45" i="59"/>
  <c r="O29" i="59"/>
  <c r="L34" i="59"/>
  <c r="M29" i="59"/>
  <c r="L30" i="59"/>
  <c r="M34" i="59"/>
  <c r="M31" i="59"/>
  <c r="N34" i="59"/>
  <c r="N35" i="59"/>
  <c r="L35" i="59"/>
  <c r="M36" i="59"/>
  <c r="C46" i="59"/>
  <c r="M48" i="59"/>
  <c r="N41" i="59" s="1"/>
  <c r="F68" i="59"/>
  <c r="B84" i="59"/>
  <c r="J28" i="56"/>
  <c r="M28" i="56" s="1"/>
  <c r="Q28" i="56"/>
  <c r="C18" i="59"/>
  <c r="C19" i="59" s="1"/>
  <c r="B69" i="59"/>
  <c r="F69" i="59" s="1"/>
  <c r="C16" i="59"/>
  <c r="C17" i="59" l="1"/>
  <c r="Q22" i="56"/>
  <c r="E68" i="27" l="1"/>
  <c r="E69" i="27"/>
  <c r="E62" i="27" s="1"/>
  <c r="E61" i="27"/>
  <c r="J61" i="27"/>
  <c r="J60" i="27"/>
  <c r="E60" i="27"/>
  <c r="I8" i="27"/>
  <c r="H8" i="27"/>
  <c r="F9" i="33"/>
  <c r="E9" i="33"/>
  <c r="F8" i="33"/>
  <c r="E8" i="33"/>
  <c r="F10" i="56"/>
  <c r="F12" i="56"/>
  <c r="E12" i="56"/>
  <c r="E18" i="31"/>
  <c r="D18" i="31"/>
  <c r="D12" i="56" s="1"/>
  <c r="F32" i="56"/>
  <c r="AF5" i="56" s="1"/>
  <c r="F31" i="56"/>
  <c r="X5" i="56" s="1"/>
  <c r="E35" i="56"/>
  <c r="AI5" i="56" s="1"/>
  <c r="E36" i="56"/>
  <c r="AJ5" i="56" s="1"/>
  <c r="E34" i="56"/>
  <c r="AH5" i="56" s="1"/>
  <c r="F29" i="56"/>
  <c r="F28" i="56"/>
  <c r="E24" i="56" s="1"/>
  <c r="AD5" i="56" s="1"/>
  <c r="E30" i="56"/>
  <c r="E29" i="56"/>
  <c r="E28" i="56"/>
  <c r="F25" i="56"/>
  <c r="AC5" i="56" s="1"/>
  <c r="F26" i="56"/>
  <c r="AB5" i="56" s="1"/>
  <c r="E23" i="56"/>
  <c r="AE5" i="56" s="1"/>
  <c r="E22" i="56"/>
  <c r="W5" i="56" s="1"/>
  <c r="D22" i="56"/>
  <c r="D28" i="56"/>
  <c r="D31" i="56"/>
  <c r="F19" i="56"/>
  <c r="F18" i="56"/>
  <c r="F17" i="56"/>
  <c r="E10" i="56"/>
  <c r="F11" i="56" s="1"/>
  <c r="F9" i="56"/>
  <c r="E9" i="56"/>
  <c r="D17" i="56"/>
  <c r="D18" i="56"/>
  <c r="D19" i="56"/>
  <c r="A21" i="56"/>
  <c r="A16" i="56"/>
  <c r="P10" i="56"/>
  <c r="P11" i="56"/>
  <c r="D10" i="56"/>
  <c r="D11" i="56"/>
  <c r="D9" i="56"/>
  <c r="A8" i="56"/>
  <c r="B1" i="56"/>
  <c r="I17" i="27"/>
  <c r="I21" i="27" s="1"/>
  <c r="H17" i="27"/>
  <c r="H21" i="27" s="1"/>
  <c r="J16" i="27"/>
  <c r="E67" i="27" s="1"/>
  <c r="J7" i="27"/>
  <c r="J5" i="27"/>
  <c r="D6" i="27"/>
  <c r="C24" i="31" s="1"/>
  <c r="C18" i="56" s="1"/>
  <c r="C21" i="52"/>
  <c r="C6" i="27" s="1"/>
  <c r="B24" i="31" s="1"/>
  <c r="B18" i="56" s="1"/>
  <c r="C25" i="52"/>
  <c r="B6" i="27"/>
  <c r="D49" i="27" s="1"/>
  <c r="A6" i="27"/>
  <c r="C49" i="27" s="1"/>
  <c r="B32" i="27"/>
  <c r="A32" i="27"/>
  <c r="B31" i="27"/>
  <c r="A31" i="27"/>
  <c r="B29" i="27"/>
  <c r="I67" i="27" s="1"/>
  <c r="A29" i="27"/>
  <c r="H67" i="27" s="1"/>
  <c r="B25" i="27"/>
  <c r="I68" i="27" s="1"/>
  <c r="A25" i="27"/>
  <c r="H68" i="27" s="1"/>
  <c r="B19" i="27"/>
  <c r="I48" i="27" s="1"/>
  <c r="A19" i="27"/>
  <c r="C69" i="27" s="1"/>
  <c r="C62" i="27" s="1"/>
  <c r="B17" i="27"/>
  <c r="D68" i="27" s="1"/>
  <c r="A17" i="27"/>
  <c r="H47" i="27" s="1"/>
  <c r="B16" i="27"/>
  <c r="D67" i="27" s="1"/>
  <c r="A16" i="27"/>
  <c r="C67" i="27" s="1"/>
  <c r="B12" i="27"/>
  <c r="D47" i="27" s="1"/>
  <c r="A12" i="27"/>
  <c r="C47" i="27" s="1"/>
  <c r="B8" i="27"/>
  <c r="D60" i="27" s="1"/>
  <c r="A8" i="27"/>
  <c r="C60" i="27" s="1"/>
  <c r="B4" i="27"/>
  <c r="D48" i="27" s="1"/>
  <c r="A4" i="27"/>
  <c r="C48" i="27" s="1"/>
  <c r="F19" i="27"/>
  <c r="F21" i="27"/>
  <c r="F22" i="27" s="1"/>
  <c r="V11" i="56" s="1"/>
  <c r="I23" i="27"/>
  <c r="C16" i="31" s="1"/>
  <c r="C10" i="56" s="1"/>
  <c r="I19" i="27"/>
  <c r="I14" i="27"/>
  <c r="C18" i="31" s="1"/>
  <c r="C12" i="56" s="1"/>
  <c r="I12" i="27"/>
  <c r="I5" i="27" s="1"/>
  <c r="I7" i="27" s="1"/>
  <c r="C32" i="27"/>
  <c r="H30" i="27" s="1"/>
  <c r="C31" i="27"/>
  <c r="H29" i="27" s="1"/>
  <c r="B15" i="31" s="1"/>
  <c r="B9" i="56" s="1"/>
  <c r="C25" i="27"/>
  <c r="C19" i="27"/>
  <c r="C17" i="27"/>
  <c r="B29" i="31" s="1"/>
  <c r="C16" i="27"/>
  <c r="C12" i="27"/>
  <c r="B28" i="31" s="1"/>
  <c r="B22" i="56" s="1"/>
  <c r="C29" i="27" l="1"/>
  <c r="C27" i="27"/>
  <c r="K23" i="27"/>
  <c r="F20" i="27"/>
  <c r="B28" i="56"/>
  <c r="I60" i="27"/>
  <c r="H48" i="27"/>
  <c r="I61" i="27"/>
  <c r="H61" i="27"/>
  <c r="H60" i="27"/>
  <c r="D69" i="27"/>
  <c r="D62" i="27" s="1"/>
  <c r="C61" i="27"/>
  <c r="I47" i="27"/>
  <c r="C68" i="27"/>
  <c r="D61" i="27"/>
  <c r="B30" i="31"/>
  <c r="B31" i="56" s="1"/>
  <c r="H16" i="27"/>
  <c r="H18" i="27" s="1"/>
  <c r="F30" i="27"/>
  <c r="H37" i="72" s="1"/>
  <c r="F31" i="27"/>
  <c r="F32" i="27"/>
  <c r="K30" i="27" s="1"/>
  <c r="D32" i="27"/>
  <c r="I30" i="27" s="1"/>
  <c r="D31" i="27"/>
  <c r="I29" i="27" s="1"/>
  <c r="C15" i="31" s="1"/>
  <c r="C9" i="56" s="1"/>
  <c r="D25" i="27"/>
  <c r="D21" i="27"/>
  <c r="C17" i="31" s="1"/>
  <c r="C11" i="56" s="1"/>
  <c r="D19" i="27"/>
  <c r="D17" i="27"/>
  <c r="C29" i="31" s="1"/>
  <c r="D16" i="27"/>
  <c r="D12" i="27"/>
  <c r="C28" i="31" s="1"/>
  <c r="C22" i="56" s="1"/>
  <c r="D8" i="27"/>
  <c r="C26" i="31" s="1"/>
  <c r="C19" i="56" s="1"/>
  <c r="D4" i="27"/>
  <c r="C23" i="31" s="1"/>
  <c r="C17" i="56" s="1"/>
  <c r="H14" i="27"/>
  <c r="B18" i="31" s="1"/>
  <c r="B12" i="56" s="1"/>
  <c r="H12" i="27"/>
  <c r="H5" i="27" s="1"/>
  <c r="H7" i="27" s="1"/>
  <c r="AA84" i="52"/>
  <c r="H23" i="27" s="1"/>
  <c r="B16" i="31" s="1"/>
  <c r="B10" i="56" s="1"/>
  <c r="H19" i="27"/>
  <c r="E22" i="27"/>
  <c r="E21" i="27"/>
  <c r="M8" i="27"/>
  <c r="O64" i="27"/>
  <c r="O65" i="27" s="1"/>
  <c r="O59" i="27"/>
  <c r="K48" i="27" l="1"/>
  <c r="C30" i="31"/>
  <c r="C31" i="56" s="1"/>
  <c r="D27" i="27"/>
  <c r="F51" i="27"/>
  <c r="O28" i="56" s="1"/>
  <c r="K29" i="27"/>
  <c r="C28" i="56"/>
  <c r="C42" i="59"/>
  <c r="T9" i="56"/>
  <c r="D29" i="27"/>
  <c r="I16" i="27"/>
  <c r="I18" i="27" s="1"/>
  <c r="K20" i="27" l="1"/>
  <c r="F69" i="27" s="1"/>
  <c r="C47" i="59"/>
  <c r="E76" i="59"/>
  <c r="E75" i="59"/>
  <c r="D71" i="59"/>
  <c r="D72" i="59"/>
  <c r="D69" i="59"/>
  <c r="D70" i="59"/>
  <c r="D68" i="59"/>
  <c r="C48" i="59" l="1"/>
  <c r="M44" i="59"/>
  <c r="K22" i="27"/>
  <c r="F62" i="27" s="1"/>
  <c r="K24" i="27"/>
  <c r="T10" i="56" s="1"/>
  <c r="C32" i="59"/>
  <c r="C49" i="59"/>
  <c r="B73" i="59"/>
  <c r="D73" i="59" s="1"/>
  <c r="F73" i="59" l="1"/>
  <c r="M47" i="59"/>
  <c r="C77" i="59"/>
  <c r="C33" i="59"/>
  <c r="C34" i="59" s="1"/>
  <c r="C35" i="59" s="1"/>
  <c r="N43" i="59" l="1"/>
  <c r="N45" i="59"/>
  <c r="N44" i="59"/>
  <c r="G77" i="59"/>
  <c r="E77" i="59"/>
  <c r="C36" i="59" l="1"/>
  <c r="V12" i="56"/>
  <c r="F4" i="27" l="1"/>
  <c r="F5" i="27" s="1"/>
  <c r="F8" i="27"/>
  <c r="T17" i="56" l="1"/>
  <c r="D14" i="72"/>
  <c r="M37" i="72" s="1"/>
  <c r="M38" i="72" s="1"/>
  <c r="V20" i="27"/>
  <c r="P19" i="56"/>
  <c r="T19" i="56"/>
  <c r="K8" i="27"/>
  <c r="F60" i="27" s="1"/>
  <c r="AD24" i="56" s="1"/>
  <c r="K5" i="27"/>
  <c r="F48" i="27" s="1"/>
  <c r="AB18" i="27" l="1"/>
  <c r="Z20" i="27"/>
  <c r="W20" i="27"/>
  <c r="AC18" i="27"/>
  <c r="W18" i="27"/>
  <c r="Y20" i="27"/>
  <c r="V18" i="27"/>
  <c r="AA20" i="27"/>
  <c r="AC20" i="27"/>
  <c r="X18" i="27"/>
  <c r="U18" i="27"/>
  <c r="U21" i="27" s="1"/>
  <c r="Z18" i="27"/>
  <c r="F28" i="27" s="1"/>
  <c r="K69" i="27" s="1"/>
  <c r="AA18" i="27"/>
  <c r="U20" i="27"/>
  <c r="U19" i="27" s="1"/>
  <c r="AB20" i="27"/>
  <c r="X20" i="27"/>
  <c r="Y18" i="27"/>
  <c r="T20" i="27"/>
  <c r="T19" i="27" s="1"/>
  <c r="F11" i="27" s="1"/>
  <c r="T18" i="27"/>
  <c r="D8" i="33"/>
  <c r="D9" i="33"/>
  <c r="C12" i="31"/>
  <c r="C8" i="33" s="1"/>
  <c r="C13" i="31"/>
  <c r="C9" i="33" s="1"/>
  <c r="B13" i="31"/>
  <c r="B9" i="33" s="1"/>
  <c r="B12" i="31"/>
  <c r="B8" i="33" s="1"/>
  <c r="E8" i="30"/>
  <c r="D9" i="30"/>
  <c r="D8" i="30"/>
  <c r="F27" i="27" l="1"/>
  <c r="AA24" i="27"/>
  <c r="F9" i="27"/>
  <c r="V21" i="27"/>
  <c r="F16" i="27"/>
  <c r="K16" i="27" s="1"/>
  <c r="X21" i="27"/>
  <c r="S20" i="27"/>
  <c r="V23" i="27" s="1"/>
  <c r="K13" i="27"/>
  <c r="F47" i="27" s="1"/>
  <c r="W21" i="27"/>
  <c r="AC21" i="27"/>
  <c r="F26" i="27"/>
  <c r="AA21" i="27"/>
  <c r="G26" i="27" s="1"/>
  <c r="T21" i="27"/>
  <c r="P20" i="56" s="1"/>
  <c r="S18" i="27"/>
  <c r="Y21" i="27"/>
  <c r="Z21" i="27"/>
  <c r="AB21" i="27"/>
  <c r="G30" i="27" s="1"/>
  <c r="F9" i="32"/>
  <c r="J5" i="32" s="1"/>
  <c r="D11" i="32"/>
  <c r="J31" i="55" l="1"/>
  <c r="K31" i="55"/>
  <c r="K68" i="27"/>
  <c r="K26" i="27"/>
  <c r="H9" i="56"/>
  <c r="C41" i="59"/>
  <c r="H8" i="33"/>
  <c r="F25" i="27"/>
  <c r="H13" i="56"/>
  <c r="C55" i="59"/>
  <c r="T23" i="27"/>
  <c r="H39" i="72"/>
  <c r="H38" i="72" s="1"/>
  <c r="N4" i="72" s="1"/>
  <c r="C52" i="59"/>
  <c r="F29" i="27"/>
  <c r="F10" i="27"/>
  <c r="U23" i="27"/>
  <c r="X23" i="27"/>
  <c r="F67" i="27"/>
  <c r="W23" i="27"/>
  <c r="F35" i="27"/>
  <c r="G9" i="27"/>
  <c r="D9" i="32"/>
  <c r="G37" i="27" l="1"/>
  <c r="L48" i="27"/>
  <c r="I31" i="56"/>
  <c r="C50" i="59"/>
  <c r="Q31" i="56" s="1"/>
  <c r="O25" i="27"/>
  <c r="K25" i="27"/>
  <c r="C53" i="59" s="1"/>
  <c r="K61" i="27"/>
  <c r="AC25" i="56" s="1"/>
  <c r="K67" i="27"/>
  <c r="T20" i="56"/>
  <c r="D15" i="72"/>
  <c r="C56" i="59" l="1"/>
  <c r="D53" i="59"/>
  <c r="K31" i="56"/>
  <c r="J31" i="56"/>
  <c r="L31" i="56" s="1"/>
  <c r="AJ36" i="56"/>
  <c r="AG33" i="56"/>
  <c r="AF32" i="56"/>
  <c r="AH34" i="56"/>
  <c r="D16" i="72"/>
  <c r="D10" i="72"/>
  <c r="K47" i="27"/>
  <c r="K18" i="27"/>
  <c r="P17" i="56"/>
  <c r="F6" i="27"/>
  <c r="B1" i="33"/>
  <c r="B1" i="32"/>
  <c r="B1" i="31"/>
  <c r="B1" i="30"/>
  <c r="J5" i="72" l="1"/>
  <c r="D12" i="72"/>
  <c r="E12" i="72" s="1"/>
  <c r="O4" i="72"/>
  <c r="E15" i="72"/>
  <c r="F12" i="32"/>
  <c r="H6" i="55"/>
  <c r="I6" i="55" s="1"/>
  <c r="L6" i="55"/>
  <c r="M6" i="55" s="1"/>
  <c r="O6" i="55"/>
  <c r="P6" i="55"/>
  <c r="Q6" i="55"/>
  <c r="H7" i="55"/>
  <c r="I7" i="55" s="1"/>
  <c r="L7" i="55"/>
  <c r="M7" i="55"/>
  <c r="O7" i="55"/>
  <c r="Q7" i="55" s="1"/>
  <c r="P7" i="55"/>
  <c r="V7" i="55"/>
  <c r="H8" i="55"/>
  <c r="I8" i="55"/>
  <c r="L8" i="55"/>
  <c r="M8" i="55"/>
  <c r="O8" i="55"/>
  <c r="Q8" i="55" s="1"/>
  <c r="P8" i="55"/>
  <c r="V8" i="55"/>
  <c r="H9" i="55"/>
  <c r="I9" i="55"/>
  <c r="L9" i="55"/>
  <c r="M9" i="55" s="1"/>
  <c r="O9" i="55"/>
  <c r="P9" i="55"/>
  <c r="Q9" i="55"/>
  <c r="V9" i="55"/>
  <c r="H10" i="55"/>
  <c r="I10" i="55" s="1"/>
  <c r="L10" i="55"/>
  <c r="M10" i="55"/>
  <c r="O10" i="55"/>
  <c r="Q10" i="55" s="1"/>
  <c r="P10" i="55"/>
  <c r="V10" i="55"/>
  <c r="H11" i="55"/>
  <c r="I11" i="55" s="1"/>
  <c r="L11" i="55"/>
  <c r="M11" i="55"/>
  <c r="O11" i="55"/>
  <c r="Q11" i="55" s="1"/>
  <c r="P11" i="55"/>
  <c r="V11" i="55"/>
  <c r="H12" i="55"/>
  <c r="I12" i="55"/>
  <c r="L12" i="55"/>
  <c r="M12" i="55" s="1"/>
  <c r="O12" i="55"/>
  <c r="P12" i="55"/>
  <c r="Q12" i="55"/>
  <c r="V12" i="55"/>
  <c r="H13" i="55"/>
  <c r="I13" i="55" s="1"/>
  <c r="L13" i="55"/>
  <c r="M13" i="55"/>
  <c r="O13" i="55"/>
  <c r="Q13" i="55" s="1"/>
  <c r="P13" i="55"/>
  <c r="V13" i="55"/>
  <c r="H14" i="55"/>
  <c r="I14" i="55" s="1"/>
  <c r="L14" i="55"/>
  <c r="M14" i="55"/>
  <c r="O14" i="55"/>
  <c r="Q14" i="55" s="1"/>
  <c r="P14" i="55"/>
  <c r="V14" i="55"/>
  <c r="H15" i="55"/>
  <c r="I15" i="55"/>
  <c r="L15" i="55"/>
  <c r="M15" i="55" s="1"/>
  <c r="O15" i="55"/>
  <c r="P15" i="55"/>
  <c r="Q15" i="55"/>
  <c r="V15" i="55"/>
  <c r="H16" i="55"/>
  <c r="I16" i="55" s="1"/>
  <c r="L16" i="55"/>
  <c r="M16" i="55"/>
  <c r="O16" i="55"/>
  <c r="Q16" i="55" s="1"/>
  <c r="P16" i="55"/>
  <c r="V16" i="55"/>
  <c r="H17" i="55"/>
  <c r="I17" i="55" s="1"/>
  <c r="L17" i="55"/>
  <c r="M17" i="55"/>
  <c r="O17" i="55"/>
  <c r="Q17" i="55" s="1"/>
  <c r="P17" i="55"/>
  <c r="V17" i="55"/>
  <c r="H18" i="55"/>
  <c r="I18" i="55"/>
  <c r="L18" i="55"/>
  <c r="M18" i="55" s="1"/>
  <c r="O18" i="55"/>
  <c r="P18" i="55"/>
  <c r="Q18" i="55"/>
  <c r="V18" i="55"/>
  <c r="H19" i="55"/>
  <c r="I19" i="55" s="1"/>
  <c r="L19" i="55"/>
  <c r="M19" i="55"/>
  <c r="O19" i="55"/>
  <c r="Q19" i="55" s="1"/>
  <c r="P19" i="55"/>
  <c r="V19" i="55"/>
  <c r="H20" i="55"/>
  <c r="I20" i="55" s="1"/>
  <c r="L20" i="55"/>
  <c r="M20" i="55"/>
  <c r="O20" i="55"/>
  <c r="Q20" i="55" s="1"/>
  <c r="P20" i="55"/>
  <c r="V20" i="55"/>
  <c r="H21" i="55"/>
  <c r="I21" i="55"/>
  <c r="L21" i="55"/>
  <c r="M21" i="55" s="1"/>
  <c r="O21" i="55"/>
  <c r="P21" i="55"/>
  <c r="Q21" i="55"/>
  <c r="V21" i="55"/>
  <c r="H22" i="55"/>
  <c r="I22" i="55" s="1"/>
  <c r="L22" i="55"/>
  <c r="M22" i="55"/>
  <c r="O22" i="55"/>
  <c r="Q22" i="55" s="1"/>
  <c r="P22" i="55"/>
  <c r="V22" i="55"/>
  <c r="H23" i="55"/>
  <c r="I23" i="55" s="1"/>
  <c r="L23" i="55"/>
  <c r="M23" i="55"/>
  <c r="O23" i="55"/>
  <c r="Q23" i="55" s="1"/>
  <c r="P23" i="55"/>
  <c r="V23" i="55"/>
  <c r="H24" i="55"/>
  <c r="I24" i="55"/>
  <c r="L24" i="55"/>
  <c r="M24" i="55" s="1"/>
  <c r="O24" i="55"/>
  <c r="P24" i="55"/>
  <c r="Q24" i="55"/>
  <c r="V24" i="55"/>
  <c r="H30" i="55"/>
  <c r="L37" i="55"/>
  <c r="M37" i="55"/>
  <c r="L38" i="55"/>
  <c r="M38" i="55" s="1"/>
  <c r="J43" i="55"/>
  <c r="J44" i="55" s="1"/>
  <c r="C8" i="52"/>
  <c r="C4" i="27" s="1"/>
  <c r="B23" i="31" s="1"/>
  <c r="B17" i="56" s="1"/>
  <c r="C12" i="52"/>
  <c r="C8" i="27" s="1"/>
  <c r="B26" i="31" s="1"/>
  <c r="B19" i="56" s="1"/>
  <c r="C16" i="52"/>
  <c r="C32" i="52"/>
  <c r="AA9" i="52"/>
  <c r="C21" i="27" s="1"/>
  <c r="B17" i="31" s="1"/>
  <c r="B11" i="56" s="1"/>
  <c r="D7" i="51"/>
  <c r="C10" i="27" l="1"/>
  <c r="B25" i="31" s="1"/>
  <c r="B20" i="56"/>
  <c r="F11" i="32"/>
  <c r="F23" i="32"/>
  <c r="F13" i="32" l="1"/>
  <c r="F68" i="27" l="1"/>
  <c r="AI35" i="56" s="1"/>
  <c r="F14" i="32"/>
  <c r="D10" i="32"/>
  <c r="C9" i="32"/>
  <c r="B9" i="32"/>
  <c r="C10" i="32"/>
  <c r="C11" i="32" s="1"/>
  <c r="B10" i="32"/>
  <c r="B11" i="32" s="1"/>
  <c r="A8" i="32"/>
  <c r="F15" i="32" l="1"/>
  <c r="F16" i="32" l="1"/>
  <c r="F17" i="32"/>
  <c r="F18" i="32" l="1"/>
  <c r="F19" i="32" l="1"/>
  <c r="F20" i="32" l="1"/>
  <c r="F21" i="32" l="1"/>
  <c r="F22" i="32" l="1"/>
  <c r="F24" i="32" l="1"/>
  <c r="F26" i="32" l="1"/>
  <c r="F25" i="32"/>
  <c r="F28" i="32"/>
  <c r="F27" i="32"/>
  <c r="F29" i="32" l="1"/>
  <c r="B9" i="30" l="1"/>
  <c r="B8" i="30"/>
  <c r="K60" i="27"/>
  <c r="AB26" i="56" s="1"/>
  <c r="F7" i="27"/>
  <c r="K15" i="27" l="1"/>
  <c r="H12" i="56" s="1"/>
  <c r="T18" i="56"/>
  <c r="P18" i="56"/>
  <c r="K7" i="27"/>
  <c r="F49" i="27" s="1"/>
  <c r="F50" i="27" l="1"/>
  <c r="F36" i="27"/>
  <c r="H37" i="27" s="1"/>
  <c r="C37" i="59"/>
  <c r="C38" i="59" s="1"/>
  <c r="C78" i="59" s="1"/>
  <c r="B82" i="59" s="1"/>
  <c r="P2" i="56" l="1"/>
  <c r="F53" i="27"/>
  <c r="H28" i="56" s="1"/>
  <c r="F55" i="27"/>
  <c r="F56" i="27"/>
  <c r="F42" i="27"/>
  <c r="F43" i="27" s="1"/>
  <c r="C79" i="59"/>
  <c r="B74" i="59" s="1"/>
  <c r="G78" i="59"/>
  <c r="E78" i="59"/>
  <c r="B79" i="59" l="1"/>
  <c r="F74" i="59"/>
  <c r="D74" i="59"/>
  <c r="D80" i="59" s="1"/>
  <c r="F61" i="27"/>
  <c r="AE23" i="56" s="1"/>
  <c r="P65" i="27"/>
  <c r="F54" i="27" l="1"/>
  <c r="AA28" i="56" s="1"/>
  <c r="K49" i="27"/>
  <c r="F52" i="27" s="1"/>
  <c r="L47" i="27"/>
  <c r="D81" i="59"/>
  <c r="B80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tc={14A562DB-9860-4A35-92ED-A3E50EF62ED0}</author>
    <author>tc={8E12F3BA-96EE-4185-9B46-93376DAA3312}</author>
    <author>tc={507FE2CB-9652-4FC8-8F80-871AFD869706}</author>
  </authors>
  <commentList>
    <comment ref="G5" authorId="0" shapeId="0" xr:uid="{14A562DB-9860-4A35-92ED-A3E50EF62ED0}">
      <text>
        <t>[Threaded comment]
Your version of Excel allows you to read this threaded comment; however, any edits to it will get removed if the file is opened in a newer version of Excel. Learn more: https://go.microsoft.com/fwlink/?linkid=870924
Comment:
    DOE</t>
      </text>
    </comment>
    <comment ref="G7" authorId="1" shapeId="0" xr:uid="{8E12F3BA-96EE-4185-9B46-93376DAA3312}">
      <text>
        <t>[Threaded comment]
Your version of Excel allows you to read this threaded comment; however, any edits to it will get removed if the file is opened in a newer version of Excel. Learn more: https://go.microsoft.com/fwlink/?linkid=870924
Comment:
    1 ton of woodchip = 1.75 tons of bagasse</t>
      </text>
    </comment>
    <comment ref="G13" authorId="2" shapeId="0" xr:uid="{507FE2CB-9652-4FC8-8F80-871AFD869706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Katherine Foxton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tc={90B430D7-CA93-46D5-A7C8-4DB550423BB1}</author>
    <author>tc={18E18CA9-C16A-485D-9B96-F29F99E9537F}</author>
  </authors>
  <commentList>
    <comment ref="I4" authorId="0" shapeId="0" xr:uid="{90B430D7-CA93-46D5-A7C8-4DB550423BB1}">
      <text>
        <t>[Threaded comment]
Your version of Excel allows you to read this threaded comment; however, any edits to it will get removed if the file is opened in a newer version of Excel. Learn more: https://go.microsoft.com/fwlink/?linkid=870924
Comment:
    5.783 is amount of bagasse used in CHP. We then assume this is 85% of bagasse available with 15% sold on to other activities.</t>
      </text>
    </comment>
    <comment ref="R4" authorId="1" shapeId="0" xr:uid="{18E18CA9-C16A-485D-9B96-F29F99E9537F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Table 1 from grainSA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tc={8FA07B0D-A953-4D08-9DD2-FD45613A2D61}</author>
  </authors>
  <commentList>
    <comment ref="F8" authorId="0" shapeId="0" xr:uid="{8FA07B0D-A953-4D08-9DD2-FD45613A2D61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stakeholder input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D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E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  <author>tc={F94A4B74-9BCC-4003-98E1-2E9CFB40C9BC}</author>
    <author>tc={E1DFB83C-B9B3-443C-8577-77785E8A391A}</author>
    <author>tc={DB009820-224E-428E-A110-2AB0B4431818}</author>
    <author>tc={EF71EA6E-B494-4A40-BF07-F58C3F453F37}</author>
    <author>tc={56AEB810-1561-44DE-BD25-C395FFE4045A}</author>
    <author>tc={4973BB03-68C7-4CEB-A7E9-8E829469E9DE}</author>
  </authors>
  <commentList>
    <comment ref="G7" authorId="0" shapeId="0" xr:uid="{CEA09C23-CFA5-4A41-8AF2-C078A6DD1D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P10" authorId="1" shapeId="0" xr:uid="{F94A4B74-9BCC-4003-98E1-2E9CFB40C9BC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assuming 1 R/kWh obtained from sales to eskom.</t>
      </text>
    </comment>
    <comment ref="E11" authorId="2" shapeId="0" xr:uid="{E1DFB83C-B9B3-443C-8577-77785E8A391A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put commodity here when rest of power sector is included in model</t>
      </text>
    </comment>
    <comment ref="P13" authorId="3" shapeId="0" xr:uid="{DB009820-224E-428E-A110-2AB0B4431818}">
      <text>
        <t>[Threaded comment]
Your version of Excel allows you to read this threaded comment; however, any edits to it will get removed if the file is opened in a newer version of Excel. Learn more: https://go.microsoft.com/fwlink/?linkid=870924
Comment:
    $10/GJ</t>
      </text>
    </comment>
    <comment ref="P14" authorId="4" shapeId="0" xr:uid="{EF71EA6E-B494-4A40-BF07-F58C3F453F37}">
      <text>
        <t>[Threaded comment]
Your version of Excel allows you to read this threaded comment; however, any edits to it will get removed if the file is opened in a newer version of Excel. Learn more: https://go.microsoft.com/fwlink/?linkid=870924
Comment:
    $10/GJ</t>
      </text>
    </comment>
    <comment ref="P15" authorId="5" shapeId="0" xr:uid="{56AEB810-1561-44DE-BD25-C395FFE4045A}">
      <text>
        <t>[Threaded comment]
Your version of Excel allows you to read this threaded comment; however, any edits to it will get removed if the file is opened in a newer version of Excel. Learn more: https://go.microsoft.com/fwlink/?linkid=870924
Comment:
    $10/GJ</t>
      </text>
    </comment>
    <comment ref="Z28" authorId="6" shapeId="0" xr:uid="{4973BB03-68C7-4CEB-A7E9-8E829469E9DE}">
      <text>
        <t>[Threaded comment]
Your version of Excel allows you to read this threaded comment; however, any edits to it will get removed if the file is opened in a newer version of Excel. Learn more: https://go.microsoft.com/fwlink/?linkid=870924
Comment:
    full interpolation and extrapolation (bounds are by default not interpolated or extrapolated in TIMES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sharedStrings.xml><?xml version="1.0" encoding="utf-8"?>
<sst xmlns="http://schemas.openxmlformats.org/spreadsheetml/2006/main" count="1997" uniqueCount="1033">
  <si>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</si>
  <si>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</si>
  <si>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</si>
  <si>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</si>
  <si>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</si>
  <si>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</si>
  <si>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</si>
  <si>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</si>
  <si>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</si>
  <si>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</si>
  <si>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</si>
  <si>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</si>
  <si>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</si>
  <si>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</si>
  <si>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</si>
  <si>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</si>
  <si>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</si>
  <si>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</si>
  <si>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</si>
  <si>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</si>
  <si>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</si>
  <si>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</si>
  <si>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</si>
  <si>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</si>
  <si>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</si>
  <si>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</si>
  <si>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</si>
  <si>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</si>
  <si>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</si>
  <si>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</si>
  <si>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</si>
  <si>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</si>
  <si>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</si>
  <si>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</si>
  <si>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</si>
  <si>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</si>
  <si>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</si>
  <si>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</si>
  <si>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</si>
  <si>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</si>
  <si>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</si>
  <si>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</si>
  <si>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</si>
  <si>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</si>
  <si>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</si>
  <si>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</si>
  <si>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</si>
  <si>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</si>
  <si>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</si>
  <si>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</si>
  <si>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</si>
  <si>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</si>
  <si>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</si>
  <si>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</si>
  <si>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</si>
  <si>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</si>
  <si>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</si>
  <si>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</si>
  <si>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</si>
  <si>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</si>
  <si>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</si>
  <si>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</si>
  <si>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</si>
  <si>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</si>
  <si>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</si>
  <si>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</si>
  <si>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</si>
  <si>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</si>
  <si>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</si>
  <si>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</si>
  <si>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</si>
  <si>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</si>
  <si>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</si>
  <si>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</si>
  <si>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</si>
  <si>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</si>
  <si>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</si>
  <si>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</si>
  <si>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</si>
  <si>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</si>
  <si>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</si>
  <si>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</si>
  <si>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</si>
  <si>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</si>
  <si>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</si>
  <si>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</si>
  <si>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</si>
  <si>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</si>
  <si>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</si>
  <si>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</si>
  <si>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</si>
  <si>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</si>
  <si>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</si>
  <si>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</si>
  <si>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</si>
  <si>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</si>
  <si>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</si>
  <si>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</si>
  <si>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</si>
  <si>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</si>
  <si>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</si>
  <si>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</si>
  <si>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</si>
  <si>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</si>
  <si>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</si>
  <si>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</si>
  <si>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</si>
  <si>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</si>
  <si>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</si>
  <si>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</si>
  <si>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</si>
  <si>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</si>
  <si>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</si>
  <si>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</si>
  <si>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</si>
  <si>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* Sectoral commodities</t>
  </si>
  <si>
    <t>* Emissions</t>
  </si>
  <si>
    <t>PJ</t>
  </si>
  <si>
    <t>%</t>
  </si>
  <si>
    <t>Total</t>
  </si>
  <si>
    <t>COM,NRG,DAYNITE,ELC</t>
  </si>
  <si>
    <t>COM,NRG,SEASON,LTHEAT</t>
  </si>
  <si>
    <t>COM,NRG,ANNUAL,FOSSIL</t>
  </si>
  <si>
    <t>COM,NRG,ANNUAL,LIMRENEW</t>
  </si>
  <si>
    <t>KT</t>
  </si>
  <si>
    <t>COM,ENV,ANNUAL,GHG</t>
  </si>
  <si>
    <t>PJ,PJa</t>
  </si>
  <si>
    <t>PRC_CAPACT</t>
  </si>
  <si>
    <t>ACT_COST</t>
  </si>
  <si>
    <t>ACT_EFF</t>
  </si>
  <si>
    <t>ANNUAL</t>
  </si>
  <si>
    <t>NCAP_CHPR-FX</t>
  </si>
  <si>
    <t>NCAP_CEH</t>
  </si>
  <si>
    <t>ELC</t>
  </si>
  <si>
    <t>Electricity</t>
  </si>
  <si>
    <t>MW</t>
  </si>
  <si>
    <t>I</t>
  </si>
  <si>
    <t xml:space="preserve">Not included in gen calculations since these actually exhaust at a different pressure </t>
  </si>
  <si>
    <t>Column1</t>
  </si>
  <si>
    <t>t_AddGen-max</t>
  </si>
  <si>
    <t>t_AddGen-min</t>
  </si>
  <si>
    <t>GenPt_UB</t>
  </si>
  <si>
    <t>GenPt_LB</t>
  </si>
  <si>
    <t>GenPt_TACap</t>
  </si>
  <si>
    <t>GenPt_LD-min</t>
  </si>
  <si>
    <t>GenPt_LD-ave</t>
  </si>
  <si>
    <t>spF_TA5-steam</t>
  </si>
  <si>
    <t>spF_TA4-steam</t>
  </si>
  <si>
    <t>spF_TA3-steam</t>
  </si>
  <si>
    <t>spF_TA2-steam</t>
  </si>
  <si>
    <t>spF_TA1-steam</t>
  </si>
  <si>
    <t>spH_TAex-Isen</t>
  </si>
  <si>
    <t>spH_B1</t>
  </si>
  <si>
    <t>S_Blr-TA</t>
  </si>
  <si>
    <t>P_Ex-topping</t>
  </si>
  <si>
    <t>P_Ex</t>
  </si>
  <si>
    <t>F_letdown-min</t>
  </si>
  <si>
    <t>F_Letdown-ave</t>
  </si>
  <si>
    <t>time_Blr-maint</t>
  </si>
  <si>
    <t>time_Blr-use</t>
  </si>
  <si>
    <t>P_Elec-peak</t>
  </si>
  <si>
    <t>η_TA5-isentr</t>
  </si>
  <si>
    <t>η_TA4-isentr</t>
  </si>
  <si>
    <t>η_TA3-isentr</t>
  </si>
  <si>
    <t>η_TA2-isentr</t>
  </si>
  <si>
    <t>η_TA1-isentr</t>
  </si>
  <si>
    <t>PC_TA-tot</t>
  </si>
  <si>
    <t>η_Elec_steam</t>
  </si>
  <si>
    <t>Year</t>
  </si>
  <si>
    <t>Anon key</t>
  </si>
  <si>
    <t>t/h.MW</t>
  </si>
  <si>
    <t>MJ/t</t>
  </si>
  <si>
    <t>MJ/tºC</t>
  </si>
  <si>
    <t>bar(g)</t>
  </si>
  <si>
    <t>t/h</t>
  </si>
  <si>
    <t>d</t>
  </si>
  <si>
    <t>Additional power generation time- minimal investment (max)</t>
  </si>
  <si>
    <t>Additional power generation time - minimal investment (min)</t>
  </si>
  <si>
    <t>upper bound Status quo additional gen capacity</t>
  </si>
  <si>
    <t>lower bound Status quo additional gen capacity</t>
  </si>
  <si>
    <t>Gen capacity from TA installed capacity</t>
  </si>
  <si>
    <t>Gen capacity from min letdown</t>
  </si>
  <si>
    <t>Gen Capacity from average letdown</t>
  </si>
  <si>
    <t>TA 5 specific steam consumption</t>
  </si>
  <si>
    <t>TA 4 specific steam consumption</t>
  </si>
  <si>
    <t>TA 3 specific steam consumption</t>
  </si>
  <si>
    <t>TA 2 specific steam consumption</t>
  </si>
  <si>
    <t>TA 1 specific steam consumption</t>
  </si>
  <si>
    <t>Isentropic enthalpy of TA exhaust steam (theoretical)</t>
  </si>
  <si>
    <t>Boiler 1 specific enthalpy</t>
  </si>
  <si>
    <t>Entropy of boiler steam supplying TAs</t>
  </si>
  <si>
    <t>Pressure that topping turbo alternators exhaust to</t>
  </si>
  <si>
    <t>Pressure that turbo alternators exhaust to</t>
  </si>
  <si>
    <t>Minimum let down steam flow for non-upset conditions</t>
  </si>
  <si>
    <t>Average mass flow of steam let down from high pressure to exhaust range without passing through a turbine</t>
  </si>
  <si>
    <t>Boilers - minimum downtime days for annual maintenance</t>
  </si>
  <si>
    <t>Boilers - number of days in use for factory operations</t>
  </si>
  <si>
    <t>Maximum electrical power demand during non-upset operation of the mill</t>
  </si>
  <si>
    <t>Isentropic efficiency of TA5</t>
  </si>
  <si>
    <t>Isentropic efficiency of TA4</t>
  </si>
  <si>
    <t>Isentropic efficiency of TA3</t>
  </si>
  <si>
    <t>Isentropic efficiency of TA2</t>
  </si>
  <si>
    <t>Isentropic efficiency of TA1</t>
  </si>
  <si>
    <t>Total capacity of TAs</t>
  </si>
  <si>
    <t>Portion of energy extracted from steam converted to power</t>
  </si>
  <si>
    <t>Calculated time variable</t>
  </si>
  <si>
    <t>Calculated energy variable</t>
  </si>
  <si>
    <t>Calculated cost variable</t>
  </si>
  <si>
    <t>Mill data</t>
  </si>
  <si>
    <t>x_TA-5</t>
  </si>
  <si>
    <t>x_TA-4</t>
  </si>
  <si>
    <t>x_TA-3</t>
  </si>
  <si>
    <t>x_TA-2</t>
  </si>
  <si>
    <t>x_TA-1</t>
  </si>
  <si>
    <t>HC_blr-tot</t>
  </si>
  <si>
    <t>FC_B-tot</t>
  </si>
  <si>
    <t>Fuel_BUGen2</t>
  </si>
  <si>
    <t>Pwr_BUGen2</t>
  </si>
  <si>
    <t>Fuel_BUGen1</t>
  </si>
  <si>
    <t>Pwr_BUGen1</t>
  </si>
  <si>
    <t>Y_TA5</t>
  </si>
  <si>
    <t>Pwr_TA5</t>
  </si>
  <si>
    <t>Y_TA4</t>
  </si>
  <si>
    <t>Pwr_TA4</t>
  </si>
  <si>
    <t>Y_TA3</t>
  </si>
  <si>
    <t>Pwr_TA3</t>
  </si>
  <si>
    <t>Y_TA2</t>
  </si>
  <si>
    <t>Pwr_T2</t>
  </si>
  <si>
    <t>Y_TA1</t>
  </si>
  <si>
    <t>Pwr_TA1</t>
  </si>
  <si>
    <t>η_Blr-ave</t>
  </si>
  <si>
    <t>Y_B5</t>
  </si>
  <si>
    <t>PC_B5</t>
  </si>
  <si>
    <t>TC_B5</t>
  </si>
  <si>
    <t>FC_B5</t>
  </si>
  <si>
    <t>Y_B4</t>
  </si>
  <si>
    <t>PC_B4</t>
  </si>
  <si>
    <t>TC_B4</t>
  </si>
  <si>
    <t>FC_B4</t>
  </si>
  <si>
    <t>Y_B3</t>
  </si>
  <si>
    <t>PC_B3</t>
  </si>
  <si>
    <t>TC_B3</t>
  </si>
  <si>
    <t>FC_B3</t>
  </si>
  <si>
    <t>Y_B2</t>
  </si>
  <si>
    <t>PC_B2</t>
  </si>
  <si>
    <t>TC_B2</t>
  </si>
  <si>
    <t>FC_B2</t>
  </si>
  <si>
    <t>Y_B1</t>
  </si>
  <si>
    <t>PC_B1</t>
  </si>
  <si>
    <t>TC_B1</t>
  </si>
  <si>
    <t>FC_B1</t>
  </si>
  <si>
    <t>on/off</t>
  </si>
  <si>
    <t>kW</t>
  </si>
  <si>
    <t>ºC</t>
  </si>
  <si>
    <t>year</t>
  </si>
  <si>
    <t>Include Tas in total capacity - switch</t>
  </si>
  <si>
    <t>Net energy in boiler steam</t>
  </si>
  <si>
    <t>Total boiler steam flow capacity</t>
  </si>
  <si>
    <t>Fuel type - generator 2</t>
  </si>
  <si>
    <t>Rated capacity of back up generator 2 (kW)</t>
  </si>
  <si>
    <t>Fuel type - generator 1</t>
  </si>
  <si>
    <t>Rated capacity of back up generator 1 (kW)</t>
  </si>
  <si>
    <t>Year in which the TA was commissioned</t>
  </si>
  <si>
    <t>Rated capacity of TA 5</t>
  </si>
  <si>
    <t>Rated capacity of TA 4</t>
  </si>
  <si>
    <t>Rated capacity of TA 3</t>
  </si>
  <si>
    <t>Rated capacity of TA 2</t>
  </si>
  <si>
    <t>Rated capacity of TA 1</t>
  </si>
  <si>
    <t>Available energy in fuel (on NCV) transferred to steam</t>
  </si>
  <si>
    <t>Date in which the boiler was commissioned</t>
  </si>
  <si>
    <t>Boiler 5 name plate steam pressure</t>
  </si>
  <si>
    <t>Boiler 5 name plate steam temperature</t>
  </si>
  <si>
    <t>Boiler 5 Total steam MCR</t>
  </si>
  <si>
    <t>Boiler 4 name plate steam pressure</t>
  </si>
  <si>
    <t>Boiler 4 name plate steam temperature</t>
  </si>
  <si>
    <t>Boiler 4 Total steam MCR</t>
  </si>
  <si>
    <t>Boiler 3 name plate steam pressure</t>
  </si>
  <si>
    <t>Boiler 3 name plate steam temperature</t>
  </si>
  <si>
    <t>Boiler 3 Total steam MCR</t>
  </si>
  <si>
    <t>Boiler 2 name plate steam pressure</t>
  </si>
  <si>
    <t>Boiler 2 name plate steam temperature</t>
  </si>
  <si>
    <t>Boiler 2 Total steam MCR</t>
  </si>
  <si>
    <t>Boiler 1 name plate  steam pressure</t>
  </si>
  <si>
    <t>Boiler 1 name plate steam temperature</t>
  </si>
  <si>
    <t>Boiler 1 Total steam MCR</t>
  </si>
  <si>
    <t>R/GJ</t>
  </si>
  <si>
    <t>R/ton</t>
  </si>
  <si>
    <t>η_Blr-calc</t>
  </si>
  <si>
    <t>t_AddGen</t>
  </si>
  <si>
    <t>spC_Heat-maint</t>
  </si>
  <si>
    <t>spC_Heat-labour&amp;supplies</t>
  </si>
  <si>
    <t>spC_Power-maint</t>
  </si>
  <si>
    <t>spC_Power-labour&amp;supplies</t>
  </si>
  <si>
    <t>C_Heat-maint</t>
  </si>
  <si>
    <t>C_Heat-labour&amp;supplies</t>
  </si>
  <si>
    <t>C_Power-maint</t>
  </si>
  <si>
    <t>C_Power-labour&amp;supplies</t>
  </si>
  <si>
    <t>r_Pgen-steam</t>
  </si>
  <si>
    <t>spC_Boilers-maint</t>
  </si>
  <si>
    <t>spC_Boilers-labour&amp;supplies</t>
  </si>
  <si>
    <t>spC_TAs-maint</t>
  </si>
  <si>
    <t>spC_TAs-labour&amp;supplies</t>
  </si>
  <si>
    <t>spC_Bag</t>
  </si>
  <si>
    <t>spH_Elec-cane</t>
  </si>
  <si>
    <t>spH_heat-cane</t>
  </si>
  <si>
    <t>H_heat-net</t>
  </si>
  <si>
    <t>H_blr-net</t>
  </si>
  <si>
    <t>spH_Blr-ave</t>
  </si>
  <si>
    <t>H_B-tot</t>
  </si>
  <si>
    <t>M_B-tot</t>
  </si>
  <si>
    <t>spH_B5</t>
  </si>
  <si>
    <t>spH_B4</t>
  </si>
  <si>
    <t>spH_B3</t>
  </si>
  <si>
    <t>spH_B2</t>
  </si>
  <si>
    <t>SpC_Biomass-imp</t>
  </si>
  <si>
    <t>spC_Elec-imp</t>
  </si>
  <si>
    <t>spC_Coal</t>
  </si>
  <si>
    <t>C_FrontEnd-maint</t>
  </si>
  <si>
    <t>C_FrontEnd-labour&amp;supplies</t>
  </si>
  <si>
    <t>C_TAs-maint</t>
  </si>
  <si>
    <t>C_TAs-labour&amp;supplies</t>
  </si>
  <si>
    <t>C_Boiler-maint</t>
  </si>
  <si>
    <t>C_Boiler-labour&amp;supplies</t>
  </si>
  <si>
    <t>C_Bagasse-handling</t>
  </si>
  <si>
    <t>C_Cane</t>
  </si>
  <si>
    <t>E_Elec-ownuse</t>
  </si>
  <si>
    <t>E_Elec-gen</t>
  </si>
  <si>
    <t>P_B5</t>
  </si>
  <si>
    <t>T_B5</t>
  </si>
  <si>
    <t>M_B5</t>
  </si>
  <si>
    <t>P_B4</t>
  </si>
  <si>
    <t>T_B4</t>
  </si>
  <si>
    <t>M_B4</t>
  </si>
  <si>
    <t>P_B3</t>
  </si>
  <si>
    <t>T_B3</t>
  </si>
  <si>
    <t>M_B3</t>
  </si>
  <si>
    <t>P_B2</t>
  </si>
  <si>
    <t>T_B2</t>
  </si>
  <si>
    <t>M_B2</t>
  </si>
  <si>
    <t>P_B1</t>
  </si>
  <si>
    <t>T_B1</t>
  </si>
  <si>
    <t>M_B1</t>
  </si>
  <si>
    <t>C_Biomass-imp</t>
  </si>
  <si>
    <t>C_Elec-imp</t>
  </si>
  <si>
    <t>C_Coal-imp</t>
  </si>
  <si>
    <t>M_Biomass-imp</t>
  </si>
  <si>
    <t>E_Elec-imp</t>
  </si>
  <si>
    <t>M_Coal-imp</t>
  </si>
  <si>
    <t>M_Bx-MJ</t>
  </si>
  <si>
    <t>M_Bagasse</t>
  </si>
  <si>
    <t>M_Cane</t>
  </si>
  <si>
    <t>OTE</t>
  </si>
  <si>
    <t>Season length</t>
  </si>
  <si>
    <t>R/MJ</t>
  </si>
  <si>
    <t>R/MWh</t>
  </si>
  <si>
    <t>R/y</t>
  </si>
  <si>
    <t>MJ/MJ</t>
  </si>
  <si>
    <t>R/t bagasse</t>
  </si>
  <si>
    <t>MJ/tcane</t>
  </si>
  <si>
    <t>MJ/y</t>
  </si>
  <si>
    <t>t/y</t>
  </si>
  <si>
    <t>R/t</t>
  </si>
  <si>
    <t>MJ/MJ%</t>
  </si>
  <si>
    <t>MWh/y</t>
  </si>
  <si>
    <t>t/year</t>
  </si>
  <si>
    <t>MWh</t>
  </si>
  <si>
    <t>t Bx in MJ/y</t>
  </si>
  <si>
    <t>days</t>
  </si>
  <si>
    <t>Overall boiler efficiency calculated from fuel consumption</t>
  </si>
  <si>
    <t>Additional generation time</t>
  </si>
  <si>
    <t>Specific maintenance costs of generating steam for heating and motive power</t>
  </si>
  <si>
    <t>Specific var costs (labour and operating supplies) of generating steam for heating and motive power</t>
  </si>
  <si>
    <t>Specific maintenance costs of generating power</t>
  </si>
  <si>
    <t>Specific var costs (labour and operating supplies) of generating power</t>
  </si>
  <si>
    <t>Total maintenance costs of generating steam for heating and motive power</t>
  </si>
  <si>
    <t>Total var costs (labour and operating supplies) of generating steam for heating and motive power</t>
  </si>
  <si>
    <t>Total maintenance costs of generating power</t>
  </si>
  <si>
    <t>Total var costs (labour and operating supplies) of generating power</t>
  </si>
  <si>
    <t>Ratio of energy in power gen to net energy in  steam</t>
  </si>
  <si>
    <t>Specific maintenance costs of generating steam of operating boilers</t>
  </si>
  <si>
    <t>Specific var costs (labour and operating supplies) of operating boilers</t>
  </si>
  <si>
    <t>Specific maintenance costs of operating TAs</t>
  </si>
  <si>
    <t>Specific var costs (labour and operating supplies) of operating TAs</t>
  </si>
  <si>
    <t>Bagasse handling price</t>
  </si>
  <si>
    <t>Specific Electric power consumption</t>
  </si>
  <si>
    <t>Specific heat energy consumption</t>
  </si>
  <si>
    <t>Total heating energy generated</t>
  </si>
  <si>
    <t>Average boiler steam specific enthalpy</t>
  </si>
  <si>
    <t>Total boiler steam enthalpy</t>
  </si>
  <si>
    <t>Total boiler steam flow</t>
  </si>
  <si>
    <t>Boiler 5 specific enthalpy</t>
  </si>
  <si>
    <t>Boiler 4 specific enthalpy</t>
  </si>
  <si>
    <t>Boiler 3 specific enthalpy</t>
  </si>
  <si>
    <t>Boiler 2 specific enthalpy</t>
  </si>
  <si>
    <t>Average specific cost of other biomass</t>
  </si>
  <si>
    <t>Average specific cost of imported power</t>
  </si>
  <si>
    <t>Average specific cost of coal</t>
  </si>
  <si>
    <t>Fixed maintenance cost for maintenance of front end equipment (cane preparation and extraction)</t>
  </si>
  <si>
    <t>Operating supplies and labour associated with cane preparation and extraction</t>
  </si>
  <si>
    <t>Fixed maintenance cost for maintenance of the power generation equipment (TAs, governors, other equipment associated with the generated power, but not transformers etc. for mill  requirements)</t>
  </si>
  <si>
    <t>Operating supplies and labour associated with power generation</t>
  </si>
  <si>
    <t>Fixed maintenance cost for maintenance of steam supply system, i.e. boiler, desuperheaters, feedwater pumps, let down valve etc.</t>
  </si>
  <si>
    <t>operating supplies and labour associated with steam generation</t>
  </si>
  <si>
    <t>Cost of handling bagasse (storage, transport, associated labour)</t>
  </si>
  <si>
    <t>Total payments for sugarcane in a year</t>
  </si>
  <si>
    <t>The electrical power generated (in MJ) per MJ of energy subtracted from steam (not the isentropic efficiency)</t>
  </si>
  <si>
    <t>Total power consumed by established factory processes</t>
  </si>
  <si>
    <t xml:space="preserve">Total power generated from steam </t>
  </si>
  <si>
    <t>Boiler 5 Normal operating steam pressure</t>
  </si>
  <si>
    <t>Boiler 5 Normal operating steam temperature</t>
  </si>
  <si>
    <t>Boiler 5 Total steam produced</t>
  </si>
  <si>
    <t>Boiler 4 Normal operating steam pressure</t>
  </si>
  <si>
    <t>Boiler 4 Normal operating steam temperature</t>
  </si>
  <si>
    <t>Boiler 4 Total steam produced</t>
  </si>
  <si>
    <t>Boiler 3 Normal operating steam pressure</t>
  </si>
  <si>
    <t>Boiler 3 Normal operating steam temperature</t>
  </si>
  <si>
    <t>Boiler 3 Total steam produced</t>
  </si>
  <si>
    <t>Boiler 2 Normal operating steam pressure</t>
  </si>
  <si>
    <t>Boiler 2 Normal operating steam temperature</t>
  </si>
  <si>
    <t>Boiler 2 Total steam produced</t>
  </si>
  <si>
    <t>Boiler 1 Normal operating steam pressure</t>
  </si>
  <si>
    <t>Boiler 1 Normal operating steam temperature</t>
  </si>
  <si>
    <t>Boiler 1 Total steam produced</t>
  </si>
  <si>
    <t>Total cost of imported biomass per year</t>
  </si>
  <si>
    <t>Total cost of imported power per year</t>
  </si>
  <si>
    <t>Total cost of landed coal per year</t>
  </si>
  <si>
    <t>Wood chips, bark, other biomass fuel imported for steam/power generation</t>
  </si>
  <si>
    <t>Total power imports in each year</t>
  </si>
  <si>
    <t>Total coal imported by factory in each year</t>
  </si>
  <si>
    <t>Total amount of mixed juice generated in this factory in each year</t>
  </si>
  <si>
    <t>total bagasse produced available for energy and not used for other purposes</t>
  </si>
  <si>
    <t>Total tonnage of sugarcane processed in this factory in each year</t>
  </si>
  <si>
    <t>Overall time efficiency</t>
  </si>
  <si>
    <t>Length of the crushing season</t>
  </si>
  <si>
    <t>Bagasse enthalpy</t>
  </si>
  <si>
    <t>Wood chips enthalpy</t>
  </si>
  <si>
    <t>Coal enthalpy</t>
  </si>
  <si>
    <t>MJ/kWh</t>
  </si>
  <si>
    <t>Convert kWh --&gt; MJ multiply by</t>
  </si>
  <si>
    <t>MJ/MWh</t>
  </si>
  <si>
    <t>Convert MWh --&gt; MJ multiply by</t>
  </si>
  <si>
    <t>Reference Enthalpy (condensate)</t>
  </si>
  <si>
    <t>units</t>
  </si>
  <si>
    <t>Property</t>
  </si>
  <si>
    <t>UBSCBIE2</t>
  </si>
  <si>
    <t>Whole cane ethanol plant</t>
  </si>
  <si>
    <t>This would include bagasse as input</t>
  </si>
  <si>
    <t>Check virtual sugar refinery not the 2-stage dilute process, rather use SSCF (simultaneous saccarification and co-fermentation) - get mass yield from Harro</t>
  </si>
  <si>
    <t>New Ethanol 2nd Gen.</t>
  </si>
  <si>
    <t>ESTUTL</t>
  </si>
  <si>
    <t>New Elc Storage Plants</t>
  </si>
  <si>
    <t>ETRANS</t>
  </si>
  <si>
    <t>Transmission</t>
  </si>
  <si>
    <t>ERWND</t>
  </si>
  <si>
    <t>New Wind Plants</t>
  </si>
  <si>
    <t>ERSOLPV</t>
  </si>
  <si>
    <t>New Solar Plants</t>
  </si>
  <si>
    <t>Export to Grid from Sugar</t>
  </si>
  <si>
    <t>ETGAS</t>
  </si>
  <si>
    <t>New Gas Plants</t>
  </si>
  <si>
    <t>ETCLE</t>
  </si>
  <si>
    <t>Existing Coal Plants</t>
  </si>
  <si>
    <t>EELCDEM</t>
  </si>
  <si>
    <t>Electricity from Eskom</t>
  </si>
  <si>
    <t>Electricity Demand</t>
  </si>
  <si>
    <t>ERBIG</t>
  </si>
  <si>
    <t>UBSCBIG</t>
  </si>
  <si>
    <t>UBSCBIE1</t>
  </si>
  <si>
    <t>incl. CMP</t>
  </si>
  <si>
    <t>UBSCSUG</t>
  </si>
  <si>
    <t>Eskom Coal</t>
  </si>
  <si>
    <t>ISICHPNC</t>
  </si>
  <si>
    <t>With Condenser</t>
  </si>
  <si>
    <t>New CHP Plant</t>
  </si>
  <si>
    <t>Natural Gas</t>
  </si>
  <si>
    <t>ISICHPEX</t>
  </si>
  <si>
    <t>Existing CHP Plant</t>
  </si>
  <si>
    <t>XTRAOGS</t>
  </si>
  <si>
    <t>Ethanol to Local Market</t>
  </si>
  <si>
    <t>PEXSUG</t>
  </si>
  <si>
    <t>Sugar to Export Market</t>
  </si>
  <si>
    <t>ISIMIL</t>
  </si>
  <si>
    <t>Industry Coal</t>
  </si>
  <si>
    <t>SUGDEM</t>
  </si>
  <si>
    <t>Sugar to Local Market</t>
  </si>
  <si>
    <t>Existing Milling Plant</t>
  </si>
  <si>
    <t>Sugar</t>
  </si>
  <si>
    <t>Ethanol</t>
  </si>
  <si>
    <t>Conversion L2</t>
  </si>
  <si>
    <t>Electricity Bulk</t>
  </si>
  <si>
    <t>Sugar Industry Electricity</t>
  </si>
  <si>
    <t>Biogas</t>
  </si>
  <si>
    <t>Bagasse</t>
  </si>
  <si>
    <t>Conversion L1</t>
  </si>
  <si>
    <t>Cane Tops</t>
  </si>
  <si>
    <t>Supply</t>
  </si>
  <si>
    <t>ELCDEM</t>
  </si>
  <si>
    <t>ISISUG</t>
  </si>
  <si>
    <t>BIE</t>
  </si>
  <si>
    <t>ISIHET</t>
  </si>
  <si>
    <t>ELCC</t>
  </si>
  <si>
    <t>ISIELC</t>
  </si>
  <si>
    <t>BIG</t>
  </si>
  <si>
    <t>PWRCLE</t>
  </si>
  <si>
    <t>PWRGAS</t>
  </si>
  <si>
    <t>BSC</t>
  </si>
  <si>
    <t>INDCOA</t>
  </si>
  <si>
    <t>Final Commodities</t>
  </si>
  <si>
    <t>Secondary Commodities</t>
  </si>
  <si>
    <t>Primary Commodities</t>
  </si>
  <si>
    <t>mR</t>
  </si>
  <si>
    <t>Test Model</t>
  </si>
  <si>
    <t>Build Blank Model in ANSWER</t>
  </si>
  <si>
    <t>done</t>
  </si>
  <si>
    <t>Name Processes</t>
  </si>
  <si>
    <t>Name Commodities</t>
  </si>
  <si>
    <t>Oil cost</t>
  </si>
  <si>
    <t>1 barrel of oil = 5113 MJ</t>
  </si>
  <si>
    <t>Sugarcane cst</t>
  </si>
  <si>
    <t>1 tonne of cane = R475</t>
  </si>
  <si>
    <t xml:space="preserve">independly. The notional price is a weighted average of brown and refined, and excludes rebates. </t>
  </si>
  <si>
    <t xml:space="preserve">market price. SASA does not have nor track the market price. Each miller determines this </t>
  </si>
  <si>
    <t xml:space="preserve">the RV price payable to growers in line with clause 160 of the SIA. It is not the </t>
  </si>
  <si>
    <t>* Please note that the Notional Price is used only for the purposes of calculating</t>
  </si>
  <si>
    <t>2018/2019</t>
  </si>
  <si>
    <t xml:space="preserve"> 2018-19</t>
  </si>
  <si>
    <t>2017/2018</t>
  </si>
  <si>
    <t xml:space="preserve"> 2017-18</t>
  </si>
  <si>
    <t>2016/2017</t>
  </si>
  <si>
    <t xml:space="preserve"> 2016-17</t>
  </si>
  <si>
    <t>2015/2016</t>
  </si>
  <si>
    <t xml:space="preserve"> 2015-16</t>
  </si>
  <si>
    <t>2014/2015</t>
  </si>
  <si>
    <t xml:space="preserve"> 2014-15</t>
  </si>
  <si>
    <t>2013/2014</t>
  </si>
  <si>
    <t xml:space="preserve"> 2013-14</t>
  </si>
  <si>
    <t>2012/2013</t>
  </si>
  <si>
    <t xml:space="preserve"> 2012-13</t>
  </si>
  <si>
    <t>2011/2012</t>
  </si>
  <si>
    <t xml:space="preserve"> 2011-12</t>
  </si>
  <si>
    <t>2010/2011</t>
  </si>
  <si>
    <t xml:space="preserve"> 2010-11</t>
  </si>
  <si>
    <t>2009/2010</t>
  </si>
  <si>
    <t xml:space="preserve"> 2009-10</t>
  </si>
  <si>
    <t>2008/2009</t>
  </si>
  <si>
    <t>2008-09</t>
  </si>
  <si>
    <t>2007/2008</t>
  </si>
  <si>
    <t>2007-08</t>
  </si>
  <si>
    <t>2006/2007</t>
  </si>
  <si>
    <t>2006-07</t>
  </si>
  <si>
    <t>2005/2006</t>
  </si>
  <si>
    <t>2005-06</t>
  </si>
  <si>
    <t>2004/2005</t>
  </si>
  <si>
    <t>2004-05</t>
  </si>
  <si>
    <t>2003/2004</t>
  </si>
  <si>
    <t>2003-04</t>
  </si>
  <si>
    <t>2002/2003</t>
  </si>
  <si>
    <t>2002-03</t>
  </si>
  <si>
    <t>2001/2002</t>
  </si>
  <si>
    <t>2001-02</t>
  </si>
  <si>
    <t>tonnes</t>
  </si>
  <si>
    <t>t/ha</t>
  </si>
  <si>
    <t>ha</t>
  </si>
  <si>
    <t>Units&gt;&gt;&gt;&gt;&gt;&gt;</t>
  </si>
  <si>
    <t>2000-01</t>
  </si>
  <si>
    <t>Yields per hectare of harvested cane</t>
  </si>
  <si>
    <t>Land harvested for milling</t>
  </si>
  <si>
    <t>Land under sugarcane</t>
  </si>
  <si>
    <t>Period</t>
  </si>
  <si>
    <t>Export Revenue</t>
  </si>
  <si>
    <t>Local Revenue</t>
  </si>
  <si>
    <t>Export price as a % of local notional price</t>
  </si>
  <si>
    <t>Difference between Local notional price</t>
  </si>
  <si>
    <t>Average export price</t>
  </si>
  <si>
    <t xml:space="preserve">Average local Notional price* </t>
  </si>
  <si>
    <t>Exports</t>
  </si>
  <si>
    <t>Total Revenue (R '000)</t>
  </si>
  <si>
    <t>Local Market Demand Est.</t>
  </si>
  <si>
    <t>Sugar Production</t>
  </si>
  <si>
    <t>Area Under Cane</t>
  </si>
  <si>
    <t>Saleable sugar sold to the international market</t>
  </si>
  <si>
    <t>Saleable sugar sold locally</t>
  </si>
  <si>
    <t>Saleable sugar produced</t>
  </si>
  <si>
    <t>Sugar cane crushed</t>
  </si>
  <si>
    <t>SASA Representative to provide data</t>
  </si>
  <si>
    <t>REGION1</t>
  </si>
  <si>
    <t>COM,NRG,SEASON,LIMRENEW</t>
  </si>
  <si>
    <t>COM,DEM,DAYNITE,OTH</t>
  </si>
  <si>
    <t>COM,DEM,ANNUAL,OTH</t>
  </si>
  <si>
    <t>Add Commodities -&gt; import to ANSWER</t>
  </si>
  <si>
    <t>Add timeslices</t>
  </si>
  <si>
    <t>Add Technologies-basic -&gt; import to ANSWER</t>
  </si>
  <si>
    <t>Specify Parameters - basic</t>
  </si>
  <si>
    <t>Import to ANSWER</t>
  </si>
  <si>
    <t>Parameters round 2</t>
  </si>
  <si>
    <t>Add demands (sugar, elc)</t>
  </si>
  <si>
    <t>Add backstop (sugar, cane, elc, steam)</t>
  </si>
  <si>
    <t>ZZZ</t>
  </si>
  <si>
    <t>Dummy Backstop Commodity</t>
  </si>
  <si>
    <t>Sugar Exports</t>
  </si>
  <si>
    <t>Ethanol to market</t>
  </si>
  <si>
    <t>TRABIE</t>
  </si>
  <si>
    <t>SUG</t>
  </si>
  <si>
    <t>CO2PWR</t>
  </si>
  <si>
    <t>Carbon dioxide - Power Sector</t>
  </si>
  <si>
    <t>CH4PWR</t>
  </si>
  <si>
    <t>Methane - Power Sector</t>
  </si>
  <si>
    <t>N2OPWR</t>
  </si>
  <si>
    <t>Nitrous Oxide - Power Sector</t>
  </si>
  <si>
    <t>TWh</t>
  </si>
  <si>
    <t>mtons</t>
  </si>
  <si>
    <t>Build Energy Balance Base year</t>
  </si>
  <si>
    <t>Commodity</t>
  </si>
  <si>
    <t>ZZBKNRG</t>
  </si>
  <si>
    <t>* Backstop For Fuel Production</t>
  </si>
  <si>
    <t>MNZZZ</t>
  </si>
  <si>
    <t>Backstop for whole system</t>
  </si>
  <si>
    <t>Backstop for all commodities</t>
  </si>
  <si>
    <t>PRC,PRE,ANNUAL</t>
  </si>
  <si>
    <t>PRC_ACTUNT</t>
  </si>
  <si>
    <t>Sugar Demand Domestic Market</t>
  </si>
  <si>
    <t>mt</t>
  </si>
  <si>
    <t>COM_PROJ</t>
  </si>
  <si>
    <t>PRC,XTRACT,PRE,ANNUAL</t>
  </si>
  <si>
    <t>* Demand Technologies</t>
  </si>
  <si>
    <t>mt,mt/a</t>
  </si>
  <si>
    <t>PJ,GW</t>
  </si>
  <si>
    <t>PRC,DMD,ANNUAL</t>
  </si>
  <si>
    <t>PRC,DMD,DAYNITE</t>
  </si>
  <si>
    <t>Sugar Refinery</t>
  </si>
  <si>
    <t>Sugar Mill</t>
  </si>
  <si>
    <t>Existing CHP</t>
  </si>
  <si>
    <t>Cane supply</t>
  </si>
  <si>
    <t>coal supply</t>
  </si>
  <si>
    <t>Producers</t>
  </si>
  <si>
    <t>Tech description</t>
  </si>
  <si>
    <t>Consumers</t>
  </si>
  <si>
    <t>unit</t>
  </si>
  <si>
    <t>value</t>
  </si>
  <si>
    <t>2018 Energy/Commodity Balance</t>
  </si>
  <si>
    <t>Sugar cane</t>
  </si>
  <si>
    <t>CV</t>
  </si>
  <si>
    <t>TJ</t>
  </si>
  <si>
    <t>Figure 1: Source Presentation to NT, DOE by SASA</t>
  </si>
  <si>
    <t xml:space="preserve">Source: </t>
  </si>
  <si>
    <t>Industrial Symbiosis Centered on a</t>
  </si>
  <si>
    <t>Regional Cogeneration Power Plant</t>
  </si>
  <si>
    <t>Utilizing Available Local Resources</t>
  </si>
  <si>
    <t>A Case Study of Tanegashima</t>
  </si>
  <si>
    <t>Yasunori Kikuchi et al.</t>
  </si>
  <si>
    <t>Steam energy use per ton of bagasse</t>
  </si>
  <si>
    <t>kton</t>
  </si>
  <si>
    <t>Steam use</t>
  </si>
  <si>
    <t>Intensity</t>
  </si>
  <si>
    <t>Steam to Process check</t>
  </si>
  <si>
    <t>Steam consumed</t>
  </si>
  <si>
    <t>PJ/mton</t>
  </si>
  <si>
    <t>PJ/mton bag</t>
  </si>
  <si>
    <t>Source</t>
  </si>
  <si>
    <t>Cost of Generation sheet (from indsutry)</t>
  </si>
  <si>
    <t>Commodity Code</t>
  </si>
  <si>
    <t>Tech Code</t>
  </si>
  <si>
    <t>Juice</t>
  </si>
  <si>
    <t>Coal</t>
  </si>
  <si>
    <t>Exports/Demands</t>
  </si>
  <si>
    <t>Bagasse Sales to Other sectors</t>
  </si>
  <si>
    <t>ISIBIB</t>
  </si>
  <si>
    <t>Bagasse to Local Market</t>
  </si>
  <si>
    <t>XINDBIB</t>
  </si>
  <si>
    <t>Bagasse to boiler</t>
  </si>
  <si>
    <t>Industry Coal Supply</t>
  </si>
  <si>
    <t>Natural Gas Supply</t>
  </si>
  <si>
    <t>Eskom Coal Supply</t>
  </si>
  <si>
    <t>Sugar Prices Sheet (from industry)</t>
  </si>
  <si>
    <t>Biomass Woodchips</t>
  </si>
  <si>
    <t>BIW</t>
  </si>
  <si>
    <t>Biomass Woodchip Supply</t>
  </si>
  <si>
    <t>Balance</t>
  </si>
  <si>
    <t>Inputs</t>
  </si>
  <si>
    <t>Outputs</t>
  </si>
  <si>
    <t>Electricity Efficiency</t>
  </si>
  <si>
    <t>Heat to Power Ratio</t>
  </si>
  <si>
    <t>Demand technologies</t>
  </si>
  <si>
    <t>Task</t>
  </si>
  <si>
    <t>Status</t>
  </si>
  <si>
    <t>* Fuel Supply Technologies</t>
  </si>
  <si>
    <t>* Conversion technologies</t>
  </si>
  <si>
    <t>* Trade Technologies</t>
  </si>
  <si>
    <t>CHP Checks</t>
  </si>
  <si>
    <t>PRC,PRE,DAYNITE</t>
  </si>
  <si>
    <t>PRC,XTRACT,PRE,DAYNITE</t>
  </si>
  <si>
    <t>PRC,XTRACT,PRE,SEASON</t>
  </si>
  <si>
    <t>Elc Import Costs</t>
  </si>
  <si>
    <t>Electricity Purchases</t>
  </si>
  <si>
    <t>Coal Costs</t>
  </si>
  <si>
    <t>Wood chip Costs</t>
  </si>
  <si>
    <t>Woodchip Purchases</t>
  </si>
  <si>
    <t>mton</t>
  </si>
  <si>
    <t>woodchip supply</t>
  </si>
  <si>
    <t>in progress</t>
  </si>
  <si>
    <t>Electricity import</t>
  </si>
  <si>
    <t>Electricity export</t>
  </si>
  <si>
    <t>Parameters round 3</t>
  </si>
  <si>
    <t>Efficient Refinery and CHP</t>
  </si>
  <si>
    <t>CHP with condenser</t>
  </si>
  <si>
    <t>Bagasse export</t>
  </si>
  <si>
    <t>Ethanol Refinery</t>
  </si>
  <si>
    <t>biogas plant</t>
  </si>
  <si>
    <t>biogas engine</t>
  </si>
  <si>
    <t>simplified SA power sector</t>
  </si>
  <si>
    <t>wind profile</t>
  </si>
  <si>
    <t>solar profile</t>
  </si>
  <si>
    <t>demand profile</t>
  </si>
  <si>
    <t>ethanol refinery 2nd generation</t>
  </si>
  <si>
    <t>Run scenarios</t>
  </si>
  <si>
    <t>Prepare Results dashboard</t>
  </si>
  <si>
    <t>Payments for sugarcane</t>
  </si>
  <si>
    <t>ACT_BND-UP</t>
  </si>
  <si>
    <t>ISISUGDEM</t>
  </si>
  <si>
    <t>PRC,PRE,SEASON</t>
  </si>
  <si>
    <t>PRC,CHP,SEASON</t>
  </si>
  <si>
    <t>Mill Checks</t>
  </si>
  <si>
    <t>Heat to Power (interp)</t>
  </si>
  <si>
    <t>PRC_ACTFLO</t>
  </si>
  <si>
    <t>Coal Share</t>
  </si>
  <si>
    <t>Woodchips Share</t>
  </si>
  <si>
    <t>ACT_BND-LO</t>
  </si>
  <si>
    <t>Unit Cost Coal</t>
  </si>
  <si>
    <t>Unit Cost Woodchips</t>
  </si>
  <si>
    <t>Overall EB Checks</t>
  </si>
  <si>
    <t>Energy in Cane</t>
  </si>
  <si>
    <t>Total Efficiency</t>
  </si>
  <si>
    <t>Supplement: coal+wood</t>
  </si>
  <si>
    <t>Process Unit</t>
  </si>
  <si>
    <t>Average Variable Costs for Sugar</t>
  </si>
  <si>
    <t>(R/t Cane)</t>
  </si>
  <si>
    <t xml:space="preserve">Average Fixed Costs for Sugar </t>
  </si>
  <si>
    <t>Average Variable Costs for Sugar Juice (R/t Cane)</t>
  </si>
  <si>
    <t>Average Fixed Costs for Sugar Juice (R/t Cane)</t>
  </si>
  <si>
    <t>Front-end</t>
  </si>
  <si>
    <t>Clarification</t>
  </si>
  <si>
    <t>Evaporation</t>
  </si>
  <si>
    <t>A-station</t>
  </si>
  <si>
    <t>B-station</t>
  </si>
  <si>
    <t>C-station</t>
  </si>
  <si>
    <t>Steam &amp; Electricity</t>
  </si>
  <si>
    <t>TOTAL</t>
  </si>
  <si>
    <t>Source: Brian Tait 2014</t>
  </si>
  <si>
    <t>2011 Rands</t>
  </si>
  <si>
    <t>2018 Rands</t>
  </si>
  <si>
    <t>2011-&gt;2018</t>
  </si>
  <si>
    <t>Mill Capacity</t>
  </si>
  <si>
    <t>mtons cane</t>
  </si>
  <si>
    <t>Existing Capacity</t>
  </si>
  <si>
    <t>mtons sugar</t>
  </si>
  <si>
    <t>Cost of Cane</t>
  </si>
  <si>
    <t>R/ton cane</t>
  </si>
  <si>
    <t>R/ton sugar</t>
  </si>
  <si>
    <t>Total Cane</t>
  </si>
  <si>
    <t>Total cost</t>
  </si>
  <si>
    <t>Total Sugar</t>
  </si>
  <si>
    <t>Cane to sugar ratio</t>
  </si>
  <si>
    <t>Cane to sugar ratio check</t>
  </si>
  <si>
    <t>CHP</t>
  </si>
  <si>
    <t>Electricity Imports</t>
  </si>
  <si>
    <t>Additional Fuel costs</t>
  </si>
  <si>
    <t>CHP Capacity</t>
  </si>
  <si>
    <t>Steam From CHP</t>
  </si>
  <si>
    <t>1 sets capacity to heat+power, zero sets it equal to turbine capacity</t>
  </si>
  <si>
    <t>Main activity flow</t>
  </si>
  <si>
    <t>Relationship between main activity flow and other flows</t>
  </si>
  <si>
    <t>Activity Limits</t>
  </si>
  <si>
    <t>Capacity to Activity</t>
  </si>
  <si>
    <t>Variable Cost</t>
  </si>
  <si>
    <t>Main activity efficiency</t>
  </si>
  <si>
    <t>PRC_RESID</t>
  </si>
  <si>
    <t>Fixed Cost</t>
  </si>
  <si>
    <t>NCAP_FOM</t>
  </si>
  <si>
    <t>GW (Power)</t>
  </si>
  <si>
    <t>GW</t>
  </si>
  <si>
    <t>R/kW</t>
  </si>
  <si>
    <t>Net Electricity Costs (Revenue-Cost)</t>
  </si>
  <si>
    <t>Total O&amp;M Costs</t>
  </si>
  <si>
    <t>O&amp;M Costs per unit capacity</t>
  </si>
  <si>
    <t>O&amp;M Cost per ton processed</t>
  </si>
  <si>
    <t>Electricity Costs</t>
  </si>
  <si>
    <t>Fixed O&amp;M Costs</t>
  </si>
  <si>
    <t>Variable O&amp;M Costs</t>
  </si>
  <si>
    <t>Cost of Cane handling + Bagasse Handling + juice handling. Not Investment.</t>
  </si>
  <si>
    <t>Revenue (Rm)</t>
  </si>
  <si>
    <t>Other Fuels (coal+woodchips)</t>
  </si>
  <si>
    <t>Cane Supply</t>
  </si>
  <si>
    <t>Mill O&amp;M (incl. Bagasse+juice handling)</t>
  </si>
  <si>
    <t>CHP O&amp;M</t>
  </si>
  <si>
    <t>Sugar Sales Exports</t>
  </si>
  <si>
    <t>Electricity Sales</t>
  </si>
  <si>
    <t>Costs(mR)</t>
  </si>
  <si>
    <t>Summary</t>
  </si>
  <si>
    <t>O&amp;M costs per ton capacity</t>
  </si>
  <si>
    <t>Output in 2018</t>
  </si>
  <si>
    <t>O&amp;M per ton processed</t>
  </si>
  <si>
    <t>Bagasse Sales</t>
  </si>
  <si>
    <t>R/ton bagasse</t>
  </si>
  <si>
    <t>Electricity Sales Revenue (@1R/kWh)</t>
  </si>
  <si>
    <t>R/GJ bagasse</t>
  </si>
  <si>
    <t xml:space="preserve">source: </t>
  </si>
  <si>
    <t>https://www.illovosugarafrica.com/UserContent/Documents/Illovo-Impact-Report-South-Africa-Dec17.pdf</t>
  </si>
  <si>
    <t>Condensing Turbine</t>
  </si>
  <si>
    <t>Scenario to Import</t>
  </si>
  <si>
    <t>Scenarios</t>
  </si>
  <si>
    <t>BASE</t>
  </si>
  <si>
    <t>Import?</t>
  </si>
  <si>
    <t>Sheets</t>
  </si>
  <si>
    <t>CONDTURB</t>
  </si>
  <si>
    <t>Base Model</t>
  </si>
  <si>
    <t>Figure 2: Source Presentation to NT, DOE by SASA</t>
  </si>
  <si>
    <t>Figure 3: Source Presentation to NT, DOE by SASA</t>
  </si>
  <si>
    <t>Availability</t>
  </si>
  <si>
    <t>Cane processed in 2018</t>
  </si>
  <si>
    <t>Process Heat</t>
  </si>
  <si>
    <t>Hours</t>
  </si>
  <si>
    <t>Capacity Factor</t>
  </si>
  <si>
    <t>Tons/hr</t>
  </si>
  <si>
    <t>ton/hr</t>
  </si>
  <si>
    <t>Tons/hr (2m cane plant)</t>
  </si>
  <si>
    <t>Enthalpy (Process heat)</t>
  </si>
  <si>
    <t>GJ/ton</t>
  </si>
  <si>
    <t>Steam</t>
  </si>
  <si>
    <t>Total Capacity</t>
  </si>
  <si>
    <t>Cost/ton sugar</t>
  </si>
  <si>
    <t>Cost R/ton sugar</t>
  </si>
  <si>
    <t>Average (2017-2018-2019)</t>
  </si>
  <si>
    <t>Obj_Check</t>
  </si>
  <si>
    <t>Seasonal Availability</t>
  </si>
  <si>
    <t>NCAP_AFS-UP</t>
  </si>
  <si>
    <t>Lower bound act (interp.rule)</t>
  </si>
  <si>
    <t>Lower bound act</t>
  </si>
  <si>
    <t>R/kWh</t>
  </si>
  <si>
    <t>Life</t>
  </si>
  <si>
    <t>ETHANOL1GEN</t>
  </si>
  <si>
    <t>Ethanol first Generation</t>
  </si>
  <si>
    <t>US c/pound</t>
  </si>
  <si>
    <t>R/kg</t>
  </si>
  <si>
    <t>New Ethanol 1st Gen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</si>
  <si>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</si>
  <si>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</si>
  <si>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</si>
  <si>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</si>
  <si>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</si>
  <si>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</si>
  <si>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</si>
  <si>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</si>
  <si>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</si>
  <si>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</si>
  <si>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</si>
  <si>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Petrol 93</t>
  </si>
  <si>
    <t>Petrol 95</t>
  </si>
  <si>
    <t>http://www.energy.gov.za/files/esources/petroleum/November2019/Basic-Fuel-Price.pdf</t>
  </si>
  <si>
    <t>Average</t>
  </si>
  <si>
    <t>c/litre</t>
  </si>
  <si>
    <t>MJ/l</t>
  </si>
  <si>
    <t>Price</t>
  </si>
  <si>
    <t>BIOGAS</t>
  </si>
  <si>
    <t>Efficiency</t>
  </si>
  <si>
    <t>cost/revenue per ton cane</t>
  </si>
  <si>
    <t>Capacity Limit</t>
  </si>
  <si>
    <t>CAP_BND-UP</t>
  </si>
  <si>
    <t>Investment</t>
  </si>
  <si>
    <t>Fuel</t>
  </si>
  <si>
    <t>$/GJ</t>
  </si>
  <si>
    <t>Cap Fac</t>
  </si>
  <si>
    <t>O&amp;M</t>
  </si>
  <si>
    <t>Discount Rate</t>
  </si>
  <si>
    <t>Export Revenue per ton</t>
  </si>
  <si>
    <t>XISIBIGEXP</t>
  </si>
  <si>
    <t>Sugar Industry Biogas</t>
  </si>
  <si>
    <t>ISIBIG</t>
  </si>
  <si>
    <t>Lev Cost Fixed</t>
  </si>
  <si>
    <t>Lev Cost Variable</t>
  </si>
  <si>
    <t>Total Lev</t>
  </si>
  <si>
    <t>MJ/kg</t>
  </si>
  <si>
    <t>c/litre ethanol</t>
  </si>
  <si>
    <t>petrol price</t>
  </si>
  <si>
    <t>Breakeven</t>
  </si>
  <si>
    <t>October</t>
  </si>
  <si>
    <t>Inland</t>
  </si>
  <si>
    <t>Volumes sold</t>
  </si>
  <si>
    <t>Subsidy per GJ</t>
  </si>
  <si>
    <t>Gov Rev.</t>
  </si>
  <si>
    <t>c/l</t>
  </si>
  <si>
    <t>R/l</t>
  </si>
  <si>
    <t>Total Subsidy</t>
  </si>
  <si>
    <t>mR/year</t>
  </si>
  <si>
    <t>https://www.grainsa.co.za/biogas-production-potential-for-south-african-sugar-cane-industry</t>
  </si>
  <si>
    <t>Revenue</t>
  </si>
  <si>
    <t>Molasses</t>
  </si>
  <si>
    <t>Filter cake</t>
  </si>
  <si>
    <t>CV (MJ/kg)</t>
  </si>
  <si>
    <t>Filter Cake</t>
  </si>
  <si>
    <t>Check</t>
  </si>
  <si>
    <t>Cane no tops</t>
  </si>
  <si>
    <t>Cane with tops</t>
  </si>
  <si>
    <t>Waste Water</t>
  </si>
  <si>
    <t>ml</t>
  </si>
  <si>
    <t>CV MJ/kg</t>
  </si>
  <si>
    <t>PJ total</t>
  </si>
  <si>
    <t>MJ/ton into Factory</t>
  </si>
  <si>
    <t>MJ/100 MJ in standing cane</t>
  </si>
  <si>
    <t>Stream energy % energy in standing cane</t>
  </si>
  <si>
    <t>MJ/t standing cane</t>
  </si>
  <si>
    <t>Total stream energy</t>
  </si>
  <si>
    <t>h(T) MJ/t stream</t>
  </si>
  <si>
    <t>Specific enthalpy of stream at process temperature</t>
  </si>
  <si>
    <t>h(25ºC) MJ/t stream</t>
  </si>
  <si>
    <r>
      <t>specific entahlpy of  stream @ 25</t>
    </r>
    <r>
      <rPr>
        <sz val="11"/>
        <color theme="1"/>
        <rFont val="Calibri"/>
        <family val="2"/>
      </rPr>
      <t>°C</t>
    </r>
  </si>
  <si>
    <r>
      <t>T [</t>
    </r>
    <r>
      <rPr>
        <sz val="11"/>
        <color theme="1"/>
        <rFont val="Calibri"/>
        <family val="2"/>
      </rPr>
      <t>°C]</t>
    </r>
  </si>
  <si>
    <t>Stream temperature</t>
  </si>
  <si>
    <t>MJ/t cane</t>
  </si>
  <si>
    <t>Chemical Energy MJ/t cane</t>
  </si>
  <si>
    <t>kg/100kg standing cane</t>
  </si>
  <si>
    <t>Stream amount</t>
  </si>
  <si>
    <t>output</t>
  </si>
  <si>
    <t>internal</t>
  </si>
  <si>
    <t>input</t>
  </si>
  <si>
    <t>factory input/factory output/internal</t>
  </si>
  <si>
    <t>Stream type</t>
  </si>
  <si>
    <t>Effluent (Deemed)</t>
  </si>
  <si>
    <t>Imbibition</t>
  </si>
  <si>
    <t>Cane into factory</t>
  </si>
  <si>
    <t>Leaf left in the field or burned</t>
  </si>
  <si>
    <t>Tops left in field</t>
  </si>
  <si>
    <t>Whole cane</t>
  </si>
  <si>
    <t>Stream</t>
  </si>
  <si>
    <t>From Katherine Foxton, SMRI January 2020</t>
  </si>
  <si>
    <t>Full Energy Balance based on actual cane into factory</t>
  </si>
  <si>
    <t>Cane-into factory</t>
  </si>
  <si>
    <t>Cane_Into Factory Supply</t>
  </si>
  <si>
    <t>ISIBML</t>
  </si>
  <si>
    <t>ISIBFC</t>
  </si>
  <si>
    <t>Biogas Sold to Market</t>
  </si>
  <si>
    <t>BIM</t>
  </si>
  <si>
    <t>BIB</t>
  </si>
  <si>
    <t>Cane Syrup (A-Mollasses)</t>
  </si>
  <si>
    <t>BCS</t>
  </si>
  <si>
    <t>Molasses to Local Market</t>
  </si>
  <si>
    <t>XINDBIM</t>
  </si>
  <si>
    <t>"The amount of bagasse that is not used in boilers was 7.63% (wet mass basis) for the past few years. This is bagasse that goes to alternate products onsite or is sold."</t>
  </si>
  <si>
    <t>A mol diversion mode, efficient</t>
  </si>
  <si>
    <t>Units*</t>
  </si>
  <si>
    <t>VHP mode not efficient</t>
  </si>
  <si>
    <t>Cane to Syrup</t>
  </si>
  <si>
    <t>MJ/MJ in Boiler steam</t>
  </si>
  <si>
    <t>Cane to syrup losses</t>
  </si>
  <si>
    <t>Syrup to sugar</t>
  </si>
  <si>
    <t>Syrup to sugar losses</t>
  </si>
  <si>
    <t>Other elec</t>
  </si>
  <si>
    <t>Total steam</t>
  </si>
  <si>
    <t>MJ/h (exergy)</t>
  </si>
  <si>
    <t>Cane</t>
  </si>
  <si>
    <t>t cane/h</t>
  </si>
  <si>
    <t>From Kitty</t>
  </si>
  <si>
    <t>HHV</t>
  </si>
  <si>
    <t>LHV</t>
  </si>
  <si>
    <t>A</t>
  </si>
  <si>
    <t>B</t>
  </si>
  <si>
    <t>M</t>
  </si>
  <si>
    <t>NCV</t>
  </si>
  <si>
    <t>Recoverable leaves</t>
  </si>
  <si>
    <t>BCL</t>
  </si>
  <si>
    <t>Recoverable Leaves Supply</t>
  </si>
  <si>
    <r>
      <t>Cane </t>
    </r>
    <r>
      <rPr>
        <sz val="12"/>
        <color rgb="FF222222"/>
        <rFont val="Wingdings"/>
        <charset val="2"/>
      </rPr>
      <t>à</t>
    </r>
    <r>
      <rPr>
        <sz val="12"/>
        <color rgb="FF222222"/>
        <rFont val="Arial"/>
        <family val="2"/>
      </rPr>
      <t> Juice = 63%</t>
    </r>
  </si>
  <si>
    <r>
      <t>Cane </t>
    </r>
    <r>
      <rPr>
        <sz val="12"/>
        <color rgb="FF222222"/>
        <rFont val="Wingdings"/>
        <charset val="2"/>
      </rPr>
      <t>à</t>
    </r>
    <r>
      <rPr>
        <sz val="12"/>
        <color rgb="FF222222"/>
        <rFont val="Arial"/>
        <family val="2"/>
      </rPr>
      <t> Syrup = 66%</t>
    </r>
  </si>
  <si>
    <r>
      <t>Cane </t>
    </r>
    <r>
      <rPr>
        <sz val="12"/>
        <color rgb="FF222222"/>
        <rFont val="Wingdings"/>
        <charset val="2"/>
      </rPr>
      <t>à</t>
    </r>
    <r>
      <rPr>
        <sz val="12"/>
        <color rgb="FF222222"/>
        <rFont val="Arial"/>
        <family val="2"/>
      </rPr>
      <t> Sugar + A molasses = 71%</t>
    </r>
  </si>
  <si>
    <r>
      <t>Cane </t>
    </r>
    <r>
      <rPr>
        <sz val="12"/>
        <color rgb="FF222222"/>
        <rFont val="Wingdings"/>
        <charset val="2"/>
      </rPr>
      <t>à</t>
    </r>
    <r>
      <rPr>
        <sz val="12"/>
        <color rgb="FF222222"/>
        <rFont val="Arial"/>
        <family val="2"/>
      </rPr>
      <t> VHP sugar + C molasses = 77%</t>
    </r>
  </si>
  <si>
    <t>With utilities making up the balance.</t>
  </si>
  <si>
    <t>From Katherine Foxton January 2020</t>
  </si>
  <si>
    <t>Total Estimate</t>
  </si>
  <si>
    <t>Corection factor</t>
  </si>
  <si>
    <t>Mill (up to A Mollasses)</t>
  </si>
  <si>
    <t>Mollasses</t>
  </si>
  <si>
    <t>Revenue from molasses</t>
  </si>
  <si>
    <t>R/PJ</t>
  </si>
  <si>
    <t>Biomethane to Local Market</t>
  </si>
  <si>
    <t>New BioMethane Plant</t>
  </si>
  <si>
    <t>New Biogas+Engine</t>
  </si>
  <si>
    <t>B and C Stages</t>
  </si>
  <si>
    <t>C-Molasses sold to market</t>
  </si>
  <si>
    <t>C-Molasses</t>
  </si>
  <si>
    <t>Molasses Sales</t>
  </si>
  <si>
    <t>Business Overhead Costs and taxes</t>
  </si>
  <si>
    <t>B&amp;C Stage O&amp;M</t>
  </si>
  <si>
    <t>Sugar Sales Domestic (net of industry costs)</t>
  </si>
  <si>
    <t>Industry Costs (discounts etc.)</t>
  </si>
  <si>
    <t>Sugar Export Revenues</t>
  </si>
  <si>
    <t>Sugar Export Volumes</t>
  </si>
  <si>
    <t>Sugar Export unit price</t>
  </si>
  <si>
    <t>Sugar Domestic Volumes</t>
  </si>
  <si>
    <t>Domestic Market Unit price</t>
  </si>
  <si>
    <t>Domestic Market Net Unit Price</t>
  </si>
  <si>
    <t>bR</t>
  </si>
  <si>
    <t>Wolfgang</t>
  </si>
  <si>
    <t>Sugar Domestic Revenues (Gross)</t>
  </si>
  <si>
    <t>* used in scenario</t>
  </si>
  <si>
    <t>VHP mode (3 boiling), not efficient</t>
  </si>
  <si>
    <t>A mol mode, efficient, mol  brix = 20%</t>
  </si>
  <si>
    <t>A mol mode, efficient mol brix =80%</t>
  </si>
  <si>
    <t>A Mol mode, average condition</t>
  </si>
  <si>
    <t>Steam energy for extraction (Cane to Juice)</t>
  </si>
  <si>
    <t>MJ/MJ in boiler steam</t>
  </si>
  <si>
    <t>Steam energy for evaporation (Juice to syrup)</t>
  </si>
  <si>
    <t>Steam losses in extraction and evaporation</t>
  </si>
  <si>
    <t>Steam energy for A station (Syrup to A sug+A Molasses)</t>
  </si>
  <si>
    <t>Steam energy for B&amp;C station (A molasses to C Molasses)</t>
  </si>
  <si>
    <t>Steam energy losses in A, B and C stations)</t>
  </si>
  <si>
    <t>Electrical consumption</t>
  </si>
  <si>
    <t>Total boiler steam required for sugar processing</t>
  </si>
  <si>
    <t>MJ/h (Exergy)</t>
  </si>
  <si>
    <t>Cane throughput</t>
  </si>
  <si>
    <t>Steam% Cane</t>
  </si>
  <si>
    <t>t boiler steam/100 t cane</t>
  </si>
  <si>
    <t>Molasses production</t>
  </si>
  <si>
    <t>A sugar production (@99.3% purity)</t>
  </si>
  <si>
    <t>From Katherine Foxton, SMRI February 2020</t>
  </si>
  <si>
    <t>Total Boiler scaled to 19mtons</t>
  </si>
  <si>
    <t>with coal</t>
  </si>
  <si>
    <t>without coal</t>
  </si>
  <si>
    <t>This checks well with figure 1</t>
  </si>
  <si>
    <t>ton/h</t>
  </si>
  <si>
    <t>mt/year</t>
  </si>
  <si>
    <t>Steam check @ 2mton cane/year</t>
  </si>
  <si>
    <t>Steam check @ 19mton cane/year</t>
  </si>
  <si>
    <t>PJ/yr</t>
  </si>
  <si>
    <t>Vinasse &amp; Filter Cake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</si>
</sst>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5" formatCode="&quot;R&quot;#,##0;\-&quot;R&quot;#,##0"/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0.000"/>
    <numFmt numFmtId="167" formatCode="0.0000"/>
    <numFmt numFmtId="168" formatCode="_-* #,##0.0000_-;\-* #,##0.0000_-;_-* &quot;-&quot;??_-;_-@_-"/>
    <numFmt numFmtId="169" formatCode="_(* #,##0_);_(* \(#,##0\);_(* &quot;-&quot;??_);_(@_)"/>
    <numFmt numFmtId="170" formatCode="_-* #,##0_-;\-* #,##0_-;_-* &quot;-&quot;??_-;_-@_-"/>
    <numFmt numFmtId="171" formatCode="_-[$R-1C09]* #,##0_-;\-[$R-1C09]* #,##0_-;_-[$R-1C09]* &quot;-&quot;??_-;_-@_-"/>
    <numFmt numFmtId="172" formatCode="0.0%"/>
    <numFmt numFmtId="173" formatCode="0.000%"/>
    <numFmt numFmtId="174" formatCode="_-* #,##0.0_-;\-* #,##0.0_-;_-* &quot;-&quot;??_-;_-@_-"/>
    <numFmt numFmtId="175" formatCode="_-* #,##0.000_-;\-* #,##0.000_-;_-* &quot;-&quot;??_-;_-@_-"/>
    <numFmt numFmtId="176" formatCode="#,##0.000"/>
    <numFmt numFmtId="177" formatCode="_-[$R-1C09]* #,##0.00_-;\-[$R-1C09]* #,##0.00_-;_-[$R-1C09]* &quot;-&quot;??_-;_-@_-"/>
  </numFmts>
  <fonts count="6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rgb="FF0000FF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0"/>
      <name val="Calibri"/>
      <family val="2"/>
    </font>
    <font>
      <sz val="11"/>
      <color theme="5" tint="-0.249977111117893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8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0"/>
      <name val="Calibri"/>
      <family val="2"/>
    </font>
    <font>
      <sz val="10"/>
      <name val="Arial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color rgb="FFFF0000"/>
      <name val="Arial"/>
      <family val="2"/>
    </font>
    <font>
      <sz val="8"/>
      <color theme="5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u/>
      <sz val="10"/>
      <color theme="10"/>
      <name val="Arial"/>
      <family val="2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sz val="12"/>
      <color rgb="FF222222"/>
      <name val="Arial"/>
      <family val="2"/>
    </font>
    <font>
      <sz val="12"/>
      <color rgb="FF000000"/>
      <name val="Roboto"/>
    </font>
    <font>
      <sz val="12"/>
      <color rgb="FF222222"/>
      <name val="Wingdings"/>
      <charset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C7CE"/>
      </patternFill>
    </fill>
    <fill>
      <patternFill patternType="solid">
        <fgColor rgb="FF9CC2E5"/>
        <bgColor indexed="64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0" fontId="16" fillId="0" borderId="0"/>
    <xf numFmtId="0" fontId="16" fillId="0" borderId="0"/>
    <xf numFmtId="0" fontId="16" fillId="0" borderId="0"/>
    <xf numFmtId="0" fontId="9" fillId="0" borderId="0"/>
    <xf numFmtId="0" fontId="16" fillId="0" borderId="0"/>
    <xf numFmtId="164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9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34" fillId="7" borderId="19" applyNumberFormat="0" applyAlignment="0" applyProtection="0"/>
    <xf numFmtId="0" fontId="8" fillId="0" borderId="0"/>
    <xf numFmtId="9" fontId="8" fillId="0" borderId="0" applyFont="0" applyFill="0" applyBorder="0" applyAlignment="0" applyProtection="0"/>
    <xf numFmtId="0" fontId="44" fillId="0" borderId="0"/>
    <xf numFmtId="43" fontId="44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1" fillId="0" borderId="0" applyFont="0" applyFill="0" applyBorder="0" applyAlignment="0" applyProtection="0"/>
    <xf numFmtId="0" fontId="52" fillId="0" borderId="32" applyNumberFormat="0" applyFill="0" applyAlignment="0" applyProtection="0"/>
    <xf numFmtId="0" fontId="53" fillId="0" borderId="33" applyNumberFormat="0" applyFill="0" applyAlignment="0" applyProtection="0"/>
    <xf numFmtId="0" fontId="54" fillId="14" borderId="0" applyNumberFormat="0" applyBorder="0" applyAlignment="0" applyProtection="0"/>
    <xf numFmtId="0" fontId="59" fillId="0" borderId="0" applyNumberFormat="0" applyFill="0" applyBorder="0" applyAlignment="0" applyProtection="0"/>
    <xf numFmtId="0" fontId="60" fillId="16" borderId="19" applyNumberFormat="0" applyAlignment="0" applyProtection="0"/>
    <xf numFmtId="43" fontId="61" fillId="0" borderId="0" applyFont="0" applyFill="0" applyBorder="0" applyAlignment="0" applyProtection="0"/>
  </cellStyleXfs>
  <cellXfs count="375">
    <xf numFmtId="0" fontId="0" fillId="0" borderId="0" xfId="0"/>
    <xf numFmtId="0" fontId="10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1" fillId="0" borderId="0" xfId="0" applyFont="1"/>
    <xf numFmtId="0" fontId="12" fillId="0" borderId="0" xfId="0" applyFont="1" applyAlignment="1">
      <alignment horizontal="center" wrapText="1"/>
    </xf>
    <xf numFmtId="0" fontId="11" fillId="0" borderId="0" xfId="0" applyFont="1" applyFill="1"/>
    <xf numFmtId="0" fontId="10" fillId="0" borderId="0" xfId="1" applyFont="1"/>
    <xf numFmtId="0" fontId="16" fillId="0" borderId="0" xfId="1"/>
    <xf numFmtId="0" fontId="13" fillId="0" borderId="0" xfId="1" applyFont="1"/>
    <xf numFmtId="0" fontId="19" fillId="0" borderId="0" xfId="1" applyFont="1" applyFill="1"/>
    <xf numFmtId="0" fontId="12" fillId="0" borderId="0" xfId="1" applyFont="1"/>
    <xf numFmtId="0" fontId="13" fillId="0" borderId="0" xfId="0" applyFont="1" applyFill="1"/>
    <xf numFmtId="0" fontId="20" fillId="0" borderId="0" xfId="0" applyFont="1" applyFill="1"/>
    <xf numFmtId="0" fontId="20" fillId="0" borderId="0" xfId="0" applyFont="1"/>
    <xf numFmtId="0" fontId="21" fillId="0" borderId="0" xfId="0" applyFont="1" applyFill="1"/>
    <xf numFmtId="0" fontId="22" fillId="0" borderId="0" xfId="0" applyFont="1" applyFill="1"/>
    <xf numFmtId="0" fontId="19" fillId="0" borderId="0" xfId="1" applyFont="1"/>
    <xf numFmtId="0" fontId="14" fillId="0" borderId="0" xfId="1" applyFont="1"/>
    <xf numFmtId="0" fontId="21" fillId="0" borderId="0" xfId="1" applyFont="1" applyFill="1"/>
    <xf numFmtId="0" fontId="13" fillId="0" borderId="0" xfId="1" applyFont="1" applyFill="1"/>
    <xf numFmtId="0" fontId="22" fillId="0" borderId="0" xfId="1" applyFont="1" applyFill="1"/>
    <xf numFmtId="49" fontId="21" fillId="0" borderId="0" xfId="0" applyNumberFormat="1" applyFont="1" applyFill="1" applyAlignment="1">
      <alignment horizontal="left"/>
    </xf>
    <xf numFmtId="0" fontId="23" fillId="0" borderId="0" xfId="1" applyFont="1" applyFill="1"/>
    <xf numFmtId="0" fontId="17" fillId="0" borderId="0" xfId="1" applyFont="1" applyFill="1" applyAlignment="1">
      <alignment horizontal="center"/>
    </xf>
    <xf numFmtId="0" fontId="13" fillId="0" borderId="0" xfId="1" applyFont="1" applyFill="1" applyAlignment="1">
      <alignment horizontal="center"/>
    </xf>
    <xf numFmtId="0" fontId="12" fillId="0" borderId="0" xfId="1" applyFont="1" applyFill="1"/>
    <xf numFmtId="0" fontId="16" fillId="0" borderId="0" xfId="1" applyFill="1"/>
    <xf numFmtId="0" fontId="10" fillId="0" borderId="0" xfId="1" applyFont="1" applyFill="1"/>
    <xf numFmtId="0" fontId="0" fillId="0" borderId="0" xfId="0" applyFill="1"/>
    <xf numFmtId="0" fontId="13" fillId="0" borderId="0" xfId="1" applyFont="1" applyFill="1" applyAlignment="1">
      <alignment horizontal="center" wrapText="1"/>
    </xf>
    <xf numFmtId="0" fontId="19" fillId="0" borderId="0" xfId="0" applyFont="1" applyFill="1"/>
    <xf numFmtId="0" fontId="22" fillId="3" borderId="0" xfId="0" applyFont="1" applyFill="1"/>
    <xf numFmtId="0" fontId="22" fillId="3" borderId="0" xfId="1" applyFont="1" applyFill="1"/>
    <xf numFmtId="0" fontId="19" fillId="0" borderId="0" xfId="0" applyFont="1"/>
    <xf numFmtId="0" fontId="13" fillId="0" borderId="0" xfId="0" applyFont="1" applyAlignment="1">
      <alignment horizontal="center"/>
    </xf>
    <xf numFmtId="0" fontId="21" fillId="0" borderId="0" xfId="0" applyFont="1" applyFill="1" applyAlignment="1">
      <alignment horizontal="center"/>
    </xf>
    <xf numFmtId="0" fontId="26" fillId="0" borderId="0" xfId="3" applyFont="1"/>
    <xf numFmtId="0" fontId="13" fillId="0" borderId="0" xfId="3" applyFont="1" applyFill="1"/>
    <xf numFmtId="0" fontId="13" fillId="0" borderId="0" xfId="2" applyFont="1" applyFill="1" applyAlignment="1">
      <alignment horizontal="center"/>
    </xf>
    <xf numFmtId="0" fontId="13" fillId="0" borderId="0" xfId="2" applyFont="1" applyFill="1"/>
    <xf numFmtId="0" fontId="16" fillId="0" borderId="0" xfId="3"/>
    <xf numFmtId="0" fontId="16" fillId="0" borderId="0" xfId="3" applyFont="1" applyFill="1"/>
    <xf numFmtId="0" fontId="13" fillId="0" borderId="0" xfId="2" applyFont="1"/>
    <xf numFmtId="0" fontId="31" fillId="0" borderId="0" xfId="1" applyFont="1" applyFill="1"/>
    <xf numFmtId="0" fontId="32" fillId="0" borderId="0" xfId="2" applyFont="1"/>
    <xf numFmtId="0" fontId="13" fillId="0" borderId="0" xfId="3" applyFont="1"/>
    <xf numFmtId="0" fontId="23" fillId="0" borderId="0" xfId="2" applyFont="1" applyFill="1"/>
    <xf numFmtId="0" fontId="32" fillId="0" borderId="0" xfId="3" applyFont="1"/>
    <xf numFmtId="0" fontId="32" fillId="0" borderId="0" xfId="1" applyFont="1"/>
    <xf numFmtId="0" fontId="27" fillId="0" borderId="0" xfId="1" applyFont="1"/>
    <xf numFmtId="0" fontId="12" fillId="0" borderId="0" xfId="0" applyFont="1" applyAlignment="1">
      <alignment horizontal="center"/>
    </xf>
    <xf numFmtId="0" fontId="22" fillId="0" borderId="0" xfId="2" applyFont="1" applyFill="1" applyAlignment="1">
      <alignment horizontal="center"/>
    </xf>
    <xf numFmtId="0" fontId="13" fillId="0" borderId="0" xfId="2" applyFont="1" applyAlignment="1">
      <alignment horizontal="right"/>
    </xf>
    <xf numFmtId="0" fontId="13" fillId="0" borderId="0" xfId="2" applyFont="1" applyAlignment="1">
      <alignment horizontal="center"/>
    </xf>
    <xf numFmtId="2" fontId="13" fillId="0" borderId="0" xfId="2" applyNumberFormat="1" applyFont="1" applyFill="1"/>
    <xf numFmtId="0" fontId="30" fillId="0" borderId="0" xfId="2" applyFont="1" applyFill="1"/>
    <xf numFmtId="0" fontId="30" fillId="0" borderId="0" xfId="2" applyFont="1"/>
    <xf numFmtId="167" fontId="13" fillId="0" borderId="0" xfId="2" applyNumberFormat="1" applyFont="1" applyFill="1"/>
    <xf numFmtId="0" fontId="22" fillId="0" borderId="0" xfId="2" applyFont="1" applyFill="1"/>
    <xf numFmtId="0" fontId="27" fillId="0" borderId="0" xfId="2" applyFont="1"/>
    <xf numFmtId="0" fontId="23" fillId="0" borderId="0" xfId="0" applyFont="1" applyFill="1"/>
    <xf numFmtId="0" fontId="8" fillId="0" borderId="0" xfId="13"/>
    <xf numFmtId="0" fontId="8" fillId="8" borderId="0" xfId="13" applyFill="1"/>
    <xf numFmtId="0" fontId="8" fillId="0" borderId="0" xfId="13" applyNumberFormat="1"/>
    <xf numFmtId="0" fontId="8" fillId="4" borderId="0" xfId="13" applyFill="1"/>
    <xf numFmtId="0" fontId="8" fillId="6" borderId="0" xfId="13" applyFill="1"/>
    <xf numFmtId="0" fontId="8" fillId="9" borderId="0" xfId="13" applyFill="1"/>
    <xf numFmtId="0" fontId="28" fillId="9" borderId="10" xfId="13" applyFont="1" applyFill="1" applyBorder="1"/>
    <xf numFmtId="0" fontId="25" fillId="0" borderId="0" xfId="13" applyFont="1"/>
    <xf numFmtId="0" fontId="38" fillId="10" borderId="0" xfId="13" applyFont="1" applyFill="1" applyAlignment="1">
      <alignment wrapText="1"/>
    </xf>
    <xf numFmtId="0" fontId="29" fillId="0" borderId="0" xfId="13" applyFont="1" applyAlignment="1">
      <alignment wrapText="1"/>
    </xf>
    <xf numFmtId="0" fontId="38" fillId="10" borderId="0" xfId="13" applyFont="1" applyFill="1" applyBorder="1" applyAlignment="1">
      <alignment wrapText="1"/>
    </xf>
    <xf numFmtId="0" fontId="38" fillId="10" borderId="20" xfId="13" applyFont="1" applyFill="1" applyBorder="1" applyAlignment="1">
      <alignment wrapText="1"/>
    </xf>
    <xf numFmtId="0" fontId="29" fillId="0" borderId="0" xfId="13" applyFont="1" applyFill="1"/>
    <xf numFmtId="0" fontId="8" fillId="3" borderId="0" xfId="13" applyFill="1"/>
    <xf numFmtId="0" fontId="8" fillId="9" borderId="20" xfId="13" applyFill="1" applyBorder="1"/>
    <xf numFmtId="0" fontId="8" fillId="6" borderId="22" xfId="13" applyFill="1" applyBorder="1"/>
    <xf numFmtId="0" fontId="8" fillId="5" borderId="22" xfId="13" applyFill="1" applyBorder="1"/>
    <xf numFmtId="0" fontId="8" fillId="0" borderId="20" xfId="13" applyFont="1" applyBorder="1"/>
    <xf numFmtId="0" fontId="25" fillId="0" borderId="20" xfId="13" applyFont="1" applyBorder="1"/>
    <xf numFmtId="0" fontId="8" fillId="5" borderId="0" xfId="13" applyFill="1"/>
    <xf numFmtId="0" fontId="8" fillId="6" borderId="23" xfId="13" applyFill="1" applyBorder="1"/>
    <xf numFmtId="0" fontId="25" fillId="0" borderId="21" xfId="13" applyFont="1" applyBorder="1"/>
    <xf numFmtId="0" fontId="8" fillId="11" borderId="0" xfId="13" applyFill="1"/>
    <xf numFmtId="0" fontId="8" fillId="6" borderId="24" xfId="13" applyFill="1" applyBorder="1"/>
    <xf numFmtId="0" fontId="35" fillId="10" borderId="20" xfId="13" applyFont="1" applyFill="1" applyBorder="1"/>
    <xf numFmtId="0" fontId="8" fillId="12" borderId="0" xfId="13" applyNumberFormat="1" applyFill="1"/>
    <xf numFmtId="0" fontId="8" fillId="13" borderId="12" xfId="13" applyNumberFormat="1" applyFill="1" applyBorder="1"/>
    <xf numFmtId="0" fontId="8" fillId="13" borderId="0" xfId="13" applyNumberFormat="1" applyFill="1" applyBorder="1"/>
    <xf numFmtId="0" fontId="8" fillId="13" borderId="25" xfId="13" applyNumberFormat="1" applyFill="1" applyBorder="1"/>
    <xf numFmtId="0" fontId="8" fillId="12" borderId="0" xfId="13" applyFill="1"/>
    <xf numFmtId="0" fontId="8" fillId="13" borderId="13" xfId="13" applyNumberFormat="1" applyFill="1" applyBorder="1"/>
    <xf numFmtId="0" fontId="8" fillId="13" borderId="11" xfId="13" applyNumberFormat="1" applyFill="1" applyBorder="1"/>
    <xf numFmtId="0" fontId="8" fillId="13" borderId="26" xfId="13" applyNumberFormat="1" applyFill="1" applyBorder="1"/>
    <xf numFmtId="0" fontId="8" fillId="13" borderId="27" xfId="13" applyNumberFormat="1" applyFill="1" applyBorder="1"/>
    <xf numFmtId="0" fontId="8" fillId="13" borderId="28" xfId="13" applyNumberFormat="1" applyFill="1" applyBorder="1"/>
    <xf numFmtId="0" fontId="8" fillId="13" borderId="29" xfId="13" applyNumberFormat="1" applyFill="1" applyBorder="1"/>
    <xf numFmtId="0" fontId="8" fillId="0" borderId="0" xfId="13" applyBorder="1"/>
    <xf numFmtId="0" fontId="8" fillId="0" borderId="5" xfId="13" applyBorder="1" applyAlignment="1">
      <alignment horizontal="center"/>
    </xf>
    <xf numFmtId="0" fontId="8" fillId="0" borderId="0" xfId="13" applyBorder="1" applyAlignment="1">
      <alignment horizontal="center"/>
    </xf>
    <xf numFmtId="0" fontId="8" fillId="0" borderId="17" xfId="13" applyBorder="1" applyAlignment="1">
      <alignment horizontal="center"/>
    </xf>
    <xf numFmtId="0" fontId="8" fillId="0" borderId="0" xfId="13" applyAlignment="1">
      <alignment horizontal="center"/>
    </xf>
    <xf numFmtId="0" fontId="8" fillId="0" borderId="4" xfId="13" applyBorder="1" applyAlignment="1">
      <alignment horizontal="center"/>
    </xf>
    <xf numFmtId="0" fontId="8" fillId="0" borderId="9" xfId="13" applyBorder="1" applyAlignment="1">
      <alignment horizontal="center"/>
    </xf>
    <xf numFmtId="0" fontId="8" fillId="0" borderId="4" xfId="13" applyBorder="1"/>
    <xf numFmtId="0" fontId="8" fillId="0" borderId="17" xfId="13" applyBorder="1"/>
    <xf numFmtId="0" fontId="8" fillId="0" borderId="8" xfId="13" applyBorder="1"/>
    <xf numFmtId="0" fontId="8" fillId="0" borderId="7" xfId="13" applyBorder="1" applyAlignment="1">
      <alignment horizontal="center"/>
    </xf>
    <xf numFmtId="0" fontId="8" fillId="0" borderId="8" xfId="13" applyBorder="1" applyAlignment="1">
      <alignment horizontal="center"/>
    </xf>
    <xf numFmtId="0" fontId="8" fillId="0" borderId="7" xfId="13" applyBorder="1"/>
    <xf numFmtId="0" fontId="8" fillId="0" borderId="9" xfId="13" applyBorder="1"/>
    <xf numFmtId="0" fontId="39" fillId="0" borderId="6" xfId="13" applyFont="1" applyBorder="1" applyAlignment="1">
      <alignment horizontal="center"/>
    </xf>
    <xf numFmtId="0" fontId="39" fillId="0" borderId="17" xfId="13" applyFont="1" applyBorder="1" applyAlignment="1">
      <alignment horizontal="center"/>
    </xf>
    <xf numFmtId="0" fontId="8" fillId="0" borderId="15" xfId="13" applyBorder="1"/>
    <xf numFmtId="0" fontId="8" fillId="0" borderId="14" xfId="13" applyBorder="1" applyAlignment="1">
      <alignment horizontal="center"/>
    </xf>
    <xf numFmtId="0" fontId="8" fillId="0" borderId="10" xfId="13" applyBorder="1" applyAlignment="1">
      <alignment horizontal="center"/>
    </xf>
    <xf numFmtId="0" fontId="36" fillId="0" borderId="6" xfId="13" applyFont="1" applyBorder="1" applyAlignment="1">
      <alignment horizontal="center"/>
    </xf>
    <xf numFmtId="0" fontId="36" fillId="0" borderId="18" xfId="13" applyFont="1" applyBorder="1" applyAlignment="1">
      <alignment horizontal="center"/>
    </xf>
    <xf numFmtId="0" fontId="8" fillId="0" borderId="18" xfId="13" applyBorder="1"/>
    <xf numFmtId="0" fontId="8" fillId="0" borderId="3" xfId="13" applyBorder="1" applyAlignment="1">
      <alignment horizontal="center"/>
    </xf>
    <xf numFmtId="0" fontId="8" fillId="0" borderId="2" xfId="13" applyBorder="1"/>
    <xf numFmtId="0" fontId="8" fillId="0" borderId="1" xfId="13" applyBorder="1" applyAlignment="1">
      <alignment horizontal="center"/>
    </xf>
    <xf numFmtId="0" fontId="8" fillId="0" borderId="6" xfId="13" applyBorder="1" applyAlignment="1">
      <alignment horizontal="center"/>
    </xf>
    <xf numFmtId="0" fontId="39" fillId="0" borderId="18" xfId="13" applyFont="1" applyBorder="1"/>
    <xf numFmtId="0" fontId="40" fillId="0" borderId="6" xfId="13" applyFont="1" applyBorder="1" applyAlignment="1">
      <alignment horizontal="center"/>
    </xf>
    <xf numFmtId="0" fontId="40" fillId="0" borderId="18" xfId="13" applyFont="1" applyBorder="1" applyAlignment="1">
      <alignment horizontal="center"/>
    </xf>
    <xf numFmtId="0" fontId="39" fillId="0" borderId="18" xfId="13" applyFont="1" applyBorder="1" applyAlignment="1">
      <alignment horizontal="center"/>
    </xf>
    <xf numFmtId="0" fontId="41" fillId="0" borderId="9" xfId="13" applyFont="1" applyBorder="1" applyAlignment="1">
      <alignment horizontal="center"/>
    </xf>
    <xf numFmtId="0" fontId="41" fillId="0" borderId="18" xfId="13" applyFont="1" applyBorder="1" applyAlignment="1">
      <alignment horizontal="center"/>
    </xf>
    <xf numFmtId="0" fontId="8" fillId="0" borderId="5" xfId="13" applyBorder="1"/>
    <xf numFmtId="9" fontId="42" fillId="0" borderId="18" xfId="13" applyNumberFormat="1" applyFont="1" applyBorder="1" applyAlignment="1">
      <alignment horizontal="center"/>
    </xf>
    <xf numFmtId="9" fontId="42" fillId="0" borderId="0" xfId="14" applyFont="1" applyAlignment="1">
      <alignment horizontal="center"/>
    </xf>
    <xf numFmtId="9" fontId="42" fillId="0" borderId="8" xfId="13" applyNumberFormat="1" applyFont="1" applyBorder="1" applyAlignment="1">
      <alignment horizontal="center"/>
    </xf>
    <xf numFmtId="0" fontId="8" fillId="0" borderId="2" xfId="13" applyBorder="1" applyAlignment="1">
      <alignment horizontal="center"/>
    </xf>
    <xf numFmtId="0" fontId="8" fillId="0" borderId="18" xfId="13" applyBorder="1" applyAlignment="1">
      <alignment horizontal="center"/>
    </xf>
    <xf numFmtId="9" fontId="42" fillId="0" borderId="8" xfId="13" applyNumberFormat="1" applyFont="1" applyBorder="1"/>
    <xf numFmtId="0" fontId="8" fillId="0" borderId="6" xfId="13" applyBorder="1"/>
    <xf numFmtId="9" fontId="42" fillId="0" borderId="9" xfId="13" applyNumberFormat="1" applyFont="1" applyBorder="1" applyAlignment="1">
      <alignment horizontal="center"/>
    </xf>
    <xf numFmtId="0" fontId="39" fillId="0" borderId="16" xfId="13" applyFont="1" applyBorder="1" applyAlignment="1">
      <alignment horizontal="center"/>
    </xf>
    <xf numFmtId="0" fontId="8" fillId="0" borderId="16" xfId="13" applyBorder="1"/>
    <xf numFmtId="0" fontId="41" fillId="0" borderId="6" xfId="13" applyFont="1" applyBorder="1" applyAlignment="1">
      <alignment horizontal="center"/>
    </xf>
    <xf numFmtId="0" fontId="8" fillId="0" borderId="15" xfId="13" applyBorder="1" applyAlignment="1">
      <alignment horizontal="center"/>
    </xf>
    <xf numFmtId="0" fontId="8" fillId="0" borderId="14" xfId="13" applyBorder="1"/>
    <xf numFmtId="0" fontId="39" fillId="0" borderId="0" xfId="13" applyFont="1"/>
    <xf numFmtId="0" fontId="8" fillId="0" borderId="3" xfId="13" applyBorder="1"/>
    <xf numFmtId="0" fontId="41" fillId="0" borderId="0" xfId="13" applyFont="1"/>
    <xf numFmtId="0" fontId="36" fillId="0" borderId="0" xfId="13" applyFont="1"/>
    <xf numFmtId="0" fontId="40" fillId="0" borderId="0" xfId="13" applyFont="1"/>
    <xf numFmtId="0" fontId="36" fillId="0" borderId="17" xfId="13" applyFont="1" applyBorder="1" applyAlignment="1">
      <alignment horizontal="center"/>
    </xf>
    <xf numFmtId="0" fontId="43" fillId="0" borderId="0" xfId="13" applyFont="1"/>
    <xf numFmtId="0" fontId="8" fillId="0" borderId="5" xfId="13" applyBorder="1" applyAlignment="1">
      <alignment horizontal="center" textRotation="90"/>
    </xf>
    <xf numFmtId="0" fontId="8" fillId="0" borderId="4" xfId="13" applyBorder="1" applyAlignment="1">
      <alignment horizontal="center" textRotation="90"/>
    </xf>
    <xf numFmtId="0" fontId="8" fillId="0" borderId="0" xfId="13" applyAlignment="1">
      <alignment horizontal="center" textRotation="90"/>
    </xf>
    <xf numFmtId="2" fontId="8" fillId="0" borderId="0" xfId="13" applyNumberFormat="1"/>
    <xf numFmtId="0" fontId="44" fillId="0" borderId="0" xfId="15"/>
    <xf numFmtId="1" fontId="44" fillId="0" borderId="0" xfId="15" applyNumberFormat="1"/>
    <xf numFmtId="43" fontId="0" fillId="0" borderId="0" xfId="16" applyFont="1"/>
    <xf numFmtId="0" fontId="44" fillId="0" borderId="0" xfId="15" applyAlignment="1">
      <alignment horizontal="right"/>
    </xf>
    <xf numFmtId="168" fontId="0" fillId="0" borderId="0" xfId="16" applyNumberFormat="1" applyFont="1"/>
    <xf numFmtId="169" fontId="36" fillId="3" borderId="10" xfId="17" applyNumberFormat="1" applyFont="1" applyFill="1" applyBorder="1"/>
    <xf numFmtId="169" fontId="0" fillId="3" borderId="10" xfId="17" applyNumberFormat="1" applyFont="1" applyFill="1" applyBorder="1"/>
    <xf numFmtId="164" fontId="34" fillId="7" borderId="0" xfId="12" applyNumberFormat="1" applyBorder="1"/>
    <xf numFmtId="170" fontId="0" fillId="0" borderId="0" xfId="16" applyNumberFormat="1" applyFont="1"/>
    <xf numFmtId="9" fontId="44" fillId="0" borderId="0" xfId="18" applyFont="1"/>
    <xf numFmtId="171" fontId="44" fillId="0" borderId="0" xfId="15" applyNumberFormat="1" applyFont="1"/>
    <xf numFmtId="171" fontId="44" fillId="0" borderId="0" xfId="16" applyNumberFormat="1" applyFont="1"/>
    <xf numFmtId="171" fontId="45" fillId="0" borderId="0" xfId="16" applyNumberFormat="1" applyFont="1"/>
    <xf numFmtId="164" fontId="44" fillId="0" borderId="0" xfId="15" applyNumberFormat="1" applyFont="1"/>
    <xf numFmtId="164" fontId="44" fillId="0" borderId="0" xfId="15" applyNumberFormat="1"/>
    <xf numFmtId="5" fontId="0" fillId="0" borderId="0" xfId="16" applyNumberFormat="1" applyFont="1"/>
    <xf numFmtId="43" fontId="0" fillId="3" borderId="0" xfId="16" applyFont="1" applyFill="1"/>
    <xf numFmtId="170" fontId="0" fillId="3" borderId="0" xfId="16" applyNumberFormat="1" applyFont="1" applyFill="1"/>
    <xf numFmtId="169" fontId="0" fillId="0" borderId="10" xfId="17" applyNumberFormat="1" applyFont="1" applyBorder="1"/>
    <xf numFmtId="164" fontId="34" fillId="7" borderId="30" xfId="12" applyNumberFormat="1" applyBorder="1"/>
    <xf numFmtId="164" fontId="34" fillId="7" borderId="31" xfId="12" applyNumberFormat="1" applyBorder="1"/>
    <xf numFmtId="0" fontId="46" fillId="0" borderId="10" xfId="13" applyFont="1" applyBorder="1" applyAlignment="1">
      <alignment horizontal="center" wrapText="1"/>
    </xf>
    <xf numFmtId="0" fontId="47" fillId="7" borderId="10" xfId="12" applyFont="1" applyBorder="1" applyAlignment="1">
      <alignment horizontal="center"/>
    </xf>
    <xf numFmtId="0" fontId="25" fillId="0" borderId="10" xfId="13" applyFont="1" applyBorder="1" applyAlignment="1">
      <alignment horizontal="center" wrapText="1"/>
    </xf>
    <xf numFmtId="0" fontId="34" fillId="7" borderId="15" xfId="12" applyBorder="1" applyAlignment="1">
      <alignment horizontal="center"/>
    </xf>
    <xf numFmtId="0" fontId="25" fillId="0" borderId="10" xfId="13" applyFont="1" applyBorder="1" applyAlignment="1">
      <alignment horizontal="center"/>
    </xf>
    <xf numFmtId="0" fontId="44" fillId="3" borderId="0" xfId="15" applyFont="1" applyFill="1" applyAlignment="1">
      <alignment wrapText="1"/>
    </xf>
    <xf numFmtId="0" fontId="44" fillId="0" borderId="0" xfId="15" applyFont="1"/>
    <xf numFmtId="0" fontId="44" fillId="0" borderId="0" xfId="15" applyAlignment="1">
      <alignment wrapText="1"/>
    </xf>
    <xf numFmtId="0" fontId="44" fillId="3" borderId="0" xfId="15" applyFill="1" applyAlignment="1">
      <alignment wrapText="1"/>
    </xf>
    <xf numFmtId="0" fontId="8" fillId="0" borderId="10" xfId="13" applyBorder="1"/>
    <xf numFmtId="0" fontId="48" fillId="0" borderId="15" xfId="13" applyFont="1" applyBorder="1" applyAlignment="1">
      <alignment horizontal="center"/>
    </xf>
    <xf numFmtId="0" fontId="48" fillId="0" borderId="16" xfId="13" applyFont="1" applyBorder="1" applyAlignment="1">
      <alignment horizontal="center"/>
    </xf>
    <xf numFmtId="167" fontId="8" fillId="0" borderId="0" xfId="13" applyNumberFormat="1"/>
    <xf numFmtId="166" fontId="8" fillId="0" borderId="0" xfId="13" applyNumberFormat="1"/>
    <xf numFmtId="0" fontId="37" fillId="0" borderId="0" xfId="13" applyFont="1"/>
    <xf numFmtId="0" fontId="49" fillId="0" borderId="0" xfId="13" applyFont="1" applyAlignment="1">
      <alignment wrapText="1"/>
    </xf>
    <xf numFmtId="0" fontId="50" fillId="0" borderId="0" xfId="13" applyFont="1" applyAlignment="1">
      <alignment wrapText="1"/>
    </xf>
    <xf numFmtId="0" fontId="16" fillId="0" borderId="0" xfId="0" applyFont="1"/>
    <xf numFmtId="0" fontId="7" fillId="0" borderId="5" xfId="13" applyFont="1" applyBorder="1" applyAlignment="1">
      <alignment horizontal="center" textRotation="90"/>
    </xf>
    <xf numFmtId="168" fontId="13" fillId="0" borderId="0" xfId="2" applyNumberFormat="1" applyFont="1"/>
    <xf numFmtId="0" fontId="7" fillId="0" borderId="0" xfId="13" applyFont="1"/>
    <xf numFmtId="0" fontId="7" fillId="0" borderId="0" xfId="13" applyFont="1" applyAlignment="1">
      <alignment horizontal="left" indent="1"/>
    </xf>
    <xf numFmtId="0" fontId="52" fillId="0" borderId="32" xfId="20"/>
    <xf numFmtId="2" fontId="0" fillId="0" borderId="0" xfId="0" applyNumberFormat="1"/>
    <xf numFmtId="0" fontId="7" fillId="0" borderId="9" xfId="13" applyFont="1" applyBorder="1" applyAlignment="1">
      <alignment horizontal="center"/>
    </xf>
    <xf numFmtId="0" fontId="0" fillId="0" borderId="4" xfId="0" applyBorder="1"/>
    <xf numFmtId="2" fontId="0" fillId="0" borderId="4" xfId="0" applyNumberFormat="1" applyBorder="1"/>
    <xf numFmtId="2" fontId="0" fillId="0" borderId="0" xfId="0" applyNumberFormat="1" applyBorder="1"/>
    <xf numFmtId="0" fontId="0" fillId="0" borderId="0" xfId="0" applyBorder="1"/>
    <xf numFmtId="0" fontId="16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166" fontId="0" fillId="0" borderId="0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2" fillId="0" borderId="0" xfId="20" applyBorder="1"/>
    <xf numFmtId="0" fontId="0" fillId="0" borderId="1" xfId="0" applyBorder="1"/>
    <xf numFmtId="0" fontId="10" fillId="0" borderId="6" xfId="0" applyFont="1" applyBorder="1"/>
    <xf numFmtId="0" fontId="10" fillId="0" borderId="7" xfId="0" applyFont="1" applyBorder="1"/>
    <xf numFmtId="0" fontId="10" fillId="0" borderId="8" xfId="0" applyFont="1" applyBorder="1"/>
    <xf numFmtId="166" fontId="0" fillId="0" borderId="2" xfId="0" applyNumberFormat="1" applyBorder="1"/>
    <xf numFmtId="0" fontId="16" fillId="0" borderId="7" xfId="0" applyFont="1" applyBorder="1"/>
    <xf numFmtId="2" fontId="0" fillId="0" borderId="7" xfId="0" applyNumberFormat="1" applyBorder="1"/>
    <xf numFmtId="0" fontId="55" fillId="0" borderId="8" xfId="0" applyFont="1" applyBorder="1"/>
    <xf numFmtId="2" fontId="0" fillId="0" borderId="2" xfId="0" applyNumberFormat="1" applyBorder="1"/>
    <xf numFmtId="2" fontId="55" fillId="0" borderId="8" xfId="0" applyNumberFormat="1" applyFont="1" applyBorder="1"/>
    <xf numFmtId="0" fontId="16" fillId="0" borderId="2" xfId="0" applyFont="1" applyBorder="1"/>
    <xf numFmtId="0" fontId="0" fillId="0" borderId="16" xfId="0" applyBorder="1"/>
    <xf numFmtId="0" fontId="0" fillId="0" borderId="14" xfId="0" applyBorder="1"/>
    <xf numFmtId="0" fontId="16" fillId="0" borderId="14" xfId="0" applyFont="1" applyBorder="1"/>
    <xf numFmtId="0" fontId="0" fillId="0" borderId="15" xfId="0" applyBorder="1"/>
    <xf numFmtId="2" fontId="0" fillId="0" borderId="14" xfId="0" applyNumberFormat="1" applyBorder="1"/>
    <xf numFmtId="166" fontId="0" fillId="0" borderId="7" xfId="0" applyNumberFormat="1" applyBorder="1"/>
    <xf numFmtId="9" fontId="0" fillId="0" borderId="0" xfId="19" applyFont="1"/>
    <xf numFmtId="172" fontId="0" fillId="0" borderId="0" xfId="19" applyNumberFormat="1" applyFont="1"/>
    <xf numFmtId="2" fontId="13" fillId="0" borderId="0" xfId="2" applyNumberFormat="1" applyFont="1"/>
    <xf numFmtId="167" fontId="13" fillId="0" borderId="0" xfId="2" applyNumberFormat="1" applyFont="1"/>
    <xf numFmtId="2" fontId="56" fillId="0" borderId="0" xfId="2" applyNumberFormat="1" applyFont="1"/>
    <xf numFmtId="165" fontId="8" fillId="0" borderId="0" xfId="13" applyNumberFormat="1"/>
    <xf numFmtId="0" fontId="7" fillId="9" borderId="20" xfId="13" applyNumberFormat="1" applyFont="1" applyFill="1" applyBorder="1" applyAlignment="1"/>
    <xf numFmtId="2" fontId="13" fillId="0" borderId="0" xfId="0" applyNumberFormat="1" applyFont="1"/>
    <xf numFmtId="0" fontId="7" fillId="0" borderId="0" xfId="13" applyFont="1" applyAlignment="1">
      <alignment horizontal="left" indent="2"/>
    </xf>
    <xf numFmtId="2" fontId="10" fillId="0" borderId="0" xfId="0" applyNumberFormat="1" applyFont="1"/>
    <xf numFmtId="0" fontId="22" fillId="0" borderId="0" xfId="2" applyFont="1" applyFill="1" applyAlignment="1">
      <alignment wrapText="1"/>
    </xf>
    <xf numFmtId="0" fontId="13" fillId="0" borderId="0" xfId="0" applyFont="1" applyAlignment="1">
      <alignment wrapText="1"/>
    </xf>
    <xf numFmtId="2" fontId="13" fillId="0" borderId="0" xfId="0" applyNumberFormat="1" applyFont="1" applyAlignment="1">
      <alignment horizontal="center"/>
    </xf>
    <xf numFmtId="0" fontId="6" fillId="0" borderId="0" xfId="13" applyFont="1"/>
    <xf numFmtId="172" fontId="0" fillId="0" borderId="3" xfId="19" applyNumberFormat="1" applyFont="1" applyBorder="1"/>
    <xf numFmtId="0" fontId="58" fillId="15" borderId="35" xfId="0" applyFont="1" applyFill="1" applyBorder="1" applyAlignment="1">
      <alignment vertical="center"/>
    </xf>
    <xf numFmtId="0" fontId="58" fillId="15" borderId="27" xfId="0" applyFont="1" applyFill="1" applyBorder="1" applyAlignment="1">
      <alignment horizontal="center" vertical="center"/>
    </xf>
    <xf numFmtId="0" fontId="58" fillId="15" borderId="13" xfId="0" applyFont="1" applyFill="1" applyBorder="1" applyAlignment="1">
      <alignment horizontal="center" vertical="center"/>
    </xf>
    <xf numFmtId="0" fontId="58" fillId="15" borderId="27" xfId="0" applyFont="1" applyFill="1" applyBorder="1" applyAlignment="1">
      <alignment horizontal="center" vertical="center" wrapText="1"/>
    </xf>
    <xf numFmtId="0" fontId="58" fillId="15" borderId="13" xfId="0" applyFont="1" applyFill="1" applyBorder="1" applyAlignment="1">
      <alignment horizontal="center" vertical="center" wrapText="1"/>
    </xf>
    <xf numFmtId="0" fontId="57" fillId="0" borderId="36" xfId="0" applyFont="1" applyBorder="1" applyAlignment="1">
      <alignment vertical="center"/>
    </xf>
    <xf numFmtId="0" fontId="57" fillId="0" borderId="13" xfId="0" applyFont="1" applyBorder="1" applyAlignment="1">
      <alignment horizontal="center" vertical="center"/>
    </xf>
    <xf numFmtId="0" fontId="57" fillId="0" borderId="13" xfId="0" applyFont="1" applyBorder="1" applyAlignment="1">
      <alignment horizontal="center" vertical="center" wrapText="1"/>
    </xf>
    <xf numFmtId="0" fontId="58" fillId="0" borderId="36" xfId="0" applyFont="1" applyBorder="1" applyAlignment="1">
      <alignment vertical="center"/>
    </xf>
    <xf numFmtId="0" fontId="58" fillId="0" borderId="13" xfId="0" applyFont="1" applyBorder="1" applyAlignment="1">
      <alignment horizontal="center" vertical="center"/>
    </xf>
    <xf numFmtId="0" fontId="58" fillId="0" borderId="13" xfId="0" applyFont="1" applyBorder="1" applyAlignment="1">
      <alignment horizontal="center" vertical="center" wrapText="1"/>
    </xf>
    <xf numFmtId="0" fontId="58" fillId="15" borderId="36" xfId="0" applyFont="1" applyFill="1" applyBorder="1" applyAlignment="1">
      <alignment vertical="center"/>
    </xf>
    <xf numFmtId="0" fontId="57" fillId="0" borderId="0" xfId="0" applyFont="1" applyFill="1" applyBorder="1" applyAlignment="1">
      <alignment vertical="center"/>
    </xf>
    <xf numFmtId="0" fontId="57" fillId="0" borderId="0" xfId="0" applyFont="1" applyFill="1" applyBorder="1" applyAlignment="1">
      <alignment horizontal="center" vertical="center"/>
    </xf>
    <xf numFmtId="166" fontId="0" fillId="0" borderId="0" xfId="0" applyNumberFormat="1"/>
    <xf numFmtId="0" fontId="58" fillId="15" borderId="35" xfId="0" applyFont="1" applyFill="1" applyBorder="1" applyAlignment="1">
      <alignment horizontal="center" vertical="center" wrapText="1"/>
    </xf>
    <xf numFmtId="165" fontId="0" fillId="0" borderId="0" xfId="0" applyNumberFormat="1"/>
    <xf numFmtId="173" fontId="0" fillId="0" borderId="0" xfId="19" applyNumberFormat="1" applyFont="1"/>
    <xf numFmtId="0" fontId="6" fillId="0" borderId="5" xfId="13" applyFont="1" applyBorder="1" applyAlignment="1">
      <alignment horizontal="center" textRotation="90"/>
    </xf>
    <xf numFmtId="0" fontId="13" fillId="0" borderId="0" xfId="2" applyFont="1" applyFill="1" applyAlignment="1">
      <alignment wrapText="1"/>
    </xf>
    <xf numFmtId="166" fontId="13" fillId="0" borderId="0" xfId="2" applyNumberFormat="1" applyFont="1"/>
    <xf numFmtId="166" fontId="13" fillId="0" borderId="0" xfId="2" applyNumberFormat="1" applyFont="1" applyFill="1"/>
    <xf numFmtId="166" fontId="13" fillId="0" borderId="0" xfId="0" applyNumberFormat="1" applyFont="1"/>
    <xf numFmtId="166" fontId="13" fillId="0" borderId="0" xfId="0" applyNumberFormat="1" applyFont="1" applyAlignment="1">
      <alignment horizontal="center"/>
    </xf>
    <xf numFmtId="0" fontId="59" fillId="0" borderId="0" xfId="23"/>
    <xf numFmtId="0" fontId="60" fillId="16" borderId="19" xfId="24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  <xf numFmtId="1" fontId="0" fillId="0" borderId="0" xfId="0" applyNumberFormat="1"/>
    <xf numFmtId="0" fontId="5" fillId="0" borderId="0" xfId="13" applyFont="1"/>
    <xf numFmtId="0" fontId="16" fillId="0" borderId="0" xfId="0" applyFont="1" applyFill="1" applyBorder="1"/>
    <xf numFmtId="0" fontId="12" fillId="0" borderId="0" xfId="0" applyFont="1" applyAlignment="1">
      <alignment horizontal="left"/>
    </xf>
    <xf numFmtId="0" fontId="13" fillId="0" borderId="0" xfId="2" applyFont="1" applyAlignment="1">
      <alignment horizontal="left"/>
    </xf>
    <xf numFmtId="0" fontId="54" fillId="14" borderId="0" xfId="22" applyAlignment="1">
      <alignment horizontal="left"/>
    </xf>
    <xf numFmtId="0" fontId="30" fillId="0" borderId="0" xfId="2" applyFont="1" applyFill="1" applyAlignment="1">
      <alignment horizontal="left"/>
    </xf>
    <xf numFmtId="0" fontId="13" fillId="0" borderId="0" xfId="0" applyFont="1" applyAlignment="1">
      <alignment horizontal="left"/>
    </xf>
    <xf numFmtId="0" fontId="16" fillId="0" borderId="4" xfId="0" applyFont="1" applyBorder="1"/>
    <xf numFmtId="171" fontId="45" fillId="0" borderId="0" xfId="15" applyNumberFormat="1" applyFont="1"/>
    <xf numFmtId="0" fontId="13" fillId="0" borderId="0" xfId="2" applyNumberFormat="1" applyFont="1" applyAlignment="1">
      <alignment horizontal="center"/>
    </xf>
    <xf numFmtId="0" fontId="13" fillId="0" borderId="0" xfId="0" applyNumberFormat="1" applyFont="1" applyAlignment="1">
      <alignment horizontal="center"/>
    </xf>
    <xf numFmtId="167" fontId="0" fillId="0" borderId="0" xfId="0" applyNumberFormat="1"/>
    <xf numFmtId="167" fontId="13" fillId="0" borderId="0" xfId="0" applyNumberFormat="1" applyFont="1" applyAlignment="1">
      <alignment horizontal="center"/>
    </xf>
    <xf numFmtId="0" fontId="4" fillId="0" borderId="9" xfId="13" applyFont="1" applyBorder="1" applyAlignment="1">
      <alignment horizontal="center"/>
    </xf>
    <xf numFmtId="0" fontId="4" fillId="0" borderId="5" xfId="13" applyFont="1" applyBorder="1" applyAlignment="1">
      <alignment horizontal="center" textRotation="90"/>
    </xf>
    <xf numFmtId="17" fontId="0" fillId="0" borderId="0" xfId="0" applyNumberFormat="1"/>
    <xf numFmtId="0" fontId="53" fillId="0" borderId="34" xfId="21" applyBorder="1" applyAlignment="1">
      <alignment horizontal="center"/>
    </xf>
    <xf numFmtId="174" fontId="0" fillId="0" borderId="0" xfId="25" applyNumberFormat="1" applyFont="1"/>
    <xf numFmtId="174" fontId="52" fillId="0" borderId="32" xfId="25" applyNumberFormat="1" applyFont="1" applyBorder="1"/>
    <xf numFmtId="174" fontId="16" fillId="0" borderId="0" xfId="25" applyNumberFormat="1" applyFont="1"/>
    <xf numFmtId="175" fontId="0" fillId="0" borderId="0" xfId="25" applyNumberFormat="1" applyFont="1"/>
    <xf numFmtId="2" fontId="55" fillId="0" borderId="0" xfId="0" applyNumberFormat="1" applyFont="1"/>
    <xf numFmtId="3" fontId="0" fillId="0" borderId="0" xfId="0" applyNumberFormat="1"/>
    <xf numFmtId="165" fontId="0" fillId="0" borderId="13" xfId="0" applyNumberFormat="1" applyBorder="1"/>
    <xf numFmtId="165" fontId="0" fillId="0" borderId="11" xfId="0" applyNumberFormat="1" applyBorder="1"/>
    <xf numFmtId="1" fontId="0" fillId="0" borderId="11" xfId="0" applyNumberFormat="1" applyBorder="1"/>
    <xf numFmtId="0" fontId="0" fillId="0" borderId="11" xfId="0" applyBorder="1"/>
    <xf numFmtId="0" fontId="0" fillId="0" borderId="26" xfId="0" applyBorder="1"/>
    <xf numFmtId="1" fontId="0" fillId="0" borderId="12" xfId="0" applyNumberFormat="1" applyBorder="1"/>
    <xf numFmtId="0" fontId="0" fillId="0" borderId="25" xfId="0" applyBorder="1"/>
    <xf numFmtId="165" fontId="0" fillId="0" borderId="12" xfId="0" applyNumberFormat="1" applyBorder="1"/>
    <xf numFmtId="0" fontId="0" fillId="0" borderId="12" xfId="0" applyBorder="1"/>
    <xf numFmtId="0" fontId="0" fillId="0" borderId="0" xfId="0" applyAlignment="1">
      <alignment horizontal="right"/>
    </xf>
    <xf numFmtId="0" fontId="0" fillId="0" borderId="25" xfId="0" applyBorder="1" applyAlignment="1">
      <alignment horizontal="left"/>
    </xf>
    <xf numFmtId="0" fontId="0" fillId="0" borderId="27" xfId="0" applyBorder="1"/>
    <xf numFmtId="0" fontId="0" fillId="0" borderId="28" xfId="0" applyBorder="1"/>
    <xf numFmtId="0" fontId="63" fillId="0" borderId="0" xfId="0" applyFont="1"/>
    <xf numFmtId="176" fontId="0" fillId="0" borderId="0" xfId="0" applyNumberFormat="1"/>
    <xf numFmtId="2" fontId="16" fillId="0" borderId="7" xfId="0" applyNumberFormat="1" applyFont="1" applyBorder="1"/>
    <xf numFmtId="166" fontId="16" fillId="0" borderId="8" xfId="0" applyNumberFormat="1" applyFont="1" applyBorder="1"/>
    <xf numFmtId="0" fontId="3" fillId="0" borderId="5" xfId="13" applyFont="1" applyBorder="1" applyAlignment="1">
      <alignment horizontal="center" textRotation="90"/>
    </xf>
    <xf numFmtId="0" fontId="3" fillId="0" borderId="9" xfId="13" applyFont="1" applyBorder="1" applyAlignment="1">
      <alignment horizontal="center"/>
    </xf>
    <xf numFmtId="0" fontId="8" fillId="0" borderId="16" xfId="13" applyBorder="1" applyAlignment="1">
      <alignment horizontal="center"/>
    </xf>
    <xf numFmtId="0" fontId="8" fillId="0" borderId="1" xfId="13" applyBorder="1"/>
    <xf numFmtId="10" fontId="0" fillId="0" borderId="0" xfId="0" applyNumberFormat="1"/>
    <xf numFmtId="166" fontId="16" fillId="0" borderId="5" xfId="0" applyNumberFormat="1" applyFont="1" applyBorder="1"/>
    <xf numFmtId="166" fontId="16" fillId="0" borderId="2" xfId="0" applyNumberFormat="1" applyFont="1" applyBorder="1"/>
    <xf numFmtId="2" fontId="16" fillId="0" borderId="14" xfId="0" applyNumberFormat="1" applyFont="1" applyBorder="1"/>
    <xf numFmtId="0" fontId="0" fillId="17" borderId="27" xfId="0" applyFill="1" applyBorder="1" applyAlignment="1">
      <alignment vertical="center"/>
    </xf>
    <xf numFmtId="0" fontId="64" fillId="17" borderId="35" xfId="0" applyFont="1" applyFill="1" applyBorder="1" applyAlignment="1">
      <alignment horizontal="center" vertical="center" wrapText="1"/>
    </xf>
    <xf numFmtId="0" fontId="64" fillId="17" borderId="35" xfId="0" applyFont="1" applyFill="1" applyBorder="1" applyAlignment="1">
      <alignment vertical="center" wrapText="1"/>
    </xf>
    <xf numFmtId="0" fontId="64" fillId="17" borderId="13" xfId="0" applyFont="1" applyFill="1" applyBorder="1" applyAlignment="1">
      <alignment vertical="center"/>
    </xf>
    <xf numFmtId="0" fontId="64" fillId="17" borderId="36" xfId="0" applyFont="1" applyFill="1" applyBorder="1" applyAlignment="1">
      <alignment horizontal="center" vertical="center" wrapText="1"/>
    </xf>
    <xf numFmtId="0" fontId="64" fillId="17" borderId="36" xfId="0" applyFont="1" applyFill="1" applyBorder="1" applyAlignment="1">
      <alignment vertical="center" wrapText="1"/>
    </xf>
    <xf numFmtId="0" fontId="64" fillId="17" borderId="36" xfId="0" applyFont="1" applyFill="1" applyBorder="1" applyAlignment="1">
      <alignment vertical="center"/>
    </xf>
    <xf numFmtId="0" fontId="64" fillId="17" borderId="13" xfId="0" applyFont="1" applyFill="1" applyBorder="1" applyAlignment="1">
      <alignment horizontal="right" vertical="center"/>
    </xf>
    <xf numFmtId="0" fontId="0" fillId="0" borderId="0" xfId="0" applyNumberFormat="1"/>
    <xf numFmtId="0" fontId="2" fillId="0" borderId="5" xfId="13" applyFont="1" applyBorder="1" applyAlignment="1">
      <alignment horizontal="center" textRotation="90"/>
    </xf>
    <xf numFmtId="0" fontId="16" fillId="0" borderId="3" xfId="0" applyFont="1" applyBorder="1"/>
    <xf numFmtId="2" fontId="16" fillId="0" borderId="3" xfId="0" applyNumberFormat="1" applyFont="1" applyBorder="1"/>
    <xf numFmtId="166" fontId="0" fillId="0" borderId="8" xfId="0" applyNumberFormat="1" applyBorder="1"/>
    <xf numFmtId="2" fontId="0" fillId="0" borderId="2" xfId="0" applyNumberFormat="1" applyFill="1" applyBorder="1"/>
    <xf numFmtId="2" fontId="0" fillId="0" borderId="7" xfId="0" applyNumberFormat="1" applyFill="1" applyBorder="1"/>
    <xf numFmtId="0" fontId="63" fillId="0" borderId="0" xfId="0" applyFont="1" applyAlignment="1">
      <alignment vertical="center" wrapText="1"/>
    </xf>
    <xf numFmtId="174" fontId="0" fillId="0" borderId="0" xfId="0" applyNumberFormat="1"/>
    <xf numFmtId="0" fontId="60" fillId="16" borderId="19" xfId="24"/>
    <xf numFmtId="0" fontId="1" fillId="0" borderId="5" xfId="13" applyFont="1" applyBorder="1" applyAlignment="1">
      <alignment horizontal="center" textRotation="90"/>
    </xf>
    <xf numFmtId="0" fontId="64" fillId="17" borderId="37" xfId="0" applyFont="1" applyFill="1" applyBorder="1" applyAlignment="1">
      <alignment vertical="center"/>
    </xf>
    <xf numFmtId="0" fontId="64" fillId="17" borderId="12" xfId="0" applyFont="1" applyFill="1" applyBorder="1" applyAlignment="1">
      <alignment horizontal="right" vertical="center"/>
    </xf>
    <xf numFmtId="0" fontId="64" fillId="17" borderId="0" xfId="0" applyFont="1" applyFill="1" applyBorder="1" applyAlignment="1">
      <alignment horizontal="right" vertical="center"/>
    </xf>
    <xf numFmtId="0" fontId="0" fillId="17" borderId="0" xfId="0" applyFill="1"/>
    <xf numFmtId="0" fontId="66" fillId="17" borderId="13" xfId="0" applyFont="1" applyFill="1" applyBorder="1" applyAlignment="1">
      <alignment vertical="center" wrapText="1"/>
    </xf>
    <xf numFmtId="0" fontId="67" fillId="17" borderId="13" xfId="0" applyFont="1" applyFill="1" applyBorder="1" applyAlignment="1">
      <alignment vertical="center"/>
    </xf>
    <xf numFmtId="0" fontId="67" fillId="17" borderId="37" xfId="0" applyFont="1" applyFill="1" applyBorder="1" applyAlignment="1">
      <alignment vertical="center"/>
    </xf>
    <xf numFmtId="2" fontId="16" fillId="0" borderId="2" xfId="0" applyNumberFormat="1" applyFont="1" applyBorder="1"/>
    <xf numFmtId="0" fontId="0" fillId="0" borderId="10" xfId="0" applyBorder="1"/>
    <xf numFmtId="166" fontId="0" fillId="0" borderId="10" xfId="0" applyNumberFormat="1" applyBorder="1"/>
    <xf numFmtId="1" fontId="0" fillId="0" borderId="10" xfId="0" applyNumberFormat="1" applyBorder="1"/>
    <xf numFmtId="165" fontId="0" fillId="0" borderId="10" xfId="0" applyNumberFormat="1" applyBorder="1"/>
    <xf numFmtId="9" fontId="0" fillId="0" borderId="4" xfId="19" applyFont="1" applyBorder="1"/>
    <xf numFmtId="165" fontId="0" fillId="0" borderId="0" xfId="0" applyNumberFormat="1" applyFill="1" applyBorder="1"/>
    <xf numFmtId="0" fontId="67" fillId="17" borderId="0" xfId="0" applyFont="1" applyFill="1" applyBorder="1" applyAlignment="1">
      <alignment vertical="center"/>
    </xf>
    <xf numFmtId="172" fontId="0" fillId="0" borderId="0" xfId="19" applyNumberFormat="1" applyFont="1" applyFill="1" applyBorder="1"/>
    <xf numFmtId="0" fontId="66" fillId="17" borderId="35" xfId="0" applyFont="1" applyFill="1" applyBorder="1" applyAlignment="1">
      <alignment vertical="center" wrapText="1"/>
    </xf>
    <xf numFmtId="0" fontId="67" fillId="17" borderId="35" xfId="0" applyFont="1" applyFill="1" applyBorder="1" applyAlignment="1">
      <alignment vertical="center" wrapText="1"/>
    </xf>
    <xf numFmtId="0" fontId="66" fillId="17" borderId="36" xfId="0" applyFont="1" applyFill="1" applyBorder="1" applyAlignment="1">
      <alignment vertical="center" wrapText="1"/>
    </xf>
    <xf numFmtId="0" fontId="67" fillId="17" borderId="36" xfId="0" applyFont="1" applyFill="1" applyBorder="1" applyAlignment="1">
      <alignment vertical="center" wrapText="1"/>
    </xf>
    <xf numFmtId="177" fontId="44" fillId="0" borderId="0" xfId="15" applyNumberFormat="1"/>
    <xf numFmtId="0" fontId="0" fillId="0" borderId="29" xfId="0" applyBorder="1" applyAlignment="1">
      <alignment horizontal="center"/>
    </xf>
    <xf numFmtId="0" fontId="0" fillId="0" borderId="28" xfId="0" applyBorder="1" applyAlignment="1">
      <alignment horizontal="center"/>
    </xf>
  </cellXfs>
  <cellStyles count="26">
    <cellStyle name="Bad" xfId="22" builtinId="27"/>
    <cellStyle name="Calculation" xfId="12" builtinId="22"/>
    <cellStyle name="Comma" xfId="25" builtinId="3"/>
    <cellStyle name="Comma 2" xfId="7" xr:uid="{00000000-0005-0000-0000-000000000000}"/>
    <cellStyle name="Comma 2 2" xfId="16" xr:uid="{2D29F2AE-A72A-4F35-A2CA-2C4A01C4F113}"/>
    <cellStyle name="Comma 2 3" xfId="6" xr:uid="{00000000-0005-0000-0000-000001000000}"/>
    <cellStyle name="Comma 3" xfId="17" xr:uid="{C170A3C1-B68E-4AAE-92F6-CE979AB71698}"/>
    <cellStyle name="Heading 2" xfId="20" builtinId="17"/>
    <cellStyle name="Heading 3" xfId="21" builtinId="18"/>
    <cellStyle name="Hyperlink" xfId="23" builtinId="8"/>
    <cellStyle name="Hyperlink 2" xfId="11" xr:uid="{00000000-0005-0000-0000-000003000000}"/>
    <cellStyle name="Input" xfId="24" builtinId="20"/>
    <cellStyle name="Normal" xfId="0" builtinId="0"/>
    <cellStyle name="Normal 10 4" xfId="10" xr:uid="{00000000-0005-0000-0000-000005000000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3" xfId="15" xr:uid="{4AB230A0-E2D6-4984-83A4-4F34927A69CA}"/>
    <cellStyle name="Normal 3" xfId="5" xr:uid="{00000000-0005-0000-0000-00000B000000}"/>
    <cellStyle name="Normal 4" xfId="13" xr:uid="{0BAD2C5B-36F5-4320-A9B9-F030A7823A07}"/>
    <cellStyle name="Percent" xfId="19" builtinId="5"/>
    <cellStyle name="Percent 2" xfId="14" xr:uid="{6FC4F8D8-ECD7-4A9E-B183-CAC9CE80278F}"/>
    <cellStyle name="Percent 2 2" xfId="18" xr:uid="{FFCF24A5-FA7A-4E91-8E3F-2BDE50B65C19}"/>
    <cellStyle name="Percent 3" xfId="8" xr:uid="{00000000-0005-0000-0000-000010000000}"/>
  </cellStyles>
  <dxfs count="123">
    <dxf>
      <numFmt numFmtId="0" formatCode="General"/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</dxf>
    <dxf>
      <numFmt numFmtId="0" formatCode="General"/>
      <fill>
        <patternFill patternType="solid">
          <fgColor indexed="64"/>
          <bgColor theme="0" tint="-0.49998474074526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 patternType="solid">
          <fgColor indexed="64"/>
          <bgColor theme="0" tint="-0.499984740745262"/>
        </patternFill>
      </fill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 patternType="solid">
          <fgColor indexed="64"/>
          <bgColor theme="0" tint="-0.49998474074526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indexed="64"/>
          <bgColor theme="0" tint="-0.49998474074526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indexed="64"/>
          <bgColor theme="0" tint="-0.49998474074526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indexed="64"/>
          <bgColor theme="0" tint="-0.49998474074526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indexed="64"/>
          <bgColor theme="0" tint="-0.49998474074526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indexed="64"/>
          <bgColor theme="0" tint="-0.49998474074526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indexed="64"/>
          <bgColor theme="0" tint="-0.49998474074526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indexed="64"/>
          <bgColor theme="0" tint="-0.49998474074526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indexed="64"/>
          <bgColor theme="0" tint="-0.49998474074526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indexed="64"/>
          <bgColor theme="0" tint="-0.49998474074526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indexed="64"/>
          <bgColor theme="0" tint="-0.49998474074526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indexed="64"/>
          <bgColor theme="0" tint="-0.49998474074526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none"/>
      </font>
      <fill>
        <patternFill patternType="solid">
          <fgColor theme="1"/>
          <bgColor theme="1"/>
        </patternFill>
      </fill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right style="thin">
          <color indexed="64"/>
        </right>
      </border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none"/>
      </font>
      <fill>
        <patternFill patternType="solid">
          <fgColor theme="1"/>
          <bgColor theme="1"/>
        </patternFill>
      </fill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99CCFF"/>
        </patternFill>
      </fill>
      <border diagonalUp="0" diagonalDown="0" outline="0">
        <left/>
        <right style="medium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99CCFF"/>
        </patternFill>
      </fill>
    </dxf>
    <dxf>
      <numFmt numFmtId="0" formatCode="General"/>
      <fill>
        <patternFill patternType="solid">
          <fgColor indexed="64"/>
          <bgColor rgb="FF99CCFF"/>
        </patternFill>
      </fill>
    </dxf>
    <dxf>
      <numFmt numFmtId="0" formatCode="General"/>
      <fill>
        <patternFill patternType="solid">
          <fgColor indexed="64"/>
          <bgColor rgb="FF99CCFF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99CCFF"/>
        </patternFill>
      </fill>
      <border diagonalUp="0" diagonalDown="0" outline="0">
        <left/>
        <right style="medium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99CCFF"/>
        </patternFill>
      </fill>
    </dxf>
    <dxf>
      <numFmt numFmtId="0" formatCode="General"/>
      <fill>
        <patternFill patternType="solid">
          <fgColor indexed="64"/>
          <bgColor rgb="FF99CCFF"/>
        </patternFill>
      </fill>
    </dxf>
    <dxf>
      <numFmt numFmtId="0" formatCode="General"/>
      <fill>
        <patternFill patternType="solid">
          <fgColor indexed="64"/>
          <bgColor rgb="FF99CCFF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ill>
        <patternFill patternType="solid">
          <fgColor indexed="64"/>
          <bgColor rgb="FF66FF9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22"/>
      <tableStyleElement type="headerRow" dxfId="12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267452306716693"/>
          <c:y val="0.1021763085399449"/>
          <c:w val="0.8345141421080754"/>
          <c:h val="0.634533524218563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Costs_Exist!$A$68</c:f>
              <c:strCache>
                <c:ptCount val="1"/>
                <c:pt idx="0">
                  <c:v>Cane Supply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Costs_Exist!$B$67:$C$67</c:f>
              <c:strCache>
                <c:ptCount val="2"/>
                <c:pt idx="0">
                  <c:v>Costs(mR)</c:v>
                </c:pt>
                <c:pt idx="1">
                  <c:v>Revenue (Rm)</c:v>
                </c:pt>
              </c:strCache>
            </c:strRef>
          </c:cat>
          <c:val>
            <c:numRef>
              <c:f>Costs_Exist!$B$68:$C$68</c:f>
              <c:numCache>
                <c:formatCode>_-* #,##0.0_-;\-* #,##0.0_-;_-* "-"??_-;_-@_-</c:formatCode>
                <c:ptCount val="2"/>
                <c:pt idx="0">
                  <c:v>8594.297106359998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A-480A-8C03-1745B4A08E13}"/>
            </c:ext>
          </c:extLst>
        </c:ser>
        <c:ser>
          <c:idx val="1"/>
          <c:order val="1"/>
          <c:tx>
            <c:strRef>
              <c:f>Costs_Exist!$A$69</c:f>
              <c:strCache>
                <c:ptCount val="1"/>
                <c:pt idx="0">
                  <c:v>Mill O&amp;M (incl. Bagasse+juice handling)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Costs_Exist!$B$67:$C$67</c:f>
              <c:strCache>
                <c:ptCount val="2"/>
                <c:pt idx="0">
                  <c:v>Costs(mR)</c:v>
                </c:pt>
                <c:pt idx="1">
                  <c:v>Revenue (Rm)</c:v>
                </c:pt>
              </c:strCache>
            </c:strRef>
          </c:cat>
          <c:val>
            <c:numRef>
              <c:f>Costs_Exist!$B$69:$C$69</c:f>
              <c:numCache>
                <c:formatCode>_-* #,##0.0_-;\-* #,##0.0_-;_-* "-"??_-;_-@_-</c:formatCode>
                <c:ptCount val="2"/>
                <c:pt idx="0">
                  <c:v>2672.133499747812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7A-480A-8C03-1745B4A08E13}"/>
            </c:ext>
          </c:extLst>
        </c:ser>
        <c:ser>
          <c:idx val="2"/>
          <c:order val="2"/>
          <c:tx>
            <c:strRef>
              <c:f>Costs_Exist!$A$70</c:f>
              <c:strCache>
                <c:ptCount val="1"/>
                <c:pt idx="0">
                  <c:v>CHP O&amp;M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Costs_Exist!$B$67:$C$67</c:f>
              <c:strCache>
                <c:ptCount val="2"/>
                <c:pt idx="0">
                  <c:v>Costs(mR)</c:v>
                </c:pt>
                <c:pt idx="1">
                  <c:v>Revenue (Rm)</c:v>
                </c:pt>
              </c:strCache>
            </c:strRef>
          </c:cat>
          <c:val>
            <c:numRef>
              <c:f>Costs_Exist!$B$70:$C$70</c:f>
              <c:numCache>
                <c:formatCode>_-* #,##0.0_-;\-* #,##0.0_-;_-* "-"??_-;_-@_-</c:formatCode>
                <c:ptCount val="2"/>
                <c:pt idx="0">
                  <c:v>853.95220924970022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7A-480A-8C03-1745B4A08E13}"/>
            </c:ext>
          </c:extLst>
        </c:ser>
        <c:ser>
          <c:idx val="3"/>
          <c:order val="3"/>
          <c:tx>
            <c:strRef>
              <c:f>Costs_Exist!$A$71</c:f>
              <c:strCache>
                <c:ptCount val="1"/>
                <c:pt idx="0">
                  <c:v>Other Fuels (coal+woodchips)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Costs_Exist!$B$67:$C$67</c:f>
              <c:strCache>
                <c:ptCount val="2"/>
                <c:pt idx="0">
                  <c:v>Costs(mR)</c:v>
                </c:pt>
                <c:pt idx="1">
                  <c:v>Revenue (Rm)</c:v>
                </c:pt>
              </c:strCache>
            </c:strRef>
          </c:cat>
          <c:val>
            <c:numRef>
              <c:f>Costs_Exist!$B$71:$C$71</c:f>
              <c:numCache>
                <c:formatCode>_-* #,##0.0_-;\-* #,##0.0_-;_-* "-"??_-;_-@_-</c:formatCode>
                <c:ptCount val="2"/>
                <c:pt idx="0">
                  <c:v>344.68266085314247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7A-480A-8C03-1745B4A08E13}"/>
            </c:ext>
          </c:extLst>
        </c:ser>
        <c:ser>
          <c:idx val="4"/>
          <c:order val="4"/>
          <c:tx>
            <c:strRef>
              <c:f>Costs_Exist!$A$72</c:f>
              <c:strCache>
                <c:ptCount val="1"/>
                <c:pt idx="0">
                  <c:v>Electricity Imports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Costs_Exist!$B$67:$C$67</c:f>
              <c:strCache>
                <c:ptCount val="2"/>
                <c:pt idx="0">
                  <c:v>Costs(mR)</c:v>
                </c:pt>
                <c:pt idx="1">
                  <c:v>Revenue (Rm)</c:v>
                </c:pt>
              </c:strCache>
            </c:strRef>
          </c:cat>
          <c:val>
            <c:numRef>
              <c:f>Costs_Exist!$B$72:$C$72</c:f>
              <c:numCache>
                <c:formatCode>_-* #,##0.0_-;\-* #,##0.0_-;_-* "-"??_-;_-@_-</c:formatCode>
                <c:ptCount val="2"/>
                <c:pt idx="0">
                  <c:v>138.49573377999999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7A-480A-8C03-1745B4A08E13}"/>
            </c:ext>
          </c:extLst>
        </c:ser>
        <c:ser>
          <c:idx val="5"/>
          <c:order val="5"/>
          <c:tx>
            <c:strRef>
              <c:f>Costs_Exist!$A$73</c:f>
              <c:strCache>
                <c:ptCount val="1"/>
                <c:pt idx="0">
                  <c:v>B&amp;C Stage O&amp;M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Costs_Exist!$B$67:$C$67</c:f>
              <c:strCache>
                <c:ptCount val="2"/>
                <c:pt idx="0">
                  <c:v>Costs(mR)</c:v>
                </c:pt>
                <c:pt idx="1">
                  <c:v>Revenue (Rm)</c:v>
                </c:pt>
              </c:strCache>
            </c:strRef>
          </c:cat>
          <c:val>
            <c:numRef>
              <c:f>Costs_Exist!$B$73:$C$73</c:f>
              <c:numCache>
                <c:formatCode>_-* #,##0.0_-;\-* #,##0.0_-;_-* "-"??_-;_-@_-</c:formatCode>
                <c:ptCount val="2"/>
                <c:pt idx="0">
                  <c:v>230.36045428582025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7A-480A-8C03-1745B4A08E13}"/>
            </c:ext>
          </c:extLst>
        </c:ser>
        <c:ser>
          <c:idx val="6"/>
          <c:order val="6"/>
          <c:tx>
            <c:strRef>
              <c:f>Costs_Exist!$A$74</c:f>
              <c:strCache>
                <c:ptCount val="1"/>
                <c:pt idx="0">
                  <c:v>Business Overhead Costs and taxes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Costs_Exist!$B$67:$C$67</c:f>
              <c:strCache>
                <c:ptCount val="2"/>
                <c:pt idx="0">
                  <c:v>Costs(mR)</c:v>
                </c:pt>
                <c:pt idx="1">
                  <c:v>Revenue (Rm)</c:v>
                </c:pt>
              </c:strCache>
            </c:strRef>
          </c:cat>
          <c:val>
            <c:numRef>
              <c:f>Costs_Exist!$B$74:$C$74</c:f>
              <c:numCache>
                <c:formatCode>_-* #,##0.0_-;\-* #,##0.0_-;_-* "-"??_-;_-@_-</c:formatCode>
                <c:ptCount val="2"/>
                <c:pt idx="0">
                  <c:v>678.0613561454411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7A-480A-8C03-1745B4A08E13}"/>
            </c:ext>
          </c:extLst>
        </c:ser>
        <c:ser>
          <c:idx val="7"/>
          <c:order val="7"/>
          <c:tx>
            <c:strRef>
              <c:f>Costs_Exist!$A$75</c:f>
              <c:strCache>
                <c:ptCount val="1"/>
                <c:pt idx="0">
                  <c:v>Sugar Sales Domestic (net of industry costs)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Costs_Exist!$B$67:$C$67</c:f>
              <c:strCache>
                <c:ptCount val="2"/>
                <c:pt idx="0">
                  <c:v>Costs(mR)</c:v>
                </c:pt>
                <c:pt idx="1">
                  <c:v>Revenue (Rm)</c:v>
                </c:pt>
              </c:strCache>
            </c:strRef>
          </c:cat>
          <c:val>
            <c:numRef>
              <c:f>Costs_Exist!$B$75:$C$75</c:f>
              <c:numCache>
                <c:formatCode>_-* #,##0.0_-;\-* #,##0.0_-;_-* "-"??_-;_-@_-</c:formatCode>
                <c:ptCount val="2"/>
                <c:pt idx="1">
                  <c:v>8436.7089300999996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37A-480A-8C03-1745B4A08E13}"/>
            </c:ext>
          </c:extLst>
        </c:ser>
        <c:ser>
          <c:idx val="8"/>
          <c:order val="8"/>
          <c:tx>
            <c:strRef>
              <c:f>Costs_Exist!$A$76</c:f>
              <c:strCache>
                <c:ptCount val="1"/>
                <c:pt idx="0">
                  <c:v>Sugar Sales Exports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Costs_Exist!$B$67:$C$67</c:f>
              <c:strCache>
                <c:ptCount val="2"/>
                <c:pt idx="0">
                  <c:v>Costs(mR)</c:v>
                </c:pt>
                <c:pt idx="1">
                  <c:v>Revenue (Rm)</c:v>
                </c:pt>
              </c:strCache>
            </c:strRef>
          </c:cat>
          <c:val>
            <c:numRef>
              <c:f>Costs_Exist!$B$76:$C$76</c:f>
              <c:numCache>
                <c:formatCode>_-* #,##0.0_-;\-* #,##0.0_-;_-* "-"??_-;_-@_-</c:formatCode>
                <c:ptCount val="2"/>
                <c:pt idx="1">
                  <c:v>4188.8957023499997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7A-480A-8C03-1745B4A08E13}"/>
            </c:ext>
          </c:extLst>
        </c:ser>
        <c:ser>
          <c:idx val="9"/>
          <c:order val="9"/>
          <c:tx>
            <c:strRef>
              <c:f>Costs_Exist!$A$77</c:f>
              <c:strCache>
                <c:ptCount val="1"/>
                <c:pt idx="0">
                  <c:v>Electricity Sales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Costs_Exist!$B$67:$C$67</c:f>
              <c:strCache>
                <c:ptCount val="2"/>
                <c:pt idx="0">
                  <c:v>Costs(mR)</c:v>
                </c:pt>
                <c:pt idx="1">
                  <c:v>Revenue (Rm)</c:v>
                </c:pt>
              </c:strCache>
            </c:strRef>
          </c:cat>
          <c:val>
            <c:numRef>
              <c:f>Costs_Exist!$B$77:$C$77</c:f>
              <c:numCache>
                <c:formatCode>_-* #,##0.0_-;\-* #,##0.0_-;_-* "-"??_-;_-@_-</c:formatCode>
                <c:ptCount val="2"/>
                <c:pt idx="1">
                  <c:v>124.59757199999987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37A-480A-8C03-1745B4A08E13}"/>
            </c:ext>
          </c:extLst>
        </c:ser>
        <c:ser>
          <c:idx val="10"/>
          <c:order val="10"/>
          <c:tx>
            <c:strRef>
              <c:f>Costs_Exist!$A$78</c:f>
              <c:strCache>
                <c:ptCount val="1"/>
                <c:pt idx="0">
                  <c:v>Molasses Sales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Costs_Exist!$B$67:$C$67</c:f>
              <c:strCache>
                <c:ptCount val="2"/>
                <c:pt idx="0">
                  <c:v>Costs(mR)</c:v>
                </c:pt>
                <c:pt idx="1">
                  <c:v>Revenue (Rm)</c:v>
                </c:pt>
              </c:strCache>
            </c:strRef>
          </c:cat>
          <c:val>
            <c:numRef>
              <c:f>Costs_Exist!$B$78:$C$78</c:f>
              <c:numCache>
                <c:formatCode>_-* #,##0.0_-;\-* #,##0.0_-;_-* "-"??_-;_-@_-</c:formatCode>
                <c:ptCount val="2"/>
                <c:pt idx="1">
                  <c:v>761.78081597191726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7A-480A-8C03-1745B4A08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9813264"/>
        <c:axId val="1595242912"/>
      </c:barChart>
      <c:catAx>
        <c:axId val="120981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5242912"/>
        <c:crosses val="autoZero"/>
        <c:auto val="1"/>
        <c:lblAlgn val="ctr"/>
        <c:lblOffset val="100"/>
        <c:noMultiLvlLbl val="0"/>
      </c:catAx>
      <c:valAx>
        <c:axId val="159524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813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7877362645105593E-3"/>
          <c:y val="0.79235244354786227"/>
          <c:w val="0.96551028436881636"/>
          <c:h val="0.177344526149107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SugarPrices!$A$6:$A$24</c:f>
              <c:strCache>
                <c:ptCount val="19"/>
                <c:pt idx="0">
                  <c:v>2000-01</c:v>
                </c:pt>
                <c:pt idx="1">
                  <c:v>2001-02</c:v>
                </c:pt>
                <c:pt idx="2">
                  <c:v>2002-03</c:v>
                </c:pt>
                <c:pt idx="3">
                  <c:v>2003-04</c:v>
                </c:pt>
                <c:pt idx="4">
                  <c:v>2004-05</c:v>
                </c:pt>
                <c:pt idx="5">
                  <c:v>2005-06</c:v>
                </c:pt>
                <c:pt idx="6">
                  <c:v>2006-07</c:v>
                </c:pt>
                <c:pt idx="7">
                  <c:v>2007-08</c:v>
                </c:pt>
                <c:pt idx="8">
                  <c:v>2008-09</c:v>
                </c:pt>
                <c:pt idx="9">
                  <c:v> 2009-10</c:v>
                </c:pt>
                <c:pt idx="10">
                  <c:v> 2010-11</c:v>
                </c:pt>
                <c:pt idx="11">
                  <c:v> 2011-12</c:v>
                </c:pt>
                <c:pt idx="12">
                  <c:v> 2012-13</c:v>
                </c:pt>
                <c:pt idx="13">
                  <c:v> 2013-14</c:v>
                </c:pt>
                <c:pt idx="14">
                  <c:v> 2014-15</c:v>
                </c:pt>
                <c:pt idx="15">
                  <c:v> 2015-16</c:v>
                </c:pt>
                <c:pt idx="16">
                  <c:v> 2016-17</c:v>
                </c:pt>
                <c:pt idx="17">
                  <c:v> 2017-18</c:v>
                </c:pt>
                <c:pt idx="18">
                  <c:v> 2018-19</c:v>
                </c:pt>
              </c:strCache>
            </c:strRef>
          </c:cat>
          <c:val>
            <c:numRef>
              <c:f>SugarPrices!$K$6:$K$24</c:f>
              <c:numCache>
                <c:formatCode>_-[$R-1C09]* #,##0_-;\-[$R-1C09]* #,##0_-;_-[$R-1C09]* "-"??_-;_-@_-</c:formatCode>
                <c:ptCount val="19"/>
                <c:pt idx="0">
                  <c:v>1249.73</c:v>
                </c:pt>
                <c:pt idx="1">
                  <c:v>1738.48</c:v>
                </c:pt>
                <c:pt idx="2">
                  <c:v>1620.55</c:v>
                </c:pt>
                <c:pt idx="3">
                  <c:v>1251.8499999999999</c:v>
                </c:pt>
                <c:pt idx="4">
                  <c:v>1251.58</c:v>
                </c:pt>
                <c:pt idx="5">
                  <c:v>1569.78</c:v>
                </c:pt>
                <c:pt idx="6">
                  <c:v>2259.56</c:v>
                </c:pt>
                <c:pt idx="7">
                  <c:v>1837.35</c:v>
                </c:pt>
                <c:pt idx="8">
                  <c:v>2477.7800000000002</c:v>
                </c:pt>
                <c:pt idx="9">
                  <c:v>3070.29</c:v>
                </c:pt>
                <c:pt idx="10">
                  <c:v>3272.36</c:v>
                </c:pt>
                <c:pt idx="11">
                  <c:v>4368.3900000000003</c:v>
                </c:pt>
                <c:pt idx="12">
                  <c:v>4696.2299999999996</c:v>
                </c:pt>
                <c:pt idx="13">
                  <c:v>4271.43</c:v>
                </c:pt>
                <c:pt idx="14">
                  <c:v>4393.71</c:v>
                </c:pt>
                <c:pt idx="15">
                  <c:v>8108.03</c:v>
                </c:pt>
                <c:pt idx="16">
                  <c:v>3504.8</c:v>
                </c:pt>
                <c:pt idx="17">
                  <c:v>4701.8999999999996</c:v>
                </c:pt>
                <c:pt idx="18">
                  <c:v>4016.85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5-4816-AB5C-4A31BA29C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6150592"/>
        <c:axId val="357665616"/>
      </c:lineChart>
      <c:catAx>
        <c:axId val="35615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65616"/>
        <c:crosses val="autoZero"/>
        <c:auto val="1"/>
        <c:lblAlgn val="ctr"/>
        <c:lblOffset val="100"/>
        <c:noMultiLvlLbl val="0"/>
      </c:catAx>
      <c:valAx>
        <c:axId val="35766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-1C09]* #,##0_-;\-[$R-1C09]* #,##0_-;_-[$R-1C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15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SugarPrices!$B$5</c:f>
              <c:strCache>
                <c:ptCount val="1"/>
                <c:pt idx="0">
                  <c:v>Area Under Cane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SugarPrices!$A$6:$A$24</c:f>
              <c:strCache>
                <c:ptCount val="19"/>
                <c:pt idx="0">
                  <c:v>2000-01</c:v>
                </c:pt>
                <c:pt idx="1">
                  <c:v>2001-02</c:v>
                </c:pt>
                <c:pt idx="2">
                  <c:v>2002-03</c:v>
                </c:pt>
                <c:pt idx="3">
                  <c:v>2003-04</c:v>
                </c:pt>
                <c:pt idx="4">
                  <c:v>2004-05</c:v>
                </c:pt>
                <c:pt idx="5">
                  <c:v>2005-06</c:v>
                </c:pt>
                <c:pt idx="6">
                  <c:v>2006-07</c:v>
                </c:pt>
                <c:pt idx="7">
                  <c:v>2007-08</c:v>
                </c:pt>
                <c:pt idx="8">
                  <c:v>2008-09</c:v>
                </c:pt>
                <c:pt idx="9">
                  <c:v> 2009-10</c:v>
                </c:pt>
                <c:pt idx="10">
                  <c:v> 2010-11</c:v>
                </c:pt>
                <c:pt idx="11">
                  <c:v> 2011-12</c:v>
                </c:pt>
                <c:pt idx="12">
                  <c:v> 2012-13</c:v>
                </c:pt>
                <c:pt idx="13">
                  <c:v> 2013-14</c:v>
                </c:pt>
                <c:pt idx="14">
                  <c:v> 2014-15</c:v>
                </c:pt>
                <c:pt idx="15">
                  <c:v> 2015-16</c:v>
                </c:pt>
                <c:pt idx="16">
                  <c:v> 2016-17</c:v>
                </c:pt>
                <c:pt idx="17">
                  <c:v> 2017-18</c:v>
                </c:pt>
                <c:pt idx="18">
                  <c:v> 2018-19</c:v>
                </c:pt>
              </c:strCache>
            </c:strRef>
          </c:cat>
          <c:val>
            <c:numRef>
              <c:f>SugarPrices!$B$6:$B$24</c:f>
              <c:numCache>
                <c:formatCode>_-* #,##0_-;\-* #,##0_-;_-* "-"??_-;_-@_-</c:formatCode>
                <c:ptCount val="19"/>
                <c:pt idx="0">
                  <c:v>428822</c:v>
                </c:pt>
                <c:pt idx="1">
                  <c:v>431771</c:v>
                </c:pt>
                <c:pt idx="2">
                  <c:v>430106</c:v>
                </c:pt>
                <c:pt idx="3">
                  <c:v>426861</c:v>
                </c:pt>
                <c:pt idx="4">
                  <c:v>424907</c:v>
                </c:pt>
                <c:pt idx="5">
                  <c:v>423960</c:v>
                </c:pt>
                <c:pt idx="6">
                  <c:v>419463</c:v>
                </c:pt>
                <c:pt idx="7">
                  <c:v>412979</c:v>
                </c:pt>
                <c:pt idx="8">
                  <c:v>388655</c:v>
                </c:pt>
                <c:pt idx="9">
                  <c:v>381838</c:v>
                </c:pt>
                <c:pt idx="10">
                  <c:v>375590</c:v>
                </c:pt>
                <c:pt idx="11">
                  <c:v>367301</c:v>
                </c:pt>
                <c:pt idx="12">
                  <c:v>379870</c:v>
                </c:pt>
                <c:pt idx="13">
                  <c:v>378922</c:v>
                </c:pt>
                <c:pt idx="14">
                  <c:v>370141</c:v>
                </c:pt>
                <c:pt idx="15">
                  <c:v>362147</c:v>
                </c:pt>
                <c:pt idx="16">
                  <c:v>362054</c:v>
                </c:pt>
                <c:pt idx="17">
                  <c:v>361210</c:v>
                </c:pt>
                <c:pt idx="18">
                  <c:v>359155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48-49EF-AEDA-67542226B686}"/>
            </c:ext>
          </c:extLst>
        </c:ser>
        <c:ser>
          <c:idx val="1"/>
          <c:order val="1"/>
          <c:tx>
            <c:strRef>
              <c:f>SugarPrices!$C$5</c:f>
              <c:strCache>
                <c:ptCount val="1"/>
                <c:pt idx="0">
                  <c:v>Sugar Production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SugarPrices!$A$6:$A$24</c:f>
              <c:strCache>
                <c:ptCount val="19"/>
                <c:pt idx="0">
                  <c:v>2000-01</c:v>
                </c:pt>
                <c:pt idx="1">
                  <c:v>2001-02</c:v>
                </c:pt>
                <c:pt idx="2">
                  <c:v>2002-03</c:v>
                </c:pt>
                <c:pt idx="3">
                  <c:v>2003-04</c:v>
                </c:pt>
                <c:pt idx="4">
                  <c:v>2004-05</c:v>
                </c:pt>
                <c:pt idx="5">
                  <c:v>2005-06</c:v>
                </c:pt>
                <c:pt idx="6">
                  <c:v>2006-07</c:v>
                </c:pt>
                <c:pt idx="7">
                  <c:v>2007-08</c:v>
                </c:pt>
                <c:pt idx="8">
                  <c:v>2008-09</c:v>
                </c:pt>
                <c:pt idx="9">
                  <c:v> 2009-10</c:v>
                </c:pt>
                <c:pt idx="10">
                  <c:v> 2010-11</c:v>
                </c:pt>
                <c:pt idx="11">
                  <c:v> 2011-12</c:v>
                </c:pt>
                <c:pt idx="12">
                  <c:v> 2012-13</c:v>
                </c:pt>
                <c:pt idx="13">
                  <c:v> 2013-14</c:v>
                </c:pt>
                <c:pt idx="14">
                  <c:v> 2014-15</c:v>
                </c:pt>
                <c:pt idx="15">
                  <c:v> 2015-16</c:v>
                </c:pt>
                <c:pt idx="16">
                  <c:v> 2016-17</c:v>
                </c:pt>
                <c:pt idx="17">
                  <c:v> 2017-18</c:v>
                </c:pt>
                <c:pt idx="18">
                  <c:v> 2018-19</c:v>
                </c:pt>
              </c:strCache>
            </c:strRef>
          </c:cat>
          <c:val>
            <c:numRef>
              <c:f>SugarPrices!$C$6:$C$24</c:f>
              <c:numCache>
                <c:formatCode>_-* #,##0_-;\-* #,##0_-;_-* "-"??_-;_-@_-</c:formatCode>
                <c:ptCount val="19"/>
                <c:pt idx="0">
                  <c:v>2721562</c:v>
                </c:pt>
                <c:pt idx="1">
                  <c:v>2403243</c:v>
                </c:pt>
                <c:pt idx="2">
                  <c:v>2754619</c:v>
                </c:pt>
                <c:pt idx="3">
                  <c:v>2412031</c:v>
                </c:pt>
                <c:pt idx="4">
                  <c:v>2226869</c:v>
                </c:pt>
                <c:pt idx="5">
                  <c:v>2500504</c:v>
                </c:pt>
                <c:pt idx="6">
                  <c:v>2226853</c:v>
                </c:pt>
                <c:pt idx="7">
                  <c:v>2273499</c:v>
                </c:pt>
                <c:pt idx="8">
                  <c:v>2260244</c:v>
                </c:pt>
                <c:pt idx="9">
                  <c:v>2178450</c:v>
                </c:pt>
                <c:pt idx="10">
                  <c:v>1961336</c:v>
                </c:pt>
                <c:pt idx="11">
                  <c:v>1822488</c:v>
                </c:pt>
                <c:pt idx="12">
                  <c:v>1951515</c:v>
                </c:pt>
                <c:pt idx="13">
                  <c:v>2343650</c:v>
                </c:pt>
                <c:pt idx="14">
                  <c:v>2107673</c:v>
                </c:pt>
                <c:pt idx="15">
                  <c:v>1620330</c:v>
                </c:pt>
                <c:pt idx="16">
                  <c:v>1539739</c:v>
                </c:pt>
                <c:pt idx="17">
                  <c:v>1985715</c:v>
                </c:pt>
                <c:pt idx="18">
                  <c:v>2183821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48-49EF-AEDA-67542226B686}"/>
            </c:ext>
          </c:extLst>
        </c:ser>
        <c:ser>
          <c:idx val="2"/>
          <c:order val="2"/>
          <c:tx>
            <c:strRef>
              <c:f>SugarPrices!$D$5</c:f>
              <c:strCache>
                <c:ptCount val="1"/>
                <c:pt idx="0">
                  <c:v>Local Market Demand Est.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SugarPrices!$A$6:$A$24</c:f>
              <c:strCache>
                <c:ptCount val="19"/>
                <c:pt idx="0">
                  <c:v>2000-01</c:v>
                </c:pt>
                <c:pt idx="1">
                  <c:v>2001-02</c:v>
                </c:pt>
                <c:pt idx="2">
                  <c:v>2002-03</c:v>
                </c:pt>
                <c:pt idx="3">
                  <c:v>2003-04</c:v>
                </c:pt>
                <c:pt idx="4">
                  <c:v>2004-05</c:v>
                </c:pt>
                <c:pt idx="5">
                  <c:v>2005-06</c:v>
                </c:pt>
                <c:pt idx="6">
                  <c:v>2006-07</c:v>
                </c:pt>
                <c:pt idx="7">
                  <c:v>2007-08</c:v>
                </c:pt>
                <c:pt idx="8">
                  <c:v>2008-09</c:v>
                </c:pt>
                <c:pt idx="9">
                  <c:v> 2009-10</c:v>
                </c:pt>
                <c:pt idx="10">
                  <c:v> 2010-11</c:v>
                </c:pt>
                <c:pt idx="11">
                  <c:v> 2011-12</c:v>
                </c:pt>
                <c:pt idx="12">
                  <c:v> 2012-13</c:v>
                </c:pt>
                <c:pt idx="13">
                  <c:v> 2013-14</c:v>
                </c:pt>
                <c:pt idx="14">
                  <c:v> 2014-15</c:v>
                </c:pt>
                <c:pt idx="15">
                  <c:v> 2015-16</c:v>
                </c:pt>
                <c:pt idx="16">
                  <c:v> 2016-17</c:v>
                </c:pt>
                <c:pt idx="17">
                  <c:v> 2017-18</c:v>
                </c:pt>
                <c:pt idx="18">
                  <c:v> 2018-19</c:v>
                </c:pt>
              </c:strCache>
            </c:strRef>
          </c:cat>
          <c:val>
            <c:numRef>
              <c:f>SugarPrices!$D$6:$D$24</c:f>
              <c:numCache>
                <c:formatCode>_(* #,##0.00_);_(* \(#,##0.00\);_(* "-"??_);_(@_)</c:formatCode>
                <c:ptCount val="19"/>
                <c:pt idx="0">
                  <c:v>1231442</c:v>
                </c:pt>
                <c:pt idx="1">
                  <c:v>1239651</c:v>
                </c:pt>
                <c:pt idx="2">
                  <c:v>1278720</c:v>
                </c:pt>
                <c:pt idx="3">
                  <c:v>1356400</c:v>
                </c:pt>
                <c:pt idx="4">
                  <c:v>1210416</c:v>
                </c:pt>
                <c:pt idx="5">
                  <c:v>1261808</c:v>
                </c:pt>
                <c:pt idx="6">
                  <c:v>1340524</c:v>
                </c:pt>
                <c:pt idx="7">
                  <c:v>1399657</c:v>
                </c:pt>
                <c:pt idx="8">
                  <c:v>1438587</c:v>
                </c:pt>
                <c:pt idx="9">
                  <c:v>1412273</c:v>
                </c:pt>
                <c:pt idx="10">
                  <c:v>1583457</c:v>
                </c:pt>
                <c:pt idx="11">
                  <c:v>1685312</c:v>
                </c:pt>
                <c:pt idx="12">
                  <c:v>1701731</c:v>
                </c:pt>
                <c:pt idx="13">
                  <c:v>1543264</c:v>
                </c:pt>
                <c:pt idx="14">
                  <c:v>1649056</c:v>
                </c:pt>
                <c:pt idx="15">
                  <c:v>1573504</c:v>
                </c:pt>
                <c:pt idx="16">
                  <c:v>1534741</c:v>
                </c:pt>
                <c:pt idx="17">
                  <c:v>1190281</c:v>
                </c:pt>
                <c:pt idx="18">
                  <c:v>1140990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48-49EF-AEDA-67542226B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5284031"/>
        <c:axId val="1301858383"/>
      </c:lineChart>
      <c:catAx>
        <c:axId val="755284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858383"/>
        <c:crosses val="autoZero"/>
        <c:auto val="1"/>
        <c:lblAlgn val="ctr"/>
        <c:lblOffset val="100"/>
        <c:noMultiLvlLbl val="0"/>
      </c:catAx>
      <c:valAx>
        <c:axId val="1301858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284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chart" Target="../charts/chart1.xml"/><Relationship Id="rId1" Type="http://schemas.openxmlformats.org/officeDocument/2006/relationships/image" Target="../media/image13.emf"/><Relationship Id="rId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5" Type="http://schemas.openxmlformats.org/officeDocument/2006/relationships/image" Target="../media/image30.emf"/><Relationship Id="rId4" Type="http://schemas.openxmlformats.org/officeDocument/2006/relationships/image" Target="../media/image3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5" Type="http://schemas.openxmlformats.org/officeDocument/2006/relationships/image" Target="../media/image39.emf"/><Relationship Id="rId4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43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6" Type="http://schemas.openxmlformats.org/officeDocument/2006/relationships/image" Target="../media/image44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5" Type="http://schemas.openxmlformats.org/officeDocument/2006/relationships/image" Target="../media/image54.emf"/><Relationship Id="rId4" Type="http://schemas.openxmlformats.org/officeDocument/2006/relationships/image" Target="../media/image5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7" Type="http://schemas.openxmlformats.org/officeDocument/2006/relationships/image" Target="../media/image63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6" Type="http://schemas.openxmlformats.org/officeDocument/2006/relationships/image" Target="../media/image62.emf"/><Relationship Id="rId5" Type="http://schemas.openxmlformats.org/officeDocument/2006/relationships/image" Target="../media/image61.emf"/><Relationship Id="rId4" Type="http://schemas.openxmlformats.org/officeDocument/2006/relationships/image" Target="../media/image6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6" Type="http://schemas.openxmlformats.org/officeDocument/2006/relationships/image" Target="../media/image65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6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81.emf"/><Relationship Id="rId1" Type="http://schemas.openxmlformats.org/officeDocument/2006/relationships/image" Target="../media/image82.emf"/><Relationship Id="rId4" Type="http://schemas.openxmlformats.org/officeDocument/2006/relationships/image" Target="../media/image79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image" Target="../media/image89.emf"/><Relationship Id="rId7" Type="http://schemas.openxmlformats.org/officeDocument/2006/relationships/image" Target="../media/image85.emf"/><Relationship Id="rId2" Type="http://schemas.openxmlformats.org/officeDocument/2006/relationships/image" Target="../media/image90.emf"/><Relationship Id="rId1" Type="http://schemas.openxmlformats.org/officeDocument/2006/relationships/image" Target="../media/image91.emf"/><Relationship Id="rId6" Type="http://schemas.openxmlformats.org/officeDocument/2006/relationships/image" Target="../media/image86.emf"/><Relationship Id="rId5" Type="http://schemas.openxmlformats.org/officeDocument/2006/relationships/image" Target="../media/image87.emf"/><Relationship Id="rId10" Type="http://schemas.openxmlformats.org/officeDocument/2006/relationships/image" Target="../media/image92.emf"/><Relationship Id="rId4" Type="http://schemas.openxmlformats.org/officeDocument/2006/relationships/image" Target="../media/image88.emf"/><Relationship Id="rId9" Type="http://schemas.openxmlformats.org/officeDocument/2006/relationships/image" Target="../media/image83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93.emf"/><Relationship Id="rId3" Type="http://schemas.openxmlformats.org/officeDocument/2006/relationships/image" Target="../media/image98.emf"/><Relationship Id="rId7" Type="http://schemas.openxmlformats.org/officeDocument/2006/relationships/image" Target="../media/image94.emf"/><Relationship Id="rId2" Type="http://schemas.openxmlformats.org/officeDocument/2006/relationships/image" Target="../media/image99.emf"/><Relationship Id="rId1" Type="http://schemas.openxmlformats.org/officeDocument/2006/relationships/image" Target="../media/image100.emf"/><Relationship Id="rId6" Type="http://schemas.openxmlformats.org/officeDocument/2006/relationships/image" Target="../media/image95.emf"/><Relationship Id="rId5" Type="http://schemas.openxmlformats.org/officeDocument/2006/relationships/image" Target="../media/image96.emf"/><Relationship Id="rId4" Type="http://schemas.openxmlformats.org/officeDocument/2006/relationships/image" Target="../media/image97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2.emf"/><Relationship Id="rId3" Type="http://schemas.openxmlformats.org/officeDocument/2006/relationships/image" Target="../media/image107.emf"/><Relationship Id="rId7" Type="http://schemas.openxmlformats.org/officeDocument/2006/relationships/image" Target="../media/image103.emf"/><Relationship Id="rId2" Type="http://schemas.openxmlformats.org/officeDocument/2006/relationships/image" Target="../media/image108.emf"/><Relationship Id="rId1" Type="http://schemas.openxmlformats.org/officeDocument/2006/relationships/image" Target="../media/image109.emf"/><Relationship Id="rId6" Type="http://schemas.openxmlformats.org/officeDocument/2006/relationships/image" Target="../media/image104.emf"/><Relationship Id="rId5" Type="http://schemas.openxmlformats.org/officeDocument/2006/relationships/image" Target="../media/image105.emf"/><Relationship Id="rId10" Type="http://schemas.openxmlformats.org/officeDocument/2006/relationships/image" Target="../media/image110.emf"/><Relationship Id="rId4" Type="http://schemas.openxmlformats.org/officeDocument/2006/relationships/image" Target="../media/image106.emf"/><Relationship Id="rId9" Type="http://schemas.openxmlformats.org/officeDocument/2006/relationships/image" Target="../media/image101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2.emf"/><Relationship Id="rId3" Type="http://schemas.openxmlformats.org/officeDocument/2006/relationships/image" Target="../media/image117.emf"/><Relationship Id="rId7" Type="http://schemas.openxmlformats.org/officeDocument/2006/relationships/image" Target="../media/image113.emf"/><Relationship Id="rId2" Type="http://schemas.openxmlformats.org/officeDocument/2006/relationships/image" Target="../media/image118.emf"/><Relationship Id="rId1" Type="http://schemas.openxmlformats.org/officeDocument/2006/relationships/image" Target="../media/image119.emf"/><Relationship Id="rId6" Type="http://schemas.openxmlformats.org/officeDocument/2006/relationships/image" Target="../media/image114.emf"/><Relationship Id="rId5" Type="http://schemas.openxmlformats.org/officeDocument/2006/relationships/image" Target="../media/image115.emf"/><Relationship Id="rId10" Type="http://schemas.openxmlformats.org/officeDocument/2006/relationships/image" Target="../media/image120.emf"/><Relationship Id="rId4" Type="http://schemas.openxmlformats.org/officeDocument/2006/relationships/image" Target="../media/image116.emf"/><Relationship Id="rId9" Type="http://schemas.openxmlformats.org/officeDocument/2006/relationships/image" Target="../media/image111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1.emf"/><Relationship Id="rId3" Type="http://schemas.openxmlformats.org/officeDocument/2006/relationships/image" Target="../media/image126.emf"/><Relationship Id="rId7" Type="http://schemas.openxmlformats.org/officeDocument/2006/relationships/image" Target="../media/image122.emf"/><Relationship Id="rId2" Type="http://schemas.openxmlformats.org/officeDocument/2006/relationships/image" Target="../media/image127.emf"/><Relationship Id="rId1" Type="http://schemas.openxmlformats.org/officeDocument/2006/relationships/image" Target="../media/image128.emf"/><Relationship Id="rId6" Type="http://schemas.openxmlformats.org/officeDocument/2006/relationships/image" Target="../media/image123.emf"/><Relationship Id="rId5" Type="http://schemas.openxmlformats.org/officeDocument/2006/relationships/image" Target="../media/image124.emf"/><Relationship Id="rId4" Type="http://schemas.openxmlformats.org/officeDocument/2006/relationships/image" Target="../media/image125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0.emf"/><Relationship Id="rId3" Type="http://schemas.openxmlformats.org/officeDocument/2006/relationships/image" Target="../media/image135.emf"/><Relationship Id="rId7" Type="http://schemas.openxmlformats.org/officeDocument/2006/relationships/image" Target="../media/image131.emf"/><Relationship Id="rId2" Type="http://schemas.openxmlformats.org/officeDocument/2006/relationships/image" Target="../media/image136.emf"/><Relationship Id="rId1" Type="http://schemas.openxmlformats.org/officeDocument/2006/relationships/image" Target="../media/image137.emf"/><Relationship Id="rId6" Type="http://schemas.openxmlformats.org/officeDocument/2006/relationships/image" Target="../media/image132.emf"/><Relationship Id="rId5" Type="http://schemas.openxmlformats.org/officeDocument/2006/relationships/image" Target="../media/image133.emf"/><Relationship Id="rId10" Type="http://schemas.openxmlformats.org/officeDocument/2006/relationships/image" Target="../media/image138.emf"/><Relationship Id="rId4" Type="http://schemas.openxmlformats.org/officeDocument/2006/relationships/image" Target="../media/image134.emf"/><Relationship Id="rId9" Type="http://schemas.openxmlformats.org/officeDocument/2006/relationships/image" Target="../media/image1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27516</xdr:colOff>
      <xdr:row>1</xdr:row>
      <xdr:rowOff>134910</xdr:rowOff>
    </xdr:from>
    <xdr:to>
      <xdr:col>44</xdr:col>
      <xdr:colOff>610354</xdr:colOff>
      <xdr:row>29</xdr:row>
      <xdr:rowOff>58076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49516" y="357160"/>
          <a:ext cx="6213171" cy="4512855"/>
        </a:xfrm>
        <a:prstGeom prst="rect">
          <a:avLst/>
        </a:prstGeom>
      </xdr:spPr>
    </xdr:pic>
    <xdr:clientData/>
  </xdr:twoCellAnchor>
  <xdr:twoCellAnchor editAs="oneCell">
    <xdr:from>
      <xdr:col>33</xdr:col>
      <xdr:colOff>21167</xdr:colOff>
      <xdr:row>34</xdr:row>
      <xdr:rowOff>42334</xdr:rowOff>
    </xdr:from>
    <xdr:to>
      <xdr:col>44</xdr:col>
      <xdr:colOff>711730</xdr:colOff>
      <xdr:row>59</xdr:row>
      <xdr:rowOff>126404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43167" y="5143501"/>
          <a:ext cx="6320896" cy="4594687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63</xdr:row>
      <xdr:rowOff>52917</xdr:rowOff>
    </xdr:from>
    <xdr:to>
      <xdr:col>45</xdr:col>
      <xdr:colOff>30712</xdr:colOff>
      <xdr:row>91</xdr:row>
      <xdr:rowOff>138427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622000" y="9937750"/>
          <a:ext cx="6454795" cy="4615176"/>
        </a:xfrm>
        <a:prstGeom prst="rect">
          <a:avLst/>
        </a:prstGeom>
      </xdr:spPr>
    </xdr:pic>
    <xdr:clientData/>
  </xdr:twoCellAnchor>
  <xdr:twoCellAnchor editAs="oneCell">
    <xdr:from>
      <xdr:col>16</xdr:col>
      <xdr:colOff>87675</xdr:colOff>
      <xdr:row>50</xdr:row>
      <xdr:rowOff>32471</xdr:rowOff>
    </xdr:from>
    <xdr:to>
      <xdr:col>25</xdr:col>
      <xdr:colOff>693218</xdr:colOff>
      <xdr:row>83</xdr:row>
      <xdr:rowOff>57738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55925" y="6440198"/>
          <a:ext cx="9157357" cy="5593064"/>
        </a:xfrm>
        <a:prstGeom prst="rect">
          <a:avLst/>
        </a:prstGeom>
      </xdr:spPr>
    </xdr:pic>
    <xdr:clientData/>
  </xdr:twoCellAnchor>
  <xdr:twoCellAnchor editAs="oneCell">
    <xdr:from>
      <xdr:col>46</xdr:col>
      <xdr:colOff>0</xdr:colOff>
      <xdr:row>2</xdr:row>
      <xdr:rowOff>0</xdr:rowOff>
    </xdr:from>
    <xdr:to>
      <xdr:col>62</xdr:col>
      <xdr:colOff>474869</xdr:colOff>
      <xdr:row>36</xdr:row>
      <xdr:rowOff>100148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214786" y="421821"/>
          <a:ext cx="11047619" cy="67714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53974</xdr:colOff>
      <xdr:row>5</xdr:row>
      <xdr:rowOff>158749</xdr:rowOff>
    </xdr:from>
    <xdr:ext cx="7962260" cy="4868333"/>
    <xdr:pic>
      <xdr:nvPicPr>
        <xdr:cNvPr id="5" name="Picture 4" descr="Image result for sugar processing waste streams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87724" y="968374"/>
          <a:ext cx="7962260" cy="4868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18</xdr:col>
      <xdr:colOff>104775</xdr:colOff>
      <xdr:row>2</xdr:row>
      <xdr:rowOff>85725</xdr:rowOff>
    </xdr:from>
    <xdr:ext cx="6838096" cy="2038095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328475" y="5600700"/>
          <a:ext cx="6838096" cy="2038095"/>
        </a:xfrm>
        <a:prstGeom prst="rect">
          <a:avLst/>
        </a:prstGeom>
      </xdr:spPr>
    </xdr:pic>
    <xdr:clientData/>
  </xdr:oneCellAnchor>
  <xdr:oneCellAnchor>
    <xdr:from>
      <xdr:col>18</xdr:col>
      <xdr:colOff>104774</xdr:colOff>
      <xdr:row>14</xdr:row>
      <xdr:rowOff>146552</xdr:rowOff>
    </xdr:from>
    <xdr:ext cx="6192005" cy="4529788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328474" y="7680827"/>
          <a:ext cx="6192005" cy="4529788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3</xdr:row>
      <xdr:rowOff>0</xdr:rowOff>
    </xdr:from>
    <xdr:to>
      <xdr:col>26</xdr:col>
      <xdr:colOff>384810</xdr:colOff>
      <xdr:row>22</xdr:row>
      <xdr:rowOff>100965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11175" y="495300"/>
          <a:ext cx="4652010" cy="389191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142875</xdr:colOff>
      <xdr:row>86</xdr:row>
      <xdr:rowOff>28574</xdr:rowOff>
    </xdr:from>
    <xdr:to>
      <xdr:col>6</xdr:col>
      <xdr:colOff>338667</xdr:colOff>
      <xdr:row>115</xdr:row>
      <xdr:rowOff>28574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470647</xdr:colOff>
      <xdr:row>66</xdr:row>
      <xdr:rowOff>134471</xdr:rowOff>
    </xdr:from>
    <xdr:to>
      <xdr:col>27</xdr:col>
      <xdr:colOff>7397</xdr:colOff>
      <xdr:row>95</xdr:row>
      <xdr:rowOff>132203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62765" y="9356912"/>
          <a:ext cx="8008397" cy="4558526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25</xdr:row>
      <xdr:rowOff>0</xdr:rowOff>
    </xdr:from>
    <xdr:to>
      <xdr:col>28</xdr:col>
      <xdr:colOff>85028</xdr:colOff>
      <xdr:row>31</xdr:row>
      <xdr:rowOff>57021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592300" y="4781550"/>
          <a:ext cx="5571429" cy="10285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27213</xdr:colOff>
      <xdr:row>26</xdr:row>
      <xdr:rowOff>76200</xdr:rowOff>
    </xdr:from>
    <xdr:to>
      <xdr:col>18</xdr:col>
      <xdr:colOff>125186</xdr:colOff>
      <xdr:row>42</xdr:row>
      <xdr:rowOff>127906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42182</xdr:colOff>
      <xdr:row>31</xdr:row>
      <xdr:rowOff>84365</xdr:rowOff>
    </xdr:from>
    <xdr:to>
      <xdr:col>9</xdr:col>
      <xdr:colOff>994683</xdr:colOff>
      <xdr:row>59</xdr:row>
      <xdr:rowOff>156482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0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0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1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11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11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125953" name="cmdSpecifySets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12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25954" name="cmdCheckCommoditiesSheet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12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25955" name="cmdCommUnit" hidden="1">
              <a:extLst>
                <a:ext uri="{63B3BB69-23CF-44E3-9099-C40C66FF867C}">
                  <a14:compatExt spid="_x0000_s125955"/>
                </a:ext>
                <a:ext uri="{FF2B5EF4-FFF2-40B4-BE49-F238E27FC236}">
                  <a16:creationId xmlns:a16="http://schemas.microsoft.com/office/drawing/2014/main" id="{00000000-0008-0000-1200-000003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13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13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13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14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14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14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15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15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15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15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15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126977" name="cmdAddParameter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6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126978" name="cmdCommNameAndDesc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6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126979" name="cmdAddParamQualifier1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6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126980" name="cmdCheckCommDataSheet" hidden="1">
              <a:extLst>
                <a:ext uri="{63B3BB69-23CF-44E3-9099-C40C66FF867C}">
                  <a14:compatExt spid="_x0000_s126980"/>
                </a:ext>
                <a:ext uri="{FF2B5EF4-FFF2-40B4-BE49-F238E27FC236}">
                  <a16:creationId xmlns:a16="http://schemas.microsoft.com/office/drawing/2014/main" id="{00000000-0008-0000-1600-000004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126981" name="cmdAddParamQualifier2" hidden="1">
              <a:extLst>
                <a:ext uri="{63B3BB69-23CF-44E3-9099-C40C66FF867C}">
                  <a14:compatExt spid="_x0000_s126981"/>
                </a:ext>
                <a:ext uri="{FF2B5EF4-FFF2-40B4-BE49-F238E27FC236}">
                  <a16:creationId xmlns:a16="http://schemas.microsoft.com/office/drawing/2014/main" id="{00000000-0008-0000-1600-000005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128001" name="cmdSpecifySets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7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28002" name="cmdCheckTechnologiesSheet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7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128003" name="cmdProcUnits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7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8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8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8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18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18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18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18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129025" name="cmdTechNameAndDesc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9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129026" name="cmdCommIN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9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29027" name="cmdCommOUT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9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129028" name="cmdAddParameter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9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190500</xdr:rowOff>
        </xdr:to>
        <xdr:sp macro="" textlink="">
          <xdr:nvSpPr>
            <xdr:cNvPr id="129029" name="cmdAddParamQualifier1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9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129030" name="cmdCheckTechDataSheet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9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129031" name="cmdAddParamQualifier2" hidden="1">
              <a:extLst>
                <a:ext uri="{63B3BB69-23CF-44E3-9099-C40C66FF867C}">
                  <a14:compatExt spid="_x0000_s129031"/>
                </a:ext>
                <a:ext uri="{FF2B5EF4-FFF2-40B4-BE49-F238E27FC236}">
                  <a16:creationId xmlns:a16="http://schemas.microsoft.com/office/drawing/2014/main" id="{00000000-0008-0000-1900-00000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628650</xdr:colOff>
          <xdr:row>2</xdr:row>
          <xdr:rowOff>209550</xdr:rowOff>
        </xdr:to>
        <xdr:sp macro="" textlink="">
          <xdr:nvSpPr>
            <xdr:cNvPr id="130049" name="cmdTechNameAndDesc" hidden="1">
              <a:extLst>
                <a:ext uri="{63B3BB69-23CF-44E3-9099-C40C66FF867C}">
                  <a14:compatExt spid="_x0000_s130049"/>
                </a:ext>
                <a:ext uri="{FF2B5EF4-FFF2-40B4-BE49-F238E27FC236}">
                  <a16:creationId xmlns:a16="http://schemas.microsoft.com/office/drawing/2014/main" id="{00000000-0008-0000-1A00-000001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30050" name="cmdCommIN" hidden="1">
              <a:extLst>
                <a:ext uri="{63B3BB69-23CF-44E3-9099-C40C66FF867C}">
                  <a14:compatExt spid="_x0000_s130050"/>
                </a:ext>
                <a:ext uri="{FF2B5EF4-FFF2-40B4-BE49-F238E27FC236}">
                  <a16:creationId xmlns:a16="http://schemas.microsoft.com/office/drawing/2014/main" id="{00000000-0008-0000-1A00-000002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30051" name="cmdCommOUT" hidden="1">
              <a:extLst>
                <a:ext uri="{63B3BB69-23CF-44E3-9099-C40C66FF867C}">
                  <a14:compatExt spid="_x0000_s130051"/>
                </a:ext>
                <a:ext uri="{FF2B5EF4-FFF2-40B4-BE49-F238E27FC236}">
                  <a16:creationId xmlns:a16="http://schemas.microsoft.com/office/drawing/2014/main" id="{00000000-0008-0000-1A00-000003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130052" name="cmdAddParameter" hidden="1">
              <a:extLst>
                <a:ext uri="{63B3BB69-23CF-44E3-9099-C40C66FF867C}">
                  <a14:compatExt spid="_x0000_s130052"/>
                </a:ext>
                <a:ext uri="{FF2B5EF4-FFF2-40B4-BE49-F238E27FC236}">
                  <a16:creationId xmlns:a16="http://schemas.microsoft.com/office/drawing/2014/main" id="{00000000-0008-0000-1A00-000004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190500</xdr:rowOff>
        </xdr:to>
        <xdr:sp macro="" textlink="">
          <xdr:nvSpPr>
            <xdr:cNvPr id="130053" name="cmdAddParamQualifier1" hidden="1">
              <a:extLst>
                <a:ext uri="{63B3BB69-23CF-44E3-9099-C40C66FF867C}">
                  <a14:compatExt spid="_x0000_s130053"/>
                </a:ext>
                <a:ext uri="{FF2B5EF4-FFF2-40B4-BE49-F238E27FC236}">
                  <a16:creationId xmlns:a16="http://schemas.microsoft.com/office/drawing/2014/main" id="{00000000-0008-0000-1A00-000005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130054" name="cmdCheckTechDataSheet" hidden="1">
              <a:extLst>
                <a:ext uri="{63B3BB69-23CF-44E3-9099-C40C66FF867C}">
                  <a14:compatExt spid="_x0000_s130054"/>
                </a:ext>
                <a:ext uri="{FF2B5EF4-FFF2-40B4-BE49-F238E27FC236}">
                  <a16:creationId xmlns:a16="http://schemas.microsoft.com/office/drawing/2014/main" id="{00000000-0008-0000-1A00-000006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130055" name="cmdAddParamQualifier2" hidden="1">
              <a:extLst>
                <a:ext uri="{63B3BB69-23CF-44E3-9099-C40C66FF867C}">
                  <a14:compatExt spid="_x0000_s130055"/>
                </a:ext>
                <a:ext uri="{FF2B5EF4-FFF2-40B4-BE49-F238E27FC236}">
                  <a16:creationId xmlns:a16="http://schemas.microsoft.com/office/drawing/2014/main" id="{00000000-0008-0000-1A00-000007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157697" name="cmdTechNameAndDesc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1B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157698" name="cmdCommIN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1B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57699" name="cmdCommOUT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1B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157700" name="cmdAddParameter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1B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157701" name="cmdAddParamQualifier1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1B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157702" name="cmdCheckTechDataSheet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1B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157703" name="cmdAddParamQualifier2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1B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27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27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27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27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27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27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27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27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8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8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8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2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2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2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2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2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2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2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2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2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2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2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2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2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2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2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2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2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2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2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2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E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E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E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E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E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2E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2E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2E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2E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2E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ndensingTurbin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iog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esses_CONTURB"/>
      <sheetName val="ProcData_CONTURB"/>
      <sheetName val="Condensing Turbine"/>
    </sheetNames>
    <sheetDataSet>
      <sheetData sheetId="0">
        <row r="2">
          <cell r="A2" t="str">
            <v>Processes_CONTURB</v>
          </cell>
        </row>
      </sheetData>
      <sheetData sheetId="1"/>
      <sheetData sheetId="2">
        <row r="2">
          <cell r="B2" t="str">
            <v>R/$</v>
          </cell>
          <cell r="C2">
            <v>13.24</v>
          </cell>
        </row>
        <row r="41">
          <cell r="C41">
            <v>59.21052631578948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esses_Biogas"/>
      <sheetName val="ProcData_Biogas"/>
      <sheetName val="Biogas"/>
    </sheetNames>
    <sheetDataSet>
      <sheetData sheetId="0"/>
      <sheetData sheetId="1"/>
      <sheetData sheetId="2">
        <row r="11">
          <cell r="C11">
            <v>158.88</v>
          </cell>
        </row>
        <row r="14">
          <cell r="K14">
            <v>1</v>
          </cell>
          <cell r="L14">
            <v>2</v>
          </cell>
          <cell r="M14">
            <v>5</v>
          </cell>
          <cell r="N14">
            <v>6</v>
          </cell>
          <cell r="O14">
            <v>10</v>
          </cell>
        </row>
        <row r="15">
          <cell r="J15" t="str">
            <v>Low (mR)</v>
          </cell>
          <cell r="K15">
            <v>16</v>
          </cell>
          <cell r="L15">
            <v>25.723231703780847</v>
          </cell>
          <cell r="M15">
            <v>48.185285398378355</v>
          </cell>
          <cell r="N15">
            <v>54.595090365444136</v>
          </cell>
          <cell r="O15">
            <v>77.467578813455916</v>
          </cell>
        </row>
        <row r="16">
          <cell r="J16" t="str">
            <v>mid</v>
          </cell>
          <cell r="K16">
            <v>40.5</v>
          </cell>
          <cell r="L16">
            <v>67.519882843381865</v>
          </cell>
          <cell r="M16">
            <v>132.76294225785773</v>
          </cell>
          <cell r="N16">
            <v>151.89145051074522</v>
          </cell>
          <cell r="O16">
            <v>221.49472009359147</v>
          </cell>
        </row>
        <row r="17">
          <cell r="J17" t="str">
            <v>High (mR)</v>
          </cell>
          <cell r="K17">
            <v>65</v>
          </cell>
          <cell r="L17">
            <v>109.31653398298289</v>
          </cell>
          <cell r="M17">
            <v>217.34059911733712</v>
          </cell>
          <cell r="N17">
            <v>249.18781065604628</v>
          </cell>
          <cell r="O17">
            <v>365.52186137372701</v>
          </cell>
        </row>
        <row r="36">
          <cell r="C36">
            <v>12822.7</v>
          </cell>
          <cell r="V36">
            <v>13</v>
          </cell>
        </row>
        <row r="40">
          <cell r="C40">
            <v>424.6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308666E5-D28E-418E-B7E7-F6D9F22CA4C0}" userId="144eb91ed0ec640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B8AABA-7830-4694-B281-828470B59B13}" name="Table8" displayName="Table8" ref="B7:BV49" totalsRowShown="0" headerRowDxfId="120">
  <autoFilter ref="B7:BV49" xr:uid="{54EC5B6D-75D4-49F0-A676-60CD7F3CBC53}"/>
  <tableColumns count="73">
    <tableColumn id="1" xr3:uid="{8C64BF52-1703-4E48-84A1-80EEFE033251}" name="Anon key" dataDxfId="119"/>
    <tableColumn id="5" xr3:uid="{B838A7B0-DFB8-4D33-84C8-287783FB56B3}" name="Year"/>
    <tableColumn id="7" xr3:uid="{F3B1F046-4093-462C-984E-7D0B0E7B95FB}" name="Season length" dataDxfId="118"/>
    <tableColumn id="8" xr3:uid="{99015B7A-BEFF-4E31-B110-786E2C427401}" name="OTE" dataDxfId="117"/>
    <tableColumn id="9" xr3:uid="{4733BE93-A618-4BEE-AB88-20DD0BA78DAD}" name="M_Cane" dataDxfId="116"/>
    <tableColumn id="10" xr3:uid="{A12ECA7A-1FB3-4852-8FCC-3D2FE7C7DBCA}" name="M_Bagasse" dataDxfId="115"/>
    <tableColumn id="11" xr3:uid="{1B3CC999-07C2-43E5-9AC0-221B6DBF2B01}" name="M_Bx-MJ" dataDxfId="114"/>
    <tableColumn id="12" xr3:uid="{1C8C47B0-C4F0-4B06-B3B1-DEE83F7455A8}" name="M_Coal-imp" dataDxfId="113"/>
    <tableColumn id="13" xr3:uid="{AD936DA2-5E33-4940-8B48-3D4C368C38B9}" name="E_Elec-imp" dataDxfId="112"/>
    <tableColumn id="14" xr3:uid="{33F7657C-A216-4E56-93F0-508E64E53A0C}" name="M_Biomass-imp" dataDxfId="111"/>
    <tableColumn id="15" xr3:uid="{2B37E558-4DF1-485B-8998-3CAB54034255}" name="C_Coal-imp" dataDxfId="110"/>
    <tableColumn id="16" xr3:uid="{3F70FA19-CC3F-47B9-86F8-4CD091FD40A4}" name="C_Elec-imp" dataDxfId="109"/>
    <tableColumn id="17" xr3:uid="{7205BE0F-8264-41E0-9C06-2225567CF542}" name="C_Biomass-imp" dataDxfId="108"/>
    <tableColumn id="18" xr3:uid="{6148EBFC-504F-4DC4-AB05-9B24C565EB0A}" name="M_B1" dataDxfId="107"/>
    <tableColumn id="19" xr3:uid="{BA0A316C-DDEF-4F94-A52B-492458583B0F}" name="T_B1" dataDxfId="106"/>
    <tableColumn id="20" xr3:uid="{02549FC1-33C1-440C-8FC7-14E609F3D5D2}" name="P_B1" dataDxfId="105"/>
    <tableColumn id="21" xr3:uid="{1C82B1B3-6CE2-49E6-9458-15EB33E7A46E}" name="M_B2" dataDxfId="104"/>
    <tableColumn id="22" xr3:uid="{B4E2FE56-2407-4604-A743-5BEABE513BA0}" name="T_B2" dataDxfId="103"/>
    <tableColumn id="23" xr3:uid="{F618319E-9F16-4476-992A-BC1CCC890F7C}" name="P_B2" dataDxfId="102"/>
    <tableColumn id="24" xr3:uid="{0353C001-FFF0-4CAC-AD7E-EF6E6CDB9950}" name="M_B3" dataDxfId="101"/>
    <tableColumn id="25" xr3:uid="{57B71925-8DC4-4A07-A332-65243D1DE4D9}" name="T_B3" dataDxfId="100"/>
    <tableColumn id="26" xr3:uid="{F7F80015-FED9-47F1-BE29-1DD351285379}" name="P_B3" dataDxfId="99"/>
    <tableColumn id="27" xr3:uid="{8128AB72-9057-4D1D-B5E7-64EC857FD005}" name="M_B4" dataDxfId="98"/>
    <tableColumn id="28" xr3:uid="{8CC72F23-FF3E-4B75-9578-0F96202D1D30}" name="T_B4" dataDxfId="97"/>
    <tableColumn id="29" xr3:uid="{366929DC-69B1-4CD8-80C7-1599104BF29E}" name="P_B4" dataDxfId="96"/>
    <tableColumn id="30" xr3:uid="{AE724308-CCB0-4BB5-AFBC-1117A6E371EB}" name="M_B5" dataDxfId="95"/>
    <tableColumn id="31" xr3:uid="{5DC0C7EF-BA07-4406-8C3C-3B02C71D7FED}" name="T_B5" dataDxfId="94"/>
    <tableColumn id="32" xr3:uid="{3133CDED-4F44-45E8-B1B5-093C8B7D9CAE}" name="P_B5" dataDxfId="93"/>
    <tableColumn id="79" xr3:uid="{3CBD5C39-32FA-49BF-8BB5-8F4E4C910233}" name="time_Blr-use" dataDxfId="92"/>
    <tableColumn id="78" xr3:uid="{CF0FC561-677C-4AB1-88F9-FDB869539631}" name="time_Blr-maint" dataDxfId="91"/>
    <tableColumn id="33" xr3:uid="{E00F132F-1E0B-4C60-A9C0-5621D162A515}" name="E_Elec-gen" dataDxfId="90"/>
    <tableColumn id="34" xr3:uid="{6E4FA06C-9588-4610-94F6-00D74B7D6EAB}" name="E_Elec-ownuse" dataDxfId="89"/>
    <tableColumn id="35" xr3:uid="{86F7B783-A031-4D77-8451-2917F0E3556B}" name="η_Elec_steam" dataDxfId="88"/>
    <tableColumn id="36" xr3:uid="{A1B93F99-F38B-442E-BFD8-81566E63EFA7}" name="C_Cane" dataDxfId="87"/>
    <tableColumn id="37" xr3:uid="{F9535085-7C36-4528-8737-657D0F29709E}" name="C_Bagasse-handling" dataDxfId="86"/>
    <tableColumn id="38" xr3:uid="{CC1E2E57-2603-4C16-BF6D-D13E5F50769C}" name="C_Boiler-labour&amp;supplies" dataDxfId="85"/>
    <tableColumn id="39" xr3:uid="{B188882D-3208-4D98-9860-F4C85A3EF8A2}" name="C_Boiler-maint" dataDxfId="84"/>
    <tableColumn id="40" xr3:uid="{1F32BC5E-C968-4EBB-9193-7CA71282EEFC}" name="C_TAs-labour&amp;supplies" dataDxfId="83"/>
    <tableColumn id="41" xr3:uid="{6E38A84B-639A-4F67-B990-81D6BB40B100}" name="C_TAs-maint" dataDxfId="82"/>
    <tableColumn id="42" xr3:uid="{2C1D3022-8BFE-4BEA-B724-33B579F3CFD4}" name="C_FrontEnd-labour&amp;supplies" dataDxfId="81"/>
    <tableColumn id="43" xr3:uid="{8A922CE3-09AC-4DF3-B079-67A860E2DD3D}" name="C_FrontEnd-maint" dataDxfId="80"/>
    <tableColumn id="44" xr3:uid="{CEC3E517-F599-4941-BA30-0819F5211942}" name="spC_Coal" dataDxfId="79"/>
    <tableColumn id="45" xr3:uid="{B7253A1A-0618-4C7C-95F3-F211418A7CAE}" name="spC_Elec-imp" dataDxfId="78"/>
    <tableColumn id="46" xr3:uid="{B898AD0C-0042-4210-B57D-BC12EF3BF533}" name="SpC_Biomass-imp" dataDxfId="77"/>
    <tableColumn id="47" xr3:uid="{56FA1C5D-98AF-414D-9D90-798C808E0C36}" name="spH_B1" dataDxfId="76"/>
    <tableColumn id="48" xr3:uid="{9418756D-4156-40C7-A714-3AA7522CC0FD}" name="spH_B2" dataDxfId="75"/>
    <tableColumn id="49" xr3:uid="{DE760B49-0E78-4BD0-A961-82A181158B7D}" name="spH_B3" dataDxfId="74"/>
    <tableColumn id="50" xr3:uid="{4F640398-376B-4A9D-8983-15A1A431E0C8}" name="spH_B4" dataDxfId="73"/>
    <tableColumn id="51" xr3:uid="{2279EC89-797D-430E-B749-7BD77B7EEA23}" name="spH_B5" dataDxfId="72"/>
    <tableColumn id="52" xr3:uid="{C29E5A45-A312-4B88-B3E5-5C8257B78B19}" name="M_B-tot" dataDxfId="71"/>
    <tableColumn id="53" xr3:uid="{73430053-93DD-4BB1-8E16-11D65F2A0DA4}" name="H_B-tot" dataDxfId="70"/>
    <tableColumn id="54" xr3:uid="{769ADB12-4381-4B06-B253-0CBE9EEB9F11}" name="spH_Blr-ave" dataDxfId="69"/>
    <tableColumn id="55" xr3:uid="{AA9C72E4-9CB3-4AD0-B7D6-D12B210EB9BD}" name="S_Blr-TA" dataDxfId="68"/>
    <tableColumn id="56" xr3:uid="{D48B05FF-3E50-42A4-BB3B-30EB8DC06C65}" name="H_blr-net" dataDxfId="67"/>
    <tableColumn id="57" xr3:uid="{4FB054B8-D1F1-469A-841C-975479933023}" name="H_heat-net" dataDxfId="66"/>
    <tableColumn id="58" xr3:uid="{DDCE0AE8-B773-43A2-81A3-274AD5800834}" name="spH_heat-cane" dataDxfId="65"/>
    <tableColumn id="59" xr3:uid="{F929C891-A649-44FD-A625-0F0A11967580}" name="spH_Elec-cane" dataDxfId="64"/>
    <tableColumn id="60" xr3:uid="{5CB7E2A4-FA13-433B-9679-42799763567B}" name="spC_Bag" dataDxfId="63"/>
    <tableColumn id="75" xr3:uid="{3C59A246-B7C5-4BA4-B4F9-74CADBFFCBCA}" name="spC_TAs-labour&amp;supplies" dataDxfId="62"/>
    <tableColumn id="74" xr3:uid="{5CFD58C8-7D03-4E1B-86D4-082BAB110C1E}" name="spC_TAs-maint" dataDxfId="61"/>
    <tableColumn id="73" xr3:uid="{1B3D8D48-DF93-48FD-B341-E23FC3F0DFB3}" name="spC_Boilers-labour&amp;supplies" dataDxfId="60"/>
    <tableColumn id="72" xr3:uid="{D858B771-F02E-459E-8FA9-3BD0DE62DF60}" name="spC_Boilers-maint" dataDxfId="59"/>
    <tableColumn id="61" xr3:uid="{C7FC07A8-8905-4B3C-95AD-0A0CDC72A3B2}" name="r_Pgen-steam" dataDxfId="58"/>
    <tableColumn id="62" xr3:uid="{29013EE2-478C-4C3B-8A1E-8B4B631F9EBB}" name="C_Power-labour&amp;supplies" dataDxfId="57"/>
    <tableColumn id="63" xr3:uid="{61138323-69B7-41B5-B83F-9155FD6C28A8}" name="C_Power-maint" dataDxfId="56"/>
    <tableColumn id="64" xr3:uid="{59D658D6-34DD-49CF-A57C-2C118DF40EC1}" name="C_Heat-labour&amp;supplies" dataDxfId="55"/>
    <tableColumn id="65" xr3:uid="{8C9DC904-304C-4F56-BC7B-763D7C79EE4D}" name="C_Heat-maint" dataDxfId="54"/>
    <tableColumn id="66" xr3:uid="{49814665-D971-4E5F-895B-00D95B3178D4}" name="spC_Power-labour&amp;supplies" dataDxfId="53"/>
    <tableColumn id="67" xr3:uid="{7B4C8538-E2A1-472F-BEF1-6BB3CCE55020}" name="spC_Power-maint" dataDxfId="52"/>
    <tableColumn id="68" xr3:uid="{7C15B471-6783-42C6-9A0A-446AA2010A65}" name="spC_Heat-labour&amp;supplies" dataDxfId="51"/>
    <tableColumn id="69" xr3:uid="{1937E332-1BA1-4217-83A2-71503F25C4AC}" name="spC_Heat-maint" dataDxfId="50"/>
    <tableColumn id="70" xr3:uid="{6025BF1A-8C1D-41F4-BA2D-9E4C9985AA47}" name="t_AddGen" dataDxfId="49"/>
    <tableColumn id="71" xr3:uid="{ED64BF4F-7E14-453A-8527-43D853C41F78}" name="η_Blr-calc" dataDxfId="4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90AA3B-D262-4D23-942A-A0E89D77288F}" name="Table9" displayName="Table9" ref="B7:AG21" totalsRowShown="0" headerRowDxfId="47">
  <autoFilter ref="B7:AG21" xr:uid="{8F63F63F-73FE-44C9-A7B2-F9703825BE28}"/>
  <tableColumns count="32">
    <tableColumn id="1" xr3:uid="{A5EF71D1-9332-40B1-8782-AF7EEC8B17AB}" name="Anon key" dataDxfId="46"/>
    <tableColumn id="4" xr3:uid="{1E426B10-B19F-4527-9525-AFA125AD342E}" name="Year"/>
    <tableColumn id="6" xr3:uid="{C47956F9-8FF0-41C6-A708-F215FDAC9968}" name="η_Elec_steam" dataDxfId="45"/>
    <tableColumn id="19" xr3:uid="{7DB582A9-CA58-4C8D-B44F-0150527B3EC5}" name="PC_TA-tot" dataDxfId="44"/>
    <tableColumn id="7" xr3:uid="{1D83A395-F993-497B-9AE1-76C3ED59DFD9}" name="η_TA1-isentr"/>
    <tableColumn id="8" xr3:uid="{EA892D8E-3BCF-46EB-BE76-FE8DCB2159D1}" name="η_TA2-isentr"/>
    <tableColumn id="9" xr3:uid="{4F2406B7-C47A-4840-91CF-B476ECB25EB9}" name="η_TA3-isentr"/>
    <tableColumn id="10" xr3:uid="{FB6E72AC-7091-4B29-AD31-4565F3578117}" name="η_TA4-isentr"/>
    <tableColumn id="11" xr3:uid="{7100032E-E2F8-497C-A037-423082E813BC}" name="η_TA5-isentr" dataDxfId="43"/>
    <tableColumn id="12" xr3:uid="{FA6EA391-5BEA-496E-BDBA-344512EC3395}" name="P_Elec-peak" dataDxfId="42"/>
    <tableColumn id="13" xr3:uid="{7CFC030E-E354-42F6-B80E-6FCDD1D57AE6}" name="time_Blr-use" dataDxfId="41"/>
    <tableColumn id="14" xr3:uid="{612F186E-D091-4EA8-B7BF-5378842AEF06}" name="time_Blr-maint"/>
    <tableColumn id="15" xr3:uid="{57A29021-87CF-476E-A492-757008128A6E}" name="F_Letdown-ave"/>
    <tableColumn id="16" xr3:uid="{FDAB1EBF-854A-4C79-9BD0-C94DD852A74A}" name="F_letdown-min"/>
    <tableColumn id="17" xr3:uid="{AC43E5D8-7E54-485E-83C7-77B931EC891F}" name="P_Ex"/>
    <tableColumn id="18" xr3:uid="{905C0DB4-48B4-406D-972F-44BA6809A256}" name="P_Ex-topping"/>
    <tableColumn id="21" xr3:uid="{FEDE499E-6C73-494C-96CE-E628495C180F}" name="S_Blr-TA" dataDxfId="40"/>
    <tableColumn id="27" xr3:uid="{514AB105-3A56-4F24-B1F4-E15E7782B153}" name="spH_B1" dataDxfId="39"/>
    <tableColumn id="20" xr3:uid="{EA4560B7-0466-49D0-82A2-1275B1EF7B66}" name="spH_TAex-Isen" dataDxfId="38"/>
    <tableColumn id="22" xr3:uid="{58E43563-68FD-444D-BB83-B1A035D8B107}" name="spF_TA1-steam" dataDxfId="37"/>
    <tableColumn id="23" xr3:uid="{147935F6-BFBE-4951-ABC4-C070D0D81D5A}" name="spF_TA2-steam" dataDxfId="36"/>
    <tableColumn id="24" xr3:uid="{A31EA189-D5AE-4534-8C69-041266D2E46A}" name="spF_TA3-steam" dataDxfId="35"/>
    <tableColumn id="25" xr3:uid="{C13A570D-6D15-4A23-AF83-0C6B9CD94C9B}" name="spF_TA4-steam" dataDxfId="34"/>
    <tableColumn id="26" xr3:uid="{30A3EA00-3855-4184-9A0E-931DD8560F7A}" name="spF_TA5-steam" dataDxfId="33"/>
    <tableColumn id="28" xr3:uid="{9E101256-B624-4CE7-9CEB-5B43D96072E1}" name="GenPt_LD-ave" dataDxfId="32"/>
    <tableColumn id="29" xr3:uid="{FC7B292C-D456-4A95-82B2-AAD30FA22EE1}" name="GenPt_LD-min" dataDxfId="31"/>
    <tableColumn id="30" xr3:uid="{46D34FA2-8BE1-4325-8652-AD64E595FFB6}" name="GenPt_TACap" dataDxfId="30"/>
    <tableColumn id="31" xr3:uid="{D315B202-AE91-440B-9926-59C53128FE4E}" name="GenPt_LB" dataDxfId="29"/>
    <tableColumn id="32" xr3:uid="{E2FDBAEF-3673-44FA-BBF4-3D756055392B}" name="GenPt_UB" dataDxfId="28"/>
    <tableColumn id="33" xr3:uid="{9087DA5D-24B1-4E6D-A8DC-05922A252A61}" name="t_AddGen-min" dataDxfId="27"/>
    <tableColumn id="34" xr3:uid="{E339BD94-E002-42D2-9CCF-24707DE679CD}" name="t_AddGen-max" dataDxfId="26"/>
    <tableColumn id="2" xr3:uid="{41F2D101-013D-406F-A3FD-50D79573215B}" name="Column1" dataDxfId="2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9A66A9-BCCD-42B1-937B-9146C32DEFBB}" name="Table10" displayName="Table10" ref="B7:AY49" totalsRowShown="0" headerRowDxfId="24" tableBorderDxfId="23">
  <autoFilter ref="B7:AY49" xr:uid="{207A36C2-D7F6-4ADF-85F2-580B5502314F}"/>
  <tableColumns count="50">
    <tableColumn id="1" xr3:uid="{A6B0D14C-215C-4D96-9031-D33A0845CB56}" name="Anon key" dataDxfId="22"/>
    <tableColumn id="5" xr3:uid="{045ABB0B-7D8D-4C4F-AB75-CC98AE3334ED}" name="Year" dataDxfId="21"/>
    <tableColumn id="7" xr3:uid="{1E256C5F-C7AD-4175-A665-6210D92B9874}" name="FC_B1"/>
    <tableColumn id="8" xr3:uid="{5C5D143D-46A4-413D-B513-13DF185C2AD6}" name="TC_B1"/>
    <tableColumn id="9" xr3:uid="{CDC79353-EE07-4324-8C8F-E0FD354421A2}" name="PC_B1"/>
    <tableColumn id="10" xr3:uid="{E12AEBE5-9C53-4969-A1F8-6E6495B08911}" name="Y_B1"/>
    <tableColumn id="11" xr3:uid="{FD903A4C-D2A1-424D-979A-425DD02D62C4}" name="FC_B2"/>
    <tableColumn id="12" xr3:uid="{4E445917-41CF-45C3-9E33-315CA3C3118D}" name="TC_B2"/>
    <tableColumn id="13" xr3:uid="{7E810409-22D9-4743-895F-6463A2EC07D8}" name="PC_B2"/>
    <tableColumn id="14" xr3:uid="{6DEC8D54-CB78-4C5F-9D82-57A092563AD4}" name="Y_B2" dataDxfId="20"/>
    <tableColumn id="15" xr3:uid="{46522E94-D74A-4A8A-81CF-C03F8642A8BB}" name="FC_B3"/>
    <tableColumn id="16" xr3:uid="{7ED3FDC5-3E2D-4691-A3CC-624E577A38B1}" name="TC_B3"/>
    <tableColumn id="17" xr3:uid="{EAA72498-3E7A-40D3-9EF6-49428CA65C75}" name="PC_B3"/>
    <tableColumn id="18" xr3:uid="{ECC3AA0C-7A6F-4D2F-9A9C-8B1C6C54E2B0}" name="Y_B3" dataDxfId="19"/>
    <tableColumn id="19" xr3:uid="{4E7FEF98-395D-419B-B791-E7599E36AF36}" name="FC_B4"/>
    <tableColumn id="20" xr3:uid="{C9EB1241-6A4B-441A-BE30-B5C72C575256}" name="TC_B4"/>
    <tableColumn id="21" xr3:uid="{150B16FD-EDAC-45CB-B015-BC08AF5607B7}" name="PC_B4"/>
    <tableColumn id="22" xr3:uid="{90EBA69E-589F-474B-AC44-1CE00C3E8336}" name="Y_B4" dataDxfId="18"/>
    <tableColumn id="23" xr3:uid="{792465F1-1D5A-4066-BFF5-D6F58B11326E}" name="FC_B5"/>
    <tableColumn id="24" xr3:uid="{55973EDB-6A0A-4E29-8EC4-DAABD81DDDD0}" name="TC_B5"/>
    <tableColumn id="25" xr3:uid="{314C39FA-A870-4369-B03F-F52EB5CF0E89}" name="PC_B5"/>
    <tableColumn id="26" xr3:uid="{3834D027-2219-4800-821B-EFF0D814960A}" name="Y_B5" dataDxfId="17"/>
    <tableColumn id="27" xr3:uid="{D02D4425-0DC8-4055-9E2C-1AE272FFE7CB}" name="η_Blr-ave"/>
    <tableColumn id="28" xr3:uid="{A6D990C9-1B80-495F-B0D5-DB31D945C00A}" name="Pwr_TA1"/>
    <tableColumn id="29" xr3:uid="{B1F60FD8-30FD-4FF9-BD97-A02911A09BEF}" name="Y_TA1" dataDxfId="16"/>
    <tableColumn id="30" xr3:uid="{F20A084A-C1B2-4EE9-8C23-6B152E86FCB2}" name="Pwr_T2"/>
    <tableColumn id="31" xr3:uid="{18C657F0-3B7C-44D3-A87A-C4556DCE2F3B}" name="Y_TA2" dataDxfId="15"/>
    <tableColumn id="32" xr3:uid="{D2BC05B8-3C2A-4395-AA32-2946A5861914}" name="Pwr_TA3"/>
    <tableColumn id="33" xr3:uid="{ED6C7D3A-2E6B-43E5-A116-7C8A85968DC6}" name="Y_TA3" dataDxfId="14"/>
    <tableColumn id="34" xr3:uid="{6028F920-DFF5-4914-AF89-DF1CFA1B5FE5}" name="Pwr_TA4"/>
    <tableColumn id="35" xr3:uid="{4E8A2F32-158C-436C-AD0F-DB20D74C009F}" name="Y_TA4" dataDxfId="13"/>
    <tableColumn id="36" xr3:uid="{1263469D-055C-47C1-ABA1-399C54EEC745}" name="Pwr_TA5"/>
    <tableColumn id="37" xr3:uid="{649DA358-0B68-44D3-B591-5EA66ECDAABC}" name="Y_TA5" dataDxfId="12"/>
    <tableColumn id="38" xr3:uid="{AC809E9E-3AD8-40F6-BB30-CEB1ABCBD8B9}" name="η_TA1-isentr"/>
    <tableColumn id="39" xr3:uid="{01BC2C36-6A6C-44AE-8BF3-5183755017AE}" name="η_TA2-isentr"/>
    <tableColumn id="40" xr3:uid="{07EF1C5F-D023-4343-AA34-92D22ABA0AE9}" name="η_TA3-isentr"/>
    <tableColumn id="41" xr3:uid="{1586C0BA-4366-41B1-8D81-4BCC2C5D88EE}" name="η_TA4-isentr"/>
    <tableColumn id="42" xr3:uid="{6E9BB00D-8CF4-4217-87F8-CF23DF62E899}" name="η_TA5-isentr"/>
    <tableColumn id="43" xr3:uid="{0F4A52E5-B3E8-4A1F-8008-B1F01CEFC017}" name="Pwr_BUGen1" dataDxfId="11"/>
    <tableColumn id="44" xr3:uid="{7F1AC72C-BD26-4446-8A6F-EEA2B753459F}" name="Fuel_BUGen1" dataDxfId="10"/>
    <tableColumn id="45" xr3:uid="{B6D4666B-D140-48AA-959F-1FD6AF8687C1}" name="Pwr_BUGen2" dataDxfId="9"/>
    <tableColumn id="46" xr3:uid="{3B0F6F41-49D1-4122-B3BA-DA567CCD7C89}" name="Fuel_BUGen2" dataDxfId="8"/>
    <tableColumn id="47" xr3:uid="{1C83BE5A-45CA-461D-9328-28643B32EA1A}" name="FC_B-tot" dataDxfId="7"/>
    <tableColumn id="48" xr3:uid="{838A5C94-41C5-4751-93BC-E3DAD31860E2}" name="HC_blr-tot" dataDxfId="6"/>
    <tableColumn id="50" xr3:uid="{8B7CEC05-28DC-402D-AF1C-A1305DB524BD}" name="x_TA-1" dataDxfId="5"/>
    <tableColumn id="54" xr3:uid="{B37F7D64-789A-417B-BAA3-6FE626363343}" name="x_TA-2" dataDxfId="4"/>
    <tableColumn id="53" xr3:uid="{3C590CA3-95C9-4A4C-AD08-CE9E798AA3A4}" name="x_TA-3" dataDxfId="3"/>
    <tableColumn id="52" xr3:uid="{DC5716AD-2FA1-4A35-8C6E-1EB03672595B}" name="x_TA-4" dataDxfId="2"/>
    <tableColumn id="51" xr3:uid="{A52D1A8C-0114-4E7B-AFED-A2B3FF449A22}" name="x_TA-5" dataDxfId="1"/>
    <tableColumn id="49" xr3:uid="{80307600-ABD1-4DE8-997E-DB66F846441D}" name="PC_TA-tot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5" dT="2019-11-08T08:14:06.14" personId="{308666E5-D28E-418E-B7E7-F6D9F22CA4C0}" id="{14A562DB-9860-4A35-92ED-A3E50EF62ED0}">
    <text>DOE</text>
  </threadedComment>
  <threadedComment ref="G7" dT="2019-11-08T08:14:06.14" personId="{308666E5-D28E-418E-B7E7-F6D9F22CA4C0}" id="{8E12F3BA-96EE-4185-9B46-93376DAA3312}">
    <text>1 ton of woodchip = 1.75 tons of bagasse</text>
  </threadedComment>
  <threadedComment ref="G13" dT="2020-01-31T14:43:35.95" personId="{308666E5-D28E-418E-B7E7-F6D9F22CA4C0}" id="{507FE2CB-9652-4FC8-8F80-871AFD869706}">
    <text>From Katherine Foxton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4" dT="2019-12-12T11:58:57.07" personId="{308666E5-D28E-418E-B7E7-F6D9F22CA4C0}" id="{90B430D7-CA93-46D5-A7C8-4DB550423BB1}">
    <text>5.783 is amount of bagasse used in CHP. We then assume this is 85% of bagasse available with 15% sold on to other activities.</text>
  </threadedComment>
  <threadedComment ref="R4" dT="2019-12-12T12:00:59.01" personId="{308666E5-D28E-418E-B7E7-F6D9F22CA4C0}" id="{18E18CA9-C16A-485D-9B96-F29F99E9537F}">
    <text>based on Table 1 from grainSA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8" dT="2020-02-06T09:42:08.30" personId="{308666E5-D28E-418E-B7E7-F6D9F22CA4C0}" id="{8FA07B0D-A953-4D08-9DD2-FD45613A2D61}">
    <text>based on stakeholder input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P10" dT="2019-11-08T14:49:04.61" personId="{308666E5-D28E-418E-B7E7-F6D9F22CA4C0}" id="{F94A4B74-9BCC-4003-98E1-2E9CFB40C9BC}">
    <text>assuming 1 R/kWh obtained from sales to eskom.</text>
  </threadedComment>
  <threadedComment ref="E11" dT="2019-11-08T14:49:24.99" personId="{308666E5-D28E-418E-B7E7-F6D9F22CA4C0}" id="{E1DFB83C-B9B3-443C-8577-77785E8A391A}">
    <text>need to put commodity here when rest of power sector is included in model</text>
  </threadedComment>
  <threadedComment ref="P13" dT="2019-11-17T11:36:30.01" personId="{308666E5-D28E-418E-B7E7-F6D9F22CA4C0}" id="{DB009820-224E-428E-A110-2AB0B4431818}">
    <text>$10/GJ</text>
  </threadedComment>
  <threadedComment ref="P14" dT="2019-11-17T11:36:30.01" personId="{308666E5-D28E-418E-B7E7-F6D9F22CA4C0}" id="{EF71EA6E-B494-4A40-BF07-F58C3F453F37}">
    <text>$10/GJ</text>
  </threadedComment>
  <threadedComment ref="P15" dT="2019-11-17T11:36:30.01" personId="{308666E5-D28E-418E-B7E7-F6D9F22CA4C0}" id="{56AEB810-1561-44DE-BD25-C395FFE4045A}">
    <text>$10/GJ</text>
  </threadedComment>
  <threadedComment ref="Z28" dT="2019-11-11T09:34:11.79" personId="{308666E5-D28E-418E-B7E7-F6D9F22CA4C0}" id="{4973BB03-68C7-4CEB-A7E9-8E829469E9DE}">
    <text>full interpolation and extrapolation (bounds are by default not interpolated or extrapolated in TIMES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grainsa.co.za/biogas-production-potential-for-south-african-sugar-cane-industry" TargetMode="External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illovosugarafrica.com/UserContent/Documents/Illovo-Impact-Report-South-Africa-Dec17.pdf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.xml"/><Relationship Id="rId5" Type="http://schemas.openxmlformats.org/officeDocument/2006/relationships/image" Target="../media/image16.emf"/><Relationship Id="rId4" Type="http://schemas.openxmlformats.org/officeDocument/2006/relationships/control" Target="../activeX/activeX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9.xml"/><Relationship Id="rId5" Type="http://schemas.openxmlformats.org/officeDocument/2006/relationships/image" Target="../media/image18.emf"/><Relationship Id="rId4" Type="http://schemas.openxmlformats.org/officeDocument/2006/relationships/control" Target="../activeX/activeX8.xml"/><Relationship Id="rId9" Type="http://schemas.openxmlformats.org/officeDocument/2006/relationships/image" Target="../media/image20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2.xml"/><Relationship Id="rId5" Type="http://schemas.openxmlformats.org/officeDocument/2006/relationships/image" Target="../media/image21.emf"/><Relationship Id="rId4" Type="http://schemas.openxmlformats.org/officeDocument/2006/relationships/control" Target="../activeX/activeX11.xml"/><Relationship Id="rId9" Type="http://schemas.openxmlformats.org/officeDocument/2006/relationships/image" Target="../media/image2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5.xml"/><Relationship Id="rId5" Type="http://schemas.openxmlformats.org/officeDocument/2006/relationships/image" Target="../media/image24.emf"/><Relationship Id="rId4" Type="http://schemas.openxmlformats.org/officeDocument/2006/relationships/control" Target="../activeX/activeX14.xml"/><Relationship Id="rId9" Type="http://schemas.openxmlformats.org/officeDocument/2006/relationships/image" Target="../media/image26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8.xml"/><Relationship Id="rId5" Type="http://schemas.openxmlformats.org/officeDocument/2006/relationships/image" Target="../media/image27.emf"/><Relationship Id="rId4" Type="http://schemas.openxmlformats.org/officeDocument/2006/relationships/control" Target="../activeX/activeX17.xml"/><Relationship Id="rId9" Type="http://schemas.openxmlformats.org/officeDocument/2006/relationships/image" Target="../media/image29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2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3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6.emf"/><Relationship Id="rId12" Type="http://schemas.openxmlformats.org/officeDocument/2006/relationships/control" Target="../activeX/activeX2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2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microsoft.com/office/2017/10/relationships/threadedComment" Target="../threadedComments/threadedComment3.xml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7.emf"/><Relationship Id="rId1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31.xml"/><Relationship Id="rId5" Type="http://schemas.openxmlformats.org/officeDocument/2006/relationships/image" Target="../media/image40.emf"/><Relationship Id="rId4" Type="http://schemas.openxmlformats.org/officeDocument/2006/relationships/control" Target="../activeX/activeX30.xml"/><Relationship Id="rId9" Type="http://schemas.openxmlformats.org/officeDocument/2006/relationships/image" Target="../media/image42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47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12" Type="http://schemas.openxmlformats.org/officeDocument/2006/relationships/control" Target="../activeX/activeX37.xml"/><Relationship Id="rId17" Type="http://schemas.openxmlformats.org/officeDocument/2006/relationships/image" Target="../media/image49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3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5.emf"/><Relationship Id="rId14" Type="http://schemas.openxmlformats.org/officeDocument/2006/relationships/control" Target="../activeX/activeX38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54.emf"/><Relationship Id="rId18" Type="http://schemas.openxmlformats.org/officeDocument/2006/relationships/comments" Target="../comments5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1.emf"/><Relationship Id="rId12" Type="http://schemas.openxmlformats.org/officeDocument/2006/relationships/control" Target="../activeX/activeX44.xml"/><Relationship Id="rId17" Type="http://schemas.openxmlformats.org/officeDocument/2006/relationships/image" Target="../media/image56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41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52.emf"/><Relationship Id="rId14" Type="http://schemas.openxmlformats.org/officeDocument/2006/relationships/control" Target="../activeX/activeX45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61.emf"/><Relationship Id="rId18" Type="http://schemas.openxmlformats.org/officeDocument/2006/relationships/comments" Target="../comments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8.emf"/><Relationship Id="rId12" Type="http://schemas.openxmlformats.org/officeDocument/2006/relationships/control" Target="../activeX/activeX51.xml"/><Relationship Id="rId17" Type="http://schemas.openxmlformats.org/officeDocument/2006/relationships/image" Target="../media/image63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8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5" Type="http://schemas.openxmlformats.org/officeDocument/2006/relationships/image" Target="../media/image62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59.emf"/><Relationship Id="rId14" Type="http://schemas.openxmlformats.org/officeDocument/2006/relationships/control" Target="../activeX/activeX52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13" Type="http://schemas.openxmlformats.org/officeDocument/2006/relationships/image" Target="../media/image68.emf"/><Relationship Id="rId18" Type="http://schemas.openxmlformats.org/officeDocument/2006/relationships/comments" Target="../comments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5.emf"/><Relationship Id="rId12" Type="http://schemas.openxmlformats.org/officeDocument/2006/relationships/control" Target="../activeX/activeX58.xml"/><Relationship Id="rId17" Type="http://schemas.openxmlformats.org/officeDocument/2006/relationships/image" Target="../media/image70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60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5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5" Type="http://schemas.openxmlformats.org/officeDocument/2006/relationships/image" Target="../media/image69.emf"/><Relationship Id="rId10" Type="http://schemas.openxmlformats.org/officeDocument/2006/relationships/control" Target="../activeX/activeX57.xml"/><Relationship Id="rId19" Type="http://schemas.microsoft.com/office/2017/10/relationships/threadedComment" Target="../threadedComments/threadedComment4.xml"/><Relationship Id="rId4" Type="http://schemas.openxmlformats.org/officeDocument/2006/relationships/control" Target="../activeX/activeX54.xml"/><Relationship Id="rId9" Type="http://schemas.openxmlformats.org/officeDocument/2006/relationships/image" Target="../media/image66.emf"/><Relationship Id="rId14" Type="http://schemas.openxmlformats.org/officeDocument/2006/relationships/control" Target="../activeX/activeX5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gov.za/files/esources/petroleum/November2019/Basic-Fuel-Price.pdf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75.emf"/><Relationship Id="rId18" Type="http://schemas.openxmlformats.org/officeDocument/2006/relationships/control" Target="../activeX/activeX6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2.emf"/><Relationship Id="rId12" Type="http://schemas.openxmlformats.org/officeDocument/2006/relationships/control" Target="../activeX/activeX6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67.xml"/><Relationship Id="rId20" Type="http://schemas.openxmlformats.org/officeDocument/2006/relationships/comments" Target="../comments8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64.xml"/><Relationship Id="rId19" Type="http://schemas.openxmlformats.org/officeDocument/2006/relationships/image" Target="../media/image78.emf"/><Relationship Id="rId4" Type="http://schemas.openxmlformats.org/officeDocument/2006/relationships/control" Target="../activeX/activeX61.xml"/><Relationship Id="rId9" Type="http://schemas.openxmlformats.org/officeDocument/2006/relationships/image" Target="../media/image73.emf"/><Relationship Id="rId14" Type="http://schemas.openxmlformats.org/officeDocument/2006/relationships/control" Target="../activeX/activeX66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0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7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1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13" Type="http://schemas.openxmlformats.org/officeDocument/2006/relationships/image" Target="../media/image87.emf"/><Relationship Id="rId18" Type="http://schemas.openxmlformats.org/officeDocument/2006/relationships/control" Target="../activeX/activeX80.xml"/><Relationship Id="rId3" Type="http://schemas.openxmlformats.org/officeDocument/2006/relationships/vmlDrawing" Target="../drawings/vmlDrawing18.vml"/><Relationship Id="rId21" Type="http://schemas.openxmlformats.org/officeDocument/2006/relationships/image" Target="../media/image91.emf"/><Relationship Id="rId7" Type="http://schemas.openxmlformats.org/officeDocument/2006/relationships/image" Target="../media/image84.emf"/><Relationship Id="rId12" Type="http://schemas.openxmlformats.org/officeDocument/2006/relationships/control" Target="../activeX/activeX77.xml"/><Relationship Id="rId17" Type="http://schemas.openxmlformats.org/officeDocument/2006/relationships/image" Target="../media/image89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79.xml"/><Relationship Id="rId20" Type="http://schemas.openxmlformats.org/officeDocument/2006/relationships/control" Target="../activeX/activeX81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74.xml"/><Relationship Id="rId11" Type="http://schemas.openxmlformats.org/officeDocument/2006/relationships/image" Target="../media/image86.emf"/><Relationship Id="rId5" Type="http://schemas.openxmlformats.org/officeDocument/2006/relationships/image" Target="../media/image83.emf"/><Relationship Id="rId15" Type="http://schemas.openxmlformats.org/officeDocument/2006/relationships/image" Target="../media/image88.emf"/><Relationship Id="rId23" Type="http://schemas.openxmlformats.org/officeDocument/2006/relationships/image" Target="../media/image92.emf"/><Relationship Id="rId10" Type="http://schemas.openxmlformats.org/officeDocument/2006/relationships/control" Target="../activeX/activeX76.xml"/><Relationship Id="rId19" Type="http://schemas.openxmlformats.org/officeDocument/2006/relationships/image" Target="../media/image90.emf"/><Relationship Id="rId4" Type="http://schemas.openxmlformats.org/officeDocument/2006/relationships/control" Target="../activeX/activeX73.xml"/><Relationship Id="rId9" Type="http://schemas.openxmlformats.org/officeDocument/2006/relationships/image" Target="../media/image85.emf"/><Relationship Id="rId14" Type="http://schemas.openxmlformats.org/officeDocument/2006/relationships/control" Target="../activeX/activeX78.xml"/><Relationship Id="rId22" Type="http://schemas.openxmlformats.org/officeDocument/2006/relationships/control" Target="../activeX/activeX82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13" Type="http://schemas.openxmlformats.org/officeDocument/2006/relationships/image" Target="../media/image97.emf"/><Relationship Id="rId18" Type="http://schemas.openxmlformats.org/officeDocument/2006/relationships/control" Target="../activeX/activeX9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4.emf"/><Relationship Id="rId12" Type="http://schemas.openxmlformats.org/officeDocument/2006/relationships/control" Target="../activeX/activeX87.xml"/><Relationship Id="rId17" Type="http://schemas.openxmlformats.org/officeDocument/2006/relationships/image" Target="../media/image9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89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84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5" Type="http://schemas.openxmlformats.org/officeDocument/2006/relationships/image" Target="../media/image98.emf"/><Relationship Id="rId10" Type="http://schemas.openxmlformats.org/officeDocument/2006/relationships/control" Target="../activeX/activeX86.xml"/><Relationship Id="rId19" Type="http://schemas.openxmlformats.org/officeDocument/2006/relationships/image" Target="../media/image100.emf"/><Relationship Id="rId4" Type="http://schemas.openxmlformats.org/officeDocument/2006/relationships/control" Target="../activeX/activeX83.xml"/><Relationship Id="rId9" Type="http://schemas.openxmlformats.org/officeDocument/2006/relationships/image" Target="../media/image95.emf"/><Relationship Id="rId14" Type="http://schemas.openxmlformats.org/officeDocument/2006/relationships/control" Target="../activeX/activeX88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3.emf"/><Relationship Id="rId13" Type="http://schemas.openxmlformats.org/officeDocument/2006/relationships/control" Target="../activeX/activeX96.xml"/><Relationship Id="rId18" Type="http://schemas.openxmlformats.org/officeDocument/2006/relationships/image" Target="../media/image108.emf"/><Relationship Id="rId3" Type="http://schemas.openxmlformats.org/officeDocument/2006/relationships/control" Target="../activeX/activeX91.xml"/><Relationship Id="rId21" Type="http://schemas.openxmlformats.org/officeDocument/2006/relationships/control" Target="../activeX/activeX100.xml"/><Relationship Id="rId7" Type="http://schemas.openxmlformats.org/officeDocument/2006/relationships/control" Target="../activeX/activeX93.xml"/><Relationship Id="rId12" Type="http://schemas.openxmlformats.org/officeDocument/2006/relationships/image" Target="../media/image105.emf"/><Relationship Id="rId17" Type="http://schemas.openxmlformats.org/officeDocument/2006/relationships/control" Target="../activeX/activeX98.xml"/><Relationship Id="rId2" Type="http://schemas.openxmlformats.org/officeDocument/2006/relationships/vmlDrawing" Target="../drawings/vmlDrawing20.vml"/><Relationship Id="rId16" Type="http://schemas.openxmlformats.org/officeDocument/2006/relationships/image" Target="../media/image107.emf"/><Relationship Id="rId20" Type="http://schemas.openxmlformats.org/officeDocument/2006/relationships/image" Target="../media/image109.emf"/><Relationship Id="rId1" Type="http://schemas.openxmlformats.org/officeDocument/2006/relationships/drawing" Target="../drawings/drawing22.xml"/><Relationship Id="rId6" Type="http://schemas.openxmlformats.org/officeDocument/2006/relationships/image" Target="../media/image102.emf"/><Relationship Id="rId11" Type="http://schemas.openxmlformats.org/officeDocument/2006/relationships/control" Target="../activeX/activeX95.xml"/><Relationship Id="rId5" Type="http://schemas.openxmlformats.org/officeDocument/2006/relationships/control" Target="../activeX/activeX92.xml"/><Relationship Id="rId15" Type="http://schemas.openxmlformats.org/officeDocument/2006/relationships/control" Target="../activeX/activeX97.xml"/><Relationship Id="rId10" Type="http://schemas.openxmlformats.org/officeDocument/2006/relationships/image" Target="../media/image104.emf"/><Relationship Id="rId19" Type="http://schemas.openxmlformats.org/officeDocument/2006/relationships/control" Target="../activeX/activeX99.xml"/><Relationship Id="rId4" Type="http://schemas.openxmlformats.org/officeDocument/2006/relationships/image" Target="../media/image101.emf"/><Relationship Id="rId9" Type="http://schemas.openxmlformats.org/officeDocument/2006/relationships/control" Target="../activeX/activeX94.xml"/><Relationship Id="rId14" Type="http://schemas.openxmlformats.org/officeDocument/2006/relationships/image" Target="../media/image106.emf"/><Relationship Id="rId22" Type="http://schemas.openxmlformats.org/officeDocument/2006/relationships/image" Target="../media/image110.emf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3.emf"/><Relationship Id="rId13" Type="http://schemas.openxmlformats.org/officeDocument/2006/relationships/control" Target="../activeX/activeX106.xml"/><Relationship Id="rId18" Type="http://schemas.openxmlformats.org/officeDocument/2006/relationships/image" Target="../media/image118.emf"/><Relationship Id="rId3" Type="http://schemas.openxmlformats.org/officeDocument/2006/relationships/control" Target="../activeX/activeX101.xml"/><Relationship Id="rId21" Type="http://schemas.openxmlformats.org/officeDocument/2006/relationships/control" Target="../activeX/activeX110.xml"/><Relationship Id="rId7" Type="http://schemas.openxmlformats.org/officeDocument/2006/relationships/control" Target="../activeX/activeX103.xml"/><Relationship Id="rId12" Type="http://schemas.openxmlformats.org/officeDocument/2006/relationships/image" Target="../media/image115.emf"/><Relationship Id="rId17" Type="http://schemas.openxmlformats.org/officeDocument/2006/relationships/control" Target="../activeX/activeX108.xml"/><Relationship Id="rId2" Type="http://schemas.openxmlformats.org/officeDocument/2006/relationships/vmlDrawing" Target="../drawings/vmlDrawing21.vml"/><Relationship Id="rId16" Type="http://schemas.openxmlformats.org/officeDocument/2006/relationships/image" Target="../media/image117.emf"/><Relationship Id="rId20" Type="http://schemas.openxmlformats.org/officeDocument/2006/relationships/image" Target="../media/image119.emf"/><Relationship Id="rId1" Type="http://schemas.openxmlformats.org/officeDocument/2006/relationships/drawing" Target="../drawings/drawing23.xml"/><Relationship Id="rId6" Type="http://schemas.openxmlformats.org/officeDocument/2006/relationships/image" Target="../media/image112.emf"/><Relationship Id="rId11" Type="http://schemas.openxmlformats.org/officeDocument/2006/relationships/control" Target="../activeX/activeX105.xml"/><Relationship Id="rId5" Type="http://schemas.openxmlformats.org/officeDocument/2006/relationships/control" Target="../activeX/activeX102.xml"/><Relationship Id="rId15" Type="http://schemas.openxmlformats.org/officeDocument/2006/relationships/control" Target="../activeX/activeX107.xml"/><Relationship Id="rId10" Type="http://schemas.openxmlformats.org/officeDocument/2006/relationships/image" Target="../media/image114.emf"/><Relationship Id="rId19" Type="http://schemas.openxmlformats.org/officeDocument/2006/relationships/control" Target="../activeX/activeX109.xml"/><Relationship Id="rId4" Type="http://schemas.openxmlformats.org/officeDocument/2006/relationships/image" Target="../media/image111.emf"/><Relationship Id="rId9" Type="http://schemas.openxmlformats.org/officeDocument/2006/relationships/control" Target="../activeX/activeX104.xml"/><Relationship Id="rId14" Type="http://schemas.openxmlformats.org/officeDocument/2006/relationships/image" Target="../media/image116.emf"/><Relationship Id="rId22" Type="http://schemas.openxmlformats.org/officeDocument/2006/relationships/image" Target="../media/image120.emf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3.xml"/><Relationship Id="rId13" Type="http://schemas.openxmlformats.org/officeDocument/2006/relationships/image" Target="../media/image125.emf"/><Relationship Id="rId18" Type="http://schemas.openxmlformats.org/officeDocument/2006/relationships/control" Target="../activeX/activeX11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22.emf"/><Relationship Id="rId12" Type="http://schemas.openxmlformats.org/officeDocument/2006/relationships/control" Target="../activeX/activeX115.xml"/><Relationship Id="rId17" Type="http://schemas.openxmlformats.org/officeDocument/2006/relationships/image" Target="../media/image127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17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12.xml"/><Relationship Id="rId11" Type="http://schemas.openxmlformats.org/officeDocument/2006/relationships/image" Target="../media/image124.emf"/><Relationship Id="rId5" Type="http://schemas.openxmlformats.org/officeDocument/2006/relationships/image" Target="../media/image121.emf"/><Relationship Id="rId15" Type="http://schemas.openxmlformats.org/officeDocument/2006/relationships/image" Target="../media/image126.emf"/><Relationship Id="rId10" Type="http://schemas.openxmlformats.org/officeDocument/2006/relationships/control" Target="../activeX/activeX114.xml"/><Relationship Id="rId19" Type="http://schemas.openxmlformats.org/officeDocument/2006/relationships/image" Target="../media/image128.emf"/><Relationship Id="rId4" Type="http://schemas.openxmlformats.org/officeDocument/2006/relationships/control" Target="../activeX/activeX111.xml"/><Relationship Id="rId9" Type="http://schemas.openxmlformats.org/officeDocument/2006/relationships/image" Target="../media/image123.emf"/><Relationship Id="rId14" Type="http://schemas.openxmlformats.org/officeDocument/2006/relationships/control" Target="../activeX/activeX11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1.xml"/><Relationship Id="rId13" Type="http://schemas.openxmlformats.org/officeDocument/2006/relationships/image" Target="../media/image133.emf"/><Relationship Id="rId18" Type="http://schemas.openxmlformats.org/officeDocument/2006/relationships/control" Target="../activeX/activeX126.xml"/><Relationship Id="rId3" Type="http://schemas.openxmlformats.org/officeDocument/2006/relationships/vmlDrawing" Target="../drawings/vmlDrawing23.vml"/><Relationship Id="rId21" Type="http://schemas.openxmlformats.org/officeDocument/2006/relationships/image" Target="../media/image137.emf"/><Relationship Id="rId7" Type="http://schemas.openxmlformats.org/officeDocument/2006/relationships/image" Target="../media/image130.emf"/><Relationship Id="rId12" Type="http://schemas.openxmlformats.org/officeDocument/2006/relationships/control" Target="../activeX/activeX123.xml"/><Relationship Id="rId17" Type="http://schemas.openxmlformats.org/officeDocument/2006/relationships/image" Target="../media/image135.emf"/><Relationship Id="rId2" Type="http://schemas.openxmlformats.org/officeDocument/2006/relationships/drawing" Target="../drawings/drawing25.xml"/><Relationship Id="rId16" Type="http://schemas.openxmlformats.org/officeDocument/2006/relationships/control" Target="../activeX/activeX125.xml"/><Relationship Id="rId20" Type="http://schemas.openxmlformats.org/officeDocument/2006/relationships/control" Target="../activeX/activeX127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20.xml"/><Relationship Id="rId11" Type="http://schemas.openxmlformats.org/officeDocument/2006/relationships/image" Target="../media/image132.emf"/><Relationship Id="rId5" Type="http://schemas.openxmlformats.org/officeDocument/2006/relationships/image" Target="../media/image129.emf"/><Relationship Id="rId15" Type="http://schemas.openxmlformats.org/officeDocument/2006/relationships/image" Target="../media/image134.emf"/><Relationship Id="rId23" Type="http://schemas.openxmlformats.org/officeDocument/2006/relationships/image" Target="../media/image138.emf"/><Relationship Id="rId10" Type="http://schemas.openxmlformats.org/officeDocument/2006/relationships/control" Target="../activeX/activeX122.xml"/><Relationship Id="rId19" Type="http://schemas.openxmlformats.org/officeDocument/2006/relationships/image" Target="../media/image136.emf"/><Relationship Id="rId4" Type="http://schemas.openxmlformats.org/officeDocument/2006/relationships/control" Target="../activeX/activeX119.xml"/><Relationship Id="rId9" Type="http://schemas.openxmlformats.org/officeDocument/2006/relationships/image" Target="../media/image131.emf"/><Relationship Id="rId14" Type="http://schemas.openxmlformats.org/officeDocument/2006/relationships/control" Target="../activeX/activeX124.xml"/><Relationship Id="rId22" Type="http://schemas.openxmlformats.org/officeDocument/2006/relationships/control" Target="../activeX/activeX1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00" r:id="rId4" name="optMultiRegionCommon">
          <controlPr defaultSize="0" autoLine="0" r:id="rId5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4" name="optMultiRegionCommon"/>
      </mc:Fallback>
    </mc:AlternateContent>
    <mc:AlternateContent xmlns:mc="http://schemas.openxmlformats.org/markup-compatibility/2006">
      <mc:Choice Requires="x14">
        <control shapeId="12299" r:id="rId6" name="optMultiRegionNotCommon">
          <controlPr defaultSize="0" disabled="1" autoLine="0" r:id="rId7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6" name="optMultiRegionNotCommon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1" r:id="rId10" name="cmdAddNewAnswerSheet">
          <controlPr defaultSize="0" autoLine="0" r:id="rId11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10" name="cmdAddNewAnswerSheet"/>
      </mc:Fallback>
    </mc:AlternateContent>
    <mc:AlternateContent xmlns:mc="http://schemas.openxmlformats.org/markup-compatibility/2006">
      <mc:Choice Requires="x14">
        <control shapeId="12289" r:id="rId12" name="cmdUpdate">
          <controlPr defaultSize="0" disabled="1" autoLine="0" r:id="rId13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12" name="cmd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52CBF-4FE0-46D1-B70B-95F07BE7C2F3}">
  <sheetPr>
    <tabColor theme="9"/>
  </sheetPr>
  <dimension ref="B3:E27"/>
  <sheetViews>
    <sheetView workbookViewId="0">
      <selection activeCell="E21" sqref="E21"/>
    </sheetView>
  </sheetViews>
  <sheetFormatPr defaultRowHeight="12.75" x14ac:dyDescent="0.2"/>
  <cols>
    <col min="2" max="3" width="18.140625" customWidth="1"/>
    <col min="4" max="4" width="21" customWidth="1"/>
    <col min="5" max="5" width="7" customWidth="1"/>
  </cols>
  <sheetData>
    <row r="3" spans="2:5" ht="18" thickBot="1" x14ac:dyDescent="0.35">
      <c r="B3" s="208" t="s">
        <v>808</v>
      </c>
      <c r="C3" s="208"/>
      <c r="D3" s="208"/>
      <c r="E3" s="203" t="s">
        <v>811</v>
      </c>
    </row>
    <row r="4" spans="2:5" ht="13.5" thickTop="1" x14ac:dyDescent="0.2"/>
    <row r="5" spans="2:5" x14ac:dyDescent="0.2">
      <c r="B5" s="203" t="s">
        <v>809</v>
      </c>
      <c r="C5" s="203" t="s">
        <v>15</v>
      </c>
      <c r="D5" s="203" t="s">
        <v>812</v>
      </c>
    </row>
    <row r="6" spans="2:5" ht="15" x14ac:dyDescent="0.25">
      <c r="B6" s="203" t="s">
        <v>810</v>
      </c>
      <c r="C6" s="203" t="s">
        <v>814</v>
      </c>
      <c r="E6" s="281">
        <v>1</v>
      </c>
    </row>
    <row r="7" spans="2:5" x14ac:dyDescent="0.2">
      <c r="D7" t="str">
        <f ca="1">Commodities_BASE!A2</f>
        <v>Commodities_BASE</v>
      </c>
      <c r="E7" s="282">
        <f t="shared" ref="E7:E12" si="0">$E$6</f>
        <v>1</v>
      </c>
    </row>
    <row r="8" spans="2:5" x14ac:dyDescent="0.2">
      <c r="D8" t="str">
        <f ca="1">CommData_BASE!A2</f>
        <v>CommData_BASE</v>
      </c>
      <c r="E8" s="282">
        <f t="shared" si="0"/>
        <v>1</v>
      </c>
    </row>
    <row r="9" spans="2:5" x14ac:dyDescent="0.2">
      <c r="D9" t="str">
        <f ca="1">Processes_BASE!A2</f>
        <v>Processes_BASE</v>
      </c>
      <c r="E9" s="282">
        <f t="shared" si="0"/>
        <v>1</v>
      </c>
    </row>
    <row r="10" spans="2:5" x14ac:dyDescent="0.2">
      <c r="D10" t="str">
        <f ca="1">ProcData_Basic!A2</f>
        <v>ProcData_Basic</v>
      </c>
      <c r="E10" s="282">
        <f t="shared" si="0"/>
        <v>1</v>
      </c>
    </row>
    <row r="11" spans="2:5" x14ac:dyDescent="0.2">
      <c r="D11" t="str">
        <f ca="1">ProcData_Demands!A2</f>
        <v>ProcData_Demands</v>
      </c>
      <c r="E11" s="282">
        <f t="shared" si="0"/>
        <v>1</v>
      </c>
    </row>
    <row r="12" spans="2:5" x14ac:dyDescent="0.2">
      <c r="D12" t="str">
        <f ca="1">ProcData_Exist!A2</f>
        <v>ProcData_Exist</v>
      </c>
      <c r="E12" s="282">
        <f t="shared" si="0"/>
        <v>1</v>
      </c>
    </row>
    <row r="13" spans="2:5" x14ac:dyDescent="0.2">
      <c r="E13" s="282"/>
    </row>
    <row r="14" spans="2:5" x14ac:dyDescent="0.2">
      <c r="E14" s="282"/>
    </row>
    <row r="15" spans="2:5" ht="15" x14ac:dyDescent="0.25">
      <c r="B15" s="203" t="s">
        <v>813</v>
      </c>
      <c r="C15" s="203" t="s">
        <v>807</v>
      </c>
      <c r="E15" s="281">
        <v>0</v>
      </c>
    </row>
    <row r="16" spans="2:5" x14ac:dyDescent="0.2">
      <c r="D16" t="str">
        <f ca="1">[1]Processes_CONTURB!A2</f>
        <v>Processes_CONTURB</v>
      </c>
      <c r="E16" s="282">
        <f>$E$15</f>
        <v>0</v>
      </c>
    </row>
    <row r="17" spans="2:5" x14ac:dyDescent="0.2">
      <c r="D17" s="203">
        <f>[1]ProcData_CONTURB!A2</f>
        <v>0</v>
      </c>
      <c r="E17" s="282">
        <f>$E$15</f>
        <v>0</v>
      </c>
    </row>
    <row r="20" spans="2:5" ht="15" x14ac:dyDescent="0.25">
      <c r="B20" s="203" t="s">
        <v>839</v>
      </c>
      <c r="C20" s="203" t="s">
        <v>840</v>
      </c>
      <c r="E20" s="281">
        <v>0</v>
      </c>
    </row>
    <row r="21" spans="2:5" x14ac:dyDescent="0.2">
      <c r="D21" t="e">
        <f>#REF!</f>
        <v>#REF!</v>
      </c>
      <c r="E21" s="282">
        <f>$E$20</f>
        <v>0</v>
      </c>
    </row>
    <row r="22" spans="2:5" x14ac:dyDescent="0.2">
      <c r="D22" t="e">
        <f>#REF!</f>
        <v>#REF!</v>
      </c>
      <c r="E22" s="282">
        <f>$E$20</f>
        <v>0</v>
      </c>
    </row>
    <row r="25" spans="2:5" ht="15" x14ac:dyDescent="0.25">
      <c r="B25" s="203" t="s">
        <v>862</v>
      </c>
      <c r="C25" s="203" t="s">
        <v>491</v>
      </c>
      <c r="E25" s="281">
        <v>0</v>
      </c>
    </row>
    <row r="26" spans="2:5" x14ac:dyDescent="0.2">
      <c r="D26">
        <f>[2]Processes_Biogas!A2</f>
        <v>0</v>
      </c>
      <c r="E26" s="282">
        <f>$E$25</f>
        <v>0</v>
      </c>
    </row>
    <row r="27" spans="2:5" x14ac:dyDescent="0.2">
      <c r="D27">
        <f>[2]ProcData_Biogas!A2</f>
        <v>0</v>
      </c>
      <c r="E27" s="282">
        <f>$E$25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C40EA-CC31-425A-8E90-6D7657180B84}">
  <sheetPr codeName="Sheet29">
    <tabColor theme="9"/>
  </sheetPr>
  <dimension ref="C1:AT116"/>
  <sheetViews>
    <sheetView zoomScale="70" zoomScaleNormal="70" workbookViewId="0">
      <pane xSplit="4" ySplit="3" topLeftCell="E44" activePane="bottomRight" state="frozen"/>
      <selection activeCell="W2" sqref="W2"/>
      <selection pane="topRight" activeCell="W2" sqref="W2"/>
      <selection pane="bottomLeft" activeCell="W2" sqref="W2"/>
      <selection pane="bottomRight" activeCell="AI12" sqref="AI12"/>
    </sheetView>
  </sheetViews>
  <sheetFormatPr defaultRowHeight="15" x14ac:dyDescent="0.25"/>
  <cols>
    <col min="1" max="1" width="9.140625" style="72"/>
    <col min="2" max="2" width="9.140625" style="72" customWidth="1"/>
    <col min="3" max="3" width="20.7109375" style="72" customWidth="1"/>
    <col min="4" max="4" width="3.85546875" style="72" customWidth="1"/>
    <col min="5" max="10" width="3.5703125" style="72" customWidth="1"/>
    <col min="11" max="13" width="4" style="72" customWidth="1"/>
    <col min="14" max="14" width="4.5703125" style="72" customWidth="1"/>
    <col min="15" max="15" width="23.140625" style="72" customWidth="1"/>
    <col min="16" max="16" width="4" style="72" customWidth="1"/>
    <col min="17" max="25" width="3.5703125" style="72" customWidth="1"/>
    <col min="26" max="26" width="3.85546875" style="72" customWidth="1"/>
    <col min="27" max="27" width="25.42578125" style="72" customWidth="1"/>
    <col min="28" max="28" width="3.85546875" style="72" customWidth="1"/>
    <col min="29" max="31" width="3.5703125" style="72" customWidth="1"/>
    <col min="32" max="32" width="3.7109375" style="72" customWidth="1"/>
    <col min="33" max="33" width="3.85546875" style="72" customWidth="1"/>
    <col min="34" max="34" width="4" style="72" customWidth="1"/>
    <col min="35" max="35" width="25.5703125" style="72" customWidth="1"/>
    <col min="36" max="42" width="3.5703125" style="72" customWidth="1"/>
    <col min="43" max="16384" width="9.140625" style="72"/>
  </cols>
  <sheetData>
    <row r="1" spans="3:46" x14ac:dyDescent="0.25">
      <c r="D1" s="72" t="s">
        <v>509</v>
      </c>
      <c r="P1" s="72" t="s">
        <v>508</v>
      </c>
      <c r="AC1" s="72" t="s">
        <v>507</v>
      </c>
      <c r="AJ1" s="206" t="s">
        <v>664</v>
      </c>
    </row>
    <row r="2" spans="3:46" ht="84" customHeight="1" x14ac:dyDescent="0.25">
      <c r="C2" s="112"/>
      <c r="E2" s="161" t="s">
        <v>506</v>
      </c>
      <c r="F2" s="161" t="s">
        <v>505</v>
      </c>
      <c r="G2" s="342" t="s">
        <v>968</v>
      </c>
      <c r="H2" s="204" t="s">
        <v>675</v>
      </c>
      <c r="I2" s="161" t="s">
        <v>504</v>
      </c>
      <c r="J2" s="161" t="s">
        <v>503</v>
      </c>
      <c r="K2" s="162"/>
      <c r="L2" s="163"/>
      <c r="M2" s="163"/>
      <c r="N2" s="163"/>
      <c r="O2" s="112"/>
      <c r="Q2" s="204" t="s">
        <v>666</v>
      </c>
      <c r="R2" s="325" t="s">
        <v>943</v>
      </c>
      <c r="S2" s="299" t="s">
        <v>876</v>
      </c>
      <c r="T2" s="161" t="s">
        <v>501</v>
      </c>
      <c r="U2" s="161" t="s">
        <v>500</v>
      </c>
      <c r="V2" s="161" t="s">
        <v>499</v>
      </c>
      <c r="W2" s="325" t="s">
        <v>937</v>
      </c>
      <c r="X2" s="325" t="s">
        <v>938</v>
      </c>
      <c r="Y2" s="162"/>
      <c r="AA2" s="112"/>
      <c r="AB2" s="112"/>
      <c r="AC2" s="161" t="s">
        <v>497</v>
      </c>
      <c r="AD2" s="161" t="s">
        <v>498</v>
      </c>
      <c r="AE2" s="161" t="s">
        <v>133</v>
      </c>
      <c r="AJ2" s="161" t="s">
        <v>602</v>
      </c>
      <c r="AK2" s="161" t="s">
        <v>601</v>
      </c>
      <c r="AL2" s="325" t="s">
        <v>941</v>
      </c>
      <c r="AM2" s="204" t="s">
        <v>483</v>
      </c>
      <c r="AN2" s="161" t="s">
        <v>496</v>
      </c>
      <c r="AO2" s="299" t="s">
        <v>502</v>
      </c>
      <c r="AP2" s="325" t="s">
        <v>940</v>
      </c>
    </row>
    <row r="3" spans="3:46" ht="97.5" customHeight="1" x14ac:dyDescent="0.25">
      <c r="C3" s="112" t="s">
        <v>495</v>
      </c>
      <c r="E3" s="161" t="s">
        <v>482</v>
      </c>
      <c r="F3" s="325" t="s">
        <v>935</v>
      </c>
      <c r="G3" s="342" t="s">
        <v>967</v>
      </c>
      <c r="H3" s="204" t="s">
        <v>674</v>
      </c>
      <c r="I3" s="161" t="s">
        <v>474</v>
      </c>
      <c r="J3" s="161" t="s">
        <v>470</v>
      </c>
      <c r="K3" s="162"/>
      <c r="L3" s="163"/>
      <c r="M3" s="163"/>
      <c r="N3" s="163"/>
      <c r="O3" s="112" t="s">
        <v>493</v>
      </c>
      <c r="Q3" s="161" t="s">
        <v>492</v>
      </c>
      <c r="R3" s="325" t="s">
        <v>942</v>
      </c>
      <c r="S3" s="299" t="s">
        <v>875</v>
      </c>
      <c r="T3" s="161" t="s">
        <v>490</v>
      </c>
      <c r="U3" s="161" t="s">
        <v>489</v>
      </c>
      <c r="V3" s="274" t="s">
        <v>767</v>
      </c>
      <c r="W3" s="351" t="s">
        <v>987</v>
      </c>
      <c r="X3" s="325" t="s">
        <v>898</v>
      </c>
      <c r="Y3" s="162"/>
      <c r="AA3" s="112" t="s">
        <v>488</v>
      </c>
      <c r="AB3" s="112"/>
      <c r="AC3" s="161" t="s">
        <v>486</v>
      </c>
      <c r="AD3" s="161" t="s">
        <v>487</v>
      </c>
      <c r="AE3" s="161" t="s">
        <v>134</v>
      </c>
      <c r="AJ3" s="161" t="s">
        <v>599</v>
      </c>
      <c r="AK3" s="161" t="s">
        <v>600</v>
      </c>
      <c r="AL3" s="204" t="s">
        <v>665</v>
      </c>
      <c r="AM3" s="204" t="s">
        <v>620</v>
      </c>
      <c r="AN3" s="161" t="s">
        <v>464</v>
      </c>
      <c r="AO3" s="325" t="s">
        <v>939</v>
      </c>
      <c r="AP3" s="351" t="s">
        <v>986</v>
      </c>
    </row>
    <row r="4" spans="3:46" x14ac:dyDescent="0.25">
      <c r="E4" s="109"/>
      <c r="F4" s="109"/>
      <c r="G4" s="109"/>
      <c r="H4" s="109"/>
      <c r="I4" s="109"/>
      <c r="J4" s="109"/>
      <c r="K4" s="113"/>
      <c r="L4" s="112"/>
      <c r="M4" s="112"/>
      <c r="N4" s="112"/>
      <c r="Q4" s="109"/>
      <c r="R4" s="109"/>
      <c r="S4" s="109"/>
      <c r="T4" s="109"/>
      <c r="U4" s="109"/>
      <c r="V4" s="109"/>
      <c r="W4" s="109"/>
      <c r="X4" s="109"/>
      <c r="Y4" s="110"/>
      <c r="AC4" s="109"/>
      <c r="AD4" s="109"/>
      <c r="AE4" s="109"/>
      <c r="AJ4" s="109"/>
      <c r="AK4" s="109"/>
      <c r="AL4" s="109"/>
      <c r="AM4" s="109"/>
      <c r="AN4" s="109"/>
      <c r="AO4" s="109"/>
      <c r="AP4" s="109"/>
    </row>
    <row r="5" spans="3:46" x14ac:dyDescent="0.25">
      <c r="D5" s="112"/>
      <c r="E5" s="109"/>
      <c r="F5" s="109"/>
      <c r="G5" s="114"/>
      <c r="H5" s="114"/>
      <c r="I5" s="114"/>
      <c r="J5" s="119"/>
      <c r="K5" s="133"/>
      <c r="L5" s="118"/>
      <c r="M5" s="118"/>
      <c r="N5" s="119"/>
      <c r="O5" s="139" t="s">
        <v>485</v>
      </c>
      <c r="P5" s="133"/>
      <c r="Q5" s="119"/>
      <c r="R5" s="140"/>
      <c r="S5" s="140"/>
      <c r="T5" s="140"/>
      <c r="U5" s="140"/>
      <c r="V5" s="140"/>
      <c r="W5" s="140"/>
      <c r="X5" s="140"/>
      <c r="Y5" s="108"/>
      <c r="AA5" s="112"/>
      <c r="AB5" s="112"/>
      <c r="AC5" s="109"/>
      <c r="AD5" s="114"/>
      <c r="AE5" s="114"/>
      <c r="AF5" s="120"/>
      <c r="AG5" s="120"/>
      <c r="AH5" s="117"/>
      <c r="AI5" s="137" t="s">
        <v>484</v>
      </c>
      <c r="AJ5" s="114"/>
      <c r="AK5" s="114"/>
      <c r="AL5" s="114"/>
      <c r="AM5" s="114"/>
      <c r="AN5" s="109"/>
      <c r="AO5" s="109"/>
      <c r="AP5" s="109"/>
      <c r="AT5" s="160"/>
    </row>
    <row r="6" spans="3:46" x14ac:dyDescent="0.25">
      <c r="C6" s="112"/>
      <c r="D6" s="112"/>
      <c r="E6" s="109"/>
      <c r="F6" s="109"/>
      <c r="G6" s="109"/>
      <c r="H6" s="109"/>
      <c r="I6" s="109"/>
      <c r="J6" s="109"/>
      <c r="K6" s="132"/>
      <c r="L6" s="144"/>
      <c r="M6" s="125"/>
      <c r="N6" s="152"/>
      <c r="O6" s="159"/>
      <c r="P6" s="133"/>
      <c r="Q6" s="119"/>
      <c r="R6" s="114"/>
      <c r="S6" s="109"/>
      <c r="T6" s="109"/>
      <c r="U6" s="114"/>
      <c r="V6" s="114"/>
      <c r="W6" s="119"/>
      <c r="X6" s="119"/>
      <c r="Y6" s="118"/>
      <c r="Z6" s="120"/>
      <c r="AA6" s="120"/>
      <c r="AB6" s="120"/>
      <c r="AC6" s="109"/>
      <c r="AD6" s="109"/>
      <c r="AE6" s="109"/>
      <c r="AI6" s="210" t="s">
        <v>718</v>
      </c>
      <c r="AJ6" s="109"/>
      <c r="AK6" s="109"/>
      <c r="AL6" s="109"/>
      <c r="AM6" s="109"/>
      <c r="AN6" s="109"/>
      <c r="AO6" s="109"/>
      <c r="AP6" s="109"/>
      <c r="AT6" s="156"/>
    </row>
    <row r="7" spans="3:46" x14ac:dyDescent="0.25">
      <c r="C7" s="139" t="s">
        <v>670</v>
      </c>
      <c r="D7" s="133"/>
      <c r="E7" s="119"/>
      <c r="F7" s="109"/>
      <c r="G7" s="109"/>
      <c r="H7" s="109"/>
      <c r="I7" s="109"/>
      <c r="J7" s="109"/>
      <c r="K7" s="113"/>
      <c r="L7" s="112"/>
      <c r="M7" s="132"/>
      <c r="N7" s="152"/>
      <c r="O7" s="116"/>
      <c r="R7" s="129"/>
      <c r="S7" s="109"/>
      <c r="T7" s="109"/>
      <c r="U7" s="109"/>
      <c r="V7" s="109"/>
      <c r="W7" s="109"/>
      <c r="X7" s="109"/>
      <c r="Y7" s="110"/>
      <c r="AB7" s="140"/>
      <c r="AC7" s="109"/>
      <c r="AD7" s="109"/>
      <c r="AE7" s="109"/>
      <c r="AJ7" s="109"/>
      <c r="AK7" s="109"/>
      <c r="AL7" s="109"/>
      <c r="AM7" s="109"/>
      <c r="AN7" s="109"/>
      <c r="AO7" s="109"/>
      <c r="AP7" s="109"/>
      <c r="AT7" s="158"/>
    </row>
    <row r="8" spans="3:46" x14ac:dyDescent="0.25">
      <c r="C8" s="114" t="str">
        <f>"X"&amp;$E$2</f>
        <v>XINDCOA</v>
      </c>
      <c r="D8" s="112"/>
      <c r="E8" s="109"/>
      <c r="F8" s="109"/>
      <c r="G8" s="109"/>
      <c r="H8" s="109"/>
      <c r="I8" s="109"/>
      <c r="J8" s="109"/>
      <c r="K8" s="113"/>
      <c r="L8" s="112"/>
      <c r="M8" s="113"/>
      <c r="N8" s="132"/>
      <c r="O8" s="114" t="s">
        <v>481</v>
      </c>
      <c r="P8" s="112"/>
      <c r="Q8" s="110"/>
      <c r="R8" s="116"/>
      <c r="S8" s="109"/>
      <c r="T8" s="109"/>
      <c r="U8" s="109"/>
      <c r="V8" s="114"/>
      <c r="W8" s="119"/>
      <c r="X8" s="119"/>
      <c r="Y8" s="118"/>
      <c r="Z8" s="117"/>
      <c r="AA8" s="139" t="s">
        <v>463</v>
      </c>
      <c r="AB8" s="138"/>
      <c r="AC8" s="109"/>
      <c r="AD8" s="114"/>
      <c r="AE8" s="114"/>
      <c r="AF8" s="120"/>
      <c r="AG8" s="120"/>
      <c r="AH8" s="117"/>
      <c r="AI8" s="137" t="s">
        <v>480</v>
      </c>
      <c r="AJ8" s="114"/>
      <c r="AK8" s="109"/>
      <c r="AL8" s="109"/>
      <c r="AM8" s="109"/>
      <c r="AN8" s="109"/>
      <c r="AO8" s="109"/>
      <c r="AP8" s="109"/>
      <c r="AT8" s="154"/>
    </row>
    <row r="9" spans="3:46" x14ac:dyDescent="0.25">
      <c r="C9" s="112"/>
      <c r="D9" s="112"/>
      <c r="E9" s="109"/>
      <c r="F9" s="109"/>
      <c r="G9" s="109"/>
      <c r="H9" s="109"/>
      <c r="I9" s="109"/>
      <c r="J9" s="109"/>
      <c r="K9" s="113"/>
      <c r="L9" s="112"/>
      <c r="M9" s="113"/>
      <c r="N9" s="133"/>
      <c r="O9" s="120"/>
      <c r="P9" s="118"/>
      <c r="Q9" s="119"/>
      <c r="R9" s="121"/>
      <c r="S9" s="119"/>
      <c r="T9" s="119"/>
      <c r="U9" s="109"/>
      <c r="V9" s="109"/>
      <c r="W9" s="109"/>
      <c r="X9" s="109"/>
      <c r="Y9" s="110"/>
      <c r="AA9" s="114" t="str">
        <f>"X"&amp;$T$2</f>
        <v>XISIELC</v>
      </c>
      <c r="AB9" s="113"/>
      <c r="AC9" s="109"/>
      <c r="AD9" s="109"/>
      <c r="AE9" s="109"/>
      <c r="AI9" s="114" t="s">
        <v>479</v>
      </c>
      <c r="AJ9" s="109"/>
      <c r="AK9" s="109"/>
      <c r="AL9" s="109"/>
      <c r="AM9" s="109"/>
      <c r="AN9" s="109"/>
      <c r="AO9" s="109"/>
      <c r="AP9" s="109"/>
      <c r="AT9" s="157"/>
    </row>
    <row r="10" spans="3:46" x14ac:dyDescent="0.25">
      <c r="C10" s="112"/>
      <c r="D10" s="112"/>
      <c r="E10" s="109"/>
      <c r="F10" s="109"/>
      <c r="G10" s="109"/>
      <c r="H10" s="109"/>
      <c r="I10" s="109"/>
      <c r="J10" s="109"/>
      <c r="K10" s="113"/>
      <c r="L10" s="112"/>
      <c r="M10" s="133"/>
      <c r="N10" s="118"/>
      <c r="O10" s="120"/>
      <c r="P10" s="118"/>
      <c r="Q10" s="119"/>
      <c r="R10" s="121"/>
      <c r="S10" s="119"/>
      <c r="T10" s="119"/>
      <c r="U10" s="119"/>
      <c r="V10" s="119"/>
      <c r="W10" s="109"/>
      <c r="X10" s="109"/>
      <c r="Y10" s="110"/>
      <c r="AC10" s="109"/>
      <c r="AD10" s="109"/>
      <c r="AE10" s="109"/>
      <c r="AJ10" s="109"/>
      <c r="AK10" s="109"/>
      <c r="AL10" s="109"/>
      <c r="AM10" s="109"/>
      <c r="AN10" s="109"/>
      <c r="AO10" s="109"/>
      <c r="AP10" s="109"/>
    </row>
    <row r="11" spans="3:46" x14ac:dyDescent="0.25">
      <c r="C11" s="139" t="s">
        <v>936</v>
      </c>
      <c r="D11" s="133"/>
      <c r="E11" s="119"/>
      <c r="F11" s="114"/>
      <c r="G11" s="109"/>
      <c r="H11" s="109"/>
      <c r="I11" s="109"/>
      <c r="J11" s="109"/>
      <c r="K11" s="113"/>
      <c r="L11" s="112"/>
      <c r="M11" s="112"/>
      <c r="N11" s="112"/>
      <c r="P11" s="112"/>
      <c r="Q11" s="109"/>
      <c r="R11" s="116"/>
      <c r="S11" s="109"/>
      <c r="T11" s="109"/>
      <c r="U11" s="109"/>
      <c r="V11" s="109"/>
      <c r="W11" s="109"/>
      <c r="X11" s="109"/>
      <c r="Y11" s="110"/>
      <c r="AC11" s="109"/>
      <c r="AD11" s="109"/>
      <c r="AE11" s="114"/>
      <c r="AF11" s="120"/>
      <c r="AG11" s="120"/>
      <c r="AH11" s="117"/>
      <c r="AI11" s="137" t="s">
        <v>478</v>
      </c>
      <c r="AJ11" s="114"/>
      <c r="AK11" s="119"/>
      <c r="AL11" s="109"/>
      <c r="AM11" s="109"/>
      <c r="AN11" s="109"/>
      <c r="AO11" s="109"/>
      <c r="AP11" s="109"/>
    </row>
    <row r="12" spans="3:46" x14ac:dyDescent="0.25">
      <c r="C12" s="114" t="str">
        <f>"X"&amp;$F$2</f>
        <v>XBSC</v>
      </c>
      <c r="D12" s="112"/>
      <c r="E12" s="109"/>
      <c r="F12" s="109"/>
      <c r="G12" s="109"/>
      <c r="H12" s="109"/>
      <c r="I12" s="109"/>
      <c r="J12" s="109"/>
      <c r="K12" s="113"/>
      <c r="L12" s="112"/>
      <c r="M12" s="112"/>
      <c r="N12" s="112"/>
      <c r="P12" s="112"/>
      <c r="Q12" s="109"/>
      <c r="R12" s="111"/>
      <c r="S12" s="109"/>
      <c r="T12" s="109"/>
      <c r="U12" s="109"/>
      <c r="V12" s="109"/>
      <c r="W12" s="109"/>
      <c r="X12" s="109"/>
      <c r="Y12" s="110"/>
      <c r="AC12" s="109"/>
      <c r="AD12" s="109"/>
      <c r="AE12" s="109"/>
      <c r="AI12" s="114" t="s">
        <v>477</v>
      </c>
      <c r="AJ12" s="109"/>
      <c r="AK12" s="109"/>
      <c r="AL12" s="109"/>
      <c r="AM12" s="109"/>
      <c r="AN12" s="109"/>
      <c r="AO12" s="109"/>
      <c r="AP12" s="109"/>
    </row>
    <row r="13" spans="3:46" x14ac:dyDescent="0.25">
      <c r="C13" s="112"/>
      <c r="D13" s="112"/>
      <c r="E13" s="109"/>
      <c r="F13" s="109"/>
      <c r="G13" s="109"/>
      <c r="H13" s="109"/>
      <c r="I13" s="109"/>
      <c r="J13" s="109"/>
      <c r="K13" s="113"/>
      <c r="L13" s="112"/>
      <c r="M13" s="112"/>
      <c r="N13" s="112"/>
      <c r="P13" s="112"/>
      <c r="Q13" s="109"/>
      <c r="R13" s="111"/>
      <c r="S13" s="109"/>
      <c r="T13" s="109"/>
      <c r="U13" s="109"/>
      <c r="V13" s="109"/>
      <c r="W13" s="109"/>
      <c r="X13" s="109"/>
      <c r="Y13" s="110"/>
      <c r="AC13" s="109"/>
      <c r="AD13" s="109"/>
      <c r="AE13" s="109"/>
      <c r="AJ13" s="109"/>
      <c r="AK13" s="109"/>
      <c r="AL13" s="109"/>
      <c r="AM13" s="109"/>
      <c r="AN13" s="109"/>
      <c r="AO13" s="109"/>
      <c r="AP13" s="109"/>
      <c r="AS13" s="79"/>
    </row>
    <row r="14" spans="3:46" x14ac:dyDescent="0.25">
      <c r="C14" s="112"/>
      <c r="D14" s="112"/>
      <c r="E14" s="109"/>
      <c r="F14" s="109"/>
      <c r="G14" s="109"/>
      <c r="H14" s="109"/>
      <c r="I14" s="109"/>
      <c r="J14" s="109"/>
      <c r="K14" s="113"/>
      <c r="L14" s="112"/>
      <c r="M14" s="112"/>
      <c r="N14" s="112"/>
      <c r="P14" s="112"/>
      <c r="Q14" s="109"/>
      <c r="R14" s="111"/>
      <c r="S14" s="109"/>
      <c r="T14" s="109"/>
      <c r="U14" s="114"/>
      <c r="V14" s="109"/>
      <c r="W14" s="145"/>
      <c r="X14" s="145"/>
      <c r="Y14" s="144"/>
      <c r="Z14" s="131"/>
      <c r="AA14" s="131"/>
      <c r="AB14" s="131"/>
      <c r="AC14" s="130"/>
      <c r="AD14" s="130"/>
      <c r="AE14" s="130"/>
      <c r="AF14" s="131"/>
      <c r="AG14" s="155"/>
      <c r="AJ14" s="109"/>
      <c r="AK14" s="109"/>
      <c r="AL14" s="109"/>
      <c r="AM14" s="109"/>
      <c r="AN14" s="109"/>
      <c r="AO14" s="109"/>
      <c r="AP14" s="109"/>
    </row>
    <row r="15" spans="3:46" x14ac:dyDescent="0.25">
      <c r="C15" s="139" t="s">
        <v>969</v>
      </c>
      <c r="D15" s="133"/>
      <c r="E15" s="119"/>
      <c r="F15" s="119"/>
      <c r="G15" s="119"/>
      <c r="H15" s="119"/>
      <c r="I15" s="109"/>
      <c r="J15" s="109"/>
      <c r="K15" s="113"/>
      <c r="L15" s="112"/>
      <c r="M15" s="112"/>
      <c r="N15" s="112"/>
      <c r="P15" s="112"/>
      <c r="Q15" s="109"/>
      <c r="R15" s="111"/>
      <c r="S15" s="109"/>
      <c r="T15" s="109"/>
      <c r="U15" s="109"/>
      <c r="V15" s="145"/>
      <c r="W15" s="130"/>
      <c r="X15" s="130"/>
      <c r="Y15" s="144"/>
      <c r="Z15" s="131"/>
      <c r="AA15" s="131"/>
      <c r="AB15" s="131"/>
      <c r="AC15" s="130"/>
      <c r="AD15" s="130"/>
      <c r="AE15" s="130"/>
      <c r="AF15" s="129"/>
      <c r="AG15" s="140"/>
      <c r="AJ15" s="109"/>
      <c r="AK15" s="109"/>
      <c r="AL15" s="109"/>
      <c r="AM15" s="109"/>
      <c r="AN15" s="109"/>
      <c r="AO15" s="109"/>
      <c r="AP15" s="109"/>
    </row>
    <row r="16" spans="3:46" x14ac:dyDescent="0.25">
      <c r="C16" s="114" t="str">
        <f>"X"&amp;$G$2</f>
        <v>XBCL</v>
      </c>
      <c r="D16" s="112"/>
      <c r="E16" s="109"/>
      <c r="F16" s="109"/>
      <c r="G16" s="109"/>
      <c r="H16" s="109"/>
      <c r="I16" s="109"/>
      <c r="J16" s="109"/>
      <c r="K16" s="113"/>
      <c r="L16" s="112"/>
      <c r="M16" s="112"/>
      <c r="N16" s="112"/>
      <c r="P16" s="112"/>
      <c r="Q16" s="109"/>
      <c r="R16" s="111"/>
      <c r="S16" s="109"/>
      <c r="T16" s="109"/>
      <c r="U16" s="109"/>
      <c r="V16" s="109"/>
      <c r="W16" s="109"/>
      <c r="X16" s="109"/>
      <c r="Y16" s="110"/>
      <c r="AA16" s="137" t="s">
        <v>476</v>
      </c>
      <c r="AB16" s="122"/>
      <c r="AC16" s="119"/>
      <c r="AD16" s="119"/>
      <c r="AE16" s="119"/>
      <c r="AF16" s="117"/>
      <c r="AG16" s="140"/>
      <c r="AJ16" s="109"/>
      <c r="AK16" s="109"/>
      <c r="AL16" s="109"/>
      <c r="AM16" s="109"/>
      <c r="AN16" s="109"/>
      <c r="AO16" s="109"/>
      <c r="AP16" s="109"/>
    </row>
    <row r="17" spans="3:45" x14ac:dyDescent="0.25">
      <c r="C17" s="112"/>
      <c r="D17" s="112"/>
      <c r="E17" s="109"/>
      <c r="F17" s="114"/>
      <c r="G17" s="119"/>
      <c r="H17" s="119"/>
      <c r="I17" s="119"/>
      <c r="J17" s="119"/>
      <c r="K17" s="133"/>
      <c r="L17" s="118"/>
      <c r="M17" s="118"/>
      <c r="N17" s="118"/>
      <c r="O17" s="120"/>
      <c r="P17" s="118"/>
      <c r="Q17" s="119"/>
      <c r="R17" s="126"/>
      <c r="S17" s="152"/>
      <c r="T17" s="152"/>
      <c r="U17" s="152"/>
      <c r="V17" s="152"/>
      <c r="W17" s="152"/>
      <c r="X17" s="152"/>
      <c r="Y17" s="125"/>
      <c r="Z17" s="124"/>
      <c r="AA17" s="116"/>
      <c r="AB17" s="150"/>
      <c r="AC17" s="119"/>
      <c r="AD17" s="119"/>
      <c r="AE17" s="119"/>
      <c r="AF17" s="120"/>
      <c r="AG17" s="117"/>
      <c r="AJ17" s="109"/>
      <c r="AK17" s="109"/>
      <c r="AL17" s="109"/>
      <c r="AM17" s="109"/>
      <c r="AN17" s="109"/>
      <c r="AO17" s="109"/>
      <c r="AP17" s="109"/>
      <c r="AS17" s="79"/>
    </row>
    <row r="18" spans="3:45" x14ac:dyDescent="0.25">
      <c r="C18" s="112"/>
      <c r="D18" s="112"/>
      <c r="E18" s="109"/>
      <c r="F18" s="109"/>
      <c r="G18" s="145"/>
      <c r="H18" s="145"/>
      <c r="I18" s="126"/>
      <c r="J18" s="152"/>
      <c r="K18" s="327"/>
      <c r="L18" s="125"/>
      <c r="M18" s="125"/>
      <c r="N18" s="125"/>
      <c r="O18" s="153"/>
      <c r="P18" s="125"/>
      <c r="Q18" s="152"/>
      <c r="R18" s="126"/>
      <c r="S18" s="152"/>
      <c r="T18" s="152"/>
      <c r="U18" s="152"/>
      <c r="V18" s="152"/>
      <c r="W18" s="152"/>
      <c r="X18" s="152"/>
      <c r="Y18" s="125"/>
      <c r="Z18" s="124"/>
      <c r="AA18" s="116"/>
      <c r="AB18" s="115"/>
      <c r="AC18" s="109"/>
      <c r="AD18" s="109"/>
      <c r="AE18" s="109"/>
      <c r="AJ18" s="109"/>
      <c r="AK18" s="109"/>
      <c r="AL18" s="109"/>
      <c r="AM18" s="109"/>
      <c r="AN18" s="109"/>
      <c r="AO18" s="109"/>
      <c r="AP18" s="109"/>
      <c r="AS18" s="156"/>
    </row>
    <row r="19" spans="3:45" x14ac:dyDescent="0.25">
      <c r="C19" s="112"/>
      <c r="D19" s="112"/>
      <c r="E19" s="109"/>
      <c r="F19" s="109"/>
      <c r="G19" s="109"/>
      <c r="H19" s="109"/>
      <c r="I19" s="109"/>
      <c r="J19" s="109"/>
      <c r="K19" s="113"/>
      <c r="L19" s="112"/>
      <c r="M19" s="112"/>
      <c r="N19" s="112"/>
      <c r="P19" s="112"/>
      <c r="Q19" s="109"/>
      <c r="R19" s="111"/>
      <c r="S19" s="109"/>
      <c r="T19" s="109"/>
      <c r="U19" s="109"/>
      <c r="V19" s="109"/>
      <c r="W19" s="109"/>
      <c r="X19" s="109"/>
      <c r="Y19" s="110"/>
      <c r="AA19" s="114" t="s">
        <v>475</v>
      </c>
      <c r="AB19" s="113"/>
      <c r="AC19" s="109"/>
      <c r="AD19" s="109"/>
      <c r="AE19" s="109"/>
      <c r="AJ19" s="109"/>
      <c r="AK19" s="109"/>
      <c r="AL19" s="109"/>
      <c r="AM19" s="109"/>
      <c r="AN19" s="109"/>
      <c r="AO19" s="109"/>
      <c r="AP19" s="109"/>
      <c r="AS19" s="156"/>
    </row>
    <row r="20" spans="3:45" x14ac:dyDescent="0.25">
      <c r="C20" s="139" t="s">
        <v>676</v>
      </c>
      <c r="D20" s="133"/>
      <c r="E20" s="119"/>
      <c r="F20" s="119"/>
      <c r="G20" s="119"/>
      <c r="H20" s="119"/>
      <c r="I20" s="114"/>
      <c r="J20" s="109"/>
      <c r="K20" s="113"/>
      <c r="L20" s="112"/>
      <c r="M20" s="112"/>
      <c r="N20" s="112"/>
      <c r="P20" s="112"/>
      <c r="Q20" s="109"/>
      <c r="R20" s="111"/>
      <c r="S20" s="109"/>
      <c r="T20" s="109"/>
      <c r="U20" s="109"/>
      <c r="V20" s="109"/>
      <c r="W20" s="111"/>
      <c r="X20" s="109"/>
      <c r="Y20" s="110"/>
      <c r="Z20" s="108"/>
      <c r="AA20" s="108"/>
      <c r="AB20" s="108"/>
      <c r="AC20" s="109"/>
      <c r="AD20" s="109"/>
      <c r="AE20" s="109"/>
      <c r="AF20" s="108"/>
      <c r="AG20" s="108"/>
      <c r="AJ20" s="109"/>
      <c r="AK20" s="109"/>
      <c r="AL20" s="109"/>
      <c r="AM20" s="109"/>
      <c r="AN20" s="109"/>
      <c r="AO20" s="109"/>
      <c r="AP20" s="109"/>
      <c r="AS20" s="156"/>
    </row>
    <row r="21" spans="3:45" x14ac:dyDescent="0.25">
      <c r="C21" s="114" t="str">
        <f>"X"&amp;$H$2</f>
        <v>XBIW</v>
      </c>
      <c r="D21" s="112"/>
      <c r="E21" s="109"/>
      <c r="F21" s="109"/>
      <c r="G21" s="109"/>
      <c r="H21" s="109"/>
      <c r="I21" s="109"/>
      <c r="J21" s="109"/>
      <c r="K21" s="113"/>
      <c r="L21" s="112"/>
      <c r="M21" s="112"/>
      <c r="N21" s="112"/>
      <c r="P21" s="112"/>
      <c r="Q21" s="109"/>
      <c r="R21" s="111"/>
      <c r="S21" s="109"/>
      <c r="T21" s="109"/>
      <c r="U21" s="111"/>
      <c r="V21" s="109"/>
      <c r="W21" s="111"/>
      <c r="X21" s="111"/>
      <c r="Y21" s="110"/>
      <c r="Z21" s="108"/>
      <c r="AA21" s="108"/>
      <c r="AB21" s="108"/>
      <c r="AC21" s="109"/>
      <c r="AD21" s="109"/>
      <c r="AE21" s="109"/>
      <c r="AF21" s="108"/>
      <c r="AG21" s="108"/>
      <c r="AJ21" s="109"/>
      <c r="AK21" s="109"/>
      <c r="AL21" s="109"/>
      <c r="AM21" s="109"/>
      <c r="AN21" s="109"/>
      <c r="AO21" s="109"/>
      <c r="AP21" s="109"/>
      <c r="AS21" s="154"/>
    </row>
    <row r="22" spans="3:45" x14ac:dyDescent="0.25">
      <c r="D22" s="112"/>
      <c r="E22" s="109"/>
      <c r="F22" s="109"/>
      <c r="G22" s="109"/>
      <c r="H22" s="109"/>
      <c r="I22" s="109"/>
      <c r="J22" s="109"/>
      <c r="K22" s="113"/>
      <c r="L22" s="112"/>
      <c r="M22" s="112"/>
      <c r="N22" s="112"/>
      <c r="P22" s="112"/>
      <c r="Q22" s="109"/>
      <c r="R22" s="111"/>
      <c r="S22" s="109"/>
      <c r="T22" s="109"/>
      <c r="U22" s="109"/>
      <c r="V22" s="111"/>
      <c r="W22" s="109"/>
      <c r="X22" s="109"/>
      <c r="Y22" s="110"/>
      <c r="Z22" s="108"/>
      <c r="AA22" s="108"/>
      <c r="AB22" s="108"/>
      <c r="AC22" s="109"/>
      <c r="AD22" s="109"/>
      <c r="AE22" s="109"/>
      <c r="AF22" s="115"/>
      <c r="AG22" s="108"/>
      <c r="AJ22" s="109"/>
      <c r="AK22" s="109"/>
      <c r="AL22" s="109"/>
      <c r="AM22" s="109"/>
      <c r="AN22" s="109"/>
      <c r="AO22" s="109"/>
      <c r="AP22" s="109"/>
    </row>
    <row r="23" spans="3:45" x14ac:dyDescent="0.25">
      <c r="C23" s="112"/>
      <c r="D23" s="112"/>
      <c r="E23" s="109"/>
      <c r="F23" s="109"/>
      <c r="G23" s="109"/>
      <c r="H23" s="109"/>
      <c r="I23" s="109"/>
      <c r="J23" s="109"/>
      <c r="K23" s="113"/>
      <c r="L23" s="112"/>
      <c r="M23" s="112"/>
      <c r="N23" s="112"/>
      <c r="P23" s="112"/>
      <c r="Q23" s="109"/>
      <c r="R23" s="111"/>
      <c r="S23" s="109"/>
      <c r="T23" s="109"/>
      <c r="U23" s="109"/>
      <c r="V23" s="109"/>
      <c r="W23" s="109"/>
      <c r="X23" s="109"/>
      <c r="Y23" s="110"/>
      <c r="AC23" s="109"/>
      <c r="AD23" s="109"/>
      <c r="AE23" s="109"/>
      <c r="AJ23" s="109"/>
      <c r="AK23" s="109"/>
      <c r="AL23" s="109"/>
      <c r="AM23" s="109"/>
      <c r="AN23" s="109"/>
      <c r="AO23" s="109"/>
      <c r="AP23" s="109"/>
    </row>
    <row r="24" spans="3:45" x14ac:dyDescent="0.25">
      <c r="C24" s="139" t="s">
        <v>671</v>
      </c>
      <c r="D24" s="133"/>
      <c r="E24" s="119"/>
      <c r="F24" s="119"/>
      <c r="G24" s="119"/>
      <c r="H24" s="119"/>
      <c r="I24" s="114"/>
      <c r="J24" s="109"/>
      <c r="K24" s="113"/>
      <c r="L24" s="112"/>
      <c r="M24" s="112"/>
      <c r="N24" s="112"/>
      <c r="P24" s="112"/>
      <c r="Q24" s="109"/>
      <c r="R24" s="111"/>
      <c r="S24" s="109"/>
      <c r="T24" s="109"/>
      <c r="U24" s="114"/>
      <c r="V24" s="109"/>
      <c r="W24" s="145"/>
      <c r="X24" s="145"/>
      <c r="Y24" s="144"/>
      <c r="Z24" s="131"/>
      <c r="AA24" s="131"/>
      <c r="AB24" s="131"/>
      <c r="AC24" s="130"/>
      <c r="AD24" s="130"/>
      <c r="AE24" s="130"/>
      <c r="AF24" s="131"/>
      <c r="AG24" s="155"/>
      <c r="AJ24" s="109"/>
      <c r="AK24" s="109"/>
      <c r="AL24" s="109"/>
      <c r="AM24" s="109"/>
      <c r="AN24" s="109"/>
      <c r="AO24" s="109"/>
      <c r="AP24" s="109"/>
      <c r="AS24" s="154"/>
    </row>
    <row r="25" spans="3:45" x14ac:dyDescent="0.25">
      <c r="C25" s="114" t="str">
        <f>"X"&amp;$I$2</f>
        <v>XPWRGAS</v>
      </c>
      <c r="D25" s="112"/>
      <c r="E25" s="109"/>
      <c r="F25" s="109"/>
      <c r="G25" s="109"/>
      <c r="H25" s="109"/>
      <c r="I25" s="109"/>
      <c r="J25" s="109"/>
      <c r="K25" s="113"/>
      <c r="L25" s="112"/>
      <c r="M25" s="112"/>
      <c r="N25" s="112"/>
      <c r="P25" s="112"/>
      <c r="Q25" s="109"/>
      <c r="R25" s="111"/>
      <c r="S25" s="109"/>
      <c r="T25" s="109"/>
      <c r="U25" s="109"/>
      <c r="V25" s="145"/>
      <c r="W25" s="130"/>
      <c r="X25" s="130"/>
      <c r="Y25" s="144"/>
      <c r="Z25" s="131"/>
      <c r="AA25" s="131"/>
      <c r="AB25" s="131"/>
      <c r="AC25" s="130"/>
      <c r="AD25" s="130"/>
      <c r="AE25" s="130"/>
      <c r="AF25" s="129"/>
      <c r="AG25" s="140"/>
      <c r="AJ25" s="109"/>
      <c r="AK25" s="109"/>
      <c r="AL25" s="109"/>
      <c r="AM25" s="109"/>
      <c r="AN25" s="109"/>
      <c r="AO25" s="109"/>
      <c r="AP25" s="109"/>
    </row>
    <row r="26" spans="3:45" x14ac:dyDescent="0.25">
      <c r="D26" s="112"/>
      <c r="E26" s="109"/>
      <c r="F26" s="109"/>
      <c r="G26" s="109"/>
      <c r="H26" s="109"/>
      <c r="I26" s="109"/>
      <c r="J26" s="109"/>
      <c r="K26" s="113"/>
      <c r="L26" s="112"/>
      <c r="M26" s="112"/>
      <c r="N26" s="112"/>
      <c r="P26" s="112"/>
      <c r="Q26" s="109"/>
      <c r="R26" s="111"/>
      <c r="S26" s="109"/>
      <c r="T26" s="109"/>
      <c r="U26" s="109"/>
      <c r="V26" s="109"/>
      <c r="W26" s="109"/>
      <c r="X26" s="109"/>
      <c r="Y26" s="110"/>
      <c r="AA26" s="137" t="s">
        <v>473</v>
      </c>
      <c r="AB26" s="122"/>
      <c r="AC26" s="119"/>
      <c r="AD26" s="119"/>
      <c r="AE26" s="119"/>
      <c r="AF26" s="117"/>
      <c r="AG26" s="140"/>
      <c r="AJ26" s="109"/>
      <c r="AK26" s="109"/>
      <c r="AL26" s="109"/>
      <c r="AM26" s="109"/>
      <c r="AN26" s="109"/>
      <c r="AO26" s="109"/>
      <c r="AP26" s="109"/>
    </row>
    <row r="27" spans="3:45" x14ac:dyDescent="0.25">
      <c r="D27" s="112"/>
      <c r="E27" s="109"/>
      <c r="F27" s="114"/>
      <c r="G27" s="119"/>
      <c r="H27" s="119"/>
      <c r="I27" s="119"/>
      <c r="J27" s="119"/>
      <c r="K27" s="133"/>
      <c r="L27" s="118"/>
      <c r="M27" s="118"/>
      <c r="N27" s="118"/>
      <c r="O27" s="120"/>
      <c r="P27" s="118"/>
      <c r="Q27" s="119"/>
      <c r="R27" s="126"/>
      <c r="S27" s="152"/>
      <c r="T27" s="152"/>
      <c r="U27" s="152"/>
      <c r="V27" s="152"/>
      <c r="W27" s="152"/>
      <c r="X27" s="152"/>
      <c r="Y27" s="125"/>
      <c r="Z27" s="124"/>
      <c r="AA27" s="123" t="s">
        <v>472</v>
      </c>
      <c r="AB27" s="149"/>
      <c r="AC27" s="119"/>
      <c r="AD27" s="119"/>
      <c r="AE27" s="119"/>
      <c r="AF27" s="120"/>
      <c r="AG27" s="117"/>
      <c r="AJ27" s="109"/>
      <c r="AK27" s="109"/>
      <c r="AL27" s="109"/>
      <c r="AM27" s="109"/>
      <c r="AN27" s="109"/>
      <c r="AO27" s="109"/>
      <c r="AP27" s="109"/>
    </row>
    <row r="28" spans="3:45" x14ac:dyDescent="0.25">
      <c r="C28" s="112"/>
      <c r="D28" s="112"/>
      <c r="E28" s="109"/>
      <c r="F28" s="109"/>
      <c r="G28" s="126"/>
      <c r="H28" s="126"/>
      <c r="I28" s="152"/>
      <c r="J28" s="152"/>
      <c r="K28" s="327"/>
      <c r="L28" s="125"/>
      <c r="M28" s="125"/>
      <c r="N28" s="125"/>
      <c r="O28" s="153"/>
      <c r="P28" s="125"/>
      <c r="Q28" s="152"/>
      <c r="R28" s="126"/>
      <c r="S28" s="152"/>
      <c r="T28" s="152"/>
      <c r="U28" s="152"/>
      <c r="V28" s="152"/>
      <c r="W28" s="152"/>
      <c r="X28" s="152"/>
      <c r="Y28" s="125"/>
      <c r="Z28" s="124"/>
      <c r="AA28" s="116"/>
      <c r="AB28" s="108"/>
      <c r="AC28" s="109"/>
      <c r="AD28" s="109"/>
      <c r="AE28" s="109"/>
      <c r="AJ28" s="109"/>
      <c r="AK28" s="109"/>
      <c r="AL28" s="109"/>
      <c r="AM28" s="109"/>
      <c r="AN28" s="109"/>
      <c r="AO28" s="109"/>
      <c r="AP28" s="109"/>
    </row>
    <row r="29" spans="3:45" x14ac:dyDescent="0.25">
      <c r="C29" s="112"/>
      <c r="D29" s="112"/>
      <c r="E29" s="109"/>
      <c r="F29" s="109"/>
      <c r="G29" s="109"/>
      <c r="H29" s="109"/>
      <c r="I29" s="126"/>
      <c r="J29" s="152"/>
      <c r="K29" s="327"/>
      <c r="L29" s="125"/>
      <c r="M29" s="125"/>
      <c r="N29" s="125"/>
      <c r="O29" s="153"/>
      <c r="P29" s="125"/>
      <c r="Q29" s="152"/>
      <c r="R29" s="126"/>
      <c r="S29" s="152"/>
      <c r="T29" s="152"/>
      <c r="U29" s="152"/>
      <c r="V29" s="152"/>
      <c r="W29" s="152"/>
      <c r="X29" s="152"/>
      <c r="Y29" s="125"/>
      <c r="Z29" s="124"/>
      <c r="AA29" s="116"/>
      <c r="AB29" s="110"/>
      <c r="AC29" s="109"/>
      <c r="AD29" s="109"/>
      <c r="AE29" s="109"/>
      <c r="AJ29" s="109"/>
      <c r="AK29" s="109"/>
      <c r="AL29" s="109"/>
      <c r="AM29" s="109"/>
      <c r="AN29" s="109"/>
      <c r="AO29" s="109"/>
      <c r="AP29" s="109"/>
    </row>
    <row r="30" spans="3:45" x14ac:dyDescent="0.25">
      <c r="C30" s="112"/>
      <c r="D30" s="112"/>
      <c r="E30" s="109"/>
      <c r="F30" s="109"/>
      <c r="G30" s="109"/>
      <c r="H30" s="109"/>
      <c r="I30" s="109"/>
      <c r="J30" s="109"/>
      <c r="K30" s="113"/>
      <c r="L30" s="112"/>
      <c r="M30" s="112"/>
      <c r="N30" s="112"/>
      <c r="P30" s="112"/>
      <c r="Q30" s="109"/>
      <c r="R30" s="111"/>
      <c r="S30" s="109"/>
      <c r="T30" s="109"/>
      <c r="U30" s="109"/>
      <c r="V30" s="109"/>
      <c r="W30" s="109"/>
      <c r="X30" s="109"/>
      <c r="Y30" s="110"/>
      <c r="AA30" s="114" t="s">
        <v>471</v>
      </c>
      <c r="AB30" s="108"/>
      <c r="AC30" s="109"/>
      <c r="AD30" s="109"/>
      <c r="AE30" s="109"/>
      <c r="AJ30" s="109"/>
      <c r="AK30" s="109"/>
      <c r="AL30" s="109"/>
      <c r="AM30" s="109"/>
      <c r="AN30" s="109"/>
      <c r="AO30" s="109"/>
      <c r="AP30" s="109"/>
    </row>
    <row r="31" spans="3:45" x14ac:dyDescent="0.25">
      <c r="C31" s="139" t="s">
        <v>672</v>
      </c>
      <c r="D31" s="133"/>
      <c r="E31" s="119"/>
      <c r="F31" s="119"/>
      <c r="G31" s="119"/>
      <c r="H31" s="119"/>
      <c r="I31" s="119"/>
      <c r="J31" s="119"/>
      <c r="K31" s="113"/>
      <c r="L31" s="112"/>
      <c r="M31" s="112"/>
      <c r="N31" s="112"/>
      <c r="P31" s="112"/>
      <c r="Q31" s="109"/>
      <c r="R31" s="114"/>
      <c r="S31" s="119"/>
      <c r="T31" s="119"/>
      <c r="U31" s="119"/>
      <c r="V31" s="119"/>
      <c r="W31" s="119"/>
      <c r="X31" s="119"/>
      <c r="Y31" s="118"/>
      <c r="Z31" s="120"/>
      <c r="AA31" s="120"/>
      <c r="AB31" s="120"/>
      <c r="AC31" s="119"/>
      <c r="AD31" s="119"/>
      <c r="AE31" s="119"/>
      <c r="AF31" s="120"/>
      <c r="AG31" s="120"/>
      <c r="AH31" s="117"/>
      <c r="AI31" s="137" t="s">
        <v>667</v>
      </c>
      <c r="AJ31" s="114"/>
      <c r="AK31" s="119"/>
      <c r="AL31" s="114"/>
      <c r="AM31" s="109"/>
      <c r="AN31" s="109"/>
      <c r="AO31" s="109"/>
      <c r="AP31" s="109"/>
    </row>
    <row r="32" spans="3:45" x14ac:dyDescent="0.25">
      <c r="C32" s="114" t="str">
        <f>"X"&amp;$J$2</f>
        <v>XPWRCLE</v>
      </c>
      <c r="D32" s="112"/>
      <c r="E32" s="109"/>
      <c r="F32" s="109"/>
      <c r="G32" s="109"/>
      <c r="H32" s="109"/>
      <c r="I32" s="109"/>
      <c r="J32" s="109"/>
      <c r="K32" s="113"/>
      <c r="L32" s="112"/>
      <c r="M32" s="112"/>
      <c r="N32" s="112"/>
      <c r="P32" s="112"/>
      <c r="Q32" s="109"/>
      <c r="R32" s="111"/>
      <c r="S32" s="109"/>
      <c r="T32" s="109"/>
      <c r="U32" s="109"/>
      <c r="V32" s="109"/>
      <c r="W32" s="109"/>
      <c r="X32" s="109"/>
      <c r="Y32" s="110"/>
      <c r="AC32" s="109"/>
      <c r="AD32" s="109"/>
      <c r="AE32" s="109"/>
      <c r="AI32" s="210" t="s">
        <v>668</v>
      </c>
      <c r="AJ32" s="109"/>
      <c r="AK32" s="109"/>
      <c r="AL32" s="109"/>
      <c r="AM32" s="109"/>
      <c r="AN32" s="109"/>
      <c r="AO32" s="109"/>
      <c r="AP32" s="109"/>
    </row>
    <row r="33" spans="3:42" x14ac:dyDescent="0.25">
      <c r="C33" s="112"/>
      <c r="D33" s="112"/>
      <c r="E33" s="109"/>
      <c r="F33" s="109"/>
      <c r="G33" s="109"/>
      <c r="H33" s="109"/>
      <c r="I33" s="109"/>
      <c r="J33" s="109"/>
      <c r="K33" s="113"/>
      <c r="L33" s="112"/>
      <c r="M33" s="112"/>
      <c r="N33" s="112"/>
      <c r="P33" s="112"/>
      <c r="Q33" s="109"/>
      <c r="R33" s="111"/>
      <c r="S33" s="109"/>
      <c r="T33" s="109"/>
      <c r="U33" s="109"/>
      <c r="V33" s="109"/>
      <c r="W33" s="109"/>
      <c r="X33" s="109"/>
      <c r="Y33" s="110"/>
      <c r="AC33" s="109"/>
      <c r="AD33" s="109"/>
      <c r="AE33" s="109"/>
      <c r="AJ33" s="109"/>
      <c r="AK33" s="109"/>
      <c r="AL33" s="109"/>
      <c r="AM33" s="109"/>
      <c r="AN33" s="109"/>
      <c r="AO33" s="109"/>
      <c r="AP33" s="109"/>
    </row>
    <row r="34" spans="3:42" x14ac:dyDescent="0.25">
      <c r="C34" s="112"/>
      <c r="D34" s="112"/>
      <c r="E34" s="109"/>
      <c r="F34" s="109"/>
      <c r="G34" s="109"/>
      <c r="H34" s="109"/>
      <c r="I34" s="109"/>
      <c r="J34" s="109"/>
      <c r="K34" s="113"/>
      <c r="L34" s="112"/>
      <c r="M34" s="112"/>
      <c r="N34" s="112"/>
      <c r="P34" s="112"/>
      <c r="Q34" s="109"/>
      <c r="R34" s="111"/>
      <c r="S34" s="109"/>
      <c r="T34" s="109"/>
      <c r="U34" s="109"/>
      <c r="V34" s="109"/>
      <c r="W34" s="109"/>
      <c r="X34" s="119"/>
      <c r="Y34" s="118"/>
      <c r="Z34" s="120"/>
      <c r="AA34" s="120"/>
      <c r="AB34" s="120"/>
      <c r="AC34" s="119"/>
      <c r="AD34" s="119"/>
      <c r="AE34" s="119"/>
      <c r="AF34" s="120"/>
      <c r="AG34" s="120"/>
      <c r="AH34" s="117"/>
      <c r="AI34" s="137" t="s">
        <v>944</v>
      </c>
      <c r="AJ34" s="114"/>
      <c r="AK34" s="119"/>
      <c r="AL34" s="114"/>
      <c r="AM34" s="114"/>
      <c r="AN34" s="114"/>
      <c r="AO34" s="114"/>
      <c r="AP34" s="114"/>
    </row>
    <row r="35" spans="3:42" x14ac:dyDescent="0.25">
      <c r="C35" s="112"/>
      <c r="D35" s="112"/>
      <c r="E35" s="109"/>
      <c r="F35" s="109"/>
      <c r="G35" s="109"/>
      <c r="H35" s="109"/>
      <c r="I35" s="109"/>
      <c r="J35" s="109"/>
      <c r="K35" s="113"/>
      <c r="L35" s="112"/>
      <c r="M35" s="112"/>
      <c r="N35" s="112"/>
      <c r="P35" s="112"/>
      <c r="Q35" s="109"/>
      <c r="R35" s="111"/>
      <c r="S35" s="109"/>
      <c r="T35" s="109"/>
      <c r="U35" s="109"/>
      <c r="V35" s="109"/>
      <c r="W35" s="109"/>
      <c r="X35" s="109"/>
      <c r="Y35" s="110"/>
      <c r="AC35" s="109"/>
      <c r="AD35" s="109"/>
      <c r="AE35" s="109"/>
      <c r="AI35" s="326" t="s">
        <v>945</v>
      </c>
      <c r="AJ35" s="109"/>
      <c r="AK35" s="109"/>
      <c r="AL35" s="109"/>
      <c r="AM35" s="109"/>
      <c r="AN35" s="109"/>
      <c r="AO35" s="109"/>
      <c r="AP35" s="109"/>
    </row>
    <row r="36" spans="3:42" x14ac:dyDescent="0.25">
      <c r="C36" s="112"/>
      <c r="D36" s="112"/>
      <c r="E36" s="109"/>
      <c r="F36" s="109"/>
      <c r="G36" s="109"/>
      <c r="H36" s="109"/>
      <c r="I36" s="109"/>
      <c r="J36" s="109"/>
      <c r="K36" s="113"/>
      <c r="L36" s="112"/>
      <c r="M36" s="112"/>
      <c r="N36" s="112"/>
      <c r="P36" s="112"/>
      <c r="Q36" s="109"/>
      <c r="R36" s="111"/>
      <c r="S36" s="109"/>
      <c r="T36" s="109"/>
      <c r="U36" s="109"/>
      <c r="V36" s="109"/>
      <c r="W36" s="109"/>
      <c r="X36" s="109"/>
      <c r="Y36" s="110"/>
      <c r="AC36" s="109"/>
      <c r="AD36" s="109"/>
      <c r="AE36" s="109"/>
      <c r="AJ36" s="109"/>
      <c r="AK36" s="109"/>
      <c r="AL36" s="109"/>
      <c r="AM36" s="109"/>
      <c r="AN36" s="109"/>
      <c r="AO36" s="109"/>
      <c r="AP36" s="109"/>
    </row>
    <row r="37" spans="3:42" x14ac:dyDescent="0.25">
      <c r="C37" s="112"/>
      <c r="D37" s="112"/>
      <c r="E37" s="109"/>
      <c r="F37" s="109"/>
      <c r="G37" s="109"/>
      <c r="H37" s="109"/>
      <c r="I37" s="109"/>
      <c r="J37" s="109"/>
      <c r="K37" s="113"/>
      <c r="L37" s="112"/>
      <c r="M37" s="112"/>
      <c r="N37" s="112"/>
      <c r="P37" s="112"/>
      <c r="Q37" s="109"/>
      <c r="R37" s="111"/>
      <c r="S37" s="109"/>
      <c r="T37" s="109"/>
      <c r="U37" s="109"/>
      <c r="V37" s="109"/>
      <c r="W37" s="109"/>
      <c r="X37" s="145"/>
      <c r="Y37" s="144"/>
      <c r="Z37" s="131"/>
      <c r="AA37" s="131"/>
      <c r="AB37" s="131"/>
      <c r="AC37" s="130"/>
      <c r="AD37" s="130"/>
      <c r="AE37" s="130"/>
      <c r="AF37" s="131"/>
      <c r="AG37" s="155"/>
      <c r="AJ37" s="109"/>
      <c r="AK37" s="109"/>
      <c r="AL37" s="109"/>
      <c r="AM37" s="109"/>
      <c r="AN37" s="109"/>
      <c r="AO37" s="109"/>
      <c r="AP37" s="109"/>
    </row>
    <row r="38" spans="3:42" x14ac:dyDescent="0.25">
      <c r="E38" s="109"/>
      <c r="F38" s="109"/>
      <c r="G38" s="109"/>
      <c r="H38" s="109"/>
      <c r="I38" s="109"/>
      <c r="J38" s="109"/>
      <c r="K38" s="113"/>
      <c r="L38" s="112"/>
      <c r="M38" s="112"/>
      <c r="N38" s="112"/>
      <c r="P38" s="112"/>
      <c r="Q38" s="109"/>
      <c r="R38" s="111"/>
      <c r="S38" s="109"/>
      <c r="T38" s="109"/>
      <c r="U38" s="109"/>
      <c r="V38" s="109"/>
      <c r="W38" s="109"/>
      <c r="X38" s="109"/>
      <c r="Y38" s="132"/>
      <c r="Z38" s="131"/>
      <c r="AA38" s="131"/>
      <c r="AB38" s="131"/>
      <c r="AC38" s="130"/>
      <c r="AD38" s="130"/>
      <c r="AE38" s="130"/>
      <c r="AF38" s="129"/>
      <c r="AG38" s="140"/>
      <c r="AJ38" s="109"/>
      <c r="AK38" s="109"/>
      <c r="AL38" s="109"/>
      <c r="AM38" s="109"/>
      <c r="AN38" s="109"/>
      <c r="AO38" s="109"/>
      <c r="AP38" s="109"/>
    </row>
    <row r="39" spans="3:42" x14ac:dyDescent="0.25">
      <c r="E39" s="109"/>
      <c r="F39" s="109"/>
      <c r="G39" s="109"/>
      <c r="H39" s="109"/>
      <c r="I39" s="109"/>
      <c r="J39" s="109"/>
      <c r="K39" s="113"/>
      <c r="L39" s="112"/>
      <c r="M39" s="112"/>
      <c r="N39" s="112"/>
      <c r="P39" s="112"/>
      <c r="Q39" s="109"/>
      <c r="R39" s="111"/>
      <c r="S39" s="109"/>
      <c r="T39" s="109"/>
      <c r="U39" s="109"/>
      <c r="V39" s="114"/>
      <c r="W39" s="119"/>
      <c r="X39" s="119"/>
      <c r="Y39" s="118"/>
      <c r="Z39" s="117"/>
      <c r="AA39" s="139" t="s">
        <v>985</v>
      </c>
      <c r="AB39" s="151"/>
      <c r="AC39" s="119"/>
      <c r="AD39" s="109"/>
      <c r="AE39" s="109"/>
      <c r="AF39" s="116"/>
      <c r="AG39" s="140"/>
      <c r="AJ39" s="109"/>
      <c r="AK39" s="109"/>
      <c r="AL39" s="109"/>
      <c r="AM39" s="109"/>
      <c r="AN39" s="109"/>
      <c r="AO39" s="109"/>
      <c r="AP39" s="109"/>
    </row>
    <row r="40" spans="3:42" x14ac:dyDescent="0.25">
      <c r="E40" s="109"/>
      <c r="F40" s="109"/>
      <c r="G40" s="109"/>
      <c r="H40" s="109"/>
      <c r="I40" s="109"/>
      <c r="J40" s="109"/>
      <c r="K40" s="113"/>
      <c r="L40" s="112"/>
      <c r="M40" s="112"/>
      <c r="N40" s="112"/>
      <c r="P40" s="112"/>
      <c r="Q40" s="109"/>
      <c r="R40" s="111"/>
      <c r="S40" s="109"/>
      <c r="T40" s="109"/>
      <c r="U40" s="109"/>
      <c r="V40" s="109"/>
      <c r="W40" s="145"/>
      <c r="X40" s="145"/>
      <c r="Y40" s="125"/>
      <c r="Z40" s="124"/>
      <c r="AA40" s="116"/>
      <c r="AB40" s="150"/>
      <c r="AC40" s="119"/>
      <c r="AD40" s="119"/>
      <c r="AE40" s="119"/>
      <c r="AF40" s="121"/>
      <c r="AG40" s="140"/>
      <c r="AJ40" s="109"/>
      <c r="AK40" s="109"/>
      <c r="AL40" s="109"/>
      <c r="AM40" s="109"/>
      <c r="AN40" s="109"/>
      <c r="AO40" s="109"/>
      <c r="AP40" s="109"/>
    </row>
    <row r="41" spans="3:42" x14ac:dyDescent="0.25">
      <c r="E41" s="109"/>
      <c r="F41" s="109"/>
      <c r="G41" s="109"/>
      <c r="H41" s="109"/>
      <c r="I41" s="109"/>
      <c r="J41" s="109"/>
      <c r="K41" s="113"/>
      <c r="L41" s="112"/>
      <c r="M41" s="112"/>
      <c r="N41" s="112"/>
      <c r="P41" s="112"/>
      <c r="Q41" s="109"/>
      <c r="R41" s="111"/>
      <c r="S41" s="114"/>
      <c r="T41" s="119"/>
      <c r="U41" s="119"/>
      <c r="V41" s="119"/>
      <c r="W41" s="119"/>
      <c r="X41" s="119"/>
      <c r="Y41" s="118"/>
      <c r="Z41" s="117"/>
      <c r="AA41" s="116"/>
      <c r="AB41" s="147"/>
      <c r="AC41" s="119"/>
      <c r="AD41" s="119"/>
      <c r="AE41" s="119"/>
      <c r="AF41" s="120"/>
      <c r="AG41" s="117"/>
      <c r="AJ41" s="109"/>
      <c r="AK41" s="109"/>
      <c r="AL41" s="109"/>
      <c r="AM41" s="109"/>
      <c r="AN41" s="109"/>
      <c r="AO41" s="109"/>
      <c r="AP41" s="109"/>
    </row>
    <row r="42" spans="3:42" x14ac:dyDescent="0.25">
      <c r="E42" s="109"/>
      <c r="F42" s="109"/>
      <c r="G42" s="109"/>
      <c r="H42" s="109"/>
      <c r="I42" s="109"/>
      <c r="J42" s="109"/>
      <c r="K42" s="113"/>
      <c r="L42" s="112"/>
      <c r="M42" s="112"/>
      <c r="N42" s="112"/>
      <c r="P42" s="112"/>
      <c r="Q42" s="109"/>
      <c r="R42" s="111"/>
      <c r="S42" s="109"/>
      <c r="T42" s="109"/>
      <c r="U42" s="109"/>
      <c r="V42" s="109"/>
      <c r="W42" s="109"/>
      <c r="X42" s="109"/>
      <c r="Y42" s="110"/>
      <c r="AA42" s="114" t="s">
        <v>469</v>
      </c>
      <c r="AB42" s="113"/>
      <c r="AC42" s="109"/>
      <c r="AD42" s="109"/>
      <c r="AE42" s="109"/>
      <c r="AJ42" s="109"/>
      <c r="AK42" s="109"/>
      <c r="AL42" s="109"/>
      <c r="AM42" s="109"/>
      <c r="AN42" s="109"/>
      <c r="AO42" s="109"/>
      <c r="AP42" s="109"/>
    </row>
    <row r="43" spans="3:42" x14ac:dyDescent="0.25">
      <c r="E43" s="109"/>
      <c r="F43" s="109"/>
      <c r="G43" s="109"/>
      <c r="H43" s="109"/>
      <c r="I43" s="109"/>
      <c r="J43" s="109"/>
      <c r="K43" s="113"/>
      <c r="L43" s="112"/>
      <c r="M43" s="112"/>
      <c r="N43" s="112"/>
      <c r="P43" s="112"/>
      <c r="Q43" s="109"/>
      <c r="R43" s="111"/>
      <c r="S43" s="109"/>
      <c r="T43" s="109"/>
      <c r="U43" s="109"/>
      <c r="V43" s="109"/>
      <c r="W43" s="109"/>
      <c r="X43" s="109"/>
      <c r="Y43" s="110"/>
      <c r="AC43" s="109"/>
      <c r="AD43" s="109"/>
      <c r="AE43" s="109"/>
      <c r="AJ43" s="109"/>
      <c r="AK43" s="109"/>
      <c r="AL43" s="109"/>
      <c r="AM43" s="109"/>
      <c r="AN43" s="109"/>
      <c r="AO43" s="109"/>
      <c r="AP43" s="109"/>
    </row>
    <row r="44" spans="3:42" x14ac:dyDescent="0.25">
      <c r="E44" s="109"/>
      <c r="F44" s="109"/>
      <c r="G44" s="109"/>
      <c r="H44" s="109"/>
      <c r="I44" s="109"/>
      <c r="J44" s="109"/>
      <c r="K44" s="113"/>
      <c r="L44" s="112"/>
      <c r="M44" s="112"/>
      <c r="N44" s="112"/>
      <c r="P44" s="112"/>
      <c r="Q44" s="109"/>
      <c r="R44" s="111"/>
      <c r="S44" s="109"/>
      <c r="T44" s="109"/>
      <c r="U44" s="109"/>
      <c r="V44" s="109"/>
      <c r="W44" s="109"/>
      <c r="X44" s="109"/>
      <c r="Y44" s="110"/>
      <c r="AC44" s="109"/>
      <c r="AD44" s="109"/>
      <c r="AE44" s="109"/>
      <c r="AJ44" s="109"/>
      <c r="AK44" s="109"/>
      <c r="AL44" s="109"/>
      <c r="AM44" s="109"/>
      <c r="AN44" s="109"/>
      <c r="AO44" s="109"/>
      <c r="AP44" s="109"/>
    </row>
    <row r="45" spans="3:42" x14ac:dyDescent="0.25">
      <c r="E45" s="109"/>
      <c r="F45" s="109"/>
      <c r="G45" s="109"/>
      <c r="H45" s="109"/>
      <c r="I45" s="109"/>
      <c r="J45" s="109"/>
      <c r="K45" s="113"/>
      <c r="L45" s="112"/>
      <c r="M45" s="112"/>
      <c r="N45" s="112"/>
      <c r="O45" s="108"/>
      <c r="P45" s="112"/>
      <c r="Q45" s="109"/>
      <c r="R45" s="111"/>
      <c r="S45" s="109"/>
      <c r="T45" s="109"/>
      <c r="U45" s="109"/>
      <c r="V45" s="109"/>
      <c r="W45" s="109"/>
      <c r="X45" s="109"/>
      <c r="Y45" s="132"/>
      <c r="Z45" s="131"/>
      <c r="AA45" s="131"/>
      <c r="AB45" s="131"/>
      <c r="AC45" s="130"/>
      <c r="AD45" s="130"/>
      <c r="AE45" s="130"/>
      <c r="AF45" s="129"/>
      <c r="AJ45" s="109"/>
      <c r="AK45" s="109"/>
      <c r="AL45" s="109"/>
      <c r="AM45" s="109"/>
      <c r="AN45" s="109"/>
      <c r="AO45" s="109"/>
      <c r="AP45" s="109"/>
    </row>
    <row r="46" spans="3:42" x14ac:dyDescent="0.25">
      <c r="E46" s="109"/>
      <c r="F46" s="109"/>
      <c r="G46" s="109"/>
      <c r="H46" s="109"/>
      <c r="I46" s="109"/>
      <c r="J46" s="109"/>
      <c r="K46" s="113"/>
      <c r="L46" s="112"/>
      <c r="M46" s="112"/>
      <c r="N46" s="112"/>
      <c r="P46" s="112"/>
      <c r="Q46" s="109"/>
      <c r="R46" s="111"/>
      <c r="S46" s="109"/>
      <c r="T46" s="109"/>
      <c r="U46" s="109"/>
      <c r="V46" s="114"/>
      <c r="W46" s="119"/>
      <c r="X46" s="119"/>
      <c r="Y46" s="118"/>
      <c r="Z46" s="117"/>
      <c r="AA46" s="137" t="s">
        <v>843</v>
      </c>
      <c r="AB46" s="122"/>
      <c r="AC46" s="119"/>
      <c r="AD46" s="114"/>
      <c r="AE46" s="111"/>
      <c r="AF46" s="116"/>
      <c r="AJ46" s="109"/>
      <c r="AK46" s="109"/>
      <c r="AL46" s="109"/>
      <c r="AM46" s="109"/>
      <c r="AN46" s="109"/>
      <c r="AO46" s="109"/>
      <c r="AP46" s="109"/>
    </row>
    <row r="47" spans="3:42" x14ac:dyDescent="0.25">
      <c r="E47" s="109"/>
      <c r="F47" s="109"/>
      <c r="G47" s="109"/>
      <c r="H47" s="109"/>
      <c r="I47" s="109"/>
      <c r="J47" s="109"/>
      <c r="Q47" s="109"/>
      <c r="R47" s="116"/>
      <c r="S47" s="116"/>
      <c r="T47" s="109"/>
      <c r="U47" s="109"/>
      <c r="V47" s="109"/>
      <c r="W47" s="126"/>
      <c r="X47" s="126"/>
      <c r="Y47" s="125"/>
      <c r="Z47" s="124"/>
      <c r="AA47" s="123" t="s">
        <v>468</v>
      </c>
      <c r="AB47" s="149"/>
      <c r="AC47" s="119"/>
      <c r="AD47" s="119"/>
      <c r="AE47" s="119"/>
      <c r="AF47" s="121"/>
      <c r="AJ47" s="109"/>
      <c r="AK47" s="109"/>
      <c r="AL47" s="109"/>
      <c r="AM47" s="109"/>
      <c r="AN47" s="109"/>
      <c r="AO47" s="109"/>
      <c r="AP47" s="109"/>
    </row>
    <row r="48" spans="3:42" x14ac:dyDescent="0.25">
      <c r="E48" s="109"/>
      <c r="F48" s="109"/>
      <c r="G48" s="109"/>
      <c r="H48" s="109"/>
      <c r="I48" s="109"/>
      <c r="J48" s="109"/>
      <c r="Q48" s="109"/>
      <c r="R48" s="116"/>
      <c r="S48" s="121"/>
      <c r="T48" s="119"/>
      <c r="U48" s="119"/>
      <c r="V48" s="119"/>
      <c r="W48" s="119"/>
      <c r="X48" s="119"/>
      <c r="Y48" s="118"/>
      <c r="Z48" s="117"/>
      <c r="AA48" s="116"/>
      <c r="AB48" s="115"/>
      <c r="AC48" s="109"/>
      <c r="AD48" s="109"/>
      <c r="AE48" s="109"/>
      <c r="AJ48" s="109"/>
      <c r="AK48" s="109"/>
      <c r="AL48" s="109"/>
      <c r="AM48" s="109"/>
      <c r="AN48" s="109"/>
      <c r="AO48" s="109"/>
      <c r="AP48" s="109"/>
    </row>
    <row r="49" spans="5:42" x14ac:dyDescent="0.25">
      <c r="E49" s="109"/>
      <c r="F49" s="109"/>
      <c r="G49" s="109"/>
      <c r="H49" s="109"/>
      <c r="I49" s="109"/>
      <c r="J49" s="109"/>
      <c r="Q49" s="109"/>
      <c r="R49" s="116"/>
      <c r="S49" s="116"/>
      <c r="T49" s="130"/>
      <c r="U49" s="130"/>
      <c r="V49" s="130"/>
      <c r="W49" s="130"/>
      <c r="X49" s="130"/>
      <c r="Y49" s="110"/>
      <c r="AA49" s="114" t="s">
        <v>467</v>
      </c>
      <c r="AB49" s="113"/>
      <c r="AC49" s="109"/>
      <c r="AD49" s="109"/>
      <c r="AE49" s="109"/>
      <c r="AJ49" s="109"/>
      <c r="AK49" s="109"/>
      <c r="AL49" s="109"/>
      <c r="AM49" s="109"/>
      <c r="AN49" s="109"/>
      <c r="AO49" s="109"/>
      <c r="AP49" s="109"/>
    </row>
    <row r="50" spans="5:42" x14ac:dyDescent="0.25">
      <c r="E50" s="109"/>
      <c r="F50" s="109"/>
      <c r="G50" s="109"/>
      <c r="H50" s="109"/>
      <c r="I50" s="109"/>
      <c r="J50" s="109"/>
      <c r="Q50" s="109"/>
      <c r="R50" s="116"/>
      <c r="S50" s="116"/>
      <c r="T50" s="109"/>
      <c r="U50" s="109"/>
      <c r="V50" s="109"/>
      <c r="W50" s="109"/>
      <c r="X50" s="109"/>
      <c r="Y50" s="110"/>
      <c r="AC50" s="109"/>
      <c r="AD50" s="109"/>
      <c r="AE50" s="109"/>
      <c r="AJ50" s="109"/>
      <c r="AK50" s="109"/>
      <c r="AL50" s="109"/>
      <c r="AM50" s="109"/>
      <c r="AN50" s="109"/>
      <c r="AO50" s="109"/>
      <c r="AP50" s="109"/>
    </row>
    <row r="51" spans="5:42" x14ac:dyDescent="0.25">
      <c r="E51" s="109"/>
      <c r="F51" s="109"/>
      <c r="G51" s="109"/>
      <c r="H51" s="109"/>
      <c r="I51" s="109"/>
      <c r="J51" s="109"/>
      <c r="K51" s="113"/>
      <c r="L51" s="112"/>
      <c r="M51" s="118"/>
      <c r="N51" s="118"/>
      <c r="O51" s="120"/>
      <c r="P51" s="118"/>
      <c r="Q51" s="119"/>
      <c r="R51" s="114"/>
      <c r="S51" s="111"/>
      <c r="T51" s="109"/>
      <c r="U51" s="109"/>
      <c r="V51" s="109"/>
      <c r="W51" s="109"/>
      <c r="X51" s="109"/>
      <c r="AC51" s="109"/>
      <c r="AD51" s="109"/>
      <c r="AE51" s="109"/>
      <c r="AJ51" s="109"/>
      <c r="AK51" s="109"/>
      <c r="AL51" s="109"/>
      <c r="AM51" s="109"/>
      <c r="AN51" s="109"/>
      <c r="AO51" s="109"/>
      <c r="AP51" s="109"/>
    </row>
    <row r="52" spans="5:42" x14ac:dyDescent="0.25">
      <c r="E52" s="109"/>
      <c r="F52" s="109"/>
      <c r="G52" s="109"/>
      <c r="H52" s="109"/>
      <c r="I52" s="109"/>
      <c r="J52" s="109"/>
      <c r="K52" s="113"/>
      <c r="L52" s="132"/>
      <c r="M52" s="120"/>
      <c r="N52" s="118"/>
      <c r="O52" s="120"/>
      <c r="P52" s="118"/>
      <c r="Q52" s="119"/>
      <c r="R52" s="114"/>
      <c r="S52" s="114"/>
      <c r="T52" s="119"/>
      <c r="U52" s="119"/>
      <c r="V52" s="119"/>
      <c r="W52" s="119"/>
      <c r="X52" s="119"/>
      <c r="AC52" s="109"/>
      <c r="AD52" s="109"/>
      <c r="AE52" s="109"/>
      <c r="AJ52" s="109"/>
      <c r="AK52" s="109"/>
      <c r="AL52" s="109"/>
      <c r="AM52" s="109"/>
      <c r="AN52" s="109"/>
      <c r="AO52" s="109"/>
      <c r="AP52" s="109"/>
    </row>
    <row r="53" spans="5:42" x14ac:dyDescent="0.25">
      <c r="E53" s="109"/>
      <c r="F53" s="109"/>
      <c r="G53" s="109"/>
      <c r="H53" s="109"/>
      <c r="I53" s="109"/>
      <c r="J53" s="109"/>
      <c r="K53" s="113"/>
      <c r="L53" s="113"/>
      <c r="M53" s="328"/>
      <c r="N53" s="112"/>
      <c r="P53" s="112"/>
      <c r="Q53" s="109"/>
      <c r="R53" s="111"/>
      <c r="S53" s="109"/>
      <c r="T53" s="114"/>
      <c r="U53" s="119"/>
      <c r="V53" s="119"/>
      <c r="W53" s="119"/>
      <c r="X53" s="109"/>
      <c r="AC53" s="109"/>
      <c r="AD53" s="109"/>
      <c r="AE53" s="109"/>
      <c r="AJ53" s="109"/>
      <c r="AK53" s="109"/>
      <c r="AL53" s="109"/>
      <c r="AM53" s="109"/>
      <c r="AN53" s="109"/>
      <c r="AO53" s="109"/>
      <c r="AP53" s="109"/>
    </row>
    <row r="54" spans="5:42" x14ac:dyDescent="0.25">
      <c r="E54" s="109"/>
      <c r="F54" s="109"/>
      <c r="G54" s="109"/>
      <c r="H54" s="109"/>
      <c r="I54" s="109"/>
      <c r="J54" s="109"/>
      <c r="K54" s="113"/>
      <c r="L54" s="113"/>
      <c r="M54" s="115"/>
      <c r="N54" s="132"/>
      <c r="O54" s="131"/>
      <c r="P54" s="144"/>
      <c r="Q54" s="130"/>
      <c r="R54" s="145"/>
      <c r="S54" s="130"/>
      <c r="T54" s="109"/>
      <c r="U54" s="109"/>
      <c r="V54" s="109"/>
      <c r="W54" s="109"/>
      <c r="X54" s="109"/>
      <c r="AC54" s="109"/>
      <c r="AD54" s="109"/>
      <c r="AE54" s="109"/>
      <c r="AJ54" s="109"/>
      <c r="AK54" s="109"/>
      <c r="AL54" s="109"/>
      <c r="AM54" s="109"/>
      <c r="AN54" s="109"/>
      <c r="AO54" s="109"/>
      <c r="AP54" s="109"/>
    </row>
    <row r="55" spans="5:42" x14ac:dyDescent="0.25">
      <c r="E55" s="109"/>
      <c r="F55" s="109"/>
      <c r="G55" s="109"/>
      <c r="H55" s="109"/>
      <c r="I55" s="109"/>
      <c r="J55" s="109"/>
      <c r="K55" s="113"/>
      <c r="L55" s="113"/>
      <c r="M55" s="115"/>
      <c r="N55" s="148">
        <f>85%*0.4</f>
        <v>0.34</v>
      </c>
      <c r="O55" s="128" t="s">
        <v>984</v>
      </c>
      <c r="P55" s="110"/>
      <c r="Q55" s="109"/>
      <c r="R55" s="111"/>
      <c r="S55" s="109"/>
      <c r="T55" s="109"/>
      <c r="U55" s="109"/>
      <c r="V55" s="109"/>
      <c r="W55" s="109"/>
      <c r="X55" s="109"/>
      <c r="AC55" s="109"/>
      <c r="AD55" s="109"/>
      <c r="AE55" s="109"/>
      <c r="AJ55" s="109"/>
      <c r="AK55" s="109"/>
      <c r="AL55" s="109"/>
      <c r="AM55" s="109"/>
      <c r="AN55" s="109"/>
      <c r="AO55" s="109"/>
      <c r="AP55" s="109"/>
    </row>
    <row r="56" spans="5:42" x14ac:dyDescent="0.25">
      <c r="E56" s="109"/>
      <c r="F56" s="109"/>
      <c r="G56" s="109"/>
      <c r="H56" s="109"/>
      <c r="I56" s="109"/>
      <c r="J56" s="109"/>
      <c r="K56" s="113"/>
      <c r="L56" s="113"/>
      <c r="M56" s="147"/>
      <c r="N56" s="143">
        <f>45%*40%</f>
        <v>0.18000000000000002</v>
      </c>
      <c r="O56" s="116"/>
      <c r="P56" s="112"/>
      <c r="Q56" s="109"/>
      <c r="R56" s="111"/>
      <c r="S56" s="109"/>
      <c r="T56" s="109"/>
      <c r="U56" s="109"/>
      <c r="V56" s="109"/>
      <c r="W56" s="109"/>
      <c r="X56" s="109"/>
      <c r="AC56" s="109"/>
      <c r="AD56" s="109"/>
      <c r="AE56" s="109"/>
      <c r="AJ56" s="109"/>
      <c r="AK56" s="109"/>
      <c r="AL56" s="109"/>
      <c r="AM56" s="109"/>
      <c r="AN56" s="109"/>
      <c r="AO56" s="109"/>
      <c r="AP56" s="109"/>
    </row>
    <row r="57" spans="5:42" x14ac:dyDescent="0.25">
      <c r="E57" s="109"/>
      <c r="F57" s="109"/>
      <c r="G57" s="109"/>
      <c r="H57" s="109"/>
      <c r="I57" s="109"/>
      <c r="J57" s="109"/>
      <c r="K57" s="113"/>
      <c r="L57" s="147"/>
      <c r="M57" s="120"/>
      <c r="N57" s="146">
        <f>85%*0.4</f>
        <v>0.34</v>
      </c>
      <c r="O57" s="116"/>
      <c r="P57" s="133"/>
      <c r="Q57" s="119"/>
      <c r="R57" s="114"/>
      <c r="S57" s="114"/>
      <c r="T57" s="119"/>
      <c r="U57" s="109"/>
      <c r="V57" s="109"/>
      <c r="W57" s="109"/>
      <c r="X57" s="109"/>
      <c r="AC57" s="109"/>
      <c r="AD57" s="109"/>
      <c r="AE57" s="109"/>
      <c r="AJ57" s="109"/>
      <c r="AK57" s="109"/>
      <c r="AL57" s="109"/>
      <c r="AM57" s="109"/>
      <c r="AN57" s="109"/>
      <c r="AO57" s="109"/>
      <c r="AP57" s="109"/>
    </row>
    <row r="58" spans="5:42" x14ac:dyDescent="0.25">
      <c r="E58" s="109"/>
      <c r="F58" s="109"/>
      <c r="G58" s="109"/>
      <c r="H58" s="109"/>
      <c r="I58" s="114"/>
      <c r="J58" s="119"/>
      <c r="K58" s="133"/>
      <c r="L58" s="118"/>
      <c r="M58" s="118"/>
      <c r="N58" s="143">
        <f>50%*0.4</f>
        <v>0.2</v>
      </c>
      <c r="O58" s="116"/>
      <c r="R58" s="111"/>
      <c r="S58" s="109"/>
      <c r="T58" s="109"/>
      <c r="U58" s="111"/>
      <c r="V58" s="111"/>
      <c r="W58" s="111"/>
      <c r="X58" s="111"/>
      <c r="AC58" s="109"/>
      <c r="AD58" s="111"/>
      <c r="AE58" s="111"/>
      <c r="AF58" s="115"/>
      <c r="AJ58" s="109"/>
      <c r="AK58" s="109"/>
      <c r="AL58" s="109"/>
      <c r="AM58" s="109"/>
      <c r="AN58" s="109"/>
      <c r="AO58" s="109"/>
      <c r="AP58" s="109"/>
    </row>
    <row r="59" spans="5:42" x14ac:dyDescent="0.25">
      <c r="E59" s="109"/>
      <c r="F59" s="109"/>
      <c r="G59" s="109"/>
      <c r="H59" s="109"/>
      <c r="I59" s="109"/>
      <c r="J59" s="109"/>
      <c r="K59" s="113"/>
      <c r="L59" s="112"/>
      <c r="M59" s="112"/>
      <c r="N59" s="142">
        <f>50%*0.4</f>
        <v>0.2</v>
      </c>
      <c r="O59" s="116"/>
      <c r="P59" s="112"/>
      <c r="Q59" s="109"/>
      <c r="R59" s="111"/>
      <c r="S59" s="109"/>
      <c r="T59" s="109"/>
      <c r="U59" s="109"/>
      <c r="V59" s="109"/>
      <c r="W59" s="111"/>
      <c r="X59" s="111"/>
      <c r="AC59" s="109"/>
      <c r="AD59" s="109"/>
      <c r="AE59" s="109"/>
      <c r="AF59" s="115"/>
      <c r="AJ59" s="109"/>
      <c r="AK59" s="109"/>
      <c r="AL59" s="109"/>
      <c r="AM59" s="109"/>
      <c r="AN59" s="109"/>
      <c r="AO59" s="109"/>
      <c r="AP59" s="109"/>
    </row>
    <row r="60" spans="5:42" x14ac:dyDescent="0.25">
      <c r="E60" s="109"/>
      <c r="F60" s="109"/>
      <c r="G60" s="109"/>
      <c r="H60" s="109"/>
      <c r="I60" s="109"/>
      <c r="J60" s="109"/>
      <c r="K60" s="113"/>
      <c r="L60" s="112"/>
      <c r="M60" s="112"/>
      <c r="N60" s="141"/>
      <c r="O60" s="114" t="s">
        <v>465</v>
      </c>
      <c r="P60" s="112"/>
      <c r="Q60" s="109"/>
      <c r="R60" s="111"/>
      <c r="S60" s="109"/>
      <c r="T60" s="111"/>
      <c r="U60" s="111"/>
      <c r="V60" s="111"/>
      <c r="W60" s="111"/>
      <c r="X60" s="111"/>
      <c r="AC60" s="109"/>
      <c r="AD60" s="111"/>
      <c r="AE60" s="111"/>
      <c r="AF60" s="115"/>
      <c r="AJ60" s="109"/>
      <c r="AK60" s="109"/>
      <c r="AL60" s="109"/>
      <c r="AM60" s="109"/>
      <c r="AN60" s="109"/>
      <c r="AO60" s="109"/>
      <c r="AP60" s="109"/>
    </row>
    <row r="61" spans="5:42" x14ac:dyDescent="0.25">
      <c r="E61" s="109"/>
      <c r="F61" s="109"/>
      <c r="G61" s="109"/>
      <c r="H61" s="109"/>
      <c r="I61" s="109"/>
      <c r="J61" s="109"/>
      <c r="K61" s="113"/>
      <c r="L61" s="112"/>
      <c r="M61" s="112"/>
      <c r="N61" s="133"/>
      <c r="O61" s="120"/>
      <c r="P61" s="120"/>
      <c r="Q61" s="117"/>
      <c r="R61" s="111"/>
      <c r="S61" s="109"/>
      <c r="T61" s="109"/>
      <c r="U61" s="109"/>
      <c r="V61" s="109"/>
      <c r="W61" s="109"/>
      <c r="X61" s="109"/>
      <c r="AC61" s="109"/>
      <c r="AD61" s="109"/>
      <c r="AE61" s="109"/>
      <c r="AJ61" s="109"/>
      <c r="AK61" s="109"/>
      <c r="AL61" s="109"/>
      <c r="AM61" s="109"/>
      <c r="AN61" s="109"/>
      <c r="AO61" s="109"/>
      <c r="AP61" s="109"/>
    </row>
    <row r="62" spans="5:42" x14ac:dyDescent="0.25">
      <c r="E62" s="109"/>
      <c r="F62" s="109"/>
      <c r="G62" s="109"/>
      <c r="H62" s="109"/>
      <c r="I62" s="109"/>
      <c r="J62" s="109"/>
      <c r="K62" s="113"/>
      <c r="L62" s="112"/>
      <c r="M62" s="112"/>
      <c r="N62" s="112"/>
      <c r="P62" s="112"/>
      <c r="Q62" s="109"/>
      <c r="R62" s="111"/>
      <c r="S62" s="109"/>
      <c r="T62" s="109"/>
      <c r="U62" s="109"/>
      <c r="V62" s="109"/>
      <c r="W62" s="109"/>
      <c r="X62" s="109"/>
      <c r="AC62" s="109"/>
      <c r="AD62" s="109"/>
      <c r="AE62" s="109"/>
      <c r="AJ62" s="109"/>
      <c r="AK62" s="109"/>
      <c r="AL62" s="109"/>
      <c r="AM62" s="109"/>
      <c r="AN62" s="109"/>
      <c r="AO62" s="109"/>
      <c r="AP62" s="109"/>
    </row>
    <row r="63" spans="5:42" x14ac:dyDescent="0.25">
      <c r="E63" s="109"/>
      <c r="F63" s="109"/>
      <c r="G63" s="109"/>
      <c r="H63" s="109"/>
      <c r="I63" s="109"/>
      <c r="J63" s="109"/>
      <c r="K63" s="113"/>
      <c r="L63" s="112"/>
      <c r="M63" s="118"/>
      <c r="N63" s="118"/>
      <c r="O63" s="120"/>
      <c r="P63" s="118"/>
      <c r="Q63" s="119"/>
      <c r="R63" s="114"/>
      <c r="S63" s="111"/>
      <c r="T63" s="109"/>
      <c r="U63" s="109"/>
      <c r="V63" s="109"/>
      <c r="W63" s="109"/>
      <c r="X63" s="109"/>
      <c r="AC63" s="109"/>
      <c r="AD63" s="109"/>
      <c r="AE63" s="109"/>
      <c r="AJ63" s="109"/>
      <c r="AK63" s="109"/>
      <c r="AL63" s="109"/>
      <c r="AM63" s="109"/>
      <c r="AN63" s="109"/>
      <c r="AO63" s="109"/>
      <c r="AP63" s="109"/>
    </row>
    <row r="64" spans="5:42" x14ac:dyDescent="0.25">
      <c r="E64" s="109"/>
      <c r="F64" s="109"/>
      <c r="G64" s="109"/>
      <c r="H64" s="109"/>
      <c r="I64" s="109"/>
      <c r="J64" s="109"/>
      <c r="K64" s="113"/>
      <c r="L64" s="132"/>
      <c r="M64" s="120"/>
      <c r="N64" s="118"/>
      <c r="O64" s="120"/>
      <c r="P64" s="118"/>
      <c r="Q64" s="119"/>
      <c r="R64" s="114"/>
      <c r="S64" s="114"/>
      <c r="T64" s="119"/>
      <c r="U64" s="119"/>
      <c r="V64" s="119"/>
      <c r="W64" s="119"/>
      <c r="X64" s="119"/>
      <c r="AC64" s="109"/>
      <c r="AD64" s="109"/>
      <c r="AE64" s="109"/>
      <c r="AJ64" s="109"/>
      <c r="AK64" s="109"/>
      <c r="AL64" s="109"/>
      <c r="AM64" s="109"/>
      <c r="AN64" s="109"/>
      <c r="AO64" s="109"/>
      <c r="AP64" s="109"/>
    </row>
    <row r="65" spans="5:42" x14ac:dyDescent="0.25">
      <c r="E65" s="109"/>
      <c r="F65" s="109"/>
      <c r="G65" s="109"/>
      <c r="H65" s="109"/>
      <c r="I65" s="109"/>
      <c r="J65" s="109"/>
      <c r="K65" s="113"/>
      <c r="L65" s="113"/>
      <c r="M65" s="328"/>
      <c r="N65" s="112"/>
      <c r="P65" s="112"/>
      <c r="Q65" s="109"/>
      <c r="R65" s="111"/>
      <c r="S65" s="109"/>
      <c r="T65" s="114"/>
      <c r="U65" s="119"/>
      <c r="V65" s="119"/>
      <c r="W65" s="119"/>
      <c r="X65" s="109"/>
      <c r="AC65" s="109"/>
      <c r="AD65" s="109"/>
      <c r="AE65" s="109"/>
      <c r="AJ65" s="109"/>
      <c r="AK65" s="109"/>
      <c r="AL65" s="109"/>
      <c r="AM65" s="109"/>
      <c r="AN65" s="109"/>
      <c r="AO65" s="109"/>
      <c r="AP65" s="109"/>
    </row>
    <row r="66" spans="5:42" x14ac:dyDescent="0.25">
      <c r="E66" s="109"/>
      <c r="F66" s="109"/>
      <c r="G66" s="109"/>
      <c r="H66" s="109"/>
      <c r="I66" s="109"/>
      <c r="J66" s="109"/>
      <c r="K66" s="113"/>
      <c r="L66" s="113"/>
      <c r="M66" s="115"/>
      <c r="N66" s="132"/>
      <c r="O66" s="131"/>
      <c r="P66" s="144"/>
      <c r="Q66" s="130"/>
      <c r="R66" s="145"/>
      <c r="S66" s="130"/>
      <c r="T66" s="109"/>
      <c r="U66" s="109"/>
      <c r="V66" s="109"/>
      <c r="W66" s="109"/>
      <c r="X66" s="109"/>
      <c r="AC66" s="109"/>
      <c r="AD66" s="109"/>
      <c r="AE66" s="109"/>
      <c r="AJ66" s="109"/>
      <c r="AK66" s="109"/>
      <c r="AL66" s="109"/>
      <c r="AM66" s="109"/>
      <c r="AN66" s="109"/>
      <c r="AO66" s="109"/>
      <c r="AP66" s="109"/>
    </row>
    <row r="67" spans="5:42" x14ac:dyDescent="0.25">
      <c r="E67" s="109"/>
      <c r="F67" s="109"/>
      <c r="G67" s="109"/>
      <c r="H67" s="109"/>
      <c r="I67" s="109"/>
      <c r="J67" s="109"/>
      <c r="K67" s="113"/>
      <c r="L67" s="113"/>
      <c r="M67" s="115"/>
      <c r="N67" s="148">
        <f>85%*0.8</f>
        <v>0.68</v>
      </c>
      <c r="O67" s="128" t="s">
        <v>983</v>
      </c>
      <c r="P67" s="110"/>
      <c r="Q67" s="109"/>
      <c r="R67" s="111"/>
      <c r="S67" s="109"/>
      <c r="T67" s="114"/>
      <c r="U67" s="119"/>
      <c r="V67" s="119"/>
      <c r="W67" s="119"/>
      <c r="X67" s="119"/>
      <c r="Y67" s="118"/>
      <c r="Z67" s="120"/>
      <c r="AA67" s="120"/>
      <c r="AB67" s="120"/>
      <c r="AC67" s="119"/>
      <c r="AD67" s="119"/>
      <c r="AE67" s="119"/>
      <c r="AF67" s="120"/>
      <c r="AG67" s="120"/>
      <c r="AH67" s="117"/>
      <c r="AI67" s="137" t="s">
        <v>982</v>
      </c>
      <c r="AJ67" s="114"/>
      <c r="AK67" s="119"/>
      <c r="AL67" s="114"/>
      <c r="AM67" s="119"/>
      <c r="AN67" s="119"/>
      <c r="AO67" s="119"/>
      <c r="AP67" s="119"/>
    </row>
    <row r="68" spans="5:42" x14ac:dyDescent="0.25">
      <c r="E68" s="109"/>
      <c r="F68" s="109"/>
      <c r="G68" s="109"/>
      <c r="H68" s="109"/>
      <c r="I68" s="109"/>
      <c r="J68" s="109"/>
      <c r="K68" s="113"/>
      <c r="L68" s="113"/>
      <c r="M68" s="147"/>
      <c r="N68" s="146">
        <f>45%*0.8</f>
        <v>0.36000000000000004</v>
      </c>
      <c r="O68" s="116"/>
      <c r="P68" s="112"/>
      <c r="Q68" s="109"/>
      <c r="R68" s="111"/>
      <c r="S68" s="109"/>
      <c r="T68" s="109"/>
      <c r="U68" s="109"/>
      <c r="V68" s="109"/>
      <c r="W68" s="109"/>
      <c r="X68" s="109"/>
      <c r="Y68" s="110"/>
      <c r="AC68" s="109"/>
      <c r="AD68" s="109"/>
      <c r="AE68" s="109"/>
      <c r="AI68" s="298" t="s">
        <v>874</v>
      </c>
      <c r="AJ68" s="109"/>
      <c r="AK68" s="109"/>
      <c r="AL68" s="109"/>
      <c r="AM68" s="109"/>
      <c r="AN68" s="109"/>
      <c r="AO68" s="109"/>
      <c r="AP68" s="109"/>
    </row>
    <row r="69" spans="5:42" x14ac:dyDescent="0.25">
      <c r="E69" s="109"/>
      <c r="F69" s="109"/>
      <c r="G69" s="109"/>
      <c r="H69" s="109"/>
      <c r="I69" s="109"/>
      <c r="J69" s="109"/>
      <c r="K69" s="113"/>
      <c r="L69" s="147"/>
      <c r="M69" s="120"/>
      <c r="N69" s="146">
        <f>85%*0.8</f>
        <v>0.68</v>
      </c>
      <c r="O69" s="116"/>
      <c r="P69" s="133"/>
      <c r="Q69" s="119"/>
      <c r="R69" s="114"/>
      <c r="S69" s="119"/>
      <c r="T69" s="109"/>
      <c r="V69" s="111"/>
      <c r="W69" s="109"/>
      <c r="X69" s="109"/>
      <c r="AC69" s="109"/>
      <c r="AD69" s="109"/>
      <c r="AE69" s="109"/>
      <c r="AJ69" s="109"/>
      <c r="AK69" s="109"/>
      <c r="AL69" s="109"/>
      <c r="AM69" s="109"/>
      <c r="AN69" s="109"/>
      <c r="AO69" s="109"/>
      <c r="AP69" s="109"/>
    </row>
    <row r="70" spans="5:42" x14ac:dyDescent="0.25">
      <c r="E70" s="109"/>
      <c r="F70" s="109"/>
      <c r="G70" s="109"/>
      <c r="H70" s="109"/>
      <c r="I70" s="114"/>
      <c r="J70" s="119"/>
      <c r="K70" s="133"/>
      <c r="L70" s="118"/>
      <c r="M70" s="118"/>
      <c r="N70" s="143">
        <f>50%*0.8</f>
        <v>0.4</v>
      </c>
      <c r="O70" s="116"/>
      <c r="R70" s="111"/>
      <c r="S70" s="109"/>
      <c r="T70" s="109"/>
      <c r="U70" s="111"/>
      <c r="V70" s="111"/>
      <c r="W70" s="111"/>
      <c r="X70" s="111"/>
      <c r="AC70" s="109"/>
      <c r="AD70" s="111"/>
      <c r="AE70" s="111"/>
      <c r="AF70" s="115"/>
      <c r="AJ70" s="109"/>
      <c r="AK70" s="109"/>
      <c r="AL70" s="109"/>
      <c r="AM70" s="109"/>
      <c r="AN70" s="109"/>
      <c r="AO70" s="109"/>
      <c r="AP70" s="109"/>
    </row>
    <row r="71" spans="5:42" x14ac:dyDescent="0.25">
      <c r="E71" s="109"/>
      <c r="F71" s="109"/>
      <c r="G71" s="109"/>
      <c r="H71" s="109"/>
      <c r="I71" s="109"/>
      <c r="J71" s="109"/>
      <c r="K71" s="113"/>
      <c r="L71" s="112"/>
      <c r="M71" s="112"/>
      <c r="N71" s="142">
        <f>50%*0.8</f>
        <v>0.4</v>
      </c>
      <c r="O71" s="116"/>
      <c r="P71" s="112"/>
      <c r="Q71" s="109"/>
      <c r="R71" s="111"/>
      <c r="S71" s="109"/>
      <c r="T71" s="109"/>
      <c r="U71" s="109"/>
      <c r="V71" s="109"/>
      <c r="W71" s="111"/>
      <c r="X71" s="111"/>
      <c r="AC71" s="109"/>
      <c r="AD71" s="109"/>
      <c r="AE71" s="109"/>
      <c r="AF71" s="115"/>
      <c r="AJ71" s="109"/>
      <c r="AK71" s="109"/>
      <c r="AL71" s="109"/>
      <c r="AM71" s="109"/>
      <c r="AN71" s="109"/>
      <c r="AO71" s="109"/>
      <c r="AP71" s="109"/>
    </row>
    <row r="72" spans="5:42" x14ac:dyDescent="0.25">
      <c r="E72" s="109"/>
      <c r="F72" s="109"/>
      <c r="G72" s="109"/>
      <c r="H72" s="109"/>
      <c r="I72" s="109"/>
      <c r="J72" s="109"/>
      <c r="K72" s="113"/>
      <c r="L72" s="112"/>
      <c r="M72" s="112"/>
      <c r="N72" s="141"/>
      <c r="O72" s="114" t="s">
        <v>466</v>
      </c>
      <c r="P72" s="112"/>
      <c r="Q72" s="109"/>
      <c r="R72" s="111"/>
      <c r="S72" s="109"/>
      <c r="T72" s="111"/>
      <c r="U72" s="111"/>
      <c r="V72" s="111"/>
      <c r="W72" s="111"/>
      <c r="X72" s="111"/>
      <c r="AC72" s="109"/>
      <c r="AD72" s="111"/>
      <c r="AE72" s="111"/>
      <c r="AF72" s="115"/>
      <c r="AJ72" s="109"/>
      <c r="AK72" s="109"/>
      <c r="AL72" s="109"/>
      <c r="AM72" s="109"/>
      <c r="AN72" s="109"/>
      <c r="AO72" s="109"/>
      <c r="AP72" s="109"/>
    </row>
    <row r="73" spans="5:42" x14ac:dyDescent="0.25">
      <c r="E73" s="109"/>
      <c r="F73" s="109"/>
      <c r="G73" s="109"/>
      <c r="H73" s="109"/>
      <c r="I73" s="109"/>
      <c r="J73" s="109"/>
      <c r="K73" s="113"/>
      <c r="L73" s="112"/>
      <c r="M73" s="112"/>
      <c r="N73" s="133"/>
      <c r="O73" s="120"/>
      <c r="P73" s="120"/>
      <c r="Q73" s="117"/>
      <c r="R73" s="111"/>
      <c r="S73" s="109"/>
      <c r="T73" s="109"/>
      <c r="U73" s="109"/>
      <c r="V73" s="109"/>
      <c r="W73" s="109"/>
      <c r="X73" s="109"/>
      <c r="AC73" s="109"/>
      <c r="AD73" s="109"/>
      <c r="AE73" s="109"/>
      <c r="AJ73" s="109"/>
      <c r="AK73" s="109"/>
      <c r="AL73" s="109"/>
      <c r="AM73" s="109"/>
      <c r="AN73" s="109"/>
      <c r="AO73" s="109"/>
      <c r="AP73" s="109"/>
    </row>
    <row r="74" spans="5:42" x14ac:dyDescent="0.25">
      <c r="E74" s="109"/>
      <c r="F74" s="109"/>
      <c r="G74" s="109"/>
      <c r="H74" s="109"/>
      <c r="I74" s="109"/>
      <c r="J74" s="109"/>
      <c r="K74" s="113"/>
      <c r="L74" s="112"/>
      <c r="M74" s="112"/>
      <c r="N74" s="112"/>
      <c r="P74" s="112"/>
      <c r="Q74" s="109"/>
      <c r="R74" s="111"/>
      <c r="S74" s="109"/>
      <c r="T74" s="109"/>
      <c r="U74" s="109"/>
      <c r="V74" s="109"/>
      <c r="W74" s="109"/>
      <c r="X74" s="109"/>
      <c r="AC74" s="109"/>
      <c r="AD74" s="109"/>
      <c r="AE74" s="109"/>
      <c r="AJ74" s="109"/>
      <c r="AK74" s="109"/>
      <c r="AL74" s="109"/>
      <c r="AM74" s="109"/>
      <c r="AN74" s="109"/>
      <c r="AO74" s="109"/>
      <c r="AP74" s="109"/>
    </row>
    <row r="75" spans="5:42" x14ac:dyDescent="0.25">
      <c r="E75" s="109"/>
      <c r="F75" s="109"/>
      <c r="G75" s="109"/>
      <c r="H75" s="109"/>
      <c r="I75" s="109"/>
      <c r="J75" s="109"/>
      <c r="K75" s="113"/>
      <c r="L75" s="112"/>
      <c r="M75" s="112"/>
      <c r="N75" s="112"/>
      <c r="P75" s="112"/>
      <c r="Q75" s="109"/>
      <c r="R75" s="111"/>
      <c r="S75" s="109"/>
      <c r="T75" s="109"/>
      <c r="U75" s="109"/>
      <c r="V75" s="109"/>
      <c r="W75" s="109"/>
      <c r="X75" s="109"/>
      <c r="AC75" s="109"/>
      <c r="AD75" s="109"/>
      <c r="AE75" s="109"/>
      <c r="AJ75" s="109"/>
      <c r="AK75" s="109"/>
      <c r="AL75" s="109"/>
      <c r="AM75" s="109"/>
      <c r="AN75" s="109"/>
      <c r="AO75" s="109"/>
      <c r="AP75" s="109"/>
    </row>
    <row r="76" spans="5:42" x14ac:dyDescent="0.25">
      <c r="E76" s="109"/>
      <c r="F76" s="109"/>
      <c r="G76" s="109"/>
      <c r="H76" s="109"/>
      <c r="I76" s="109"/>
      <c r="J76" s="109"/>
      <c r="K76" s="113"/>
      <c r="L76" s="112"/>
      <c r="M76" s="112"/>
      <c r="N76" s="112"/>
      <c r="P76" s="112"/>
      <c r="Q76" s="109"/>
      <c r="R76" s="111"/>
      <c r="S76" s="109"/>
      <c r="T76" s="109"/>
      <c r="U76" s="109"/>
      <c r="V76" s="109"/>
      <c r="W76" s="109"/>
      <c r="X76" s="109"/>
      <c r="AC76" s="109"/>
      <c r="AD76" s="109"/>
      <c r="AE76" s="109"/>
      <c r="AJ76" s="109"/>
      <c r="AK76" s="109"/>
      <c r="AL76" s="109"/>
      <c r="AM76" s="109"/>
      <c r="AN76" s="109"/>
      <c r="AO76" s="109"/>
      <c r="AP76" s="109"/>
    </row>
    <row r="77" spans="5:42" x14ac:dyDescent="0.25">
      <c r="E77" s="109"/>
      <c r="F77" s="109"/>
      <c r="G77" s="109"/>
      <c r="H77" s="109"/>
      <c r="I77" s="109"/>
      <c r="J77" s="109"/>
      <c r="K77" s="113"/>
      <c r="L77" s="112"/>
      <c r="M77" s="112"/>
      <c r="N77" s="112"/>
      <c r="P77" s="112"/>
      <c r="Q77" s="109"/>
      <c r="R77" s="111"/>
      <c r="S77" s="109"/>
      <c r="T77" s="109"/>
      <c r="U77" s="109"/>
      <c r="V77" s="109"/>
      <c r="W77" s="109"/>
      <c r="X77" s="109"/>
      <c r="Y77" s="110"/>
      <c r="AA77" s="110"/>
      <c r="AB77" s="108"/>
      <c r="AC77" s="109"/>
      <c r="AD77" s="109"/>
      <c r="AE77" s="109"/>
      <c r="AJ77" s="109"/>
      <c r="AK77" s="109"/>
      <c r="AL77" s="109"/>
      <c r="AM77" s="109"/>
      <c r="AN77" s="109"/>
      <c r="AO77" s="109"/>
      <c r="AP77" s="109"/>
    </row>
    <row r="78" spans="5:42" x14ac:dyDescent="0.25">
      <c r="E78" s="109"/>
      <c r="F78" s="109"/>
      <c r="G78" s="109"/>
      <c r="H78" s="109"/>
      <c r="I78" s="109"/>
      <c r="J78" s="109"/>
      <c r="K78" s="113"/>
      <c r="L78" s="112"/>
      <c r="M78" s="112"/>
      <c r="N78" s="112"/>
      <c r="P78" s="112"/>
      <c r="Q78" s="109"/>
      <c r="R78" s="111"/>
      <c r="S78" s="109"/>
      <c r="T78" s="109"/>
      <c r="U78" s="109"/>
      <c r="V78" s="109"/>
      <c r="W78" s="109"/>
      <c r="X78" s="109"/>
      <c r="Y78" s="110"/>
      <c r="AC78" s="109"/>
      <c r="AD78" s="109"/>
      <c r="AE78" s="109"/>
      <c r="AJ78" s="109"/>
      <c r="AK78" s="109"/>
      <c r="AL78" s="109"/>
      <c r="AM78" s="109"/>
      <c r="AN78" s="109"/>
      <c r="AO78" s="109"/>
      <c r="AP78" s="109"/>
    </row>
    <row r="79" spans="5:42" x14ac:dyDescent="0.25">
      <c r="E79" s="109"/>
      <c r="F79" s="109"/>
      <c r="G79" s="109"/>
      <c r="H79" s="109"/>
      <c r="I79" s="109"/>
      <c r="J79" s="109"/>
      <c r="K79" s="133"/>
      <c r="L79" s="118"/>
      <c r="M79" s="118"/>
      <c r="N79" s="119"/>
      <c r="O79" s="139" t="s">
        <v>461</v>
      </c>
      <c r="P79" s="133"/>
      <c r="Q79" s="119"/>
      <c r="R79" s="114"/>
      <c r="S79" s="119"/>
      <c r="T79" s="109"/>
      <c r="U79" s="109"/>
      <c r="V79" s="111"/>
      <c r="W79" s="109"/>
      <c r="X79" s="109"/>
      <c r="Y79" s="110"/>
      <c r="Z79" s="108"/>
      <c r="AA79" s="108"/>
      <c r="AB79" s="108"/>
      <c r="AC79" s="109"/>
      <c r="AD79" s="109"/>
      <c r="AE79" s="109"/>
      <c r="AJ79" s="109"/>
      <c r="AK79" s="109"/>
      <c r="AL79" s="109"/>
      <c r="AM79" s="109"/>
      <c r="AN79" s="109"/>
      <c r="AO79" s="109"/>
      <c r="AP79" s="109"/>
    </row>
    <row r="80" spans="5:42" x14ac:dyDescent="0.25">
      <c r="E80" s="109"/>
      <c r="F80" s="109"/>
      <c r="G80" s="109"/>
      <c r="H80" s="109"/>
      <c r="I80" s="109"/>
      <c r="J80" s="109"/>
      <c r="K80" s="113"/>
      <c r="L80" s="112"/>
      <c r="M80" s="112"/>
      <c r="N80" s="112"/>
      <c r="O80" s="114" t="s">
        <v>460</v>
      </c>
      <c r="P80" s="112"/>
      <c r="Q80" s="109"/>
      <c r="R80" s="111"/>
      <c r="S80" s="109"/>
      <c r="T80" s="109"/>
      <c r="U80" s="109"/>
      <c r="V80" s="109"/>
      <c r="W80" s="109"/>
      <c r="X80" s="109"/>
      <c r="Y80" s="110"/>
      <c r="AC80" s="109"/>
      <c r="AD80" s="109"/>
      <c r="AE80" s="109"/>
      <c r="AJ80" s="109"/>
      <c r="AK80" s="109"/>
      <c r="AL80" s="109"/>
      <c r="AM80" s="109"/>
      <c r="AN80" s="109"/>
      <c r="AO80" s="109"/>
      <c r="AP80" s="109"/>
    </row>
    <row r="81" spans="5:42" x14ac:dyDescent="0.25">
      <c r="E81" s="109"/>
      <c r="F81" s="109"/>
      <c r="G81" s="109"/>
      <c r="H81" s="109"/>
      <c r="I81" s="109"/>
      <c r="J81" s="109"/>
      <c r="K81" s="113"/>
      <c r="L81" s="112"/>
      <c r="M81" s="112"/>
      <c r="N81" s="112"/>
      <c r="P81" s="112"/>
      <c r="Q81" s="109"/>
      <c r="R81" s="111"/>
      <c r="S81" s="109"/>
      <c r="T81" s="109"/>
      <c r="U81" s="109"/>
      <c r="V81" s="114"/>
      <c r="W81" s="119"/>
      <c r="X81" s="119"/>
      <c r="Y81" s="118"/>
      <c r="Z81" s="120"/>
      <c r="AA81" s="120"/>
      <c r="AB81" s="120"/>
      <c r="AC81" s="109"/>
      <c r="AD81" s="109"/>
      <c r="AE81" s="109"/>
      <c r="AJ81" s="109"/>
      <c r="AK81" s="109"/>
      <c r="AL81" s="109"/>
      <c r="AM81" s="109"/>
      <c r="AN81" s="109"/>
      <c r="AO81" s="109"/>
      <c r="AP81" s="109"/>
    </row>
    <row r="82" spans="5:42" x14ac:dyDescent="0.25">
      <c r="E82" s="109"/>
      <c r="F82" s="109"/>
      <c r="G82" s="109"/>
      <c r="H82" s="109"/>
      <c r="I82" s="109"/>
      <c r="J82" s="114"/>
      <c r="K82" s="133"/>
      <c r="L82" s="118"/>
      <c r="M82" s="118"/>
      <c r="N82" s="119"/>
      <c r="O82" s="137" t="s">
        <v>459</v>
      </c>
      <c r="P82" s="133"/>
      <c r="Q82" s="119"/>
      <c r="R82" s="114"/>
      <c r="S82" s="119"/>
      <c r="T82" s="119"/>
      <c r="U82" s="119"/>
      <c r="V82" s="109"/>
      <c r="W82" s="109"/>
      <c r="X82" s="109"/>
      <c r="Y82" s="110"/>
      <c r="AB82" s="140"/>
      <c r="AC82" s="109"/>
      <c r="AD82" s="109"/>
      <c r="AE82" s="109"/>
      <c r="AJ82" s="109"/>
      <c r="AK82" s="109"/>
      <c r="AL82" s="109"/>
      <c r="AM82" s="109"/>
      <c r="AN82" s="109"/>
      <c r="AO82" s="109"/>
      <c r="AP82" s="109"/>
    </row>
    <row r="83" spans="5:42" x14ac:dyDescent="0.25">
      <c r="E83" s="109"/>
      <c r="F83" s="109"/>
      <c r="G83" s="109"/>
      <c r="H83" s="109"/>
      <c r="I83" s="109"/>
      <c r="J83" s="109"/>
      <c r="K83" s="113"/>
      <c r="L83" s="112"/>
      <c r="M83" s="112"/>
      <c r="N83" s="112"/>
      <c r="O83" s="114" t="s">
        <v>458</v>
      </c>
      <c r="P83" s="112"/>
      <c r="Q83" s="109"/>
      <c r="R83" s="111"/>
      <c r="S83" s="109"/>
      <c r="T83" s="109"/>
      <c r="U83" s="114"/>
      <c r="V83" s="119"/>
      <c r="W83" s="119"/>
      <c r="X83" s="119"/>
      <c r="Y83" s="118"/>
      <c r="Z83" s="117"/>
      <c r="AA83" s="139" t="s">
        <v>457</v>
      </c>
      <c r="AB83" s="138"/>
      <c r="AC83" s="109"/>
      <c r="AD83" s="109"/>
      <c r="AE83" s="109"/>
      <c r="AJ83" s="109"/>
      <c r="AK83" s="109"/>
      <c r="AL83" s="109"/>
      <c r="AM83" s="109"/>
      <c r="AN83" s="109"/>
      <c r="AO83" s="109"/>
      <c r="AP83" s="109"/>
    </row>
    <row r="84" spans="5:42" x14ac:dyDescent="0.25">
      <c r="E84" s="109"/>
      <c r="F84" s="109"/>
      <c r="G84" s="109"/>
      <c r="H84" s="109"/>
      <c r="I84" s="109"/>
      <c r="J84" s="109"/>
      <c r="K84" s="113"/>
      <c r="L84" s="112"/>
      <c r="M84" s="112"/>
      <c r="N84" s="112"/>
      <c r="P84" s="112"/>
      <c r="Q84" s="109"/>
      <c r="R84" s="111"/>
      <c r="S84" s="109"/>
      <c r="T84" s="109"/>
      <c r="U84" s="109"/>
      <c r="V84" s="109"/>
      <c r="W84" s="109"/>
      <c r="X84" s="109"/>
      <c r="Y84" s="110"/>
      <c r="AA84" s="114" t="str">
        <f>"X"&amp;$T$2&amp;"EXP"</f>
        <v>XISIELCEXP</v>
      </c>
      <c r="AB84" s="113"/>
      <c r="AC84" s="109"/>
      <c r="AD84" s="109"/>
      <c r="AE84" s="109"/>
      <c r="AJ84" s="109"/>
      <c r="AK84" s="109"/>
      <c r="AL84" s="109"/>
      <c r="AM84" s="109"/>
      <c r="AN84" s="109"/>
      <c r="AO84" s="109"/>
      <c r="AP84" s="109"/>
    </row>
    <row r="85" spans="5:42" x14ac:dyDescent="0.25">
      <c r="E85" s="109"/>
      <c r="F85" s="109"/>
      <c r="G85" s="109"/>
      <c r="H85" s="109"/>
      <c r="I85" s="109"/>
      <c r="J85" s="109"/>
      <c r="K85" s="113"/>
      <c r="L85" s="112"/>
      <c r="M85" s="112"/>
      <c r="N85" s="112"/>
      <c r="O85" s="137" t="s">
        <v>456</v>
      </c>
      <c r="P85" s="133"/>
      <c r="Q85" s="119"/>
      <c r="R85" s="114"/>
      <c r="S85" s="119"/>
      <c r="T85" s="119"/>
      <c r="U85" s="119"/>
      <c r="V85" s="109"/>
      <c r="W85" s="109"/>
      <c r="X85" s="109"/>
      <c r="Y85" s="110"/>
      <c r="AC85" s="109"/>
      <c r="AD85" s="109"/>
      <c r="AE85" s="109"/>
      <c r="AJ85" s="109"/>
      <c r="AK85" s="109"/>
      <c r="AL85" s="109"/>
      <c r="AM85" s="109"/>
      <c r="AN85" s="109"/>
      <c r="AO85" s="109"/>
      <c r="AP85" s="109"/>
    </row>
    <row r="86" spans="5:42" x14ac:dyDescent="0.25">
      <c r="E86" s="109"/>
      <c r="F86" s="109"/>
      <c r="G86" s="109"/>
      <c r="H86" s="109"/>
      <c r="I86" s="109"/>
      <c r="J86" s="109"/>
      <c r="K86" s="113"/>
      <c r="L86" s="112"/>
      <c r="M86" s="112"/>
      <c r="N86" s="112"/>
      <c r="O86" s="114" t="s">
        <v>455</v>
      </c>
      <c r="P86" s="112"/>
      <c r="Q86" s="109"/>
      <c r="R86" s="111"/>
      <c r="S86" s="109"/>
      <c r="T86" s="109"/>
      <c r="U86" s="109"/>
      <c r="V86" s="109"/>
      <c r="W86" s="109"/>
      <c r="X86" s="109"/>
      <c r="Y86" s="110"/>
      <c r="AC86" s="109"/>
      <c r="AD86" s="109"/>
      <c r="AE86" s="109"/>
      <c r="AF86" s="120"/>
      <c r="AG86" s="120"/>
      <c r="AH86" s="117"/>
      <c r="AI86" s="139" t="s">
        <v>464</v>
      </c>
      <c r="AJ86" s="119"/>
      <c r="AK86" s="119"/>
      <c r="AL86" s="119"/>
      <c r="AM86" s="119"/>
      <c r="AN86" s="119"/>
      <c r="AO86" s="119"/>
      <c r="AP86" s="119"/>
    </row>
    <row r="87" spans="5:42" x14ac:dyDescent="0.25">
      <c r="E87" s="109"/>
      <c r="F87" s="109"/>
      <c r="G87" s="109"/>
      <c r="H87" s="109"/>
      <c r="I87" s="109"/>
      <c r="J87" s="109"/>
      <c r="K87" s="113"/>
      <c r="L87" s="112"/>
      <c r="M87" s="112"/>
      <c r="N87" s="112"/>
      <c r="P87" s="112"/>
      <c r="Q87" s="109"/>
      <c r="R87" s="111"/>
      <c r="S87" s="109"/>
      <c r="T87" s="109"/>
      <c r="U87" s="109"/>
      <c r="V87" s="109"/>
      <c r="W87" s="109"/>
      <c r="X87" s="109"/>
      <c r="Y87" s="110"/>
      <c r="AC87" s="109"/>
      <c r="AD87" s="109"/>
      <c r="AE87" s="109"/>
      <c r="AI87" s="114" t="s">
        <v>462</v>
      </c>
      <c r="AJ87" s="109"/>
      <c r="AK87" s="109"/>
      <c r="AL87" s="109"/>
      <c r="AM87" s="109"/>
      <c r="AN87" s="109"/>
      <c r="AO87" s="109"/>
      <c r="AP87" s="109"/>
    </row>
    <row r="88" spans="5:42" x14ac:dyDescent="0.25">
      <c r="E88" s="109"/>
      <c r="F88" s="109"/>
      <c r="G88" s="109"/>
      <c r="H88" s="109"/>
      <c r="I88" s="109"/>
      <c r="J88" s="109"/>
      <c r="K88" s="113"/>
      <c r="L88" s="112"/>
      <c r="M88" s="112"/>
      <c r="N88" s="112"/>
      <c r="O88" s="137" t="s">
        <v>454</v>
      </c>
      <c r="P88" s="133"/>
      <c r="Q88" s="119"/>
      <c r="R88" s="114"/>
      <c r="S88" s="119"/>
      <c r="T88" s="119"/>
      <c r="U88" s="119"/>
      <c r="V88" s="109"/>
      <c r="W88" s="109"/>
      <c r="X88" s="109"/>
      <c r="Y88" s="110"/>
      <c r="AC88" s="109"/>
      <c r="AD88" s="109"/>
      <c r="AE88" s="109"/>
      <c r="AJ88" s="109"/>
      <c r="AK88" s="109"/>
      <c r="AL88" s="109"/>
      <c r="AM88" s="109"/>
      <c r="AN88" s="109"/>
      <c r="AO88" s="109"/>
      <c r="AP88" s="109"/>
    </row>
    <row r="89" spans="5:42" x14ac:dyDescent="0.25">
      <c r="E89" s="109"/>
      <c r="F89" s="109"/>
      <c r="G89" s="109"/>
      <c r="H89" s="109"/>
      <c r="I89" s="109"/>
      <c r="J89" s="109"/>
      <c r="K89" s="113"/>
      <c r="L89" s="112"/>
      <c r="M89" s="112"/>
      <c r="N89" s="112"/>
      <c r="O89" s="114" t="s">
        <v>453</v>
      </c>
      <c r="P89" s="112"/>
      <c r="Q89" s="109"/>
      <c r="R89" s="111"/>
      <c r="S89" s="109"/>
      <c r="T89" s="109"/>
      <c r="U89" s="109"/>
      <c r="V89" s="114"/>
      <c r="W89" s="119"/>
      <c r="X89" s="119"/>
      <c r="Y89" s="118"/>
      <c r="Z89" s="117"/>
      <c r="AA89" s="136" t="s">
        <v>452</v>
      </c>
      <c r="AB89" s="135"/>
      <c r="AC89" s="119"/>
      <c r="AD89" s="119"/>
      <c r="AE89" s="119"/>
      <c r="AJ89" s="109"/>
      <c r="AK89" s="109"/>
      <c r="AL89" s="109"/>
      <c r="AM89" s="109"/>
      <c r="AN89" s="109"/>
      <c r="AO89" s="109"/>
      <c r="AP89" s="109"/>
    </row>
    <row r="90" spans="5:42" x14ac:dyDescent="0.25">
      <c r="E90" s="109"/>
      <c r="F90" s="109"/>
      <c r="G90" s="109"/>
      <c r="H90" s="109"/>
      <c r="I90" s="109"/>
      <c r="J90" s="109"/>
      <c r="K90" s="113"/>
      <c r="L90" s="112"/>
      <c r="M90" s="112"/>
      <c r="N90" s="112"/>
      <c r="P90" s="112"/>
      <c r="Q90" s="109"/>
      <c r="R90" s="111"/>
      <c r="S90" s="109"/>
      <c r="T90" s="109"/>
      <c r="U90" s="109"/>
      <c r="V90" s="109"/>
      <c r="W90" s="109"/>
      <c r="X90" s="109"/>
      <c r="Y90" s="110"/>
      <c r="AA90" s="114" t="s">
        <v>451</v>
      </c>
      <c r="AB90" s="113"/>
      <c r="AC90" s="109"/>
      <c r="AD90" s="109"/>
      <c r="AE90" s="109"/>
      <c r="AJ90" s="109"/>
      <c r="AK90" s="109"/>
      <c r="AL90" s="109"/>
      <c r="AM90" s="109"/>
      <c r="AN90" s="109"/>
      <c r="AO90" s="109"/>
      <c r="AP90" s="109"/>
    </row>
    <row r="91" spans="5:42" x14ac:dyDescent="0.25">
      <c r="E91" s="109"/>
      <c r="F91" s="109"/>
      <c r="G91" s="109"/>
      <c r="H91" s="109"/>
      <c r="I91" s="109"/>
      <c r="J91" s="109"/>
      <c r="K91" s="113"/>
      <c r="L91" s="112"/>
      <c r="M91" s="112"/>
      <c r="N91" s="119"/>
      <c r="O91" s="134" t="s">
        <v>450</v>
      </c>
      <c r="P91" s="133"/>
      <c r="Q91" s="119"/>
      <c r="R91" s="114"/>
      <c r="S91" s="119"/>
      <c r="T91" s="119"/>
      <c r="U91" s="119"/>
      <c r="V91" s="109"/>
      <c r="W91" s="109"/>
      <c r="X91" s="109"/>
      <c r="Y91" s="110"/>
      <c r="AC91" s="109"/>
      <c r="AD91" s="109"/>
      <c r="AE91" s="109"/>
      <c r="AJ91" s="109"/>
      <c r="AK91" s="109"/>
      <c r="AL91" s="109"/>
      <c r="AM91" s="109"/>
      <c r="AN91" s="109"/>
      <c r="AO91" s="109"/>
      <c r="AP91" s="109"/>
    </row>
    <row r="92" spans="5:42" x14ac:dyDescent="0.25">
      <c r="E92" s="109"/>
      <c r="F92" s="109"/>
      <c r="G92" s="109"/>
      <c r="H92" s="109"/>
      <c r="I92" s="109"/>
      <c r="J92" s="109"/>
      <c r="K92" s="113"/>
      <c r="L92" s="112"/>
      <c r="M92" s="112"/>
      <c r="N92" s="113"/>
      <c r="O92" s="114" t="s">
        <v>449</v>
      </c>
      <c r="P92" s="112"/>
      <c r="Q92" s="109"/>
      <c r="R92" s="111"/>
      <c r="S92" s="109"/>
      <c r="T92" s="109"/>
      <c r="U92" s="109"/>
      <c r="V92" s="109"/>
      <c r="W92" s="109"/>
      <c r="X92" s="109"/>
      <c r="Y92" s="110"/>
      <c r="AC92" s="109"/>
      <c r="AD92" s="109"/>
      <c r="AE92" s="109"/>
      <c r="AJ92" s="109"/>
      <c r="AK92" s="109"/>
      <c r="AL92" s="109"/>
      <c r="AM92" s="109"/>
      <c r="AN92" s="109"/>
      <c r="AO92" s="109"/>
      <c r="AP92" s="109"/>
    </row>
    <row r="93" spans="5:42" x14ac:dyDescent="0.25">
      <c r="E93" s="109"/>
      <c r="F93" s="109"/>
      <c r="G93" s="109"/>
      <c r="H93" s="109"/>
      <c r="I93" s="109"/>
      <c r="J93" s="109"/>
      <c r="K93" s="113"/>
      <c r="L93" s="112"/>
      <c r="M93" s="112"/>
      <c r="N93" s="133"/>
      <c r="O93" s="120"/>
      <c r="P93" s="118"/>
      <c r="Q93" s="119"/>
      <c r="R93" s="114"/>
      <c r="S93" s="119"/>
      <c r="T93" s="119"/>
      <c r="U93" s="119"/>
      <c r="V93" s="109"/>
      <c r="W93" s="109"/>
      <c r="X93" s="109"/>
      <c r="Y93" s="110"/>
      <c r="AC93" s="109"/>
      <c r="AD93" s="109"/>
      <c r="AE93" s="109"/>
      <c r="AJ93" s="109"/>
      <c r="AK93" s="109"/>
      <c r="AL93" s="109"/>
      <c r="AM93" s="109"/>
      <c r="AN93" s="109"/>
      <c r="AO93" s="109"/>
      <c r="AP93" s="109"/>
    </row>
    <row r="94" spans="5:42" x14ac:dyDescent="0.25">
      <c r="E94" s="109"/>
      <c r="F94" s="109"/>
      <c r="G94" s="109"/>
      <c r="H94" s="109"/>
      <c r="I94" s="109"/>
      <c r="J94" s="109"/>
      <c r="K94" s="113"/>
      <c r="L94" s="112"/>
      <c r="M94" s="112"/>
      <c r="O94" s="108"/>
      <c r="P94" s="110"/>
      <c r="Q94" s="109"/>
      <c r="R94" s="111"/>
      <c r="S94" s="109"/>
      <c r="T94" s="109"/>
      <c r="U94" s="109"/>
      <c r="V94" s="109"/>
      <c r="W94" s="109"/>
      <c r="X94" s="109"/>
      <c r="Y94" s="110"/>
      <c r="AC94" s="109"/>
      <c r="AD94" s="109"/>
      <c r="AE94" s="109"/>
      <c r="AJ94" s="109"/>
      <c r="AK94" s="109"/>
      <c r="AL94" s="109"/>
      <c r="AM94" s="109"/>
      <c r="AN94" s="109"/>
      <c r="AO94" s="109"/>
      <c r="AP94" s="109"/>
    </row>
    <row r="95" spans="5:42" x14ac:dyDescent="0.25">
      <c r="E95" s="109"/>
      <c r="F95" s="109"/>
      <c r="G95" s="109"/>
      <c r="H95" s="109"/>
      <c r="I95" s="109"/>
      <c r="J95" s="109"/>
      <c r="K95" s="113"/>
      <c r="L95" s="112"/>
      <c r="M95" s="112"/>
      <c r="O95" s="108"/>
      <c r="P95" s="110"/>
      <c r="Q95" s="109"/>
      <c r="R95" s="111"/>
      <c r="S95" s="109"/>
      <c r="T95" s="109"/>
      <c r="U95" s="109"/>
      <c r="V95" s="109"/>
      <c r="W95" s="109"/>
      <c r="X95" s="109"/>
      <c r="Y95" s="110"/>
      <c r="AC95" s="109"/>
      <c r="AD95" s="109"/>
      <c r="AE95" s="109"/>
      <c r="AJ95" s="109"/>
      <c r="AK95" s="109"/>
      <c r="AL95" s="109"/>
      <c r="AM95" s="109"/>
      <c r="AN95" s="109"/>
      <c r="AO95" s="109"/>
      <c r="AP95" s="109"/>
    </row>
    <row r="96" spans="5:42" x14ac:dyDescent="0.25">
      <c r="E96" s="109"/>
      <c r="F96" s="109"/>
      <c r="G96" s="109"/>
      <c r="H96" s="109"/>
      <c r="I96" s="109"/>
      <c r="J96" s="109"/>
      <c r="K96" s="113"/>
      <c r="L96" s="112"/>
      <c r="M96" s="112"/>
      <c r="O96" s="108"/>
      <c r="P96" s="110"/>
      <c r="Q96" s="109"/>
      <c r="R96" s="111"/>
      <c r="S96" s="109"/>
      <c r="T96" s="109"/>
      <c r="U96" s="109"/>
      <c r="V96" s="109"/>
      <c r="W96" s="109"/>
      <c r="X96" s="109"/>
      <c r="Y96" s="110"/>
      <c r="AC96" s="109"/>
      <c r="AD96" s="109"/>
      <c r="AE96" s="109"/>
      <c r="AJ96" s="109"/>
      <c r="AK96" s="109"/>
      <c r="AL96" s="111"/>
      <c r="AM96" s="109"/>
      <c r="AN96" s="111"/>
      <c r="AO96" s="111"/>
      <c r="AP96" s="111"/>
    </row>
    <row r="97" spans="5:42" x14ac:dyDescent="0.25">
      <c r="E97" s="109"/>
      <c r="F97" s="109"/>
      <c r="G97" s="109"/>
      <c r="H97" s="109"/>
      <c r="I97" s="109"/>
      <c r="J97" s="109"/>
      <c r="K97" s="113"/>
      <c r="L97" s="112"/>
      <c r="M97" s="112"/>
      <c r="O97" s="108"/>
      <c r="P97" s="110"/>
      <c r="Q97" s="109"/>
      <c r="R97" s="111"/>
      <c r="S97" s="109"/>
      <c r="T97" s="109"/>
      <c r="U97" s="109"/>
      <c r="V97" s="109"/>
      <c r="W97" s="109"/>
      <c r="X97" s="109"/>
      <c r="Y97" s="132"/>
      <c r="Z97" s="131"/>
      <c r="AA97" s="131"/>
      <c r="AB97" s="131"/>
      <c r="AC97" s="130"/>
      <c r="AD97" s="130"/>
      <c r="AE97" s="130"/>
      <c r="AF97" s="129"/>
      <c r="AJ97" s="109"/>
      <c r="AK97" s="109"/>
      <c r="AL97" s="109"/>
      <c r="AM97" s="109"/>
      <c r="AN97" s="109"/>
      <c r="AO97" s="109"/>
      <c r="AP97" s="109"/>
    </row>
    <row r="98" spans="5:42" x14ac:dyDescent="0.25">
      <c r="E98" s="109"/>
      <c r="F98" s="109"/>
      <c r="G98" s="109"/>
      <c r="H98" s="109"/>
      <c r="I98" s="109"/>
      <c r="J98" s="109"/>
      <c r="K98" s="113"/>
      <c r="L98" s="112"/>
      <c r="M98" s="112"/>
      <c r="O98" s="108"/>
      <c r="P98" s="110"/>
      <c r="Q98" s="109"/>
      <c r="R98" s="111"/>
      <c r="S98" s="109"/>
      <c r="T98" s="109"/>
      <c r="U98" s="109"/>
      <c r="V98" s="114"/>
      <c r="W98" s="119"/>
      <c r="X98" s="119"/>
      <c r="Y98" s="118"/>
      <c r="Z98" s="117"/>
      <c r="AA98" s="128" t="s">
        <v>448</v>
      </c>
      <c r="AB98" s="127"/>
      <c r="AC98" s="119"/>
      <c r="AD98" s="114"/>
      <c r="AE98" s="114"/>
      <c r="AF98" s="116"/>
      <c r="AI98" s="108"/>
      <c r="AJ98" s="109"/>
      <c r="AK98" s="109"/>
      <c r="AL98" s="111"/>
      <c r="AM98" s="109"/>
      <c r="AN98" s="111"/>
      <c r="AO98" s="111"/>
      <c r="AP98" s="111"/>
    </row>
    <row r="99" spans="5:42" x14ac:dyDescent="0.25">
      <c r="E99" s="109"/>
      <c r="F99" s="109"/>
      <c r="G99" s="109"/>
      <c r="H99" s="109"/>
      <c r="I99" s="109"/>
      <c r="J99" s="109"/>
      <c r="K99" s="113"/>
      <c r="L99" s="112"/>
      <c r="M99" s="112"/>
      <c r="O99" s="108"/>
      <c r="P99" s="110"/>
      <c r="Q99" s="109"/>
      <c r="R99" s="111"/>
      <c r="S99" s="109"/>
      <c r="T99" s="109"/>
      <c r="U99" s="109"/>
      <c r="V99" s="109"/>
      <c r="W99" s="126"/>
      <c r="X99" s="126"/>
      <c r="Y99" s="125"/>
      <c r="Z99" s="124"/>
      <c r="AA99" s="123"/>
      <c r="AB99" s="122"/>
      <c r="AC99" s="119"/>
      <c r="AD99" s="119"/>
      <c r="AE99" s="119"/>
      <c r="AF99" s="121"/>
      <c r="AI99" s="72" t="s">
        <v>447</v>
      </c>
      <c r="AJ99" s="111"/>
      <c r="AK99" s="111"/>
      <c r="AL99" s="111"/>
      <c r="AM99" s="111"/>
      <c r="AN99" s="111"/>
      <c r="AO99" s="111"/>
      <c r="AP99" s="111"/>
    </row>
    <row r="100" spans="5:42" x14ac:dyDescent="0.25">
      <c r="E100" s="109"/>
      <c r="F100" s="109"/>
      <c r="G100" s="109"/>
      <c r="H100" s="109"/>
      <c r="I100" s="109"/>
      <c r="J100" s="109"/>
      <c r="K100" s="113"/>
      <c r="L100" s="112"/>
      <c r="M100" s="112"/>
      <c r="O100" s="108"/>
      <c r="P100" s="110"/>
      <c r="Q100" s="109"/>
      <c r="R100" s="111"/>
      <c r="S100" s="114"/>
      <c r="T100" s="119"/>
      <c r="U100" s="119"/>
      <c r="V100" s="119"/>
      <c r="W100" s="119"/>
      <c r="X100" s="119"/>
      <c r="Y100" s="118"/>
      <c r="Z100" s="117"/>
      <c r="AA100" s="116"/>
      <c r="AB100" s="115"/>
      <c r="AC100" s="109"/>
      <c r="AD100" s="109"/>
      <c r="AE100" s="109"/>
      <c r="AI100" s="72" t="s">
        <v>446</v>
      </c>
      <c r="AJ100" s="109"/>
      <c r="AK100" s="109"/>
      <c r="AL100" s="109"/>
      <c r="AM100" s="109"/>
      <c r="AN100" s="109"/>
      <c r="AO100" s="109"/>
      <c r="AP100" s="109"/>
    </row>
    <row r="101" spans="5:42" x14ac:dyDescent="0.25">
      <c r="E101" s="109"/>
      <c r="F101" s="109"/>
      <c r="G101" s="109"/>
      <c r="H101" s="109"/>
      <c r="I101" s="109"/>
      <c r="J101" s="109"/>
      <c r="K101" s="113"/>
      <c r="L101" s="112"/>
      <c r="M101" s="112"/>
      <c r="O101" s="108"/>
      <c r="P101" s="110"/>
      <c r="Q101" s="109"/>
      <c r="R101" s="114"/>
      <c r="S101" s="119"/>
      <c r="T101" s="119"/>
      <c r="U101" s="119"/>
      <c r="V101" s="119"/>
      <c r="W101" s="119"/>
      <c r="X101" s="119"/>
      <c r="Y101" s="118"/>
      <c r="Z101" s="117"/>
      <c r="AA101" s="116"/>
      <c r="AB101" s="115"/>
      <c r="AC101" s="109"/>
      <c r="AD101" s="109"/>
      <c r="AE101" s="109"/>
      <c r="AI101" s="72" t="s">
        <v>445</v>
      </c>
      <c r="AJ101" s="109"/>
      <c r="AK101" s="109"/>
      <c r="AL101" s="109"/>
      <c r="AM101" s="109"/>
      <c r="AN101" s="109"/>
      <c r="AO101" s="109"/>
      <c r="AP101" s="109"/>
    </row>
    <row r="102" spans="5:42" x14ac:dyDescent="0.25">
      <c r="E102" s="109"/>
      <c r="F102" s="109"/>
      <c r="G102" s="109"/>
      <c r="H102" s="114"/>
      <c r="I102" s="114"/>
      <c r="J102" s="119"/>
      <c r="K102" s="133"/>
      <c r="L102" s="118"/>
      <c r="M102" s="118"/>
      <c r="N102" s="120"/>
      <c r="O102" s="120"/>
      <c r="P102" s="118"/>
      <c r="Q102" s="119"/>
      <c r="R102" s="114"/>
      <c r="S102" s="119"/>
      <c r="T102" s="119"/>
      <c r="U102" s="119"/>
      <c r="V102" s="119"/>
      <c r="W102" s="119"/>
      <c r="X102" s="119"/>
      <c r="Y102" s="118"/>
      <c r="Z102" s="117"/>
      <c r="AA102" s="116"/>
      <c r="AB102" s="115"/>
      <c r="AC102" s="109"/>
      <c r="AD102" s="109"/>
      <c r="AE102" s="109"/>
      <c r="AJ102" s="109"/>
      <c r="AK102" s="109"/>
      <c r="AL102" s="109"/>
      <c r="AM102" s="109"/>
      <c r="AN102" s="109"/>
      <c r="AO102" s="109"/>
      <c r="AP102" s="109"/>
    </row>
    <row r="103" spans="5:42" x14ac:dyDescent="0.25">
      <c r="E103" s="109"/>
      <c r="F103" s="109"/>
      <c r="G103" s="109"/>
      <c r="H103" s="109"/>
      <c r="I103" s="109"/>
      <c r="J103" s="109"/>
      <c r="K103" s="113"/>
      <c r="L103" s="112"/>
      <c r="M103" s="112"/>
      <c r="O103" s="108"/>
      <c r="P103" s="110"/>
      <c r="Q103" s="109"/>
      <c r="R103" s="111"/>
      <c r="S103" s="109"/>
      <c r="T103" s="109"/>
      <c r="U103" s="109"/>
      <c r="V103" s="109"/>
      <c r="W103" s="109"/>
      <c r="X103" s="109"/>
      <c r="Y103" s="110"/>
      <c r="AA103" s="114" t="s">
        <v>444</v>
      </c>
      <c r="AB103" s="113"/>
      <c r="AC103" s="109"/>
      <c r="AD103" s="109"/>
      <c r="AE103" s="109"/>
      <c r="AJ103" s="109"/>
      <c r="AK103" s="109"/>
      <c r="AL103" s="109"/>
      <c r="AM103" s="109"/>
      <c r="AN103" s="109"/>
      <c r="AO103" s="109"/>
      <c r="AP103" s="109"/>
    </row>
    <row r="104" spans="5:42" x14ac:dyDescent="0.25">
      <c r="E104" s="109"/>
      <c r="F104" s="109"/>
      <c r="G104" s="109"/>
      <c r="H104" s="109"/>
      <c r="I104" s="109"/>
      <c r="J104" s="109"/>
      <c r="K104" s="113"/>
      <c r="L104" s="112"/>
      <c r="M104" s="112"/>
      <c r="O104" s="108"/>
      <c r="P104" s="110"/>
      <c r="Q104" s="109"/>
      <c r="R104" s="111"/>
      <c r="S104" s="109"/>
      <c r="T104" s="109"/>
      <c r="U104" s="109"/>
      <c r="V104" s="109"/>
      <c r="W104" s="109"/>
      <c r="X104" s="109"/>
      <c r="Y104" s="110"/>
      <c r="AC104" s="109"/>
      <c r="AD104" s="109"/>
      <c r="AE104" s="109"/>
      <c r="AJ104" s="109"/>
      <c r="AK104" s="109"/>
      <c r="AL104" s="109"/>
      <c r="AM104" s="109"/>
      <c r="AN104" s="109"/>
      <c r="AO104" s="109"/>
      <c r="AP104" s="109"/>
    </row>
    <row r="105" spans="5:42" x14ac:dyDescent="0.25">
      <c r="E105" s="109"/>
      <c r="F105" s="109"/>
      <c r="G105" s="109"/>
      <c r="H105" s="109"/>
      <c r="I105" s="109"/>
      <c r="J105" s="109"/>
      <c r="K105" s="113"/>
      <c r="L105" s="112"/>
      <c r="M105" s="112"/>
      <c r="O105" s="108"/>
      <c r="P105" s="110"/>
      <c r="Q105" s="109"/>
      <c r="R105" s="111"/>
      <c r="S105" s="109"/>
      <c r="T105" s="109"/>
      <c r="U105" s="109"/>
      <c r="V105" s="109"/>
      <c r="W105" s="109"/>
      <c r="X105" s="109"/>
      <c r="Y105" s="110"/>
      <c r="AC105" s="109"/>
      <c r="AD105" s="109"/>
      <c r="AE105" s="109"/>
      <c r="AJ105" s="109"/>
      <c r="AK105" s="109"/>
      <c r="AL105" s="109"/>
      <c r="AM105" s="109"/>
      <c r="AN105" s="109"/>
      <c r="AO105" s="109"/>
      <c r="AP105" s="109"/>
    </row>
    <row r="106" spans="5:42" x14ac:dyDescent="0.25">
      <c r="Y106" s="108"/>
    </row>
    <row r="107" spans="5:42" x14ac:dyDescent="0.25">
      <c r="Y107" s="108"/>
    </row>
    <row r="108" spans="5:42" x14ac:dyDescent="0.25">
      <c r="Y108" s="108"/>
    </row>
    <row r="109" spans="5:42" x14ac:dyDescent="0.25">
      <c r="Y109" s="108"/>
    </row>
    <row r="110" spans="5:42" x14ac:dyDescent="0.25">
      <c r="Y110" s="108"/>
    </row>
    <row r="111" spans="5:42" x14ac:dyDescent="0.25">
      <c r="Y111" s="108"/>
    </row>
    <row r="112" spans="5:42" x14ac:dyDescent="0.25">
      <c r="Y112" s="108"/>
    </row>
    <row r="113" spans="25:25" x14ac:dyDescent="0.25">
      <c r="Y113" s="108"/>
    </row>
    <row r="114" spans="25:25" x14ac:dyDescent="0.25">
      <c r="Y114" s="108"/>
    </row>
    <row r="115" spans="25:25" x14ac:dyDescent="0.25">
      <c r="Y115" s="108"/>
    </row>
    <row r="116" spans="25:25" x14ac:dyDescent="0.25">
      <c r="Y116" s="10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68725-F69C-4760-8D4C-8AF231B8DC0B}">
  <sheetPr codeName="Sheet34">
    <tabColor theme="9"/>
  </sheetPr>
  <dimension ref="C1:AT116"/>
  <sheetViews>
    <sheetView zoomScale="70" zoomScaleNormal="70" workbookViewId="0">
      <pane xSplit="4" ySplit="3" topLeftCell="E44" activePane="bottomRight" state="frozen"/>
      <selection activeCell="W2" sqref="W2"/>
      <selection pane="topRight" activeCell="W2" sqref="W2"/>
      <selection pane="bottomLeft" activeCell="W2" sqref="W2"/>
      <selection pane="bottomRight" activeCell="AI12" sqref="AI12"/>
    </sheetView>
  </sheetViews>
  <sheetFormatPr defaultRowHeight="15" x14ac:dyDescent="0.25"/>
  <cols>
    <col min="1" max="1" width="9.140625" style="72"/>
    <col min="2" max="2" width="9.140625" style="72" customWidth="1"/>
    <col min="3" max="3" width="20.7109375" style="72" customWidth="1"/>
    <col min="4" max="4" width="3.85546875" style="72" customWidth="1"/>
    <col min="5" max="10" width="3.5703125" style="72" customWidth="1"/>
    <col min="11" max="13" width="4" style="72" customWidth="1"/>
    <col min="14" max="14" width="4.5703125" style="72" customWidth="1"/>
    <col min="15" max="15" width="23.140625" style="72" customWidth="1"/>
    <col min="16" max="16" width="4" style="72" customWidth="1"/>
    <col min="17" max="25" width="3.5703125" style="72" customWidth="1"/>
    <col min="26" max="26" width="3.85546875" style="72" customWidth="1"/>
    <col min="27" max="27" width="25.42578125" style="72" customWidth="1"/>
    <col min="28" max="28" width="3.85546875" style="72" customWidth="1"/>
    <col min="29" max="31" width="3.5703125" style="72" customWidth="1"/>
    <col min="32" max="32" width="3.7109375" style="72" customWidth="1"/>
    <col min="33" max="33" width="3.85546875" style="72" customWidth="1"/>
    <col min="34" max="34" width="4" style="72" customWidth="1"/>
    <col min="35" max="35" width="25.5703125" style="72" customWidth="1"/>
    <col min="36" max="42" width="3.5703125" style="72" customWidth="1"/>
    <col min="43" max="16384" width="9.140625" style="72"/>
  </cols>
  <sheetData>
    <row r="1" spans="3:46" x14ac:dyDescent="0.25">
      <c r="D1" s="72" t="s">
        <v>509</v>
      </c>
      <c r="P1" s="72" t="s">
        <v>508</v>
      </c>
      <c r="AC1" s="72" t="s">
        <v>507</v>
      </c>
      <c r="AJ1" s="206" t="s">
        <v>664</v>
      </c>
    </row>
    <row r="2" spans="3:46" ht="84" customHeight="1" x14ac:dyDescent="0.25">
      <c r="C2" s="112"/>
      <c r="E2" s="161" t="s">
        <v>506</v>
      </c>
      <c r="F2" s="161" t="s">
        <v>505</v>
      </c>
      <c r="G2" s="342" t="s">
        <v>968</v>
      </c>
      <c r="H2" s="204" t="s">
        <v>675</v>
      </c>
      <c r="I2" s="161" t="s">
        <v>504</v>
      </c>
      <c r="J2" s="161" t="s">
        <v>503</v>
      </c>
      <c r="K2" s="162"/>
      <c r="L2" s="163"/>
      <c r="M2" s="163"/>
      <c r="N2" s="163"/>
      <c r="O2" s="112"/>
      <c r="Q2" s="204" t="s">
        <v>666</v>
      </c>
      <c r="R2" s="325" t="s">
        <v>943</v>
      </c>
      <c r="S2" s="299" t="s">
        <v>876</v>
      </c>
      <c r="T2" s="161" t="s">
        <v>501</v>
      </c>
      <c r="U2" s="161" t="s">
        <v>500</v>
      </c>
      <c r="V2" s="161" t="s">
        <v>499</v>
      </c>
      <c r="W2" s="325" t="s">
        <v>937</v>
      </c>
      <c r="X2" s="325" t="s">
        <v>938</v>
      </c>
      <c r="Y2" s="162"/>
      <c r="AA2" s="112"/>
      <c r="AB2" s="112"/>
      <c r="AC2" s="161" t="s">
        <v>497</v>
      </c>
      <c r="AD2" s="161" t="s">
        <v>498</v>
      </c>
      <c r="AE2" s="161" t="s">
        <v>133</v>
      </c>
      <c r="AJ2" s="161" t="s">
        <v>602</v>
      </c>
      <c r="AK2" s="161" t="s">
        <v>601</v>
      </c>
      <c r="AL2" s="325" t="s">
        <v>941</v>
      </c>
      <c r="AM2" s="204" t="s">
        <v>483</v>
      </c>
      <c r="AN2" s="161" t="s">
        <v>496</v>
      </c>
      <c r="AO2" s="299" t="s">
        <v>502</v>
      </c>
      <c r="AP2" s="325" t="s">
        <v>940</v>
      </c>
    </row>
    <row r="3" spans="3:46" ht="97.5" customHeight="1" x14ac:dyDescent="0.25">
      <c r="C3" s="112" t="s">
        <v>495</v>
      </c>
      <c r="E3" s="161" t="s">
        <v>482</v>
      </c>
      <c r="F3" s="325" t="s">
        <v>935</v>
      </c>
      <c r="G3" s="342" t="s">
        <v>967</v>
      </c>
      <c r="H3" s="204" t="s">
        <v>674</v>
      </c>
      <c r="I3" s="161" t="s">
        <v>474</v>
      </c>
      <c r="J3" s="161" t="s">
        <v>470</v>
      </c>
      <c r="K3" s="162"/>
      <c r="L3" s="163"/>
      <c r="M3" s="163"/>
      <c r="N3" s="163"/>
      <c r="O3" s="112" t="s">
        <v>493</v>
      </c>
      <c r="Q3" s="161" t="s">
        <v>492</v>
      </c>
      <c r="R3" s="325" t="s">
        <v>942</v>
      </c>
      <c r="S3" s="299" t="s">
        <v>875</v>
      </c>
      <c r="T3" s="161" t="s">
        <v>490</v>
      </c>
      <c r="U3" s="161" t="s">
        <v>489</v>
      </c>
      <c r="V3" s="274" t="s">
        <v>767</v>
      </c>
      <c r="W3" s="351" t="s">
        <v>987</v>
      </c>
      <c r="X3" s="325" t="s">
        <v>898</v>
      </c>
      <c r="Y3" s="162"/>
      <c r="AA3" s="112" t="s">
        <v>488</v>
      </c>
      <c r="AB3" s="112"/>
      <c r="AC3" s="161" t="s">
        <v>486</v>
      </c>
      <c r="AD3" s="161" t="s">
        <v>487</v>
      </c>
      <c r="AE3" s="161" t="s">
        <v>134</v>
      </c>
      <c r="AJ3" s="161" t="s">
        <v>599</v>
      </c>
      <c r="AK3" s="161" t="s">
        <v>600</v>
      </c>
      <c r="AL3" s="204" t="s">
        <v>665</v>
      </c>
      <c r="AM3" s="204" t="s">
        <v>620</v>
      </c>
      <c r="AN3" s="161" t="s">
        <v>464</v>
      </c>
      <c r="AO3" s="325" t="s">
        <v>939</v>
      </c>
      <c r="AP3" s="351" t="s">
        <v>986</v>
      </c>
    </row>
    <row r="4" spans="3:46" x14ac:dyDescent="0.25">
      <c r="E4" s="109"/>
      <c r="F4" s="109"/>
      <c r="G4" s="109"/>
      <c r="H4" s="109"/>
      <c r="I4" s="109"/>
      <c r="J4" s="109"/>
      <c r="K4" s="113"/>
      <c r="L4" s="112"/>
      <c r="M4" s="112"/>
      <c r="N4" s="112"/>
      <c r="Q4" s="109"/>
      <c r="R4" s="109"/>
      <c r="S4" s="109"/>
      <c r="T4" s="109"/>
      <c r="U4" s="109"/>
      <c r="V4" s="109"/>
      <c r="W4" s="109"/>
      <c r="X4" s="109"/>
      <c r="Y4" s="110"/>
      <c r="AC4" s="109"/>
      <c r="AD4" s="109"/>
      <c r="AE4" s="109"/>
      <c r="AJ4" s="109"/>
      <c r="AK4" s="109"/>
      <c r="AL4" s="109"/>
      <c r="AM4" s="109"/>
      <c r="AN4" s="109"/>
      <c r="AO4" s="109"/>
      <c r="AP4" s="109"/>
    </row>
    <row r="5" spans="3:46" x14ac:dyDescent="0.25">
      <c r="D5" s="112"/>
      <c r="E5" s="109"/>
      <c r="F5" s="109"/>
      <c r="G5" s="114"/>
      <c r="H5" s="114"/>
      <c r="I5" s="114"/>
      <c r="J5" s="119"/>
      <c r="K5" s="133"/>
      <c r="L5" s="118"/>
      <c r="M5" s="118"/>
      <c r="N5" s="119"/>
      <c r="O5" s="139" t="s">
        <v>485</v>
      </c>
      <c r="P5" s="133"/>
      <c r="Q5" s="119"/>
      <c r="R5" s="140"/>
      <c r="S5" s="140"/>
      <c r="T5" s="140"/>
      <c r="U5" s="140"/>
      <c r="V5" s="140"/>
      <c r="W5" s="140"/>
      <c r="X5" s="140"/>
      <c r="Y5" s="108"/>
      <c r="AA5" s="112"/>
      <c r="AB5" s="112"/>
      <c r="AC5" s="109"/>
      <c r="AD5" s="114"/>
      <c r="AE5" s="114"/>
      <c r="AF5" s="120"/>
      <c r="AG5" s="120"/>
      <c r="AH5" s="117"/>
      <c r="AI5" s="137" t="s">
        <v>484</v>
      </c>
      <c r="AJ5" s="114"/>
      <c r="AK5" s="114"/>
      <c r="AL5" s="114"/>
      <c r="AM5" s="114"/>
      <c r="AN5" s="109"/>
      <c r="AO5" s="109"/>
      <c r="AP5" s="109"/>
      <c r="AT5" s="160"/>
    </row>
    <row r="6" spans="3:46" x14ac:dyDescent="0.25">
      <c r="C6" s="112"/>
      <c r="D6" s="112"/>
      <c r="E6" s="109"/>
      <c r="F6" s="109"/>
      <c r="G6" s="109"/>
      <c r="H6" s="109"/>
      <c r="I6" s="109"/>
      <c r="J6" s="109"/>
      <c r="K6" s="132"/>
      <c r="L6" s="144"/>
      <c r="M6" s="125"/>
      <c r="N6" s="152"/>
      <c r="O6" s="159"/>
      <c r="P6" s="133"/>
      <c r="Q6" s="119"/>
      <c r="R6" s="114"/>
      <c r="S6" s="109"/>
      <c r="T6" s="109"/>
      <c r="U6" s="114"/>
      <c r="V6" s="114"/>
      <c r="W6" s="119"/>
      <c r="X6" s="119"/>
      <c r="Y6" s="118"/>
      <c r="Z6" s="120"/>
      <c r="AA6" s="120"/>
      <c r="AB6" s="120"/>
      <c r="AC6" s="109"/>
      <c r="AD6" s="109"/>
      <c r="AE6" s="109"/>
      <c r="AI6" s="210" t="s">
        <v>718</v>
      </c>
      <c r="AJ6" s="109"/>
      <c r="AK6" s="109"/>
      <c r="AL6" s="109"/>
      <c r="AM6" s="109"/>
      <c r="AN6" s="109"/>
      <c r="AO6" s="109"/>
      <c r="AP6" s="109"/>
      <c r="AT6" s="156"/>
    </row>
    <row r="7" spans="3:46" x14ac:dyDescent="0.25">
      <c r="C7" s="139" t="s">
        <v>670</v>
      </c>
      <c r="D7" s="133"/>
      <c r="E7" s="119"/>
      <c r="F7" s="109"/>
      <c r="G7" s="109"/>
      <c r="H7" s="109"/>
      <c r="I7" s="109"/>
      <c r="J7" s="109"/>
      <c r="K7" s="113"/>
      <c r="L7" s="112"/>
      <c r="M7" s="132"/>
      <c r="N7" s="152"/>
      <c r="O7" s="116"/>
      <c r="R7" s="129"/>
      <c r="S7" s="109"/>
      <c r="T7" s="109"/>
      <c r="U7" s="109"/>
      <c r="V7" s="109"/>
      <c r="W7" s="109"/>
      <c r="X7" s="109"/>
      <c r="Y7" s="110"/>
      <c r="AB7" s="140"/>
      <c r="AC7" s="109"/>
      <c r="AD7" s="109"/>
      <c r="AE7" s="109"/>
      <c r="AJ7" s="109"/>
      <c r="AK7" s="109"/>
      <c r="AL7" s="109"/>
      <c r="AM7" s="109"/>
      <c r="AN7" s="109"/>
      <c r="AO7" s="109"/>
      <c r="AP7" s="109"/>
      <c r="AT7" s="158"/>
    </row>
    <row r="8" spans="3:46" x14ac:dyDescent="0.25">
      <c r="C8" s="114" t="str">
        <f>"X"&amp;$E$2</f>
        <v>XINDCOA</v>
      </c>
      <c r="D8" s="112"/>
      <c r="E8" s="109"/>
      <c r="F8" s="109"/>
      <c r="G8" s="109"/>
      <c r="H8" s="109"/>
      <c r="I8" s="109"/>
      <c r="J8" s="109"/>
      <c r="K8" s="113"/>
      <c r="L8" s="112"/>
      <c r="M8" s="113"/>
      <c r="N8" s="132"/>
      <c r="O8" s="114" t="s">
        <v>481</v>
      </c>
      <c r="P8" s="112"/>
      <c r="Q8" s="110"/>
      <c r="R8" s="116"/>
      <c r="S8" s="109"/>
      <c r="T8" s="109"/>
      <c r="U8" s="109"/>
      <c r="V8" s="114"/>
      <c r="W8" s="119"/>
      <c r="X8" s="119"/>
      <c r="Y8" s="118"/>
      <c r="Z8" s="117"/>
      <c r="AA8" s="139" t="s">
        <v>463</v>
      </c>
      <c r="AB8" s="138"/>
      <c r="AC8" s="109"/>
      <c r="AD8" s="114"/>
      <c r="AE8" s="114"/>
      <c r="AF8" s="120"/>
      <c r="AG8" s="120"/>
      <c r="AH8" s="117"/>
      <c r="AI8" s="137" t="s">
        <v>480</v>
      </c>
      <c r="AJ8" s="114"/>
      <c r="AK8" s="109"/>
      <c r="AL8" s="109"/>
      <c r="AM8" s="109"/>
      <c r="AN8" s="109"/>
      <c r="AO8" s="109"/>
      <c r="AP8" s="109"/>
      <c r="AT8" s="154"/>
    </row>
    <row r="9" spans="3:46" x14ac:dyDescent="0.25">
      <c r="C9" s="112"/>
      <c r="D9" s="112"/>
      <c r="E9" s="109"/>
      <c r="F9" s="109"/>
      <c r="G9" s="109"/>
      <c r="H9" s="109"/>
      <c r="I9" s="109"/>
      <c r="J9" s="109"/>
      <c r="K9" s="113"/>
      <c r="L9" s="112"/>
      <c r="M9" s="113"/>
      <c r="N9" s="133"/>
      <c r="O9" s="120"/>
      <c r="P9" s="118"/>
      <c r="Q9" s="119"/>
      <c r="R9" s="121"/>
      <c r="S9" s="119"/>
      <c r="T9" s="119"/>
      <c r="U9" s="109"/>
      <c r="V9" s="109"/>
      <c r="W9" s="109"/>
      <c r="X9" s="109"/>
      <c r="Y9" s="110"/>
      <c r="AA9" s="114" t="str">
        <f>"X"&amp;$T$2</f>
        <v>XISIELC</v>
      </c>
      <c r="AB9" s="113"/>
      <c r="AC9" s="109"/>
      <c r="AD9" s="109"/>
      <c r="AE9" s="109"/>
      <c r="AI9" s="114" t="s">
        <v>479</v>
      </c>
      <c r="AJ9" s="109"/>
      <c r="AK9" s="109"/>
      <c r="AL9" s="109"/>
      <c r="AM9" s="109"/>
      <c r="AN9" s="109"/>
      <c r="AO9" s="109"/>
      <c r="AP9" s="109"/>
      <c r="AT9" s="157"/>
    </row>
    <row r="10" spans="3:46" x14ac:dyDescent="0.25">
      <c r="C10" s="112"/>
      <c r="D10" s="112"/>
      <c r="E10" s="109"/>
      <c r="F10" s="109"/>
      <c r="G10" s="109"/>
      <c r="H10" s="109"/>
      <c r="I10" s="109"/>
      <c r="J10" s="109"/>
      <c r="K10" s="113"/>
      <c r="L10" s="112"/>
      <c r="M10" s="133"/>
      <c r="N10" s="118"/>
      <c r="O10" s="120"/>
      <c r="P10" s="118"/>
      <c r="Q10" s="119"/>
      <c r="R10" s="121"/>
      <c r="S10" s="119"/>
      <c r="T10" s="119"/>
      <c r="U10" s="119"/>
      <c r="V10" s="119"/>
      <c r="W10" s="109"/>
      <c r="X10" s="109"/>
      <c r="Y10" s="110"/>
      <c r="AC10" s="109"/>
      <c r="AD10" s="109"/>
      <c r="AE10" s="109"/>
      <c r="AJ10" s="109"/>
      <c r="AK10" s="109"/>
      <c r="AL10" s="109"/>
      <c r="AM10" s="109"/>
      <c r="AN10" s="109"/>
      <c r="AO10" s="109"/>
      <c r="AP10" s="109"/>
    </row>
    <row r="11" spans="3:46" x14ac:dyDescent="0.25">
      <c r="C11" s="139" t="s">
        <v>936</v>
      </c>
      <c r="D11" s="133"/>
      <c r="E11" s="119"/>
      <c r="F11" s="114"/>
      <c r="G11" s="109"/>
      <c r="H11" s="109"/>
      <c r="I11" s="109"/>
      <c r="J11" s="109"/>
      <c r="K11" s="113"/>
      <c r="L11" s="112"/>
      <c r="M11" s="112"/>
      <c r="N11" s="112"/>
      <c r="P11" s="112"/>
      <c r="Q11" s="109"/>
      <c r="R11" s="116"/>
      <c r="S11" s="109"/>
      <c r="T11" s="109"/>
      <c r="U11" s="109"/>
      <c r="V11" s="109"/>
      <c r="W11" s="109"/>
      <c r="X11" s="109"/>
      <c r="Y11" s="110"/>
      <c r="AC11" s="109"/>
      <c r="AD11" s="109"/>
      <c r="AE11" s="109"/>
      <c r="AJ11" s="109"/>
      <c r="AK11" s="109"/>
      <c r="AL11" s="109"/>
      <c r="AM11" s="109"/>
      <c r="AN11" s="109"/>
      <c r="AO11" s="109"/>
      <c r="AP11" s="109"/>
    </row>
    <row r="12" spans="3:46" x14ac:dyDescent="0.25">
      <c r="C12" s="114" t="str">
        <f>"X"&amp;$F$2</f>
        <v>XBSC</v>
      </c>
      <c r="D12" s="112"/>
      <c r="E12" s="109"/>
      <c r="F12" s="109"/>
      <c r="G12" s="109"/>
      <c r="H12" s="109"/>
      <c r="I12" s="109"/>
      <c r="J12" s="109"/>
      <c r="K12" s="113"/>
      <c r="L12" s="112"/>
      <c r="M12" s="112"/>
      <c r="N12" s="112"/>
      <c r="P12" s="112"/>
      <c r="Q12" s="109"/>
      <c r="R12" s="111"/>
      <c r="S12" s="109"/>
      <c r="T12" s="109"/>
      <c r="U12" s="109"/>
      <c r="V12" s="109"/>
      <c r="W12" s="109"/>
      <c r="X12" s="109"/>
      <c r="Y12" s="110"/>
      <c r="AC12" s="109"/>
      <c r="AD12" s="109"/>
      <c r="AE12" s="109"/>
      <c r="AJ12" s="109"/>
      <c r="AK12" s="109"/>
      <c r="AL12" s="109"/>
      <c r="AM12" s="109"/>
      <c r="AN12" s="109"/>
      <c r="AO12" s="109"/>
      <c r="AP12" s="109"/>
    </row>
    <row r="13" spans="3:46" x14ac:dyDescent="0.25">
      <c r="C13" s="112"/>
      <c r="D13" s="112"/>
      <c r="E13" s="109"/>
      <c r="F13" s="109"/>
      <c r="G13" s="109"/>
      <c r="H13" s="109"/>
      <c r="I13" s="109"/>
      <c r="J13" s="109"/>
      <c r="K13" s="113"/>
      <c r="L13" s="112"/>
      <c r="M13" s="112"/>
      <c r="N13" s="112"/>
      <c r="P13" s="112"/>
      <c r="Q13" s="109"/>
      <c r="R13" s="111"/>
      <c r="S13" s="109"/>
      <c r="T13" s="109"/>
      <c r="U13" s="109"/>
      <c r="V13" s="109"/>
      <c r="W13" s="109"/>
      <c r="X13" s="109"/>
      <c r="Y13" s="110"/>
      <c r="AC13" s="109"/>
      <c r="AD13" s="109"/>
      <c r="AE13" s="109"/>
      <c r="AJ13" s="109"/>
      <c r="AK13" s="109"/>
      <c r="AL13" s="109"/>
      <c r="AM13" s="109"/>
      <c r="AN13" s="109"/>
      <c r="AO13" s="109"/>
      <c r="AP13" s="109"/>
      <c r="AS13" s="79"/>
    </row>
    <row r="14" spans="3:46" x14ac:dyDescent="0.25">
      <c r="C14" s="112"/>
      <c r="D14" s="112"/>
      <c r="E14" s="109"/>
      <c r="F14" s="109"/>
      <c r="G14" s="109"/>
      <c r="H14" s="109"/>
      <c r="I14" s="109"/>
      <c r="J14" s="109"/>
      <c r="K14" s="113"/>
      <c r="L14" s="112"/>
      <c r="M14" s="112"/>
      <c r="N14" s="112"/>
      <c r="P14" s="112"/>
      <c r="Q14" s="109"/>
      <c r="R14" s="111"/>
      <c r="S14" s="109"/>
      <c r="T14" s="109"/>
      <c r="U14" s="114"/>
      <c r="V14" s="109"/>
      <c r="W14" s="145"/>
      <c r="X14" s="145"/>
      <c r="Y14" s="144"/>
      <c r="Z14" s="131"/>
      <c r="AA14" s="131"/>
      <c r="AB14" s="131"/>
      <c r="AC14" s="130"/>
      <c r="AD14" s="130"/>
      <c r="AE14" s="130"/>
      <c r="AF14" s="131"/>
      <c r="AG14" s="155"/>
      <c r="AJ14" s="109"/>
      <c r="AK14" s="109"/>
      <c r="AL14" s="109"/>
      <c r="AM14" s="109"/>
      <c r="AN14" s="109"/>
      <c r="AO14" s="109"/>
      <c r="AP14" s="109"/>
    </row>
    <row r="15" spans="3:46" x14ac:dyDescent="0.25">
      <c r="C15" s="139" t="s">
        <v>969</v>
      </c>
      <c r="D15" s="133"/>
      <c r="E15" s="119"/>
      <c r="F15" s="119"/>
      <c r="G15" s="119"/>
      <c r="H15" s="119"/>
      <c r="I15" s="109"/>
      <c r="J15" s="109"/>
      <c r="K15" s="113"/>
      <c r="L15" s="112"/>
      <c r="M15" s="112"/>
      <c r="N15" s="112"/>
      <c r="P15" s="112"/>
      <c r="Q15" s="109"/>
      <c r="R15" s="111"/>
      <c r="S15" s="109"/>
      <c r="T15" s="109"/>
      <c r="U15" s="109"/>
      <c r="V15" s="145"/>
      <c r="W15" s="130"/>
      <c r="X15" s="130"/>
      <c r="Y15" s="144"/>
      <c r="Z15" s="131"/>
      <c r="AA15" s="131"/>
      <c r="AB15" s="131"/>
      <c r="AC15" s="130"/>
      <c r="AD15" s="130"/>
      <c r="AE15" s="130"/>
      <c r="AF15" s="129"/>
      <c r="AG15" s="140"/>
      <c r="AJ15" s="109"/>
      <c r="AK15" s="109"/>
      <c r="AL15" s="109"/>
      <c r="AM15" s="109"/>
      <c r="AN15" s="109"/>
      <c r="AO15" s="109"/>
      <c r="AP15" s="109"/>
    </row>
    <row r="16" spans="3:46" x14ac:dyDescent="0.25">
      <c r="C16" s="114" t="str">
        <f>"X"&amp;$G$2</f>
        <v>XBCL</v>
      </c>
      <c r="D16" s="112"/>
      <c r="E16" s="109"/>
      <c r="F16" s="109"/>
      <c r="G16" s="109"/>
      <c r="H16" s="109"/>
      <c r="I16" s="109"/>
      <c r="J16" s="109"/>
      <c r="K16" s="113"/>
      <c r="L16" s="112"/>
      <c r="M16" s="112"/>
      <c r="N16" s="112"/>
      <c r="P16" s="112"/>
      <c r="Q16" s="109"/>
      <c r="R16" s="111"/>
      <c r="S16" s="109"/>
      <c r="T16" s="109"/>
      <c r="U16" s="109"/>
      <c r="V16" s="109"/>
      <c r="W16" s="109"/>
      <c r="X16" s="109"/>
      <c r="Y16" s="110"/>
      <c r="AA16" s="137" t="s">
        <v>476</v>
      </c>
      <c r="AB16" s="122"/>
      <c r="AC16" s="119"/>
      <c r="AD16" s="119"/>
      <c r="AE16" s="119"/>
      <c r="AF16" s="117"/>
      <c r="AG16" s="140"/>
      <c r="AJ16" s="109"/>
      <c r="AK16" s="109"/>
      <c r="AL16" s="109"/>
      <c r="AM16" s="109"/>
      <c r="AN16" s="109"/>
      <c r="AO16" s="109"/>
      <c r="AP16" s="109"/>
    </row>
    <row r="17" spans="3:45" x14ac:dyDescent="0.25">
      <c r="C17" s="112"/>
      <c r="D17" s="112"/>
      <c r="E17" s="109"/>
      <c r="F17" s="114"/>
      <c r="G17" s="119"/>
      <c r="H17" s="119"/>
      <c r="I17" s="119"/>
      <c r="J17" s="119"/>
      <c r="K17" s="133"/>
      <c r="L17" s="118"/>
      <c r="M17" s="118"/>
      <c r="N17" s="118"/>
      <c r="O17" s="120"/>
      <c r="P17" s="118"/>
      <c r="Q17" s="119"/>
      <c r="R17" s="126"/>
      <c r="S17" s="152"/>
      <c r="T17" s="152"/>
      <c r="U17" s="152"/>
      <c r="V17" s="152"/>
      <c r="W17" s="152"/>
      <c r="X17" s="152"/>
      <c r="Y17" s="125"/>
      <c r="Z17" s="124"/>
      <c r="AA17" s="116"/>
      <c r="AB17" s="150"/>
      <c r="AC17" s="119"/>
      <c r="AD17" s="119"/>
      <c r="AE17" s="119"/>
      <c r="AF17" s="120"/>
      <c r="AG17" s="117"/>
      <c r="AJ17" s="109"/>
      <c r="AK17" s="109"/>
      <c r="AL17" s="109"/>
      <c r="AM17" s="109"/>
      <c r="AN17" s="109"/>
      <c r="AO17" s="109"/>
      <c r="AP17" s="109"/>
      <c r="AS17" s="79"/>
    </row>
    <row r="18" spans="3:45" x14ac:dyDescent="0.25">
      <c r="C18" s="112"/>
      <c r="D18" s="112"/>
      <c r="E18" s="109"/>
      <c r="F18" s="109"/>
      <c r="G18" s="145"/>
      <c r="H18" s="145"/>
      <c r="I18" s="126"/>
      <c r="J18" s="152"/>
      <c r="K18" s="327"/>
      <c r="L18" s="125"/>
      <c r="M18" s="125"/>
      <c r="N18" s="125"/>
      <c r="O18" s="153"/>
      <c r="P18" s="125"/>
      <c r="Q18" s="152"/>
      <c r="R18" s="126"/>
      <c r="S18" s="152"/>
      <c r="T18" s="152"/>
      <c r="U18" s="152"/>
      <c r="V18" s="152"/>
      <c r="W18" s="152"/>
      <c r="X18" s="152"/>
      <c r="Y18" s="125"/>
      <c r="Z18" s="124"/>
      <c r="AA18" s="116"/>
      <c r="AB18" s="115"/>
      <c r="AC18" s="109"/>
      <c r="AD18" s="109"/>
      <c r="AE18" s="109"/>
      <c r="AJ18" s="109"/>
      <c r="AK18" s="109"/>
      <c r="AL18" s="109"/>
      <c r="AM18" s="109"/>
      <c r="AN18" s="109"/>
      <c r="AO18" s="109"/>
      <c r="AP18" s="109"/>
      <c r="AS18" s="156"/>
    </row>
    <row r="19" spans="3:45" x14ac:dyDescent="0.25">
      <c r="C19" s="112"/>
      <c r="D19" s="112"/>
      <c r="E19" s="109"/>
      <c r="F19" s="109"/>
      <c r="G19" s="109"/>
      <c r="H19" s="109"/>
      <c r="I19" s="109"/>
      <c r="J19" s="109"/>
      <c r="K19" s="113"/>
      <c r="L19" s="112"/>
      <c r="M19" s="112"/>
      <c r="N19" s="112"/>
      <c r="P19" s="112"/>
      <c r="Q19" s="109"/>
      <c r="R19" s="111"/>
      <c r="S19" s="109"/>
      <c r="T19" s="109"/>
      <c r="U19" s="109"/>
      <c r="V19" s="109"/>
      <c r="W19" s="109"/>
      <c r="X19" s="109"/>
      <c r="Y19" s="110"/>
      <c r="AA19" s="114" t="s">
        <v>475</v>
      </c>
      <c r="AB19" s="113"/>
      <c r="AC19" s="109"/>
      <c r="AD19" s="109"/>
      <c r="AE19" s="109"/>
      <c r="AJ19" s="109"/>
      <c r="AK19" s="109"/>
      <c r="AL19" s="109"/>
      <c r="AM19" s="109"/>
      <c r="AN19" s="109"/>
      <c r="AO19" s="109"/>
      <c r="AP19" s="109"/>
      <c r="AS19" s="156"/>
    </row>
    <row r="20" spans="3:45" x14ac:dyDescent="0.25">
      <c r="C20" s="139" t="s">
        <v>676</v>
      </c>
      <c r="D20" s="133"/>
      <c r="E20" s="119"/>
      <c r="F20" s="119"/>
      <c r="G20" s="119"/>
      <c r="H20" s="119"/>
      <c r="I20" s="114"/>
      <c r="J20" s="109"/>
      <c r="K20" s="113"/>
      <c r="L20" s="112"/>
      <c r="M20" s="112"/>
      <c r="N20" s="112"/>
      <c r="P20" s="112"/>
      <c r="Q20" s="109"/>
      <c r="R20" s="114"/>
      <c r="S20" s="119"/>
      <c r="T20" s="119"/>
      <c r="U20" s="119"/>
      <c r="V20" s="119"/>
      <c r="W20" s="119"/>
      <c r="X20" s="119"/>
      <c r="Y20" s="118"/>
      <c r="Z20" s="120"/>
      <c r="AA20" s="120"/>
      <c r="AB20" s="120"/>
      <c r="AC20" s="119"/>
      <c r="AD20" s="119"/>
      <c r="AE20" s="119"/>
      <c r="AF20" s="120"/>
      <c r="AG20" s="120"/>
      <c r="AH20" s="117"/>
      <c r="AI20" s="137" t="s">
        <v>667</v>
      </c>
      <c r="AJ20" s="114"/>
      <c r="AK20" s="119"/>
      <c r="AL20" s="114"/>
      <c r="AM20" s="109"/>
      <c r="AN20" s="109"/>
      <c r="AO20" s="109"/>
      <c r="AP20" s="109"/>
      <c r="AS20" s="156"/>
    </row>
    <row r="21" spans="3:45" x14ac:dyDescent="0.25">
      <c r="C21" s="114" t="str">
        <f>"X"&amp;$H$2</f>
        <v>XBIW</v>
      </c>
      <c r="D21" s="112"/>
      <c r="E21" s="109"/>
      <c r="F21" s="109"/>
      <c r="G21" s="109"/>
      <c r="H21" s="109"/>
      <c r="I21" s="109"/>
      <c r="J21" s="109"/>
      <c r="K21" s="113"/>
      <c r="L21" s="112"/>
      <c r="M21" s="112"/>
      <c r="N21" s="112"/>
      <c r="P21" s="112"/>
      <c r="Q21" s="109"/>
      <c r="R21" s="111"/>
      <c r="S21" s="109"/>
      <c r="T21" s="109"/>
      <c r="U21" s="109"/>
      <c r="V21" s="109"/>
      <c r="W21" s="109"/>
      <c r="X21" s="109"/>
      <c r="Y21" s="110"/>
      <c r="AC21" s="109"/>
      <c r="AD21" s="109"/>
      <c r="AE21" s="109"/>
      <c r="AI21" s="210" t="s">
        <v>668</v>
      </c>
      <c r="AJ21" s="109"/>
      <c r="AK21" s="109"/>
      <c r="AL21" s="109"/>
      <c r="AM21" s="109"/>
      <c r="AN21" s="109"/>
      <c r="AO21" s="109"/>
      <c r="AP21" s="109"/>
      <c r="AS21" s="154"/>
    </row>
    <row r="22" spans="3:45" x14ac:dyDescent="0.25">
      <c r="D22" s="112"/>
      <c r="E22" s="109"/>
      <c r="F22" s="109"/>
      <c r="G22" s="109"/>
      <c r="H22" s="109"/>
      <c r="I22" s="109"/>
      <c r="J22" s="109"/>
      <c r="K22" s="113"/>
      <c r="L22" s="112"/>
      <c r="M22" s="112"/>
      <c r="N22" s="112"/>
      <c r="P22" s="112"/>
      <c r="Q22" s="109"/>
      <c r="R22" s="111"/>
      <c r="S22" s="109"/>
      <c r="T22" s="109"/>
      <c r="U22" s="109"/>
      <c r="V22" s="109"/>
      <c r="W22" s="109"/>
      <c r="X22" s="109"/>
      <c r="Y22" s="110"/>
      <c r="AC22" s="109"/>
      <c r="AD22" s="109"/>
      <c r="AE22" s="109"/>
      <c r="AJ22" s="109"/>
      <c r="AK22" s="109"/>
      <c r="AL22" s="109"/>
      <c r="AM22" s="109"/>
      <c r="AN22" s="109"/>
      <c r="AO22" s="109"/>
      <c r="AP22" s="109"/>
    </row>
    <row r="23" spans="3:45" x14ac:dyDescent="0.25">
      <c r="C23" s="112"/>
      <c r="D23" s="112"/>
      <c r="E23" s="109"/>
      <c r="F23" s="109"/>
      <c r="G23" s="109"/>
      <c r="H23" s="109"/>
      <c r="I23" s="109"/>
      <c r="J23" s="109"/>
      <c r="K23" s="113"/>
      <c r="L23" s="112"/>
      <c r="M23" s="112"/>
      <c r="N23" s="112"/>
      <c r="P23" s="112"/>
      <c r="Q23" s="109"/>
      <c r="R23" s="111"/>
      <c r="S23" s="109"/>
      <c r="T23" s="109"/>
      <c r="U23" s="109"/>
      <c r="V23" s="109"/>
      <c r="W23" s="109"/>
      <c r="X23" s="119"/>
      <c r="Y23" s="118"/>
      <c r="Z23" s="120"/>
      <c r="AA23" s="120"/>
      <c r="AB23" s="120"/>
      <c r="AC23" s="119"/>
      <c r="AD23" s="119"/>
      <c r="AE23" s="119"/>
      <c r="AF23" s="120"/>
      <c r="AG23" s="120"/>
      <c r="AH23" s="117"/>
      <c r="AI23" s="137" t="s">
        <v>944</v>
      </c>
      <c r="AJ23" s="114"/>
      <c r="AK23" s="119"/>
      <c r="AL23" s="114"/>
      <c r="AM23" s="114"/>
      <c r="AN23" s="114"/>
      <c r="AO23" s="114"/>
      <c r="AP23" s="114"/>
    </row>
    <row r="24" spans="3:45" x14ac:dyDescent="0.25">
      <c r="C24" s="112"/>
      <c r="D24" s="112"/>
      <c r="E24" s="109"/>
      <c r="F24" s="109"/>
      <c r="G24" s="109"/>
      <c r="H24" s="109"/>
      <c r="I24" s="109"/>
      <c r="J24" s="109"/>
      <c r="K24" s="113"/>
      <c r="L24" s="112"/>
      <c r="M24" s="112"/>
      <c r="N24" s="112"/>
      <c r="P24" s="112"/>
      <c r="Q24" s="109"/>
      <c r="R24" s="111"/>
      <c r="S24" s="109"/>
      <c r="T24" s="109"/>
      <c r="U24" s="109"/>
      <c r="V24" s="109"/>
      <c r="W24" s="109"/>
      <c r="X24" s="109"/>
      <c r="Y24" s="110"/>
      <c r="AC24" s="109"/>
      <c r="AD24" s="109"/>
      <c r="AE24" s="109"/>
      <c r="AI24" s="326" t="s">
        <v>945</v>
      </c>
      <c r="AJ24" s="109"/>
      <c r="AK24" s="109"/>
      <c r="AL24" s="109"/>
      <c r="AM24" s="109"/>
      <c r="AN24" s="109"/>
      <c r="AO24" s="109"/>
      <c r="AP24" s="109"/>
      <c r="AS24" s="154"/>
    </row>
    <row r="25" spans="3:45" x14ac:dyDescent="0.25">
      <c r="C25" s="112"/>
      <c r="D25" s="112"/>
      <c r="E25" s="109"/>
      <c r="F25" s="109"/>
      <c r="G25" s="109"/>
      <c r="H25" s="109"/>
      <c r="I25" s="109"/>
      <c r="J25" s="109"/>
      <c r="K25" s="113"/>
      <c r="L25" s="112"/>
      <c r="M25" s="112"/>
      <c r="N25" s="112"/>
      <c r="P25" s="112"/>
      <c r="Q25" s="109"/>
      <c r="R25" s="111"/>
      <c r="S25" s="109"/>
      <c r="T25" s="109"/>
      <c r="U25" s="109"/>
      <c r="V25" s="109"/>
      <c r="W25" s="109"/>
      <c r="X25" s="109"/>
      <c r="Y25" s="110"/>
      <c r="AC25" s="109"/>
      <c r="AD25" s="109"/>
      <c r="AE25" s="109"/>
      <c r="AJ25" s="109"/>
      <c r="AK25" s="109"/>
      <c r="AL25" s="109"/>
      <c r="AM25" s="109"/>
      <c r="AN25" s="109"/>
      <c r="AO25" s="109"/>
      <c r="AP25" s="109"/>
    </row>
    <row r="26" spans="3:45" x14ac:dyDescent="0.25">
      <c r="E26" s="109"/>
      <c r="F26" s="109"/>
      <c r="G26" s="109"/>
      <c r="H26" s="109"/>
      <c r="I26" s="109"/>
      <c r="J26" s="109"/>
      <c r="K26" s="113"/>
      <c r="L26" s="112"/>
      <c r="M26" s="112"/>
      <c r="N26" s="112"/>
      <c r="P26" s="112"/>
      <c r="Q26" s="109"/>
      <c r="R26" s="111"/>
      <c r="S26" s="109"/>
      <c r="T26" s="109"/>
      <c r="U26" s="109"/>
      <c r="V26" s="109"/>
      <c r="W26" s="109"/>
      <c r="X26" s="145"/>
      <c r="Y26" s="144"/>
      <c r="Z26" s="131"/>
      <c r="AA26" s="131"/>
      <c r="AB26" s="131"/>
      <c r="AC26" s="130"/>
      <c r="AD26" s="130"/>
      <c r="AE26" s="130"/>
      <c r="AF26" s="131"/>
      <c r="AG26" s="155"/>
      <c r="AJ26" s="109"/>
      <c r="AK26" s="109"/>
      <c r="AL26" s="109"/>
      <c r="AM26" s="109"/>
      <c r="AN26" s="109"/>
      <c r="AO26" s="109"/>
      <c r="AP26" s="109"/>
    </row>
    <row r="27" spans="3:45" x14ac:dyDescent="0.25">
      <c r="E27" s="109"/>
      <c r="F27" s="109"/>
      <c r="G27" s="109"/>
      <c r="H27" s="109"/>
      <c r="I27" s="109"/>
      <c r="J27" s="109"/>
      <c r="K27" s="113"/>
      <c r="L27" s="112"/>
      <c r="M27" s="112"/>
      <c r="N27" s="112"/>
      <c r="P27" s="112"/>
      <c r="Q27" s="109"/>
      <c r="R27" s="111"/>
      <c r="S27" s="109"/>
      <c r="T27" s="109"/>
      <c r="U27" s="109"/>
      <c r="V27" s="109"/>
      <c r="W27" s="109"/>
      <c r="X27" s="109"/>
      <c r="Y27" s="132"/>
      <c r="Z27" s="131"/>
      <c r="AA27" s="131"/>
      <c r="AB27" s="131"/>
      <c r="AC27" s="130"/>
      <c r="AD27" s="130"/>
      <c r="AE27" s="130"/>
      <c r="AF27" s="129"/>
      <c r="AG27" s="140"/>
      <c r="AJ27" s="109"/>
      <c r="AK27" s="109"/>
      <c r="AL27" s="109"/>
      <c r="AM27" s="109"/>
      <c r="AN27" s="109"/>
      <c r="AO27" s="109"/>
      <c r="AP27" s="109"/>
    </row>
    <row r="28" spans="3:45" x14ac:dyDescent="0.25">
      <c r="E28" s="109"/>
      <c r="F28" s="109"/>
      <c r="G28" s="109"/>
      <c r="H28" s="109"/>
      <c r="I28" s="109"/>
      <c r="J28" s="109"/>
      <c r="K28" s="113"/>
      <c r="L28" s="112"/>
      <c r="M28" s="112"/>
      <c r="N28" s="112"/>
      <c r="P28" s="112"/>
      <c r="Q28" s="109"/>
      <c r="R28" s="111"/>
      <c r="S28" s="109"/>
      <c r="T28" s="109"/>
      <c r="U28" s="109"/>
      <c r="V28" s="114"/>
      <c r="W28" s="119"/>
      <c r="X28" s="119"/>
      <c r="Y28" s="118"/>
      <c r="Z28" s="117"/>
      <c r="AA28" s="139" t="s">
        <v>985</v>
      </c>
      <c r="AB28" s="151"/>
      <c r="AC28" s="119"/>
      <c r="AD28" s="109"/>
      <c r="AE28" s="109"/>
      <c r="AF28" s="116"/>
      <c r="AG28" s="140"/>
      <c r="AJ28" s="109"/>
      <c r="AK28" s="109"/>
      <c r="AL28" s="109"/>
      <c r="AM28" s="109"/>
      <c r="AN28" s="109"/>
      <c r="AO28" s="109"/>
      <c r="AP28" s="109"/>
    </row>
    <row r="29" spans="3:45" x14ac:dyDescent="0.25">
      <c r="E29" s="109"/>
      <c r="F29" s="109"/>
      <c r="G29" s="109"/>
      <c r="H29" s="109"/>
      <c r="I29" s="109"/>
      <c r="J29" s="109"/>
      <c r="K29" s="113"/>
      <c r="L29" s="112"/>
      <c r="M29" s="112"/>
      <c r="N29" s="112"/>
      <c r="P29" s="112"/>
      <c r="Q29" s="109"/>
      <c r="R29" s="111"/>
      <c r="S29" s="109"/>
      <c r="T29" s="109"/>
      <c r="U29" s="109"/>
      <c r="V29" s="109"/>
      <c r="W29" s="145"/>
      <c r="X29" s="145"/>
      <c r="Y29" s="125"/>
      <c r="Z29" s="124"/>
      <c r="AA29" s="116"/>
      <c r="AB29" s="150"/>
      <c r="AC29" s="119"/>
      <c r="AD29" s="119"/>
      <c r="AE29" s="119"/>
      <c r="AF29" s="121"/>
      <c r="AG29" s="140"/>
      <c r="AJ29" s="109"/>
      <c r="AK29" s="109"/>
      <c r="AL29" s="109"/>
      <c r="AM29" s="109"/>
      <c r="AN29" s="109"/>
      <c r="AO29" s="109"/>
      <c r="AP29" s="109"/>
    </row>
    <row r="30" spans="3:45" x14ac:dyDescent="0.25">
      <c r="E30" s="109"/>
      <c r="F30" s="109"/>
      <c r="G30" s="109"/>
      <c r="H30" s="109"/>
      <c r="I30" s="109"/>
      <c r="J30" s="109"/>
      <c r="K30" s="113"/>
      <c r="L30" s="112"/>
      <c r="M30" s="112"/>
      <c r="N30" s="112"/>
      <c r="P30" s="112"/>
      <c r="Q30" s="109"/>
      <c r="R30" s="111"/>
      <c r="S30" s="114"/>
      <c r="T30" s="119"/>
      <c r="U30" s="119"/>
      <c r="V30" s="119"/>
      <c r="W30" s="119"/>
      <c r="X30" s="119"/>
      <c r="Y30" s="118"/>
      <c r="Z30" s="117"/>
      <c r="AA30" s="116"/>
      <c r="AB30" s="147"/>
      <c r="AC30" s="119"/>
      <c r="AD30" s="119"/>
      <c r="AE30" s="119"/>
      <c r="AF30" s="120"/>
      <c r="AG30" s="117"/>
      <c r="AJ30" s="109"/>
      <c r="AK30" s="109"/>
      <c r="AL30" s="109"/>
      <c r="AM30" s="109"/>
      <c r="AN30" s="109"/>
      <c r="AO30" s="109"/>
      <c r="AP30" s="109"/>
    </row>
    <row r="31" spans="3:45" x14ac:dyDescent="0.25">
      <c r="E31" s="109"/>
      <c r="F31" s="109"/>
      <c r="G31" s="109"/>
      <c r="H31" s="109"/>
      <c r="I31" s="109"/>
      <c r="J31" s="109"/>
      <c r="K31" s="113"/>
      <c r="L31" s="112"/>
      <c r="M31" s="112"/>
      <c r="N31" s="112"/>
      <c r="P31" s="112"/>
      <c r="Q31" s="109"/>
      <c r="R31" s="111"/>
      <c r="S31" s="109"/>
      <c r="T31" s="109"/>
      <c r="U31" s="109"/>
      <c r="V31" s="109"/>
      <c r="W31" s="109"/>
      <c r="X31" s="109"/>
      <c r="Y31" s="110"/>
      <c r="AA31" s="114" t="s">
        <v>469</v>
      </c>
      <c r="AB31" s="113"/>
      <c r="AC31" s="109"/>
      <c r="AD31" s="109"/>
      <c r="AE31" s="109"/>
      <c r="AJ31" s="109"/>
      <c r="AK31" s="109"/>
      <c r="AL31" s="109"/>
      <c r="AM31" s="109"/>
      <c r="AN31" s="109"/>
      <c r="AO31" s="109"/>
      <c r="AP31" s="109"/>
    </row>
    <row r="32" spans="3:45" x14ac:dyDescent="0.25">
      <c r="E32" s="109"/>
      <c r="F32" s="109"/>
      <c r="G32" s="109"/>
      <c r="H32" s="109"/>
      <c r="I32" s="109"/>
      <c r="J32" s="109"/>
      <c r="K32" s="113"/>
      <c r="L32" s="112"/>
      <c r="M32" s="112"/>
      <c r="N32" s="112"/>
      <c r="P32" s="112"/>
      <c r="Q32" s="109"/>
      <c r="R32" s="111"/>
      <c r="S32" s="109"/>
      <c r="T32" s="109"/>
      <c r="U32" s="109"/>
      <c r="V32" s="109"/>
      <c r="W32" s="109"/>
      <c r="X32" s="109"/>
      <c r="Y32" s="110"/>
      <c r="AC32" s="109"/>
      <c r="AD32" s="109"/>
      <c r="AE32" s="109"/>
      <c r="AJ32" s="109"/>
      <c r="AK32" s="109"/>
      <c r="AL32" s="109"/>
      <c r="AM32" s="109"/>
      <c r="AN32" s="109"/>
      <c r="AO32" s="109"/>
      <c r="AP32" s="109"/>
    </row>
    <row r="33" spans="5:42" x14ac:dyDescent="0.25">
      <c r="E33" s="109"/>
      <c r="F33" s="109"/>
      <c r="G33" s="109"/>
      <c r="H33" s="109"/>
      <c r="I33" s="109"/>
      <c r="J33" s="109"/>
      <c r="K33" s="113"/>
      <c r="L33" s="112"/>
      <c r="M33" s="112"/>
      <c r="N33" s="112"/>
      <c r="P33" s="112"/>
      <c r="Q33" s="109"/>
      <c r="R33" s="111"/>
      <c r="S33" s="109"/>
      <c r="T33" s="109"/>
      <c r="U33" s="109"/>
      <c r="V33" s="109"/>
      <c r="W33" s="109"/>
      <c r="X33" s="109"/>
      <c r="Y33" s="110"/>
      <c r="AC33" s="109"/>
      <c r="AD33" s="109"/>
      <c r="AE33" s="109"/>
      <c r="AJ33" s="109"/>
      <c r="AK33" s="109"/>
      <c r="AL33" s="109"/>
      <c r="AM33" s="109"/>
      <c r="AN33" s="109"/>
      <c r="AO33" s="109"/>
      <c r="AP33" s="109"/>
    </row>
    <row r="34" spans="5:42" x14ac:dyDescent="0.25">
      <c r="E34" s="109"/>
      <c r="F34" s="109"/>
      <c r="G34" s="109"/>
      <c r="H34" s="109"/>
      <c r="I34" s="109"/>
      <c r="J34" s="109"/>
      <c r="K34" s="113"/>
      <c r="L34" s="112"/>
      <c r="M34" s="112"/>
      <c r="N34" s="112"/>
      <c r="P34" s="112"/>
      <c r="Q34" s="109"/>
      <c r="R34" s="111"/>
      <c r="S34" s="109"/>
      <c r="T34" s="109"/>
      <c r="U34" s="109"/>
      <c r="V34" s="114"/>
      <c r="W34" s="119"/>
      <c r="X34" s="119"/>
      <c r="Y34" s="118"/>
      <c r="Z34" s="120"/>
      <c r="AA34" s="120"/>
      <c r="AB34" s="120"/>
      <c r="AC34" s="109"/>
      <c r="AD34" s="109"/>
      <c r="AE34" s="109"/>
      <c r="AJ34" s="109"/>
      <c r="AK34" s="109"/>
      <c r="AL34" s="109"/>
      <c r="AM34" s="109"/>
      <c r="AN34" s="109"/>
      <c r="AO34" s="109"/>
      <c r="AP34" s="109"/>
    </row>
    <row r="35" spans="5:42" x14ac:dyDescent="0.25">
      <c r="E35" s="109"/>
      <c r="F35" s="109"/>
      <c r="G35" s="109"/>
      <c r="H35" s="109"/>
      <c r="I35" s="109"/>
      <c r="J35" s="109"/>
      <c r="K35" s="113"/>
      <c r="L35" s="112"/>
      <c r="M35" s="112"/>
      <c r="N35" s="112"/>
      <c r="P35" s="112"/>
      <c r="Q35" s="109"/>
      <c r="R35" s="111"/>
      <c r="S35" s="109"/>
      <c r="T35" s="109"/>
      <c r="U35" s="109"/>
      <c r="V35" s="109"/>
      <c r="W35" s="109"/>
      <c r="X35" s="109"/>
      <c r="Y35" s="110"/>
      <c r="AB35" s="140"/>
      <c r="AC35" s="109"/>
      <c r="AD35" s="109"/>
      <c r="AE35" s="109"/>
      <c r="AJ35" s="109"/>
      <c r="AK35" s="109"/>
      <c r="AL35" s="109"/>
      <c r="AM35" s="109"/>
      <c r="AN35" s="109"/>
      <c r="AO35" s="109"/>
      <c r="AP35" s="109"/>
    </row>
    <row r="36" spans="5:42" x14ac:dyDescent="0.25">
      <c r="E36" s="109"/>
      <c r="F36" s="109"/>
      <c r="G36" s="109"/>
      <c r="H36" s="109"/>
      <c r="I36" s="109"/>
      <c r="J36" s="109"/>
      <c r="K36" s="113"/>
      <c r="L36" s="112"/>
      <c r="M36" s="112"/>
      <c r="N36" s="112"/>
      <c r="P36" s="112"/>
      <c r="Q36" s="109"/>
      <c r="R36" s="111"/>
      <c r="S36" s="109"/>
      <c r="T36" s="109"/>
      <c r="U36" s="114"/>
      <c r="V36" s="119"/>
      <c r="W36" s="119"/>
      <c r="X36" s="119"/>
      <c r="Y36" s="118"/>
      <c r="Z36" s="117"/>
      <c r="AA36" s="139" t="s">
        <v>457</v>
      </c>
      <c r="AB36" s="138"/>
      <c r="AC36" s="109"/>
      <c r="AD36" s="109"/>
      <c r="AE36" s="109"/>
      <c r="AJ36" s="109"/>
      <c r="AK36" s="109"/>
      <c r="AL36" s="109"/>
      <c r="AM36" s="109"/>
      <c r="AN36" s="109"/>
      <c r="AO36" s="109"/>
      <c r="AP36" s="109"/>
    </row>
    <row r="37" spans="5:42" x14ac:dyDescent="0.25">
      <c r="E37" s="109"/>
      <c r="F37" s="109"/>
      <c r="G37" s="109"/>
      <c r="H37" s="109"/>
      <c r="I37" s="109"/>
      <c r="J37" s="109"/>
      <c r="K37" s="113"/>
      <c r="L37" s="112"/>
      <c r="M37" s="112"/>
      <c r="N37" s="112"/>
      <c r="P37" s="112"/>
      <c r="Q37" s="109"/>
      <c r="R37" s="111"/>
      <c r="S37" s="109"/>
      <c r="T37" s="109"/>
      <c r="U37" s="109"/>
      <c r="V37" s="109"/>
      <c r="W37" s="109"/>
      <c r="X37" s="109"/>
      <c r="Y37" s="110"/>
      <c r="AA37" s="114" t="str">
        <f>"X"&amp;$T$2&amp;"EXP"</f>
        <v>XISIELCEXP</v>
      </c>
      <c r="AB37" s="113"/>
      <c r="AC37" s="109"/>
      <c r="AD37" s="109"/>
      <c r="AE37" s="109"/>
      <c r="AJ37" s="109"/>
      <c r="AK37" s="109"/>
      <c r="AL37" s="109"/>
      <c r="AM37" s="109"/>
      <c r="AN37" s="109"/>
      <c r="AO37" s="109"/>
      <c r="AP37" s="109"/>
    </row>
    <row r="38" spans="5:42" x14ac:dyDescent="0.25">
      <c r="E38" s="109"/>
      <c r="F38" s="109"/>
      <c r="G38" s="109"/>
      <c r="H38" s="109"/>
      <c r="I38" s="109"/>
      <c r="J38" s="109"/>
      <c r="K38" s="113"/>
      <c r="L38" s="112"/>
      <c r="M38" s="112"/>
      <c r="N38" s="112"/>
      <c r="P38" s="112"/>
      <c r="Q38" s="109"/>
      <c r="R38" s="111"/>
      <c r="S38" s="109"/>
      <c r="T38" s="109"/>
      <c r="U38" s="109"/>
      <c r="V38" s="109"/>
      <c r="W38" s="109"/>
      <c r="X38" s="109"/>
      <c r="Y38" s="110"/>
      <c r="AC38" s="109"/>
      <c r="AD38" s="109"/>
      <c r="AE38" s="109"/>
      <c r="AJ38" s="109"/>
      <c r="AK38" s="109"/>
      <c r="AL38" s="109"/>
      <c r="AM38" s="109"/>
      <c r="AN38" s="109"/>
      <c r="AO38" s="109"/>
      <c r="AP38" s="109"/>
    </row>
    <row r="39" spans="5:42" x14ac:dyDescent="0.25">
      <c r="E39" s="109"/>
      <c r="F39" s="109"/>
      <c r="G39" s="109"/>
      <c r="H39" s="109"/>
      <c r="I39" s="109"/>
      <c r="J39" s="109"/>
      <c r="K39" s="113"/>
      <c r="L39" s="112"/>
      <c r="M39" s="112"/>
      <c r="N39" s="112"/>
      <c r="P39" s="112"/>
      <c r="Q39" s="109"/>
      <c r="R39" s="111"/>
      <c r="S39" s="109"/>
      <c r="T39" s="109"/>
      <c r="U39" s="109"/>
      <c r="V39" s="109"/>
      <c r="W39" s="109"/>
      <c r="X39" s="109"/>
      <c r="Y39" s="110"/>
      <c r="AC39" s="109"/>
      <c r="AD39" s="109"/>
      <c r="AE39" s="109"/>
      <c r="AJ39" s="109"/>
      <c r="AK39" s="109"/>
      <c r="AL39" s="109"/>
      <c r="AM39" s="109"/>
      <c r="AN39" s="109"/>
      <c r="AO39" s="109"/>
      <c r="AP39" s="109"/>
    </row>
    <row r="40" spans="5:42" x14ac:dyDescent="0.25">
      <c r="E40" s="109"/>
      <c r="F40" s="109"/>
      <c r="G40" s="109"/>
      <c r="H40" s="109"/>
      <c r="I40" s="109"/>
      <c r="J40" s="109"/>
      <c r="K40" s="113"/>
      <c r="L40" s="112"/>
      <c r="M40" s="112"/>
      <c r="N40" s="112"/>
      <c r="P40" s="112"/>
      <c r="Q40" s="109"/>
      <c r="R40" s="111"/>
      <c r="S40" s="109"/>
      <c r="T40" s="109"/>
      <c r="U40" s="109"/>
      <c r="V40" s="109"/>
      <c r="W40" s="109"/>
      <c r="X40" s="109"/>
      <c r="Y40" s="110"/>
      <c r="AC40" s="109"/>
      <c r="AD40" s="109"/>
      <c r="AE40" s="109"/>
      <c r="AJ40" s="109"/>
      <c r="AK40" s="109"/>
      <c r="AL40" s="109"/>
      <c r="AM40" s="109"/>
      <c r="AN40" s="109"/>
      <c r="AO40" s="109"/>
      <c r="AP40" s="109"/>
    </row>
    <row r="41" spans="5:42" x14ac:dyDescent="0.25">
      <c r="E41" s="109"/>
      <c r="F41" s="109"/>
      <c r="G41" s="109"/>
      <c r="H41" s="109"/>
      <c r="I41" s="109"/>
      <c r="J41" s="109"/>
      <c r="K41" s="113"/>
      <c r="L41" s="112"/>
      <c r="M41" s="112"/>
      <c r="N41" s="112"/>
      <c r="P41" s="112"/>
      <c r="Q41" s="109"/>
      <c r="R41" s="111"/>
      <c r="S41" s="109"/>
      <c r="T41" s="109"/>
      <c r="U41" s="109"/>
      <c r="V41" s="109"/>
      <c r="W41" s="109"/>
      <c r="X41" s="109"/>
      <c r="Y41" s="110"/>
      <c r="AC41" s="109"/>
      <c r="AD41" s="109"/>
      <c r="AE41" s="109"/>
      <c r="AJ41" s="109"/>
      <c r="AK41" s="109"/>
      <c r="AL41" s="109"/>
      <c r="AM41" s="109"/>
      <c r="AN41" s="109"/>
      <c r="AO41" s="109"/>
      <c r="AP41" s="109"/>
    </row>
    <row r="42" spans="5:42" x14ac:dyDescent="0.25">
      <c r="E42" s="109"/>
      <c r="F42" s="109"/>
      <c r="G42" s="109"/>
      <c r="H42" s="109"/>
      <c r="I42" s="109"/>
      <c r="J42" s="109"/>
      <c r="K42" s="113"/>
      <c r="L42" s="112"/>
      <c r="M42" s="112"/>
      <c r="N42" s="112"/>
      <c r="P42" s="112"/>
      <c r="Q42" s="109"/>
      <c r="R42" s="111"/>
      <c r="S42" s="109"/>
      <c r="T42" s="109"/>
      <c r="U42" s="109"/>
      <c r="V42" s="109"/>
      <c r="W42" s="109"/>
      <c r="X42" s="109"/>
      <c r="Y42" s="110"/>
      <c r="AC42" s="109"/>
      <c r="AD42" s="109"/>
      <c r="AE42" s="109"/>
      <c r="AJ42" s="109"/>
      <c r="AK42" s="109"/>
      <c r="AL42" s="109"/>
      <c r="AM42" s="109"/>
      <c r="AN42" s="109"/>
      <c r="AO42" s="109"/>
      <c r="AP42" s="109"/>
    </row>
    <row r="43" spans="5:42" x14ac:dyDescent="0.25">
      <c r="E43" s="109"/>
      <c r="F43" s="109"/>
      <c r="G43" s="109"/>
      <c r="H43" s="109"/>
      <c r="I43" s="109"/>
      <c r="J43" s="109"/>
      <c r="K43" s="113"/>
      <c r="L43" s="112"/>
      <c r="M43" s="112"/>
      <c r="N43" s="112"/>
      <c r="P43" s="112"/>
      <c r="Q43" s="109"/>
      <c r="R43" s="111"/>
      <c r="S43" s="109"/>
      <c r="T43" s="109"/>
      <c r="U43" s="109"/>
      <c r="V43" s="109"/>
      <c r="W43" s="109"/>
      <c r="X43" s="109"/>
      <c r="Y43" s="110"/>
      <c r="AC43" s="109"/>
      <c r="AD43" s="109"/>
      <c r="AE43" s="109"/>
      <c r="AJ43" s="109"/>
      <c r="AK43" s="109"/>
      <c r="AL43" s="109"/>
      <c r="AM43" s="109"/>
      <c r="AN43" s="109"/>
      <c r="AO43" s="109"/>
      <c r="AP43" s="109"/>
    </row>
    <row r="44" spans="5:42" x14ac:dyDescent="0.25">
      <c r="E44" s="109"/>
      <c r="F44" s="109"/>
      <c r="G44" s="109"/>
      <c r="H44" s="109"/>
      <c r="I44" s="109"/>
      <c r="J44" s="109"/>
      <c r="K44" s="113"/>
      <c r="L44" s="112"/>
      <c r="M44" s="112"/>
      <c r="N44" s="112"/>
      <c r="P44" s="112"/>
      <c r="Q44" s="109"/>
      <c r="R44" s="111"/>
      <c r="S44" s="109"/>
      <c r="T44" s="109"/>
      <c r="U44" s="109"/>
      <c r="V44" s="109"/>
      <c r="W44" s="109"/>
      <c r="X44" s="109"/>
      <c r="Y44" s="110"/>
      <c r="AC44" s="109"/>
      <c r="AD44" s="109"/>
      <c r="AE44" s="109"/>
      <c r="AJ44" s="109"/>
      <c r="AK44" s="109"/>
      <c r="AL44" s="109"/>
      <c r="AM44" s="109"/>
      <c r="AN44" s="109"/>
      <c r="AO44" s="109"/>
      <c r="AP44" s="109"/>
    </row>
    <row r="45" spans="5:42" x14ac:dyDescent="0.25">
      <c r="E45" s="109"/>
      <c r="F45" s="109"/>
      <c r="G45" s="109"/>
      <c r="H45" s="109"/>
      <c r="I45" s="109"/>
      <c r="J45" s="109"/>
      <c r="K45" s="113"/>
      <c r="L45" s="112"/>
      <c r="M45" s="112"/>
      <c r="N45" s="112"/>
      <c r="O45" s="108"/>
      <c r="P45" s="112"/>
      <c r="Q45" s="109"/>
      <c r="R45" s="111"/>
      <c r="S45" s="109"/>
      <c r="T45" s="109"/>
      <c r="U45" s="109"/>
      <c r="V45" s="109"/>
      <c r="W45" s="109"/>
      <c r="X45" s="109"/>
      <c r="Y45" s="132"/>
      <c r="Z45" s="131"/>
      <c r="AA45" s="131"/>
      <c r="AB45" s="131"/>
      <c r="AC45" s="130"/>
      <c r="AD45" s="130"/>
      <c r="AE45" s="130"/>
      <c r="AF45" s="129"/>
      <c r="AJ45" s="109"/>
      <c r="AK45" s="109"/>
      <c r="AL45" s="109"/>
      <c r="AM45" s="109"/>
      <c r="AN45" s="109"/>
      <c r="AO45" s="109"/>
      <c r="AP45" s="109"/>
    </row>
    <row r="46" spans="5:42" x14ac:dyDescent="0.25">
      <c r="E46" s="109"/>
      <c r="F46" s="109"/>
      <c r="G46" s="109"/>
      <c r="H46" s="109"/>
      <c r="I46" s="109"/>
      <c r="J46" s="109"/>
      <c r="K46" s="113"/>
      <c r="L46" s="112"/>
      <c r="M46" s="112"/>
      <c r="N46" s="112"/>
      <c r="P46" s="112"/>
      <c r="Q46" s="109"/>
      <c r="R46" s="111"/>
      <c r="S46" s="109"/>
      <c r="T46" s="109"/>
      <c r="U46" s="109"/>
      <c r="V46" s="114"/>
      <c r="W46" s="119"/>
      <c r="X46" s="119"/>
      <c r="Y46" s="118"/>
      <c r="Z46" s="117"/>
      <c r="AA46" s="137" t="s">
        <v>843</v>
      </c>
      <c r="AB46" s="122"/>
      <c r="AC46" s="119"/>
      <c r="AD46" s="114"/>
      <c r="AE46" s="111"/>
      <c r="AF46" s="116"/>
      <c r="AJ46" s="109"/>
      <c r="AK46" s="109"/>
      <c r="AL46" s="109"/>
      <c r="AM46" s="109"/>
      <c r="AN46" s="109"/>
      <c r="AO46" s="109"/>
      <c r="AP46" s="109"/>
    </row>
    <row r="47" spans="5:42" x14ac:dyDescent="0.25">
      <c r="E47" s="109"/>
      <c r="F47" s="109"/>
      <c r="G47" s="109"/>
      <c r="H47" s="109"/>
      <c r="I47" s="109"/>
      <c r="J47" s="109"/>
      <c r="Q47" s="109"/>
      <c r="R47" s="116"/>
      <c r="S47" s="116"/>
      <c r="T47" s="109"/>
      <c r="U47" s="109"/>
      <c r="V47" s="109"/>
      <c r="W47" s="126"/>
      <c r="X47" s="126"/>
      <c r="Y47" s="125"/>
      <c r="Z47" s="124"/>
      <c r="AA47" s="123" t="s">
        <v>468</v>
      </c>
      <c r="AB47" s="149"/>
      <c r="AC47" s="119"/>
      <c r="AD47" s="119"/>
      <c r="AE47" s="119"/>
      <c r="AF47" s="121"/>
      <c r="AJ47" s="109"/>
      <c r="AK47" s="109"/>
      <c r="AL47" s="109"/>
      <c r="AM47" s="109"/>
      <c r="AN47" s="109"/>
      <c r="AO47" s="109"/>
      <c r="AP47" s="109"/>
    </row>
    <row r="48" spans="5:42" x14ac:dyDescent="0.25">
      <c r="E48" s="109"/>
      <c r="F48" s="109"/>
      <c r="G48" s="109"/>
      <c r="H48" s="109"/>
      <c r="I48" s="109"/>
      <c r="J48" s="109"/>
      <c r="Q48" s="109"/>
      <c r="R48" s="116"/>
      <c r="S48" s="121"/>
      <c r="T48" s="119"/>
      <c r="U48" s="119"/>
      <c r="V48" s="119"/>
      <c r="W48" s="119"/>
      <c r="X48" s="119"/>
      <c r="Y48" s="118"/>
      <c r="Z48" s="117"/>
      <c r="AA48" s="116"/>
      <c r="AB48" s="115"/>
      <c r="AC48" s="109"/>
      <c r="AD48" s="109"/>
      <c r="AE48" s="109"/>
      <c r="AJ48" s="109"/>
      <c r="AK48" s="109"/>
      <c r="AL48" s="109"/>
      <c r="AM48" s="109"/>
      <c r="AN48" s="109"/>
      <c r="AO48" s="109"/>
      <c r="AP48" s="109"/>
    </row>
    <row r="49" spans="5:42" x14ac:dyDescent="0.25">
      <c r="E49" s="109"/>
      <c r="F49" s="109"/>
      <c r="G49" s="109"/>
      <c r="H49" s="109"/>
      <c r="I49" s="109"/>
      <c r="J49" s="109"/>
      <c r="Q49" s="109"/>
      <c r="R49" s="116"/>
      <c r="S49" s="116"/>
      <c r="T49" s="130"/>
      <c r="U49" s="130"/>
      <c r="V49" s="130"/>
      <c r="W49" s="130"/>
      <c r="X49" s="130"/>
      <c r="Y49" s="110"/>
      <c r="AA49" s="114" t="s">
        <v>467</v>
      </c>
      <c r="AB49" s="113"/>
      <c r="AC49" s="109"/>
      <c r="AD49" s="109"/>
      <c r="AE49" s="109"/>
      <c r="AJ49" s="109"/>
      <c r="AK49" s="109"/>
      <c r="AL49" s="109"/>
      <c r="AM49" s="109"/>
      <c r="AN49" s="109"/>
      <c r="AO49" s="109"/>
      <c r="AP49" s="109"/>
    </row>
    <row r="50" spans="5:42" x14ac:dyDescent="0.25">
      <c r="E50" s="109"/>
      <c r="F50" s="109"/>
      <c r="G50" s="109"/>
      <c r="H50" s="109"/>
      <c r="I50" s="109"/>
      <c r="J50" s="109"/>
      <c r="Q50" s="109"/>
      <c r="R50" s="116"/>
      <c r="S50" s="116"/>
      <c r="T50" s="109"/>
      <c r="U50" s="109"/>
      <c r="V50" s="109"/>
      <c r="W50" s="109"/>
      <c r="X50" s="109"/>
      <c r="Y50" s="110"/>
      <c r="AC50" s="109"/>
      <c r="AD50" s="109"/>
      <c r="AE50" s="109"/>
      <c r="AJ50" s="109"/>
      <c r="AK50" s="109"/>
      <c r="AL50" s="109"/>
      <c r="AM50" s="109"/>
      <c r="AN50" s="109"/>
      <c r="AO50" s="109"/>
      <c r="AP50" s="109"/>
    </row>
    <row r="51" spans="5:42" x14ac:dyDescent="0.25">
      <c r="E51" s="109"/>
      <c r="F51" s="109"/>
      <c r="G51" s="109"/>
      <c r="H51" s="109"/>
      <c r="I51" s="109"/>
      <c r="J51" s="109"/>
      <c r="K51" s="113"/>
      <c r="L51" s="112"/>
      <c r="M51" s="118"/>
      <c r="N51" s="118"/>
      <c r="O51" s="120"/>
      <c r="P51" s="118"/>
      <c r="Q51" s="119"/>
      <c r="R51" s="114"/>
      <c r="S51" s="111"/>
      <c r="T51" s="109"/>
      <c r="U51" s="109"/>
      <c r="V51" s="109"/>
      <c r="W51" s="109"/>
      <c r="X51" s="109"/>
      <c r="AC51" s="109"/>
      <c r="AD51" s="109"/>
      <c r="AE51" s="109"/>
      <c r="AJ51" s="109"/>
      <c r="AK51" s="109"/>
      <c r="AL51" s="109"/>
      <c r="AM51" s="109"/>
      <c r="AN51" s="109"/>
      <c r="AO51" s="109"/>
      <c r="AP51" s="109"/>
    </row>
    <row r="52" spans="5:42" x14ac:dyDescent="0.25">
      <c r="E52" s="109"/>
      <c r="F52" s="109"/>
      <c r="G52" s="109"/>
      <c r="H52" s="109"/>
      <c r="I52" s="109"/>
      <c r="J52" s="109"/>
      <c r="K52" s="113"/>
      <c r="L52" s="132"/>
      <c r="M52" s="120"/>
      <c r="N52" s="118"/>
      <c r="O52" s="120"/>
      <c r="P52" s="118"/>
      <c r="Q52" s="119"/>
      <c r="R52" s="114"/>
      <c r="S52" s="114"/>
      <c r="T52" s="119"/>
      <c r="U52" s="119"/>
      <c r="V52" s="119"/>
      <c r="W52" s="119"/>
      <c r="X52" s="119"/>
      <c r="AC52" s="109"/>
      <c r="AD52" s="109"/>
      <c r="AE52" s="109"/>
      <c r="AJ52" s="109"/>
      <c r="AK52" s="109"/>
      <c r="AL52" s="109"/>
      <c r="AM52" s="109"/>
      <c r="AN52" s="109"/>
      <c r="AO52" s="109"/>
      <c r="AP52" s="109"/>
    </row>
    <row r="53" spans="5:42" x14ac:dyDescent="0.25">
      <c r="E53" s="109"/>
      <c r="F53" s="109"/>
      <c r="G53" s="109"/>
      <c r="H53" s="109"/>
      <c r="I53" s="109"/>
      <c r="J53" s="109"/>
      <c r="K53" s="113"/>
      <c r="L53" s="113"/>
      <c r="M53" s="328"/>
      <c r="N53" s="112"/>
      <c r="P53" s="112"/>
      <c r="Q53" s="109"/>
      <c r="R53" s="111"/>
      <c r="S53" s="109"/>
      <c r="T53" s="114"/>
      <c r="U53" s="119"/>
      <c r="V53" s="119"/>
      <c r="W53" s="119"/>
      <c r="X53" s="109"/>
      <c r="AC53" s="109"/>
      <c r="AD53" s="109"/>
      <c r="AE53" s="109"/>
      <c r="AJ53" s="109"/>
      <c r="AK53" s="109"/>
      <c r="AL53" s="109"/>
      <c r="AM53" s="109"/>
      <c r="AN53" s="109"/>
      <c r="AO53" s="109"/>
      <c r="AP53" s="109"/>
    </row>
    <row r="54" spans="5:42" x14ac:dyDescent="0.25">
      <c r="E54" s="109"/>
      <c r="F54" s="109"/>
      <c r="G54" s="109"/>
      <c r="H54" s="109"/>
      <c r="I54" s="109"/>
      <c r="J54" s="109"/>
      <c r="K54" s="113"/>
      <c r="L54" s="113"/>
      <c r="M54" s="115"/>
      <c r="N54" s="132"/>
      <c r="O54" s="131"/>
      <c r="P54" s="144"/>
      <c r="Q54" s="130"/>
      <c r="R54" s="145"/>
      <c r="S54" s="130"/>
      <c r="T54" s="109"/>
      <c r="U54" s="109"/>
      <c r="V54" s="109"/>
      <c r="W54" s="109"/>
      <c r="X54" s="109"/>
      <c r="AC54" s="109"/>
      <c r="AD54" s="109"/>
      <c r="AE54" s="109"/>
      <c r="AJ54" s="109"/>
      <c r="AK54" s="109"/>
      <c r="AL54" s="109"/>
      <c r="AM54" s="109"/>
      <c r="AN54" s="109"/>
      <c r="AO54" s="109"/>
      <c r="AP54" s="109"/>
    </row>
    <row r="55" spans="5:42" x14ac:dyDescent="0.25">
      <c r="E55" s="109"/>
      <c r="F55" s="109"/>
      <c r="G55" s="109"/>
      <c r="H55" s="109"/>
      <c r="I55" s="109"/>
      <c r="J55" s="109"/>
      <c r="K55" s="113"/>
      <c r="L55" s="113"/>
      <c r="M55" s="115"/>
      <c r="N55" s="148">
        <f>85%*0.4</f>
        <v>0.34</v>
      </c>
      <c r="O55" s="128" t="s">
        <v>984</v>
      </c>
      <c r="P55" s="110"/>
      <c r="Q55" s="109"/>
      <c r="R55" s="111"/>
      <c r="S55" s="109"/>
      <c r="T55" s="109"/>
      <c r="U55" s="109"/>
      <c r="V55" s="109"/>
      <c r="W55" s="109"/>
      <c r="X55" s="109"/>
      <c r="AC55" s="109"/>
      <c r="AD55" s="109"/>
      <c r="AE55" s="109"/>
      <c r="AJ55" s="109"/>
      <c r="AK55" s="109"/>
      <c r="AL55" s="109"/>
      <c r="AM55" s="109"/>
      <c r="AN55" s="109"/>
      <c r="AO55" s="109"/>
      <c r="AP55" s="109"/>
    </row>
    <row r="56" spans="5:42" x14ac:dyDescent="0.25">
      <c r="E56" s="109"/>
      <c r="F56" s="109"/>
      <c r="G56" s="109"/>
      <c r="H56" s="109"/>
      <c r="I56" s="109"/>
      <c r="J56" s="109"/>
      <c r="K56" s="113"/>
      <c r="L56" s="113"/>
      <c r="M56" s="147"/>
      <c r="N56" s="143">
        <f>45%*40%</f>
        <v>0.18000000000000002</v>
      </c>
      <c r="O56" s="116"/>
      <c r="P56" s="112"/>
      <c r="Q56" s="109"/>
      <c r="R56" s="111"/>
      <c r="S56" s="109"/>
      <c r="T56" s="109"/>
      <c r="U56" s="109"/>
      <c r="V56" s="109"/>
      <c r="W56" s="109"/>
      <c r="X56" s="109"/>
      <c r="AC56" s="109"/>
      <c r="AD56" s="109"/>
      <c r="AE56" s="109"/>
      <c r="AJ56" s="109"/>
      <c r="AK56" s="109"/>
      <c r="AL56" s="109"/>
      <c r="AM56" s="109"/>
      <c r="AN56" s="109"/>
      <c r="AO56" s="109"/>
      <c r="AP56" s="109"/>
    </row>
    <row r="57" spans="5:42" x14ac:dyDescent="0.25">
      <c r="E57" s="109"/>
      <c r="F57" s="109"/>
      <c r="G57" s="109"/>
      <c r="H57" s="109"/>
      <c r="I57" s="109"/>
      <c r="J57" s="109"/>
      <c r="K57" s="113"/>
      <c r="L57" s="147"/>
      <c r="M57" s="120"/>
      <c r="N57" s="146">
        <f>85%*0.4</f>
        <v>0.34</v>
      </c>
      <c r="O57" s="116"/>
      <c r="P57" s="133"/>
      <c r="Q57" s="119"/>
      <c r="R57" s="114"/>
      <c r="S57" s="114"/>
      <c r="T57" s="119"/>
      <c r="U57" s="109"/>
      <c r="V57" s="109"/>
      <c r="W57" s="109"/>
      <c r="X57" s="109"/>
      <c r="AC57" s="109"/>
      <c r="AD57" s="109"/>
      <c r="AE57" s="109"/>
      <c r="AJ57" s="109"/>
      <c r="AK57" s="109"/>
      <c r="AL57" s="109"/>
      <c r="AM57" s="109"/>
      <c r="AN57" s="109"/>
      <c r="AO57" s="109"/>
      <c r="AP57" s="109"/>
    </row>
    <row r="58" spans="5:42" x14ac:dyDescent="0.25">
      <c r="E58" s="109"/>
      <c r="F58" s="109"/>
      <c r="G58" s="109"/>
      <c r="H58" s="109"/>
      <c r="I58" s="114"/>
      <c r="J58" s="119"/>
      <c r="K58" s="133"/>
      <c r="L58" s="118"/>
      <c r="M58" s="118"/>
      <c r="N58" s="143">
        <f>50%*0.4</f>
        <v>0.2</v>
      </c>
      <c r="O58" s="116"/>
      <c r="R58" s="111"/>
      <c r="S58" s="109"/>
      <c r="T58" s="109"/>
      <c r="U58" s="111"/>
      <c r="V58" s="111"/>
      <c r="W58" s="111"/>
      <c r="X58" s="111"/>
      <c r="AC58" s="109"/>
      <c r="AD58" s="111"/>
      <c r="AE58" s="111"/>
      <c r="AF58" s="115"/>
      <c r="AJ58" s="109"/>
      <c r="AK58" s="109"/>
      <c r="AL58" s="109"/>
      <c r="AM58" s="109"/>
      <c r="AN58" s="109"/>
      <c r="AO58" s="109"/>
      <c r="AP58" s="109"/>
    </row>
    <row r="59" spans="5:42" x14ac:dyDescent="0.25">
      <c r="E59" s="109"/>
      <c r="F59" s="109"/>
      <c r="G59" s="109"/>
      <c r="H59" s="109"/>
      <c r="I59" s="109"/>
      <c r="J59" s="109"/>
      <c r="K59" s="113"/>
      <c r="L59" s="112"/>
      <c r="M59" s="112"/>
      <c r="N59" s="142">
        <f>50%*0.4</f>
        <v>0.2</v>
      </c>
      <c r="O59" s="116"/>
      <c r="P59" s="112"/>
      <c r="Q59" s="109"/>
      <c r="R59" s="111"/>
      <c r="S59" s="109"/>
      <c r="T59" s="109"/>
      <c r="U59" s="109"/>
      <c r="V59" s="109"/>
      <c r="W59" s="111"/>
      <c r="X59" s="111"/>
      <c r="AC59" s="109"/>
      <c r="AD59" s="109"/>
      <c r="AE59" s="109"/>
      <c r="AF59" s="115"/>
      <c r="AJ59" s="109"/>
      <c r="AK59" s="109"/>
      <c r="AL59" s="109"/>
      <c r="AM59" s="109"/>
      <c r="AN59" s="109"/>
      <c r="AO59" s="109"/>
      <c r="AP59" s="109"/>
    </row>
    <row r="60" spans="5:42" x14ac:dyDescent="0.25">
      <c r="E60" s="109"/>
      <c r="F60" s="109"/>
      <c r="G60" s="109"/>
      <c r="H60" s="109"/>
      <c r="I60" s="109"/>
      <c r="J60" s="109"/>
      <c r="K60" s="113"/>
      <c r="L60" s="112"/>
      <c r="M60" s="112"/>
      <c r="N60" s="141"/>
      <c r="O60" s="114" t="s">
        <v>465</v>
      </c>
      <c r="P60" s="112"/>
      <c r="Q60" s="109"/>
      <c r="R60" s="111"/>
      <c r="S60" s="109"/>
      <c r="T60" s="111"/>
      <c r="U60" s="111"/>
      <c r="V60" s="111"/>
      <c r="W60" s="111"/>
      <c r="X60" s="111"/>
      <c r="AC60" s="109"/>
      <c r="AD60" s="111"/>
      <c r="AE60" s="111"/>
      <c r="AF60" s="115"/>
      <c r="AJ60" s="109"/>
      <c r="AK60" s="109"/>
      <c r="AL60" s="109"/>
      <c r="AM60" s="109"/>
      <c r="AN60" s="109"/>
      <c r="AO60" s="109"/>
      <c r="AP60" s="109"/>
    </row>
    <row r="61" spans="5:42" x14ac:dyDescent="0.25">
      <c r="E61" s="109"/>
      <c r="F61" s="109"/>
      <c r="G61" s="109"/>
      <c r="H61" s="109"/>
      <c r="I61" s="109"/>
      <c r="J61" s="109"/>
      <c r="K61" s="113"/>
      <c r="L61" s="112"/>
      <c r="M61" s="112"/>
      <c r="N61" s="133"/>
      <c r="O61" s="120"/>
      <c r="P61" s="120"/>
      <c r="Q61" s="117"/>
      <c r="R61" s="111"/>
      <c r="S61" s="109"/>
      <c r="T61" s="109"/>
      <c r="U61" s="109"/>
      <c r="V61" s="109"/>
      <c r="W61" s="109"/>
      <c r="X61" s="109"/>
      <c r="AC61" s="109"/>
      <c r="AD61" s="109"/>
      <c r="AE61" s="109"/>
      <c r="AJ61" s="109"/>
      <c r="AK61" s="109"/>
      <c r="AL61" s="109"/>
      <c r="AM61" s="109"/>
      <c r="AN61" s="109"/>
      <c r="AO61" s="109"/>
      <c r="AP61" s="109"/>
    </row>
    <row r="62" spans="5:42" x14ac:dyDescent="0.25">
      <c r="E62" s="109"/>
      <c r="F62" s="109"/>
      <c r="G62" s="109"/>
      <c r="H62" s="109"/>
      <c r="I62" s="109"/>
      <c r="J62" s="109"/>
      <c r="K62" s="113"/>
      <c r="L62" s="112"/>
      <c r="M62" s="112"/>
      <c r="N62" s="112"/>
      <c r="P62" s="112"/>
      <c r="Q62" s="109"/>
      <c r="R62" s="111"/>
      <c r="S62" s="109"/>
      <c r="T62" s="109"/>
      <c r="U62" s="109"/>
      <c r="V62" s="109"/>
      <c r="W62" s="109"/>
      <c r="X62" s="109"/>
      <c r="AC62" s="109"/>
      <c r="AD62" s="109"/>
      <c r="AE62" s="109"/>
      <c r="AJ62" s="109"/>
      <c r="AK62" s="109"/>
      <c r="AL62" s="109"/>
      <c r="AM62" s="109"/>
      <c r="AN62" s="109"/>
      <c r="AO62" s="109"/>
      <c r="AP62" s="109"/>
    </row>
    <row r="63" spans="5:42" x14ac:dyDescent="0.25">
      <c r="E63" s="109"/>
      <c r="F63" s="109"/>
      <c r="G63" s="109"/>
      <c r="H63" s="109"/>
      <c r="I63" s="109"/>
      <c r="J63" s="109"/>
      <c r="K63" s="113"/>
      <c r="L63" s="112"/>
      <c r="M63" s="118"/>
      <c r="N63" s="118"/>
      <c r="O63" s="120"/>
      <c r="P63" s="118"/>
      <c r="Q63" s="119"/>
      <c r="R63" s="114"/>
      <c r="S63" s="111"/>
      <c r="T63" s="109"/>
      <c r="U63" s="109"/>
      <c r="V63" s="109"/>
      <c r="W63" s="109"/>
      <c r="X63" s="109"/>
      <c r="AC63" s="109"/>
      <c r="AD63" s="109"/>
      <c r="AE63" s="109"/>
      <c r="AJ63" s="109"/>
      <c r="AK63" s="109"/>
      <c r="AL63" s="109"/>
      <c r="AM63" s="109"/>
      <c r="AN63" s="109"/>
      <c r="AO63" s="109"/>
      <c r="AP63" s="109"/>
    </row>
    <row r="64" spans="5:42" x14ac:dyDescent="0.25">
      <c r="E64" s="109"/>
      <c r="F64" s="109"/>
      <c r="G64" s="109"/>
      <c r="H64" s="109"/>
      <c r="I64" s="109"/>
      <c r="J64" s="109"/>
      <c r="K64" s="113"/>
      <c r="L64" s="132"/>
      <c r="M64" s="120"/>
      <c r="N64" s="118"/>
      <c r="O64" s="120"/>
      <c r="P64" s="118"/>
      <c r="Q64" s="119"/>
      <c r="R64" s="114"/>
      <c r="S64" s="114"/>
      <c r="T64" s="119"/>
      <c r="U64" s="119"/>
      <c r="V64" s="119"/>
      <c r="W64" s="119"/>
      <c r="X64" s="119"/>
      <c r="AC64" s="109"/>
      <c r="AD64" s="109"/>
      <c r="AE64" s="109"/>
      <c r="AJ64" s="109"/>
      <c r="AK64" s="109"/>
      <c r="AL64" s="109"/>
      <c r="AM64" s="109"/>
      <c r="AN64" s="109"/>
      <c r="AO64" s="109"/>
      <c r="AP64" s="109"/>
    </row>
    <row r="65" spans="5:42" x14ac:dyDescent="0.25">
      <c r="E65" s="109"/>
      <c r="F65" s="109"/>
      <c r="G65" s="109"/>
      <c r="H65" s="109"/>
      <c r="I65" s="109"/>
      <c r="J65" s="109"/>
      <c r="K65" s="113"/>
      <c r="L65" s="113"/>
      <c r="M65" s="328"/>
      <c r="N65" s="112"/>
      <c r="P65" s="112"/>
      <c r="Q65" s="109"/>
      <c r="R65" s="111"/>
      <c r="S65" s="109"/>
      <c r="T65" s="114"/>
      <c r="U65" s="119"/>
      <c r="V65" s="119"/>
      <c r="W65" s="119"/>
      <c r="X65" s="109"/>
      <c r="AC65" s="109"/>
      <c r="AD65" s="109"/>
      <c r="AE65" s="109"/>
      <c r="AJ65" s="109"/>
      <c r="AK65" s="109"/>
      <c r="AL65" s="109"/>
      <c r="AM65" s="109"/>
      <c r="AN65" s="109"/>
      <c r="AO65" s="109"/>
      <c r="AP65" s="109"/>
    </row>
    <row r="66" spans="5:42" x14ac:dyDescent="0.25">
      <c r="E66" s="109"/>
      <c r="F66" s="109"/>
      <c r="G66" s="109"/>
      <c r="H66" s="109"/>
      <c r="I66" s="109"/>
      <c r="J66" s="109"/>
      <c r="K66" s="113"/>
      <c r="L66" s="113"/>
      <c r="M66" s="115"/>
      <c r="N66" s="132"/>
      <c r="O66" s="131"/>
      <c r="P66" s="144"/>
      <c r="Q66" s="130"/>
      <c r="R66" s="145"/>
      <c r="S66" s="130"/>
      <c r="T66" s="109"/>
      <c r="U66" s="109"/>
      <c r="V66" s="109"/>
      <c r="W66" s="109"/>
      <c r="X66" s="109"/>
      <c r="AC66" s="109"/>
      <c r="AD66" s="109"/>
      <c r="AE66" s="109"/>
      <c r="AJ66" s="109"/>
      <c r="AK66" s="109"/>
      <c r="AL66" s="109"/>
      <c r="AM66" s="109"/>
      <c r="AN66" s="109"/>
      <c r="AO66" s="109"/>
      <c r="AP66" s="109"/>
    </row>
    <row r="67" spans="5:42" x14ac:dyDescent="0.25">
      <c r="E67" s="109"/>
      <c r="F67" s="109"/>
      <c r="G67" s="109"/>
      <c r="H67" s="109"/>
      <c r="I67" s="109"/>
      <c r="J67" s="109"/>
      <c r="K67" s="113"/>
      <c r="L67" s="113"/>
      <c r="M67" s="115"/>
      <c r="N67" s="148">
        <f>85%*0.8</f>
        <v>0.68</v>
      </c>
      <c r="O67" s="128" t="s">
        <v>983</v>
      </c>
      <c r="P67" s="110"/>
      <c r="Q67" s="109"/>
      <c r="R67" s="111"/>
      <c r="S67" s="109"/>
      <c r="T67" s="114"/>
      <c r="U67" s="119"/>
      <c r="V67" s="119"/>
      <c r="W67" s="119"/>
      <c r="X67" s="119"/>
      <c r="Y67" s="118"/>
      <c r="Z67" s="120"/>
      <c r="AA67" s="120"/>
      <c r="AB67" s="120"/>
      <c r="AC67" s="119"/>
      <c r="AD67" s="119"/>
      <c r="AE67" s="119"/>
      <c r="AF67" s="120"/>
      <c r="AG67" s="120"/>
      <c r="AH67" s="117"/>
      <c r="AI67" s="137" t="s">
        <v>982</v>
      </c>
      <c r="AJ67" s="114"/>
      <c r="AK67" s="119"/>
      <c r="AL67" s="114"/>
      <c r="AM67" s="119"/>
      <c r="AN67" s="119"/>
      <c r="AO67" s="119"/>
      <c r="AP67" s="119"/>
    </row>
    <row r="68" spans="5:42" x14ac:dyDescent="0.25">
      <c r="E68" s="109"/>
      <c r="F68" s="109"/>
      <c r="G68" s="109"/>
      <c r="H68" s="109"/>
      <c r="I68" s="109"/>
      <c r="J68" s="109"/>
      <c r="K68" s="113"/>
      <c r="L68" s="113"/>
      <c r="M68" s="147"/>
      <c r="N68" s="146">
        <f>45%*0.8</f>
        <v>0.36000000000000004</v>
      </c>
      <c r="O68" s="116"/>
      <c r="P68" s="112"/>
      <c r="Q68" s="109"/>
      <c r="R68" s="111"/>
      <c r="S68" s="109"/>
      <c r="T68" s="109"/>
      <c r="U68" s="109"/>
      <c r="V68" s="109"/>
      <c r="W68" s="109"/>
      <c r="X68" s="109"/>
      <c r="Y68" s="110"/>
      <c r="AC68" s="109"/>
      <c r="AD68" s="109"/>
      <c r="AE68" s="109"/>
      <c r="AI68" s="298" t="s">
        <v>874</v>
      </c>
      <c r="AJ68" s="109"/>
      <c r="AK68" s="109"/>
      <c r="AL68" s="109"/>
      <c r="AM68" s="109"/>
      <c r="AN68" s="109"/>
      <c r="AO68" s="109"/>
      <c r="AP68" s="109"/>
    </row>
    <row r="69" spans="5:42" x14ac:dyDescent="0.25">
      <c r="E69" s="109"/>
      <c r="F69" s="109"/>
      <c r="G69" s="109"/>
      <c r="H69" s="109"/>
      <c r="I69" s="109"/>
      <c r="J69" s="109"/>
      <c r="K69" s="113"/>
      <c r="L69" s="147"/>
      <c r="M69" s="120"/>
      <c r="N69" s="146">
        <f>85%*0.8</f>
        <v>0.68</v>
      </c>
      <c r="O69" s="116"/>
      <c r="P69" s="133"/>
      <c r="Q69" s="119"/>
      <c r="R69" s="114"/>
      <c r="S69" s="119"/>
      <c r="T69" s="109"/>
      <c r="V69" s="111"/>
      <c r="W69" s="109"/>
      <c r="X69" s="109"/>
      <c r="AC69" s="109"/>
      <c r="AD69" s="109"/>
      <c r="AE69" s="109"/>
      <c r="AJ69" s="109"/>
      <c r="AK69" s="109"/>
      <c r="AL69" s="109"/>
      <c r="AM69" s="109"/>
      <c r="AN69" s="109"/>
      <c r="AO69" s="109"/>
      <c r="AP69" s="109"/>
    </row>
    <row r="70" spans="5:42" x14ac:dyDescent="0.25">
      <c r="E70" s="109"/>
      <c r="F70" s="109"/>
      <c r="G70" s="109"/>
      <c r="H70" s="109"/>
      <c r="I70" s="114"/>
      <c r="J70" s="119"/>
      <c r="K70" s="133"/>
      <c r="L70" s="118"/>
      <c r="M70" s="118"/>
      <c r="N70" s="143">
        <f>50%*0.8</f>
        <v>0.4</v>
      </c>
      <c r="O70" s="116"/>
      <c r="R70" s="111"/>
      <c r="S70" s="109"/>
      <c r="T70" s="109"/>
      <c r="U70" s="111"/>
      <c r="V70" s="111"/>
      <c r="W70" s="111"/>
      <c r="X70" s="111"/>
      <c r="AC70" s="109"/>
      <c r="AD70" s="111"/>
      <c r="AE70" s="111"/>
      <c r="AF70" s="115"/>
      <c r="AJ70" s="109"/>
      <c r="AK70" s="109"/>
      <c r="AL70" s="109"/>
      <c r="AM70" s="109"/>
      <c r="AN70" s="109"/>
      <c r="AO70" s="109"/>
      <c r="AP70" s="109"/>
    </row>
    <row r="71" spans="5:42" x14ac:dyDescent="0.25">
      <c r="E71" s="109"/>
      <c r="F71" s="109"/>
      <c r="G71" s="109"/>
      <c r="H71" s="109"/>
      <c r="I71" s="109"/>
      <c r="J71" s="109"/>
      <c r="K71" s="113"/>
      <c r="L71" s="112"/>
      <c r="M71" s="112"/>
      <c r="N71" s="142">
        <f>50%*0.8</f>
        <v>0.4</v>
      </c>
      <c r="O71" s="116"/>
      <c r="P71" s="112"/>
      <c r="Q71" s="109"/>
      <c r="R71" s="111"/>
      <c r="S71" s="109"/>
      <c r="T71" s="109"/>
      <c r="U71" s="109"/>
      <c r="V71" s="109"/>
      <c r="W71" s="111"/>
      <c r="X71" s="111"/>
      <c r="AC71" s="109"/>
      <c r="AD71" s="109"/>
      <c r="AE71" s="109"/>
      <c r="AF71" s="115"/>
      <c r="AJ71" s="109"/>
      <c r="AK71" s="109"/>
      <c r="AL71" s="109"/>
      <c r="AM71" s="109"/>
      <c r="AN71" s="109"/>
      <c r="AO71" s="109"/>
      <c r="AP71" s="109"/>
    </row>
    <row r="72" spans="5:42" x14ac:dyDescent="0.25">
      <c r="E72" s="109"/>
      <c r="F72" s="109"/>
      <c r="G72" s="109"/>
      <c r="H72" s="109"/>
      <c r="I72" s="109"/>
      <c r="J72" s="109"/>
      <c r="K72" s="113"/>
      <c r="L72" s="112"/>
      <c r="M72" s="112"/>
      <c r="N72" s="141"/>
      <c r="O72" s="114" t="s">
        <v>466</v>
      </c>
      <c r="P72" s="112"/>
      <c r="Q72" s="109"/>
      <c r="R72" s="111"/>
      <c r="S72" s="109"/>
      <c r="T72" s="111"/>
      <c r="U72" s="111"/>
      <c r="V72" s="111"/>
      <c r="W72" s="111"/>
      <c r="X72" s="111"/>
      <c r="AC72" s="109"/>
      <c r="AD72" s="111"/>
      <c r="AE72" s="111"/>
      <c r="AF72" s="115"/>
      <c r="AJ72" s="109"/>
      <c r="AK72" s="109"/>
      <c r="AL72" s="109"/>
      <c r="AM72" s="109"/>
      <c r="AN72" s="109"/>
      <c r="AO72" s="109"/>
      <c r="AP72" s="109"/>
    </row>
    <row r="73" spans="5:42" x14ac:dyDescent="0.25">
      <c r="E73" s="109"/>
      <c r="F73" s="109"/>
      <c r="G73" s="109"/>
      <c r="H73" s="109"/>
      <c r="I73" s="109"/>
      <c r="J73" s="109"/>
      <c r="K73" s="113"/>
      <c r="L73" s="112"/>
      <c r="M73" s="112"/>
      <c r="N73" s="133"/>
      <c r="O73" s="120"/>
      <c r="P73" s="120"/>
      <c r="Q73" s="117"/>
      <c r="R73" s="111"/>
      <c r="S73" s="109"/>
      <c r="T73" s="109"/>
      <c r="U73" s="109"/>
      <c r="V73" s="109"/>
      <c r="W73" s="109"/>
      <c r="X73" s="109"/>
      <c r="AC73" s="109"/>
      <c r="AD73" s="109"/>
      <c r="AE73" s="109"/>
      <c r="AJ73" s="109"/>
      <c r="AK73" s="109"/>
      <c r="AL73" s="109"/>
      <c r="AM73" s="109"/>
      <c r="AN73" s="109"/>
      <c r="AO73" s="109"/>
      <c r="AP73" s="109"/>
    </row>
    <row r="74" spans="5:42" x14ac:dyDescent="0.25">
      <c r="E74" s="109"/>
      <c r="F74" s="109"/>
      <c r="G74" s="109"/>
      <c r="H74" s="109"/>
      <c r="I74" s="109"/>
      <c r="J74" s="109"/>
      <c r="K74" s="113"/>
      <c r="L74" s="112"/>
      <c r="M74" s="112"/>
      <c r="N74" s="112"/>
      <c r="P74" s="112"/>
      <c r="Q74" s="109"/>
      <c r="R74" s="111"/>
      <c r="S74" s="109"/>
      <c r="T74" s="109"/>
      <c r="U74" s="109"/>
      <c r="V74" s="109"/>
      <c r="W74" s="109"/>
      <c r="X74" s="109"/>
      <c r="AC74" s="109"/>
      <c r="AD74" s="109"/>
      <c r="AE74" s="109"/>
      <c r="AJ74" s="109"/>
      <c r="AK74" s="109"/>
      <c r="AL74" s="109"/>
      <c r="AM74" s="109"/>
      <c r="AN74" s="109"/>
      <c r="AO74" s="109"/>
      <c r="AP74" s="109"/>
    </row>
    <row r="75" spans="5:42" x14ac:dyDescent="0.25">
      <c r="E75" s="109"/>
      <c r="F75" s="109"/>
      <c r="G75" s="109"/>
      <c r="H75" s="109"/>
      <c r="I75" s="109"/>
      <c r="J75" s="109"/>
      <c r="K75" s="113"/>
      <c r="L75" s="112"/>
      <c r="M75" s="112"/>
      <c r="N75" s="112"/>
      <c r="P75" s="112"/>
      <c r="Q75" s="109"/>
      <c r="R75" s="111"/>
      <c r="S75" s="109"/>
      <c r="T75" s="109"/>
      <c r="U75" s="109"/>
      <c r="V75" s="109"/>
      <c r="W75" s="109"/>
      <c r="X75" s="109"/>
      <c r="AC75" s="109"/>
      <c r="AD75" s="109"/>
      <c r="AE75" s="109"/>
      <c r="AJ75" s="109"/>
      <c r="AK75" s="109"/>
      <c r="AL75" s="109"/>
      <c r="AM75" s="109"/>
      <c r="AN75" s="109"/>
      <c r="AO75" s="109"/>
      <c r="AP75" s="109"/>
    </row>
    <row r="76" spans="5:42" x14ac:dyDescent="0.25">
      <c r="E76" s="109"/>
      <c r="F76" s="109"/>
      <c r="G76" s="109"/>
      <c r="H76" s="109"/>
      <c r="I76" s="109"/>
      <c r="J76" s="109"/>
      <c r="K76" s="113"/>
      <c r="L76" s="112"/>
      <c r="M76" s="112"/>
      <c r="N76" s="112"/>
      <c r="P76" s="112"/>
      <c r="Q76" s="109"/>
      <c r="R76" s="111"/>
      <c r="S76" s="109"/>
      <c r="T76" s="109"/>
      <c r="U76" s="109"/>
      <c r="V76" s="109"/>
      <c r="W76" s="109"/>
      <c r="X76" s="109"/>
      <c r="AC76" s="109"/>
      <c r="AD76" s="109"/>
      <c r="AE76" s="109"/>
      <c r="AJ76" s="109"/>
      <c r="AK76" s="109"/>
      <c r="AL76" s="109"/>
      <c r="AM76" s="109"/>
      <c r="AN76" s="109"/>
      <c r="AO76" s="109"/>
      <c r="AP76" s="109"/>
    </row>
    <row r="77" spans="5:42" x14ac:dyDescent="0.25">
      <c r="E77" s="109"/>
      <c r="F77" s="109"/>
      <c r="G77" s="109"/>
      <c r="H77" s="109"/>
      <c r="I77" s="109"/>
      <c r="J77" s="109"/>
      <c r="K77" s="113"/>
      <c r="L77" s="112"/>
      <c r="M77" s="112"/>
      <c r="N77" s="112"/>
      <c r="P77" s="112"/>
      <c r="Q77" s="109"/>
      <c r="R77" s="111"/>
      <c r="S77" s="109"/>
      <c r="T77" s="109"/>
      <c r="U77" s="109"/>
      <c r="V77" s="109"/>
      <c r="W77" s="109"/>
      <c r="X77" s="109"/>
      <c r="Y77" s="110"/>
      <c r="AA77" s="110"/>
      <c r="AB77" s="108"/>
      <c r="AC77" s="109"/>
      <c r="AD77" s="109"/>
      <c r="AE77" s="109"/>
      <c r="AJ77" s="109"/>
      <c r="AK77" s="109"/>
      <c r="AL77" s="109"/>
      <c r="AM77" s="109"/>
      <c r="AN77" s="109"/>
      <c r="AO77" s="109"/>
      <c r="AP77" s="109"/>
    </row>
    <row r="78" spans="5:42" x14ac:dyDescent="0.25">
      <c r="E78" s="109"/>
      <c r="F78" s="109"/>
      <c r="G78" s="109"/>
      <c r="H78" s="109"/>
      <c r="I78" s="109"/>
      <c r="J78" s="109"/>
      <c r="K78" s="113"/>
      <c r="L78" s="112"/>
      <c r="M78" s="112"/>
      <c r="N78" s="112"/>
      <c r="P78" s="112"/>
      <c r="Q78" s="109"/>
      <c r="R78" s="111"/>
      <c r="S78" s="109"/>
      <c r="T78" s="109"/>
      <c r="U78" s="109"/>
      <c r="V78" s="109"/>
      <c r="W78" s="109"/>
      <c r="X78" s="109"/>
      <c r="Y78" s="110"/>
      <c r="AC78" s="109"/>
      <c r="AD78" s="109"/>
      <c r="AE78" s="109"/>
      <c r="AJ78" s="109"/>
      <c r="AK78" s="109"/>
      <c r="AL78" s="109"/>
      <c r="AM78" s="109"/>
      <c r="AN78" s="109"/>
      <c r="AO78" s="109"/>
      <c r="AP78" s="109"/>
    </row>
    <row r="79" spans="5:42" x14ac:dyDescent="0.25">
      <c r="E79" s="109"/>
      <c r="F79" s="109"/>
      <c r="G79" s="109"/>
      <c r="H79" s="109"/>
      <c r="I79" s="109"/>
      <c r="J79" s="109"/>
      <c r="K79" s="133"/>
      <c r="L79" s="118"/>
      <c r="M79" s="118"/>
      <c r="N79" s="119"/>
      <c r="O79" s="139" t="s">
        <v>461</v>
      </c>
      <c r="P79" s="133"/>
      <c r="Q79" s="119"/>
      <c r="R79" s="114"/>
      <c r="S79" s="119"/>
      <c r="T79" s="109"/>
      <c r="U79" s="109"/>
      <c r="V79" s="111"/>
      <c r="W79" s="109"/>
      <c r="X79" s="109"/>
      <c r="Y79" s="110"/>
      <c r="Z79" s="108"/>
      <c r="AA79" s="108"/>
      <c r="AB79" s="108"/>
      <c r="AC79" s="109"/>
      <c r="AD79" s="109"/>
      <c r="AE79" s="109"/>
      <c r="AJ79" s="109"/>
      <c r="AK79" s="109"/>
      <c r="AL79" s="109"/>
      <c r="AM79" s="109"/>
      <c r="AN79" s="109"/>
      <c r="AO79" s="109"/>
      <c r="AP79" s="109"/>
    </row>
    <row r="80" spans="5:42" x14ac:dyDescent="0.25">
      <c r="E80" s="109"/>
      <c r="F80" s="109"/>
      <c r="G80" s="109"/>
      <c r="H80" s="109"/>
      <c r="I80" s="109"/>
      <c r="J80" s="109"/>
      <c r="K80" s="113"/>
      <c r="L80" s="112"/>
      <c r="M80" s="112"/>
      <c r="N80" s="112"/>
      <c r="O80" s="114" t="s">
        <v>460</v>
      </c>
      <c r="P80" s="112"/>
      <c r="Q80" s="109"/>
      <c r="R80" s="111"/>
      <c r="S80" s="109"/>
      <c r="T80" s="109"/>
      <c r="U80" s="109"/>
      <c r="V80" s="109"/>
      <c r="W80" s="109"/>
      <c r="X80" s="109"/>
      <c r="Y80" s="110"/>
      <c r="AC80" s="109"/>
      <c r="AD80" s="109"/>
      <c r="AE80" s="109"/>
      <c r="AJ80" s="109"/>
      <c r="AK80" s="109"/>
      <c r="AL80" s="109"/>
      <c r="AM80" s="109"/>
      <c r="AN80" s="109"/>
      <c r="AO80" s="109"/>
      <c r="AP80" s="109"/>
    </row>
    <row r="81" spans="5:42" x14ac:dyDescent="0.25">
      <c r="E81" s="109"/>
      <c r="F81" s="109"/>
      <c r="G81" s="109"/>
      <c r="H81" s="109"/>
      <c r="I81" s="109"/>
      <c r="J81" s="109"/>
      <c r="K81" s="113"/>
      <c r="L81" s="112"/>
      <c r="M81" s="112"/>
      <c r="N81" s="112"/>
      <c r="P81" s="112"/>
      <c r="Q81" s="109"/>
      <c r="R81" s="111"/>
      <c r="S81" s="109"/>
      <c r="T81" s="109"/>
      <c r="U81" s="109"/>
      <c r="V81" s="114"/>
      <c r="W81" s="119"/>
      <c r="X81" s="119"/>
      <c r="Y81" s="118"/>
      <c r="Z81" s="120"/>
      <c r="AA81" s="120"/>
      <c r="AB81" s="120"/>
      <c r="AC81" s="109"/>
      <c r="AD81" s="109"/>
      <c r="AE81" s="109"/>
      <c r="AJ81" s="109"/>
      <c r="AK81" s="109"/>
      <c r="AL81" s="109"/>
      <c r="AM81" s="109"/>
      <c r="AN81" s="109"/>
      <c r="AO81" s="109"/>
      <c r="AP81" s="109"/>
    </row>
    <row r="82" spans="5:42" x14ac:dyDescent="0.25">
      <c r="E82" s="109"/>
      <c r="F82" s="109"/>
      <c r="G82" s="109"/>
      <c r="H82" s="109"/>
      <c r="I82" s="109"/>
      <c r="J82" s="114"/>
      <c r="K82" s="133"/>
      <c r="L82" s="118"/>
      <c r="M82" s="118"/>
      <c r="N82" s="119"/>
      <c r="O82" s="137" t="s">
        <v>459</v>
      </c>
      <c r="P82" s="133"/>
      <c r="Q82" s="119"/>
      <c r="R82" s="114"/>
      <c r="S82" s="119"/>
      <c r="T82" s="119"/>
      <c r="U82" s="119"/>
      <c r="V82" s="109"/>
      <c r="W82" s="109"/>
      <c r="X82" s="109"/>
      <c r="Y82" s="110"/>
      <c r="AB82" s="140"/>
      <c r="AC82" s="109"/>
      <c r="AD82" s="109"/>
      <c r="AE82" s="109"/>
      <c r="AJ82" s="109"/>
      <c r="AK82" s="109"/>
      <c r="AL82" s="109"/>
      <c r="AM82" s="109"/>
      <c r="AN82" s="109"/>
      <c r="AO82" s="109"/>
      <c r="AP82" s="109"/>
    </row>
    <row r="83" spans="5:42" x14ac:dyDescent="0.25">
      <c r="E83" s="109"/>
      <c r="F83" s="109"/>
      <c r="G83" s="109"/>
      <c r="H83" s="109"/>
      <c r="I83" s="109"/>
      <c r="J83" s="109"/>
      <c r="K83" s="113"/>
      <c r="L83" s="112"/>
      <c r="M83" s="112"/>
      <c r="N83" s="112"/>
      <c r="O83" s="114" t="s">
        <v>458</v>
      </c>
      <c r="P83" s="112"/>
      <c r="Q83" s="109"/>
      <c r="R83" s="111"/>
      <c r="S83" s="109"/>
      <c r="T83" s="109"/>
      <c r="U83" s="114"/>
      <c r="V83" s="119"/>
      <c r="W83" s="119"/>
      <c r="X83" s="119"/>
      <c r="Y83" s="118"/>
      <c r="Z83" s="117"/>
      <c r="AA83" s="139" t="s">
        <v>457</v>
      </c>
      <c r="AB83" s="138"/>
      <c r="AC83" s="109"/>
      <c r="AD83" s="109"/>
      <c r="AE83" s="109"/>
      <c r="AJ83" s="109"/>
      <c r="AK83" s="109"/>
      <c r="AL83" s="109"/>
      <c r="AM83" s="109"/>
      <c r="AN83" s="109"/>
      <c r="AO83" s="109"/>
      <c r="AP83" s="109"/>
    </row>
    <row r="84" spans="5:42" x14ac:dyDescent="0.25">
      <c r="E84" s="109"/>
      <c r="F84" s="109"/>
      <c r="G84" s="109"/>
      <c r="H84" s="109"/>
      <c r="I84" s="109"/>
      <c r="J84" s="109"/>
      <c r="K84" s="113"/>
      <c r="L84" s="112"/>
      <c r="M84" s="112"/>
      <c r="N84" s="112"/>
      <c r="P84" s="112"/>
      <c r="Q84" s="109"/>
      <c r="R84" s="111"/>
      <c r="S84" s="109"/>
      <c r="T84" s="109"/>
      <c r="U84" s="109"/>
      <c r="V84" s="109"/>
      <c r="W84" s="109"/>
      <c r="X84" s="109"/>
      <c r="Y84" s="110"/>
      <c r="AA84" s="114" t="str">
        <f>"X"&amp;$T$2&amp;"EXP"</f>
        <v>XISIELCEXP</v>
      </c>
      <c r="AB84" s="113"/>
      <c r="AC84" s="109"/>
      <c r="AD84" s="109"/>
      <c r="AE84" s="109"/>
      <c r="AJ84" s="109"/>
      <c r="AK84" s="109"/>
      <c r="AL84" s="109"/>
      <c r="AM84" s="109"/>
      <c r="AN84" s="109"/>
      <c r="AO84" s="109"/>
      <c r="AP84" s="109"/>
    </row>
    <row r="85" spans="5:42" x14ac:dyDescent="0.25">
      <c r="E85" s="109"/>
      <c r="F85" s="109"/>
      <c r="G85" s="109"/>
      <c r="H85" s="109"/>
      <c r="I85" s="109"/>
      <c r="J85" s="109"/>
      <c r="K85" s="113"/>
      <c r="L85" s="112"/>
      <c r="M85" s="112"/>
      <c r="N85" s="112"/>
      <c r="O85" s="137" t="s">
        <v>456</v>
      </c>
      <c r="P85" s="133"/>
      <c r="Q85" s="119"/>
      <c r="R85" s="114"/>
      <c r="S85" s="119"/>
      <c r="T85" s="119"/>
      <c r="U85" s="119"/>
      <c r="V85" s="109"/>
      <c r="W85" s="109"/>
      <c r="X85" s="109"/>
      <c r="Y85" s="110"/>
      <c r="AC85" s="109"/>
      <c r="AD85" s="109"/>
      <c r="AE85" s="109"/>
      <c r="AJ85" s="109"/>
      <c r="AK85" s="109"/>
      <c r="AL85" s="109"/>
      <c r="AM85" s="109"/>
      <c r="AN85" s="109"/>
      <c r="AO85" s="109"/>
      <c r="AP85" s="109"/>
    </row>
    <row r="86" spans="5:42" x14ac:dyDescent="0.25">
      <c r="E86" s="109"/>
      <c r="F86" s="109"/>
      <c r="G86" s="109"/>
      <c r="H86" s="109"/>
      <c r="I86" s="109"/>
      <c r="J86" s="109"/>
      <c r="K86" s="113"/>
      <c r="L86" s="112"/>
      <c r="M86" s="112"/>
      <c r="N86" s="112"/>
      <c r="O86" s="114" t="s">
        <v>455</v>
      </c>
      <c r="P86" s="112"/>
      <c r="Q86" s="109"/>
      <c r="R86" s="111"/>
      <c r="S86" s="109"/>
      <c r="T86" s="109"/>
      <c r="U86" s="109"/>
      <c r="V86" s="109"/>
      <c r="W86" s="109"/>
      <c r="X86" s="109"/>
      <c r="Y86" s="110"/>
      <c r="AC86" s="109"/>
      <c r="AD86" s="109"/>
      <c r="AE86" s="109"/>
      <c r="AF86" s="120"/>
      <c r="AG86" s="120"/>
      <c r="AH86" s="117"/>
      <c r="AI86" s="139" t="s">
        <v>464</v>
      </c>
      <c r="AJ86" s="119"/>
      <c r="AK86" s="119"/>
      <c r="AL86" s="119"/>
      <c r="AM86" s="119"/>
      <c r="AN86" s="119"/>
      <c r="AO86" s="119"/>
      <c r="AP86" s="119"/>
    </row>
    <row r="87" spans="5:42" x14ac:dyDescent="0.25">
      <c r="E87" s="109"/>
      <c r="F87" s="109"/>
      <c r="G87" s="109"/>
      <c r="H87" s="109"/>
      <c r="I87" s="109"/>
      <c r="J87" s="109"/>
      <c r="K87" s="113"/>
      <c r="L87" s="112"/>
      <c r="M87" s="112"/>
      <c r="N87" s="112"/>
      <c r="P87" s="112"/>
      <c r="Q87" s="109"/>
      <c r="R87" s="111"/>
      <c r="S87" s="109"/>
      <c r="T87" s="109"/>
      <c r="U87" s="109"/>
      <c r="V87" s="109"/>
      <c r="W87" s="109"/>
      <c r="X87" s="109"/>
      <c r="Y87" s="110"/>
      <c r="AC87" s="109"/>
      <c r="AD87" s="109"/>
      <c r="AE87" s="109"/>
      <c r="AI87" s="114" t="s">
        <v>462</v>
      </c>
      <c r="AJ87" s="109"/>
      <c r="AK87" s="109"/>
      <c r="AL87" s="109"/>
      <c r="AM87" s="109"/>
      <c r="AN87" s="109"/>
      <c r="AO87" s="109"/>
      <c r="AP87" s="109"/>
    </row>
    <row r="88" spans="5:42" x14ac:dyDescent="0.25">
      <c r="E88" s="109"/>
      <c r="F88" s="109"/>
      <c r="G88" s="109"/>
      <c r="H88" s="109"/>
      <c r="I88" s="109"/>
      <c r="J88" s="109"/>
      <c r="K88" s="113"/>
      <c r="L88" s="112"/>
      <c r="M88" s="112"/>
      <c r="N88" s="112"/>
      <c r="O88" s="137" t="s">
        <v>454</v>
      </c>
      <c r="P88" s="133"/>
      <c r="Q88" s="119"/>
      <c r="R88" s="114"/>
      <c r="S88" s="119"/>
      <c r="T88" s="119"/>
      <c r="U88" s="119"/>
      <c r="V88" s="109"/>
      <c r="W88" s="109"/>
      <c r="X88" s="109"/>
      <c r="Y88" s="110"/>
      <c r="AC88" s="109"/>
      <c r="AD88" s="109"/>
      <c r="AE88" s="109"/>
      <c r="AJ88" s="109"/>
      <c r="AK88" s="109"/>
      <c r="AL88" s="109"/>
      <c r="AM88" s="109"/>
      <c r="AN88" s="109"/>
      <c r="AO88" s="109"/>
      <c r="AP88" s="109"/>
    </row>
    <row r="89" spans="5:42" x14ac:dyDescent="0.25">
      <c r="E89" s="109"/>
      <c r="F89" s="109"/>
      <c r="G89" s="109"/>
      <c r="H89" s="109"/>
      <c r="I89" s="109"/>
      <c r="J89" s="109"/>
      <c r="K89" s="113"/>
      <c r="L89" s="112"/>
      <c r="M89" s="112"/>
      <c r="N89" s="112"/>
      <c r="O89" s="114" t="s">
        <v>453</v>
      </c>
      <c r="P89" s="112"/>
      <c r="Q89" s="109"/>
      <c r="R89" s="111"/>
      <c r="S89" s="109"/>
      <c r="T89" s="109"/>
      <c r="U89" s="109"/>
      <c r="V89" s="114"/>
      <c r="W89" s="119"/>
      <c r="X89" s="119"/>
      <c r="Y89" s="118"/>
      <c r="Z89" s="117"/>
      <c r="AA89" s="136" t="s">
        <v>452</v>
      </c>
      <c r="AB89" s="135"/>
      <c r="AC89" s="119"/>
      <c r="AD89" s="119"/>
      <c r="AE89" s="119"/>
      <c r="AJ89" s="109"/>
      <c r="AK89" s="109"/>
      <c r="AL89" s="109"/>
      <c r="AM89" s="109"/>
      <c r="AN89" s="109"/>
      <c r="AO89" s="109"/>
      <c r="AP89" s="109"/>
    </row>
    <row r="90" spans="5:42" x14ac:dyDescent="0.25">
      <c r="E90" s="109"/>
      <c r="F90" s="109"/>
      <c r="G90" s="109"/>
      <c r="H90" s="109"/>
      <c r="I90" s="109"/>
      <c r="J90" s="109"/>
      <c r="K90" s="113"/>
      <c r="L90" s="112"/>
      <c r="M90" s="112"/>
      <c r="N90" s="112"/>
      <c r="P90" s="112"/>
      <c r="Q90" s="109"/>
      <c r="R90" s="111"/>
      <c r="S90" s="109"/>
      <c r="T90" s="109"/>
      <c r="U90" s="109"/>
      <c r="V90" s="109"/>
      <c r="W90" s="109"/>
      <c r="X90" s="109"/>
      <c r="Y90" s="110"/>
      <c r="AA90" s="114" t="s">
        <v>451</v>
      </c>
      <c r="AB90" s="113"/>
      <c r="AC90" s="109"/>
      <c r="AD90" s="109"/>
      <c r="AE90" s="109"/>
      <c r="AJ90" s="109"/>
      <c r="AK90" s="109"/>
      <c r="AL90" s="109"/>
      <c r="AM90" s="109"/>
      <c r="AN90" s="109"/>
      <c r="AO90" s="109"/>
      <c r="AP90" s="109"/>
    </row>
    <row r="91" spans="5:42" x14ac:dyDescent="0.25">
      <c r="E91" s="109"/>
      <c r="F91" s="109"/>
      <c r="G91" s="109"/>
      <c r="H91" s="109"/>
      <c r="I91" s="109"/>
      <c r="J91" s="109"/>
      <c r="K91" s="113"/>
      <c r="L91" s="112"/>
      <c r="M91" s="112"/>
      <c r="N91" s="119"/>
      <c r="O91" s="134" t="s">
        <v>450</v>
      </c>
      <c r="P91" s="133"/>
      <c r="Q91" s="119"/>
      <c r="R91" s="114"/>
      <c r="S91" s="119"/>
      <c r="T91" s="119"/>
      <c r="U91" s="119"/>
      <c r="V91" s="109"/>
      <c r="W91" s="109"/>
      <c r="X91" s="109"/>
      <c r="Y91" s="110"/>
      <c r="AC91" s="109"/>
      <c r="AD91" s="109"/>
      <c r="AE91" s="109"/>
      <c r="AJ91" s="109"/>
      <c r="AK91" s="109"/>
      <c r="AL91" s="109"/>
      <c r="AM91" s="109"/>
      <c r="AN91" s="109"/>
      <c r="AO91" s="109"/>
      <c r="AP91" s="109"/>
    </row>
    <row r="92" spans="5:42" x14ac:dyDescent="0.25">
      <c r="E92" s="109"/>
      <c r="F92" s="109"/>
      <c r="G92" s="109"/>
      <c r="H92" s="109"/>
      <c r="I92" s="109"/>
      <c r="J92" s="109"/>
      <c r="K92" s="113"/>
      <c r="L92" s="112"/>
      <c r="M92" s="112"/>
      <c r="N92" s="113"/>
      <c r="O92" s="114" t="s">
        <v>449</v>
      </c>
      <c r="P92" s="112"/>
      <c r="Q92" s="109"/>
      <c r="R92" s="111"/>
      <c r="S92" s="109"/>
      <c r="T92" s="109"/>
      <c r="U92" s="109"/>
      <c r="V92" s="109"/>
      <c r="W92" s="109"/>
      <c r="X92" s="109"/>
      <c r="Y92" s="110"/>
      <c r="AC92" s="109"/>
      <c r="AD92" s="109"/>
      <c r="AE92" s="109"/>
      <c r="AJ92" s="109"/>
      <c r="AK92" s="109"/>
      <c r="AL92" s="109"/>
      <c r="AM92" s="109"/>
      <c r="AN92" s="109"/>
      <c r="AO92" s="109"/>
      <c r="AP92" s="109"/>
    </row>
    <row r="93" spans="5:42" x14ac:dyDescent="0.25">
      <c r="E93" s="109"/>
      <c r="F93" s="109"/>
      <c r="G93" s="109"/>
      <c r="H93" s="109"/>
      <c r="I93" s="109"/>
      <c r="J93" s="109"/>
      <c r="K93" s="113"/>
      <c r="L93" s="112"/>
      <c r="M93" s="112"/>
      <c r="N93" s="133"/>
      <c r="O93" s="120"/>
      <c r="P93" s="118"/>
      <c r="Q93" s="119"/>
      <c r="R93" s="114"/>
      <c r="S93" s="119"/>
      <c r="T93" s="119"/>
      <c r="U93" s="119"/>
      <c r="V93" s="109"/>
      <c r="W93" s="109"/>
      <c r="X93" s="109"/>
      <c r="Y93" s="110"/>
      <c r="AC93" s="109"/>
      <c r="AD93" s="109"/>
      <c r="AE93" s="109"/>
      <c r="AJ93" s="109"/>
      <c r="AK93" s="109"/>
      <c r="AL93" s="109"/>
      <c r="AM93" s="109"/>
      <c r="AN93" s="109"/>
      <c r="AO93" s="109"/>
      <c r="AP93" s="109"/>
    </row>
    <row r="94" spans="5:42" x14ac:dyDescent="0.25">
      <c r="E94" s="109"/>
      <c r="F94" s="109"/>
      <c r="G94" s="109"/>
      <c r="H94" s="109"/>
      <c r="I94" s="109"/>
      <c r="J94" s="109"/>
      <c r="K94" s="113"/>
      <c r="L94" s="112"/>
      <c r="M94" s="112"/>
      <c r="O94" s="108"/>
      <c r="P94" s="110"/>
      <c r="Q94" s="109"/>
      <c r="R94" s="111"/>
      <c r="S94" s="109"/>
      <c r="T94" s="109"/>
      <c r="U94" s="109"/>
      <c r="V94" s="109"/>
      <c r="W94" s="109"/>
      <c r="X94" s="109"/>
      <c r="Y94" s="110"/>
      <c r="AC94" s="109"/>
      <c r="AD94" s="109"/>
      <c r="AE94" s="109"/>
      <c r="AJ94" s="109"/>
      <c r="AK94" s="109"/>
      <c r="AL94" s="109"/>
      <c r="AM94" s="109"/>
      <c r="AN94" s="109"/>
      <c r="AO94" s="109"/>
      <c r="AP94" s="109"/>
    </row>
    <row r="95" spans="5:42" x14ac:dyDescent="0.25">
      <c r="E95" s="109"/>
      <c r="F95" s="109"/>
      <c r="G95" s="109"/>
      <c r="H95" s="109"/>
      <c r="I95" s="109"/>
      <c r="J95" s="109"/>
      <c r="K95" s="113"/>
      <c r="L95" s="112"/>
      <c r="M95" s="112"/>
      <c r="O95" s="108"/>
      <c r="P95" s="110"/>
      <c r="Q95" s="109"/>
      <c r="R95" s="111"/>
      <c r="S95" s="109"/>
      <c r="T95" s="109"/>
      <c r="U95" s="109"/>
      <c r="V95" s="109"/>
      <c r="W95" s="109"/>
      <c r="X95" s="109"/>
      <c r="Y95" s="110"/>
      <c r="AC95" s="109"/>
      <c r="AD95" s="109"/>
      <c r="AE95" s="109"/>
      <c r="AJ95" s="109"/>
      <c r="AK95" s="109"/>
      <c r="AL95" s="109"/>
      <c r="AM95" s="109"/>
      <c r="AN95" s="109"/>
      <c r="AO95" s="109"/>
      <c r="AP95" s="109"/>
    </row>
    <row r="96" spans="5:42" x14ac:dyDescent="0.25">
      <c r="E96" s="109"/>
      <c r="F96" s="109"/>
      <c r="G96" s="109"/>
      <c r="H96" s="109"/>
      <c r="I96" s="109"/>
      <c r="J96" s="109"/>
      <c r="K96" s="113"/>
      <c r="L96" s="112"/>
      <c r="M96" s="112"/>
      <c r="O96" s="108"/>
      <c r="P96" s="110"/>
      <c r="Q96" s="109"/>
      <c r="R96" s="111"/>
      <c r="S96" s="109"/>
      <c r="T96" s="109"/>
      <c r="U96" s="109"/>
      <c r="V96" s="109"/>
      <c r="W96" s="109"/>
      <c r="X96" s="109"/>
      <c r="Y96" s="110"/>
      <c r="AC96" s="109"/>
      <c r="AD96" s="109"/>
      <c r="AE96" s="109"/>
      <c r="AJ96" s="109"/>
      <c r="AK96" s="109"/>
      <c r="AL96" s="111"/>
      <c r="AM96" s="109"/>
      <c r="AN96" s="111"/>
      <c r="AO96" s="111"/>
      <c r="AP96" s="111"/>
    </row>
    <row r="97" spans="5:42" x14ac:dyDescent="0.25">
      <c r="E97" s="109"/>
      <c r="F97" s="109"/>
      <c r="G97" s="109"/>
      <c r="H97" s="109"/>
      <c r="I97" s="109"/>
      <c r="J97" s="109"/>
      <c r="K97" s="113"/>
      <c r="L97" s="112"/>
      <c r="M97" s="112"/>
      <c r="O97" s="108"/>
      <c r="P97" s="110"/>
      <c r="Q97" s="109"/>
      <c r="R97" s="111"/>
      <c r="S97" s="109"/>
      <c r="T97" s="109"/>
      <c r="U97" s="109"/>
      <c r="V97" s="109"/>
      <c r="W97" s="109"/>
      <c r="X97" s="109"/>
      <c r="Y97" s="132"/>
      <c r="Z97" s="131"/>
      <c r="AA97" s="131"/>
      <c r="AB97" s="131"/>
      <c r="AC97" s="130"/>
      <c r="AD97" s="130"/>
      <c r="AE97" s="130"/>
      <c r="AF97" s="129"/>
      <c r="AJ97" s="109"/>
      <c r="AK97" s="109"/>
      <c r="AL97" s="109"/>
      <c r="AM97" s="109"/>
      <c r="AN97" s="109"/>
      <c r="AO97" s="109"/>
      <c r="AP97" s="109"/>
    </row>
    <row r="98" spans="5:42" x14ac:dyDescent="0.25">
      <c r="E98" s="109"/>
      <c r="F98" s="109"/>
      <c r="G98" s="109"/>
      <c r="H98" s="109"/>
      <c r="I98" s="109"/>
      <c r="J98" s="109"/>
      <c r="K98" s="113"/>
      <c r="L98" s="112"/>
      <c r="M98" s="112"/>
      <c r="O98" s="108"/>
      <c r="P98" s="110"/>
      <c r="Q98" s="109"/>
      <c r="R98" s="111"/>
      <c r="S98" s="109"/>
      <c r="T98" s="109"/>
      <c r="U98" s="109"/>
      <c r="V98" s="114"/>
      <c r="W98" s="119"/>
      <c r="X98" s="119"/>
      <c r="Y98" s="118"/>
      <c r="Z98" s="117"/>
      <c r="AA98" s="128" t="s">
        <v>448</v>
      </c>
      <c r="AB98" s="127"/>
      <c r="AC98" s="119"/>
      <c r="AD98" s="114"/>
      <c r="AE98" s="114"/>
      <c r="AF98" s="116"/>
      <c r="AI98" s="108"/>
      <c r="AJ98" s="109"/>
      <c r="AK98" s="109"/>
      <c r="AL98" s="111"/>
      <c r="AM98" s="109"/>
      <c r="AN98" s="111"/>
      <c r="AO98" s="111"/>
      <c r="AP98" s="111"/>
    </row>
    <row r="99" spans="5:42" x14ac:dyDescent="0.25">
      <c r="E99" s="109"/>
      <c r="F99" s="109"/>
      <c r="G99" s="109"/>
      <c r="H99" s="109"/>
      <c r="I99" s="109"/>
      <c r="J99" s="109"/>
      <c r="K99" s="113"/>
      <c r="L99" s="112"/>
      <c r="M99" s="112"/>
      <c r="O99" s="108"/>
      <c r="P99" s="110"/>
      <c r="Q99" s="109"/>
      <c r="R99" s="111"/>
      <c r="S99" s="109"/>
      <c r="T99" s="109"/>
      <c r="U99" s="109"/>
      <c r="V99" s="109"/>
      <c r="W99" s="126"/>
      <c r="X99" s="126"/>
      <c r="Y99" s="125"/>
      <c r="Z99" s="124"/>
      <c r="AA99" s="123"/>
      <c r="AB99" s="122"/>
      <c r="AC99" s="119"/>
      <c r="AD99" s="119"/>
      <c r="AE99" s="119"/>
      <c r="AF99" s="121"/>
      <c r="AI99" s="72" t="s">
        <v>447</v>
      </c>
      <c r="AJ99" s="111"/>
      <c r="AK99" s="111"/>
      <c r="AL99" s="111"/>
      <c r="AM99" s="111"/>
      <c r="AN99" s="111"/>
      <c r="AO99" s="111"/>
      <c r="AP99" s="111"/>
    </row>
    <row r="100" spans="5:42" x14ac:dyDescent="0.25">
      <c r="E100" s="109"/>
      <c r="F100" s="109"/>
      <c r="G100" s="109"/>
      <c r="H100" s="109"/>
      <c r="I100" s="109"/>
      <c r="J100" s="109"/>
      <c r="K100" s="113"/>
      <c r="L100" s="112"/>
      <c r="M100" s="112"/>
      <c r="O100" s="108"/>
      <c r="P100" s="110"/>
      <c r="Q100" s="109"/>
      <c r="R100" s="111"/>
      <c r="S100" s="114"/>
      <c r="T100" s="119"/>
      <c r="U100" s="119"/>
      <c r="V100" s="119"/>
      <c r="W100" s="119"/>
      <c r="X100" s="119"/>
      <c r="Y100" s="118"/>
      <c r="Z100" s="117"/>
      <c r="AA100" s="116"/>
      <c r="AB100" s="115"/>
      <c r="AC100" s="109"/>
      <c r="AD100" s="109"/>
      <c r="AE100" s="109"/>
      <c r="AI100" s="72" t="s">
        <v>446</v>
      </c>
      <c r="AJ100" s="109"/>
      <c r="AK100" s="109"/>
      <c r="AL100" s="109"/>
      <c r="AM100" s="109"/>
      <c r="AN100" s="109"/>
      <c r="AO100" s="109"/>
      <c r="AP100" s="109"/>
    </row>
    <row r="101" spans="5:42" x14ac:dyDescent="0.25">
      <c r="E101" s="109"/>
      <c r="F101" s="109"/>
      <c r="G101" s="109"/>
      <c r="H101" s="109"/>
      <c r="I101" s="109"/>
      <c r="J101" s="109"/>
      <c r="K101" s="113"/>
      <c r="L101" s="112"/>
      <c r="M101" s="112"/>
      <c r="O101" s="108"/>
      <c r="P101" s="110"/>
      <c r="Q101" s="109"/>
      <c r="R101" s="114"/>
      <c r="S101" s="119"/>
      <c r="T101" s="119"/>
      <c r="U101" s="119"/>
      <c r="V101" s="119"/>
      <c r="W101" s="119"/>
      <c r="X101" s="119"/>
      <c r="Y101" s="118"/>
      <c r="Z101" s="117"/>
      <c r="AA101" s="116"/>
      <c r="AB101" s="115"/>
      <c r="AC101" s="109"/>
      <c r="AD101" s="109"/>
      <c r="AE101" s="109"/>
      <c r="AI101" s="72" t="s">
        <v>445</v>
      </c>
      <c r="AJ101" s="109"/>
      <c r="AK101" s="109"/>
      <c r="AL101" s="109"/>
      <c r="AM101" s="109"/>
      <c r="AN101" s="109"/>
      <c r="AO101" s="109"/>
      <c r="AP101" s="109"/>
    </row>
    <row r="102" spans="5:42" x14ac:dyDescent="0.25">
      <c r="E102" s="109"/>
      <c r="F102" s="109"/>
      <c r="G102" s="109"/>
      <c r="H102" s="114"/>
      <c r="I102" s="114"/>
      <c r="J102" s="119"/>
      <c r="K102" s="133"/>
      <c r="L102" s="118"/>
      <c r="M102" s="118"/>
      <c r="N102" s="120"/>
      <c r="O102" s="120"/>
      <c r="P102" s="118"/>
      <c r="Q102" s="119"/>
      <c r="R102" s="114"/>
      <c r="S102" s="119"/>
      <c r="T102" s="119"/>
      <c r="U102" s="119"/>
      <c r="V102" s="119"/>
      <c r="W102" s="119"/>
      <c r="X102" s="119"/>
      <c r="Y102" s="118"/>
      <c r="Z102" s="117"/>
      <c r="AA102" s="116"/>
      <c r="AB102" s="115"/>
      <c r="AC102" s="109"/>
      <c r="AD102" s="109"/>
      <c r="AE102" s="109"/>
      <c r="AJ102" s="109"/>
      <c r="AK102" s="109"/>
      <c r="AL102" s="109"/>
      <c r="AM102" s="109"/>
      <c r="AN102" s="109"/>
      <c r="AO102" s="109"/>
      <c r="AP102" s="109"/>
    </row>
    <row r="103" spans="5:42" x14ac:dyDescent="0.25">
      <c r="E103" s="109"/>
      <c r="F103" s="109"/>
      <c r="G103" s="109"/>
      <c r="H103" s="109"/>
      <c r="I103" s="109"/>
      <c r="J103" s="109"/>
      <c r="K103" s="113"/>
      <c r="L103" s="112"/>
      <c r="M103" s="112"/>
      <c r="O103" s="108"/>
      <c r="P103" s="110"/>
      <c r="Q103" s="109"/>
      <c r="R103" s="111"/>
      <c r="S103" s="109"/>
      <c r="T103" s="109"/>
      <c r="U103" s="109"/>
      <c r="V103" s="109"/>
      <c r="W103" s="109"/>
      <c r="X103" s="109"/>
      <c r="Y103" s="110"/>
      <c r="AA103" s="114" t="s">
        <v>444</v>
      </c>
      <c r="AB103" s="113"/>
      <c r="AC103" s="109"/>
      <c r="AD103" s="109"/>
      <c r="AE103" s="109"/>
      <c r="AJ103" s="109"/>
      <c r="AK103" s="109"/>
      <c r="AL103" s="109"/>
      <c r="AM103" s="109"/>
      <c r="AN103" s="109"/>
      <c r="AO103" s="109"/>
      <c r="AP103" s="109"/>
    </row>
    <row r="104" spans="5:42" x14ac:dyDescent="0.25">
      <c r="E104" s="109"/>
      <c r="F104" s="109"/>
      <c r="G104" s="109"/>
      <c r="H104" s="109"/>
      <c r="I104" s="109"/>
      <c r="J104" s="109"/>
      <c r="K104" s="113"/>
      <c r="L104" s="112"/>
      <c r="M104" s="112"/>
      <c r="O104" s="108"/>
      <c r="P104" s="110"/>
      <c r="Q104" s="109"/>
      <c r="R104" s="111"/>
      <c r="S104" s="109"/>
      <c r="T104" s="109"/>
      <c r="U104" s="109"/>
      <c r="V104" s="109"/>
      <c r="W104" s="109"/>
      <c r="X104" s="109"/>
      <c r="Y104" s="110"/>
      <c r="AC104" s="109"/>
      <c r="AD104" s="109"/>
      <c r="AE104" s="109"/>
      <c r="AJ104" s="109"/>
      <c r="AK104" s="109"/>
      <c r="AL104" s="109"/>
      <c r="AM104" s="109"/>
      <c r="AN104" s="109"/>
      <c r="AO104" s="109"/>
      <c r="AP104" s="109"/>
    </row>
    <row r="105" spans="5:42" x14ac:dyDescent="0.25">
      <c r="E105" s="109"/>
      <c r="F105" s="109"/>
      <c r="G105" s="109"/>
      <c r="H105" s="109"/>
      <c r="I105" s="109"/>
      <c r="J105" s="109"/>
      <c r="K105" s="113"/>
      <c r="L105" s="112"/>
      <c r="M105" s="112"/>
      <c r="O105" s="108"/>
      <c r="P105" s="110"/>
      <c r="Q105" s="109"/>
      <c r="R105" s="111"/>
      <c r="S105" s="109"/>
      <c r="T105" s="109"/>
      <c r="U105" s="109"/>
      <c r="V105" s="109"/>
      <c r="W105" s="109"/>
      <c r="X105" s="109"/>
      <c r="Y105" s="110"/>
      <c r="AC105" s="109"/>
      <c r="AD105" s="109"/>
      <c r="AE105" s="109"/>
      <c r="AJ105" s="109"/>
      <c r="AK105" s="109"/>
      <c r="AL105" s="109"/>
      <c r="AM105" s="109"/>
      <c r="AN105" s="109"/>
      <c r="AO105" s="109"/>
      <c r="AP105" s="109"/>
    </row>
    <row r="106" spans="5:42" x14ac:dyDescent="0.25">
      <c r="Y106" s="108"/>
    </row>
    <row r="107" spans="5:42" x14ac:dyDescent="0.25">
      <c r="Y107" s="108"/>
    </row>
    <row r="108" spans="5:42" x14ac:dyDescent="0.25">
      <c r="Y108" s="108"/>
    </row>
    <row r="109" spans="5:42" x14ac:dyDescent="0.25">
      <c r="Y109" s="108"/>
    </row>
    <row r="110" spans="5:42" x14ac:dyDescent="0.25">
      <c r="Y110" s="108"/>
    </row>
    <row r="111" spans="5:42" x14ac:dyDescent="0.25">
      <c r="Y111" s="108"/>
    </row>
    <row r="112" spans="5:42" x14ac:dyDescent="0.25">
      <c r="Y112" s="108"/>
    </row>
    <row r="113" spans="25:25" x14ac:dyDescent="0.25">
      <c r="Y113" s="108"/>
    </row>
    <row r="114" spans="25:25" x14ac:dyDescent="0.25">
      <c r="Y114" s="108"/>
    </row>
    <row r="115" spans="25:25" x14ac:dyDescent="0.25">
      <c r="Y115" s="108"/>
    </row>
    <row r="116" spans="25:25" x14ac:dyDescent="0.25">
      <c r="Y116" s="10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EAA11-5205-451C-AE55-D511FA8DE5B5}">
  <sheetPr codeName="Sheet35">
    <tabColor theme="9"/>
  </sheetPr>
  <dimension ref="C1:AT118"/>
  <sheetViews>
    <sheetView zoomScale="70" zoomScaleNormal="70" workbookViewId="0">
      <pane xSplit="4" ySplit="3" topLeftCell="E44" activePane="bottomRight" state="frozen"/>
      <selection activeCell="W2" sqref="W2"/>
      <selection pane="topRight" activeCell="W2" sqref="W2"/>
      <selection pane="bottomLeft" activeCell="W2" sqref="W2"/>
      <selection pane="bottomRight" activeCell="AI12" sqref="AI12"/>
    </sheetView>
  </sheetViews>
  <sheetFormatPr defaultRowHeight="15" x14ac:dyDescent="0.25"/>
  <cols>
    <col min="1" max="1" width="9.140625" style="72"/>
    <col min="2" max="2" width="9.140625" style="72" customWidth="1"/>
    <col min="3" max="3" width="20.7109375" style="72" customWidth="1"/>
    <col min="4" max="4" width="3.85546875" style="72" customWidth="1"/>
    <col min="5" max="10" width="3.5703125" style="72" customWidth="1"/>
    <col min="11" max="13" width="4" style="72" customWidth="1"/>
    <col min="14" max="14" width="4.5703125" style="72" customWidth="1"/>
    <col min="15" max="15" width="23.140625" style="72" customWidth="1"/>
    <col min="16" max="16" width="4" style="72" customWidth="1"/>
    <col min="17" max="25" width="3.5703125" style="72" customWidth="1"/>
    <col min="26" max="26" width="3.85546875" style="72" customWidth="1"/>
    <col min="27" max="27" width="25.42578125" style="72" customWidth="1"/>
    <col min="28" max="28" width="3.85546875" style="72" customWidth="1"/>
    <col min="29" max="31" width="3.5703125" style="72" customWidth="1"/>
    <col min="32" max="32" width="3.7109375" style="72" customWidth="1"/>
    <col min="33" max="33" width="3.85546875" style="72" customWidth="1"/>
    <col min="34" max="34" width="4" style="72" customWidth="1"/>
    <col min="35" max="35" width="25.5703125" style="72" customWidth="1"/>
    <col min="36" max="42" width="3.5703125" style="72" customWidth="1"/>
    <col min="43" max="16384" width="9.140625" style="72"/>
  </cols>
  <sheetData>
    <row r="1" spans="3:46" x14ac:dyDescent="0.25">
      <c r="D1" s="72" t="s">
        <v>509</v>
      </c>
      <c r="P1" s="72" t="s">
        <v>508</v>
      </c>
      <c r="AC1" s="72" t="s">
        <v>507</v>
      </c>
      <c r="AJ1" s="206" t="s">
        <v>664</v>
      </c>
    </row>
    <row r="2" spans="3:46" ht="84" customHeight="1" x14ac:dyDescent="0.25">
      <c r="C2" s="112"/>
      <c r="E2" s="161" t="s">
        <v>506</v>
      </c>
      <c r="F2" s="161" t="s">
        <v>505</v>
      </c>
      <c r="G2" s="342" t="s">
        <v>968</v>
      </c>
      <c r="H2" s="204" t="s">
        <v>675</v>
      </c>
      <c r="I2" s="161" t="s">
        <v>504</v>
      </c>
      <c r="J2" s="161" t="s">
        <v>503</v>
      </c>
      <c r="K2" s="162"/>
      <c r="L2" s="163"/>
      <c r="M2" s="163"/>
      <c r="N2" s="163"/>
      <c r="O2" s="112"/>
      <c r="Q2" s="204" t="s">
        <v>666</v>
      </c>
      <c r="R2" s="325" t="s">
        <v>943</v>
      </c>
      <c r="S2" s="299" t="s">
        <v>876</v>
      </c>
      <c r="T2" s="161" t="s">
        <v>501</v>
      </c>
      <c r="U2" s="161" t="s">
        <v>500</v>
      </c>
      <c r="V2" s="161" t="s">
        <v>499</v>
      </c>
      <c r="W2" s="325" t="s">
        <v>937</v>
      </c>
      <c r="X2" s="325" t="s">
        <v>938</v>
      </c>
      <c r="Y2" s="162"/>
      <c r="AA2" s="112"/>
      <c r="AB2" s="112"/>
      <c r="AC2" s="161" t="s">
        <v>497</v>
      </c>
      <c r="AD2" s="161" t="s">
        <v>498</v>
      </c>
      <c r="AE2" s="161" t="s">
        <v>133</v>
      </c>
      <c r="AJ2" s="161" t="s">
        <v>602</v>
      </c>
      <c r="AK2" s="161" t="s">
        <v>601</v>
      </c>
      <c r="AL2" s="325" t="s">
        <v>941</v>
      </c>
      <c r="AM2" s="204" t="s">
        <v>483</v>
      </c>
      <c r="AN2" s="161" t="s">
        <v>496</v>
      </c>
      <c r="AO2" s="299" t="s">
        <v>502</v>
      </c>
      <c r="AP2" s="325" t="s">
        <v>940</v>
      </c>
    </row>
    <row r="3" spans="3:46" ht="97.5" customHeight="1" x14ac:dyDescent="0.25">
      <c r="C3" s="112" t="s">
        <v>495</v>
      </c>
      <c r="E3" s="161" t="s">
        <v>482</v>
      </c>
      <c r="F3" s="325" t="s">
        <v>935</v>
      </c>
      <c r="G3" s="342" t="s">
        <v>967</v>
      </c>
      <c r="H3" s="204" t="s">
        <v>674</v>
      </c>
      <c r="I3" s="161" t="s">
        <v>474</v>
      </c>
      <c r="J3" s="161" t="s">
        <v>470</v>
      </c>
      <c r="K3" s="162"/>
      <c r="L3" s="163"/>
      <c r="M3" s="163"/>
      <c r="N3" s="163"/>
      <c r="O3" s="112" t="s">
        <v>493</v>
      </c>
      <c r="Q3" s="161" t="s">
        <v>492</v>
      </c>
      <c r="R3" s="325" t="s">
        <v>942</v>
      </c>
      <c r="S3" s="299" t="s">
        <v>875</v>
      </c>
      <c r="T3" s="161" t="s">
        <v>490</v>
      </c>
      <c r="U3" s="161" t="s">
        <v>489</v>
      </c>
      <c r="V3" s="274" t="s">
        <v>767</v>
      </c>
      <c r="W3" s="351" t="s">
        <v>987</v>
      </c>
      <c r="X3" s="351" t="s">
        <v>1032</v>
      </c>
      <c r="Y3" s="162"/>
      <c r="AA3" s="112" t="s">
        <v>488</v>
      </c>
      <c r="AB3" s="112"/>
      <c r="AC3" s="161" t="s">
        <v>486</v>
      </c>
      <c r="AD3" s="161" t="s">
        <v>487</v>
      </c>
      <c r="AE3" s="161" t="s">
        <v>134</v>
      </c>
      <c r="AJ3" s="161" t="s">
        <v>599</v>
      </c>
      <c r="AK3" s="161" t="s">
        <v>600</v>
      </c>
      <c r="AL3" s="204" t="s">
        <v>665</v>
      </c>
      <c r="AM3" s="204" t="s">
        <v>620</v>
      </c>
      <c r="AN3" s="161" t="s">
        <v>464</v>
      </c>
      <c r="AO3" s="325" t="s">
        <v>939</v>
      </c>
      <c r="AP3" s="351" t="s">
        <v>986</v>
      </c>
    </row>
    <row r="4" spans="3:46" x14ac:dyDescent="0.25">
      <c r="E4" s="109"/>
      <c r="F4" s="109"/>
      <c r="G4" s="109"/>
      <c r="H4" s="109"/>
      <c r="I4" s="109"/>
      <c r="J4" s="109"/>
      <c r="K4" s="113"/>
      <c r="L4" s="112"/>
      <c r="M4" s="112"/>
      <c r="N4" s="112"/>
      <c r="Q4" s="109"/>
      <c r="R4" s="109"/>
      <c r="S4" s="109"/>
      <c r="T4" s="109"/>
      <c r="U4" s="109"/>
      <c r="V4" s="109"/>
      <c r="W4" s="109"/>
      <c r="X4" s="109"/>
      <c r="Y4" s="110"/>
      <c r="AC4" s="109"/>
      <c r="AD4" s="109"/>
      <c r="AE4" s="109"/>
      <c r="AJ4" s="109"/>
      <c r="AK4" s="109"/>
      <c r="AL4" s="109"/>
      <c r="AM4" s="109"/>
      <c r="AN4" s="109"/>
      <c r="AO4" s="109"/>
      <c r="AP4" s="109"/>
    </row>
    <row r="5" spans="3:46" x14ac:dyDescent="0.25">
      <c r="D5" s="112"/>
      <c r="E5" s="109"/>
      <c r="F5" s="109"/>
      <c r="G5" s="114"/>
      <c r="H5" s="114"/>
      <c r="I5" s="114"/>
      <c r="J5" s="119"/>
      <c r="K5" s="133"/>
      <c r="L5" s="118"/>
      <c r="M5" s="118"/>
      <c r="N5" s="119"/>
      <c r="O5" s="139" t="s">
        <v>485</v>
      </c>
      <c r="P5" s="133"/>
      <c r="Q5" s="119"/>
      <c r="R5" s="140"/>
      <c r="S5" s="140"/>
      <c r="T5" s="140"/>
      <c r="U5" s="140"/>
      <c r="V5" s="140"/>
      <c r="W5" s="140"/>
      <c r="X5" s="140"/>
      <c r="Y5" s="108"/>
      <c r="AA5" s="112"/>
      <c r="AB5" s="112"/>
      <c r="AC5" s="109"/>
      <c r="AD5" s="114"/>
      <c r="AE5" s="114"/>
      <c r="AF5" s="120"/>
      <c r="AG5" s="120"/>
      <c r="AH5" s="117"/>
      <c r="AI5" s="137" t="s">
        <v>484</v>
      </c>
      <c r="AJ5" s="114"/>
      <c r="AK5" s="114"/>
      <c r="AL5" s="114"/>
      <c r="AM5" s="114"/>
      <c r="AN5" s="109"/>
      <c r="AO5" s="109"/>
      <c r="AP5" s="109"/>
      <c r="AT5" s="160"/>
    </row>
    <row r="6" spans="3:46" x14ac:dyDescent="0.25">
      <c r="C6" s="112"/>
      <c r="D6" s="112"/>
      <c r="E6" s="109"/>
      <c r="F6" s="109"/>
      <c r="G6" s="109"/>
      <c r="H6" s="109"/>
      <c r="I6" s="109"/>
      <c r="J6" s="109"/>
      <c r="K6" s="132"/>
      <c r="L6" s="144"/>
      <c r="M6" s="125"/>
      <c r="N6" s="152"/>
      <c r="O6" s="159"/>
      <c r="P6" s="133"/>
      <c r="Q6" s="119"/>
      <c r="R6" s="114"/>
      <c r="S6" s="109"/>
      <c r="T6" s="109"/>
      <c r="U6" s="114"/>
      <c r="V6" s="114"/>
      <c r="W6" s="119"/>
      <c r="X6" s="119"/>
      <c r="Y6" s="118"/>
      <c r="Z6" s="120"/>
      <c r="AA6" s="120"/>
      <c r="AB6" s="120"/>
      <c r="AC6" s="109"/>
      <c r="AD6" s="109"/>
      <c r="AE6" s="109"/>
      <c r="AI6" s="210" t="s">
        <v>718</v>
      </c>
      <c r="AJ6" s="109"/>
      <c r="AK6" s="109"/>
      <c r="AL6" s="109"/>
      <c r="AM6" s="109"/>
      <c r="AN6" s="109"/>
      <c r="AO6" s="109"/>
      <c r="AP6" s="109"/>
      <c r="AT6" s="156"/>
    </row>
    <row r="7" spans="3:46" x14ac:dyDescent="0.25">
      <c r="C7" s="139" t="s">
        <v>670</v>
      </c>
      <c r="D7" s="133"/>
      <c r="E7" s="119"/>
      <c r="F7" s="109"/>
      <c r="G7" s="109"/>
      <c r="H7" s="109"/>
      <c r="I7" s="109"/>
      <c r="J7" s="109"/>
      <c r="K7" s="113"/>
      <c r="L7" s="112"/>
      <c r="M7" s="132"/>
      <c r="N7" s="152"/>
      <c r="O7" s="116"/>
      <c r="R7" s="129"/>
      <c r="S7" s="109"/>
      <c r="T7" s="109"/>
      <c r="U7" s="109"/>
      <c r="V7" s="109"/>
      <c r="W7" s="109"/>
      <c r="X7" s="109"/>
      <c r="Y7" s="110"/>
      <c r="AB7" s="140"/>
      <c r="AC7" s="109"/>
      <c r="AD7" s="109"/>
      <c r="AE7" s="109"/>
      <c r="AJ7" s="109"/>
      <c r="AK7" s="109"/>
      <c r="AL7" s="109"/>
      <c r="AM7" s="109"/>
      <c r="AN7" s="109"/>
      <c r="AO7" s="109"/>
      <c r="AP7" s="109"/>
      <c r="AT7" s="158"/>
    </row>
    <row r="8" spans="3:46" x14ac:dyDescent="0.25">
      <c r="C8" s="114" t="str">
        <f>"X"&amp;$E$2</f>
        <v>XINDCOA</v>
      </c>
      <c r="D8" s="112"/>
      <c r="E8" s="109"/>
      <c r="F8" s="109"/>
      <c r="G8" s="109"/>
      <c r="H8" s="109"/>
      <c r="I8" s="109"/>
      <c r="J8" s="109"/>
      <c r="K8" s="113"/>
      <c r="L8" s="112"/>
      <c r="M8" s="113"/>
      <c r="N8" s="132"/>
      <c r="O8" s="114" t="s">
        <v>481</v>
      </c>
      <c r="P8" s="112"/>
      <c r="Q8" s="110"/>
      <c r="R8" s="116"/>
      <c r="S8" s="109"/>
      <c r="T8" s="109"/>
      <c r="U8" s="109"/>
      <c r="V8" s="114"/>
      <c r="W8" s="119"/>
      <c r="X8" s="119"/>
      <c r="Y8" s="118"/>
      <c r="Z8" s="117"/>
      <c r="AA8" s="139" t="s">
        <v>463</v>
      </c>
      <c r="AB8" s="138"/>
      <c r="AC8" s="109"/>
      <c r="AD8" s="114"/>
      <c r="AE8" s="114"/>
      <c r="AF8" s="120"/>
      <c r="AG8" s="120"/>
      <c r="AH8" s="117"/>
      <c r="AI8" s="137" t="s">
        <v>480</v>
      </c>
      <c r="AJ8" s="114"/>
      <c r="AK8" s="109"/>
      <c r="AL8" s="109"/>
      <c r="AM8" s="109"/>
      <c r="AN8" s="109"/>
      <c r="AO8" s="109"/>
      <c r="AP8" s="109"/>
      <c r="AT8" s="154"/>
    </row>
    <row r="9" spans="3:46" x14ac:dyDescent="0.25">
      <c r="C9" s="112"/>
      <c r="D9" s="112"/>
      <c r="E9" s="109"/>
      <c r="F9" s="109"/>
      <c r="G9" s="109"/>
      <c r="H9" s="109"/>
      <c r="I9" s="109"/>
      <c r="J9" s="109"/>
      <c r="K9" s="113"/>
      <c r="L9" s="112"/>
      <c r="M9" s="113"/>
      <c r="N9" s="133"/>
      <c r="O9" s="120"/>
      <c r="P9" s="118"/>
      <c r="Q9" s="119"/>
      <c r="R9" s="121"/>
      <c r="S9" s="119"/>
      <c r="T9" s="119"/>
      <c r="U9" s="109"/>
      <c r="V9" s="109"/>
      <c r="W9" s="109"/>
      <c r="X9" s="109"/>
      <c r="Y9" s="110"/>
      <c r="AA9" s="114" t="str">
        <f>"X"&amp;$T$2</f>
        <v>XISIELC</v>
      </c>
      <c r="AB9" s="113"/>
      <c r="AC9" s="109"/>
      <c r="AD9" s="109"/>
      <c r="AE9" s="109"/>
      <c r="AI9" s="114" t="s">
        <v>479</v>
      </c>
      <c r="AJ9" s="109"/>
      <c r="AK9" s="109"/>
      <c r="AL9" s="109"/>
      <c r="AM9" s="109"/>
      <c r="AN9" s="109"/>
      <c r="AO9" s="109"/>
      <c r="AP9" s="109"/>
      <c r="AT9" s="157"/>
    </row>
    <row r="10" spans="3:46" x14ac:dyDescent="0.25">
      <c r="C10" s="112"/>
      <c r="D10" s="112"/>
      <c r="E10" s="109"/>
      <c r="F10" s="109"/>
      <c r="G10" s="109"/>
      <c r="H10" s="109"/>
      <c r="I10" s="109"/>
      <c r="J10" s="109"/>
      <c r="K10" s="113"/>
      <c r="L10" s="112"/>
      <c r="M10" s="133"/>
      <c r="N10" s="118"/>
      <c r="O10" s="120"/>
      <c r="P10" s="118"/>
      <c r="Q10" s="119"/>
      <c r="R10" s="121"/>
      <c r="S10" s="119"/>
      <c r="T10" s="119"/>
      <c r="U10" s="119"/>
      <c r="V10" s="119"/>
      <c r="W10" s="109"/>
      <c r="X10" s="109"/>
      <c r="Y10" s="110"/>
      <c r="AC10" s="109"/>
      <c r="AD10" s="109"/>
      <c r="AE10" s="109"/>
      <c r="AJ10" s="109"/>
      <c r="AK10" s="109"/>
      <c r="AL10" s="109"/>
      <c r="AM10" s="109"/>
      <c r="AN10" s="109"/>
      <c r="AO10" s="109"/>
      <c r="AP10" s="109"/>
    </row>
    <row r="11" spans="3:46" x14ac:dyDescent="0.25">
      <c r="C11" s="139" t="s">
        <v>936</v>
      </c>
      <c r="D11" s="133"/>
      <c r="E11" s="119"/>
      <c r="F11" s="114"/>
      <c r="G11" s="109"/>
      <c r="H11" s="109"/>
      <c r="I11" s="109"/>
      <c r="J11" s="109"/>
      <c r="K11" s="113"/>
      <c r="L11" s="112"/>
      <c r="M11" s="112"/>
      <c r="N11" s="112"/>
      <c r="P11" s="112"/>
      <c r="Q11" s="109"/>
      <c r="R11" s="116"/>
      <c r="S11" s="109"/>
      <c r="T11" s="109"/>
      <c r="U11" s="109"/>
      <c r="V11" s="109"/>
      <c r="W11" s="109"/>
      <c r="X11" s="109"/>
      <c r="Y11" s="110"/>
      <c r="AC11" s="109"/>
      <c r="AD11" s="109"/>
      <c r="AE11" s="114"/>
      <c r="AF11" s="120"/>
      <c r="AG11" s="120"/>
      <c r="AH11" s="117"/>
      <c r="AI11" s="137" t="s">
        <v>478</v>
      </c>
      <c r="AJ11" s="114"/>
      <c r="AK11" s="119"/>
      <c r="AL11" s="109"/>
      <c r="AM11" s="109"/>
      <c r="AN11" s="109"/>
      <c r="AO11" s="109"/>
      <c r="AP11" s="109"/>
    </row>
    <row r="12" spans="3:46" x14ac:dyDescent="0.25">
      <c r="C12" s="114" t="str">
        <f>"X"&amp;$F$2</f>
        <v>XBSC</v>
      </c>
      <c r="D12" s="112"/>
      <c r="E12" s="109"/>
      <c r="F12" s="109"/>
      <c r="G12" s="109"/>
      <c r="H12" s="109"/>
      <c r="I12" s="109"/>
      <c r="J12" s="109"/>
      <c r="K12" s="113"/>
      <c r="L12" s="112"/>
      <c r="M12" s="112"/>
      <c r="N12" s="112"/>
      <c r="P12" s="112"/>
      <c r="Q12" s="109"/>
      <c r="R12" s="111"/>
      <c r="S12" s="109"/>
      <c r="T12" s="109"/>
      <c r="U12" s="109"/>
      <c r="V12" s="109"/>
      <c r="W12" s="109"/>
      <c r="X12" s="109"/>
      <c r="Y12" s="110"/>
      <c r="AC12" s="109"/>
      <c r="AD12" s="109"/>
      <c r="AE12" s="109"/>
      <c r="AI12" s="114" t="s">
        <v>477</v>
      </c>
      <c r="AJ12" s="109"/>
      <c r="AK12" s="109"/>
      <c r="AL12" s="109"/>
      <c r="AM12" s="109"/>
      <c r="AN12" s="109"/>
      <c r="AO12" s="109"/>
      <c r="AP12" s="109"/>
    </row>
    <row r="13" spans="3:46" x14ac:dyDescent="0.25">
      <c r="C13" s="112"/>
      <c r="D13" s="112"/>
      <c r="E13" s="109"/>
      <c r="F13" s="109"/>
      <c r="G13" s="109"/>
      <c r="H13" s="109"/>
      <c r="I13" s="109"/>
      <c r="J13" s="109"/>
      <c r="K13" s="113"/>
      <c r="L13" s="112"/>
      <c r="M13" s="112"/>
      <c r="N13" s="112"/>
      <c r="P13" s="112"/>
      <c r="Q13" s="109"/>
      <c r="R13" s="111"/>
      <c r="S13" s="109"/>
      <c r="T13" s="109"/>
      <c r="U13" s="109"/>
      <c r="V13" s="109"/>
      <c r="W13" s="109"/>
      <c r="X13" s="109"/>
      <c r="Y13" s="110"/>
      <c r="AC13" s="109"/>
      <c r="AD13" s="109"/>
      <c r="AE13" s="109"/>
      <c r="AJ13" s="109"/>
      <c r="AK13" s="109"/>
      <c r="AL13" s="109"/>
      <c r="AM13" s="109"/>
      <c r="AN13" s="109"/>
      <c r="AO13" s="109"/>
      <c r="AP13" s="109"/>
      <c r="AS13" s="79"/>
    </row>
    <row r="14" spans="3:46" x14ac:dyDescent="0.25">
      <c r="C14" s="112"/>
      <c r="D14" s="112"/>
      <c r="E14" s="109"/>
      <c r="F14" s="109"/>
      <c r="G14" s="109"/>
      <c r="H14" s="109"/>
      <c r="I14" s="109"/>
      <c r="J14" s="109"/>
      <c r="K14" s="113"/>
      <c r="L14" s="112"/>
      <c r="M14" s="112"/>
      <c r="N14" s="112"/>
      <c r="P14" s="112"/>
      <c r="Q14" s="109"/>
      <c r="R14" s="111"/>
      <c r="S14" s="109"/>
      <c r="T14" s="109"/>
      <c r="U14" s="114"/>
      <c r="V14" s="109"/>
      <c r="W14" s="145"/>
      <c r="X14" s="145"/>
      <c r="Y14" s="144"/>
      <c r="Z14" s="131"/>
      <c r="AA14" s="131"/>
      <c r="AB14" s="131"/>
      <c r="AC14" s="130"/>
      <c r="AD14" s="130"/>
      <c r="AE14" s="130"/>
      <c r="AF14" s="131"/>
      <c r="AG14" s="155"/>
      <c r="AJ14" s="109"/>
      <c r="AK14" s="109"/>
      <c r="AL14" s="109"/>
      <c r="AM14" s="109"/>
      <c r="AN14" s="109"/>
      <c r="AO14" s="109"/>
      <c r="AP14" s="109"/>
    </row>
    <row r="15" spans="3:46" x14ac:dyDescent="0.25">
      <c r="C15" s="139" t="s">
        <v>969</v>
      </c>
      <c r="D15" s="133"/>
      <c r="E15" s="119"/>
      <c r="F15" s="119"/>
      <c r="G15" s="119"/>
      <c r="H15" s="119"/>
      <c r="I15" s="109"/>
      <c r="J15" s="109"/>
      <c r="K15" s="113"/>
      <c r="L15" s="112"/>
      <c r="M15" s="112"/>
      <c r="N15" s="112"/>
      <c r="P15" s="112"/>
      <c r="Q15" s="109"/>
      <c r="R15" s="111"/>
      <c r="S15" s="109"/>
      <c r="T15" s="109"/>
      <c r="U15" s="109"/>
      <c r="V15" s="145"/>
      <c r="W15" s="130"/>
      <c r="X15" s="130"/>
      <c r="Y15" s="144"/>
      <c r="Z15" s="131"/>
      <c r="AA15" s="131"/>
      <c r="AB15" s="131"/>
      <c r="AC15" s="130"/>
      <c r="AD15" s="130"/>
      <c r="AE15" s="130"/>
      <c r="AF15" s="129"/>
      <c r="AG15" s="140"/>
      <c r="AJ15" s="109"/>
      <c r="AK15" s="109"/>
      <c r="AL15" s="109"/>
      <c r="AM15" s="109"/>
      <c r="AN15" s="109"/>
      <c r="AO15" s="109"/>
      <c r="AP15" s="109"/>
    </row>
    <row r="16" spans="3:46" x14ac:dyDescent="0.25">
      <c r="C16" s="114" t="str">
        <f>"X"&amp;$G$2</f>
        <v>XBCL</v>
      </c>
      <c r="D16" s="112"/>
      <c r="E16" s="109"/>
      <c r="F16" s="109"/>
      <c r="G16" s="109"/>
      <c r="H16" s="109"/>
      <c r="I16" s="109"/>
      <c r="J16" s="109"/>
      <c r="K16" s="113"/>
      <c r="L16" s="112"/>
      <c r="M16" s="112"/>
      <c r="N16" s="112"/>
      <c r="P16" s="112"/>
      <c r="Q16" s="109"/>
      <c r="R16" s="111"/>
      <c r="S16" s="109"/>
      <c r="T16" s="109"/>
      <c r="U16" s="109"/>
      <c r="V16" s="109"/>
      <c r="W16" s="109"/>
      <c r="X16" s="109"/>
      <c r="Y16" s="110"/>
      <c r="AA16" s="137" t="s">
        <v>476</v>
      </c>
      <c r="AB16" s="122"/>
      <c r="AC16" s="119"/>
      <c r="AD16" s="119"/>
      <c r="AE16" s="119"/>
      <c r="AF16" s="117"/>
      <c r="AG16" s="140"/>
      <c r="AJ16" s="109"/>
      <c r="AK16" s="109"/>
      <c r="AL16" s="109"/>
      <c r="AM16" s="109"/>
      <c r="AN16" s="109"/>
      <c r="AO16" s="109"/>
      <c r="AP16" s="109"/>
    </row>
    <row r="17" spans="3:45" x14ac:dyDescent="0.25">
      <c r="C17" s="112"/>
      <c r="D17" s="112"/>
      <c r="E17" s="109"/>
      <c r="F17" s="114"/>
      <c r="G17" s="119"/>
      <c r="H17" s="119"/>
      <c r="I17" s="119"/>
      <c r="J17" s="119"/>
      <c r="K17" s="133"/>
      <c r="L17" s="118"/>
      <c r="M17" s="118"/>
      <c r="N17" s="118"/>
      <c r="O17" s="120"/>
      <c r="P17" s="118"/>
      <c r="Q17" s="119"/>
      <c r="R17" s="126"/>
      <c r="S17" s="152"/>
      <c r="T17" s="152"/>
      <c r="U17" s="152"/>
      <c r="V17" s="152"/>
      <c r="W17" s="152"/>
      <c r="X17" s="152"/>
      <c r="Y17" s="125"/>
      <c r="Z17" s="124"/>
      <c r="AA17" s="116"/>
      <c r="AB17" s="150"/>
      <c r="AC17" s="119"/>
      <c r="AD17" s="119"/>
      <c r="AE17" s="119"/>
      <c r="AF17" s="120"/>
      <c r="AG17" s="117"/>
      <c r="AJ17" s="109"/>
      <c r="AK17" s="109"/>
      <c r="AL17" s="109"/>
      <c r="AM17" s="109"/>
      <c r="AN17" s="109"/>
      <c r="AO17" s="109"/>
      <c r="AP17" s="109"/>
      <c r="AS17" s="79"/>
    </row>
    <row r="18" spans="3:45" x14ac:dyDescent="0.25">
      <c r="C18" s="112"/>
      <c r="D18" s="112"/>
      <c r="E18" s="109"/>
      <c r="F18" s="109"/>
      <c r="G18" s="145"/>
      <c r="H18" s="145"/>
      <c r="I18" s="126"/>
      <c r="J18" s="152"/>
      <c r="K18" s="327"/>
      <c r="L18" s="125"/>
      <c r="M18" s="125"/>
      <c r="N18" s="125"/>
      <c r="O18" s="153"/>
      <c r="P18" s="125"/>
      <c r="Q18" s="152"/>
      <c r="R18" s="126"/>
      <c r="S18" s="152"/>
      <c r="T18" s="152"/>
      <c r="U18" s="152"/>
      <c r="V18" s="152"/>
      <c r="W18" s="152"/>
      <c r="X18" s="152"/>
      <c r="Y18" s="125"/>
      <c r="Z18" s="124"/>
      <c r="AA18" s="116"/>
      <c r="AB18" s="115"/>
      <c r="AC18" s="109"/>
      <c r="AD18" s="109"/>
      <c r="AE18" s="109"/>
      <c r="AJ18" s="109"/>
      <c r="AK18" s="109"/>
      <c r="AL18" s="109"/>
      <c r="AM18" s="109"/>
      <c r="AN18" s="109"/>
      <c r="AO18" s="109"/>
      <c r="AP18" s="109"/>
      <c r="AS18" s="156"/>
    </row>
    <row r="19" spans="3:45" x14ac:dyDescent="0.25">
      <c r="C19" s="112"/>
      <c r="D19" s="112"/>
      <c r="E19" s="109"/>
      <c r="F19" s="109"/>
      <c r="G19" s="109"/>
      <c r="H19" s="109"/>
      <c r="I19" s="109"/>
      <c r="J19" s="109"/>
      <c r="K19" s="113"/>
      <c r="L19" s="112"/>
      <c r="M19" s="112"/>
      <c r="N19" s="112"/>
      <c r="P19" s="112"/>
      <c r="Q19" s="109"/>
      <c r="R19" s="111"/>
      <c r="S19" s="109"/>
      <c r="T19" s="109"/>
      <c r="U19" s="109"/>
      <c r="V19" s="109"/>
      <c r="W19" s="109"/>
      <c r="X19" s="109"/>
      <c r="Y19" s="110"/>
      <c r="AA19" s="114" t="s">
        <v>475</v>
      </c>
      <c r="AB19" s="113"/>
      <c r="AC19" s="109"/>
      <c r="AD19" s="109"/>
      <c r="AE19" s="109"/>
      <c r="AJ19" s="109"/>
      <c r="AK19" s="109"/>
      <c r="AL19" s="109"/>
      <c r="AM19" s="109"/>
      <c r="AN19" s="109"/>
      <c r="AO19" s="109"/>
      <c r="AP19" s="109"/>
      <c r="AS19" s="156"/>
    </row>
    <row r="20" spans="3:45" x14ac:dyDescent="0.25">
      <c r="C20" s="139" t="s">
        <v>676</v>
      </c>
      <c r="D20" s="133"/>
      <c r="E20" s="119"/>
      <c r="F20" s="119"/>
      <c r="G20" s="119"/>
      <c r="H20" s="119"/>
      <c r="I20" s="114"/>
      <c r="J20" s="109"/>
      <c r="K20" s="113"/>
      <c r="L20" s="112"/>
      <c r="M20" s="112"/>
      <c r="N20" s="112"/>
      <c r="P20" s="112"/>
      <c r="Q20" s="109"/>
      <c r="R20" s="111"/>
      <c r="S20" s="109"/>
      <c r="T20" s="109"/>
      <c r="U20" s="109"/>
      <c r="V20" s="109"/>
      <c r="W20" s="111"/>
      <c r="X20" s="109"/>
      <c r="Y20" s="110"/>
      <c r="Z20" s="108"/>
      <c r="AA20" s="108"/>
      <c r="AB20" s="108"/>
      <c r="AC20" s="109"/>
      <c r="AD20" s="109"/>
      <c r="AE20" s="109"/>
      <c r="AF20" s="108"/>
      <c r="AG20" s="108"/>
      <c r="AJ20" s="109"/>
      <c r="AK20" s="109"/>
      <c r="AL20" s="109"/>
      <c r="AM20" s="109"/>
      <c r="AN20" s="109"/>
      <c r="AO20" s="109"/>
      <c r="AP20" s="109"/>
      <c r="AS20" s="156"/>
    </row>
    <row r="21" spans="3:45" x14ac:dyDescent="0.25">
      <c r="C21" s="114" t="str">
        <f>"X"&amp;$H$2</f>
        <v>XBIW</v>
      </c>
      <c r="D21" s="112"/>
      <c r="E21" s="109"/>
      <c r="F21" s="109"/>
      <c r="G21" s="109"/>
      <c r="H21" s="109"/>
      <c r="I21" s="109"/>
      <c r="J21" s="109"/>
      <c r="K21" s="113"/>
      <c r="L21" s="112"/>
      <c r="M21" s="112"/>
      <c r="N21" s="112"/>
      <c r="P21" s="112"/>
      <c r="Q21" s="109"/>
      <c r="R21" s="114"/>
      <c r="S21" s="119"/>
      <c r="T21" s="119"/>
      <c r="U21" s="119"/>
      <c r="V21" s="119"/>
      <c r="W21" s="119"/>
      <c r="X21" s="119"/>
      <c r="Y21" s="118"/>
      <c r="Z21" s="120"/>
      <c r="AA21" s="120"/>
      <c r="AB21" s="120"/>
      <c r="AC21" s="119"/>
      <c r="AD21" s="119"/>
      <c r="AE21" s="119"/>
      <c r="AF21" s="120"/>
      <c r="AG21" s="120"/>
      <c r="AH21" s="117"/>
      <c r="AI21" s="137" t="s">
        <v>667</v>
      </c>
      <c r="AJ21" s="114"/>
      <c r="AK21" s="119"/>
      <c r="AL21" s="114"/>
      <c r="AM21" s="109"/>
      <c r="AN21" s="109"/>
      <c r="AO21" s="109"/>
      <c r="AP21" s="109"/>
      <c r="AS21" s="154"/>
    </row>
    <row r="22" spans="3:45" x14ac:dyDescent="0.25">
      <c r="D22" s="112"/>
      <c r="E22" s="109"/>
      <c r="F22" s="109"/>
      <c r="G22" s="109"/>
      <c r="H22" s="109"/>
      <c r="I22" s="109"/>
      <c r="J22" s="109"/>
      <c r="K22" s="113"/>
      <c r="L22" s="112"/>
      <c r="M22" s="112"/>
      <c r="N22" s="112"/>
      <c r="P22" s="112"/>
      <c r="Q22" s="109"/>
      <c r="R22" s="111"/>
      <c r="S22" s="109"/>
      <c r="T22" s="109"/>
      <c r="U22" s="109"/>
      <c r="V22" s="109"/>
      <c r="W22" s="109"/>
      <c r="X22" s="109"/>
      <c r="Y22" s="110"/>
      <c r="AC22" s="109"/>
      <c r="AD22" s="109"/>
      <c r="AE22" s="109"/>
      <c r="AI22" s="210" t="s">
        <v>668</v>
      </c>
      <c r="AJ22" s="109"/>
      <c r="AK22" s="109"/>
      <c r="AL22" s="109"/>
      <c r="AM22" s="109"/>
      <c r="AN22" s="109"/>
      <c r="AO22" s="109"/>
      <c r="AP22" s="109"/>
    </row>
    <row r="23" spans="3:45" x14ac:dyDescent="0.25">
      <c r="C23" s="112"/>
      <c r="D23" s="112"/>
      <c r="E23" s="109"/>
      <c r="F23" s="109"/>
      <c r="G23" s="109"/>
      <c r="H23" s="109"/>
      <c r="I23" s="109"/>
      <c r="J23" s="109"/>
      <c r="K23" s="113"/>
      <c r="L23" s="112"/>
      <c r="M23" s="112"/>
      <c r="N23" s="112"/>
      <c r="P23" s="112"/>
      <c r="Q23" s="109"/>
      <c r="R23" s="111"/>
      <c r="S23" s="109"/>
      <c r="T23" s="109"/>
      <c r="U23" s="109"/>
      <c r="V23" s="109"/>
      <c r="W23" s="109"/>
      <c r="X23" s="109"/>
      <c r="Y23" s="110"/>
      <c r="AC23" s="109"/>
      <c r="AD23" s="109"/>
      <c r="AE23" s="109"/>
      <c r="AJ23" s="109"/>
      <c r="AK23" s="109"/>
      <c r="AL23" s="109"/>
      <c r="AM23" s="109"/>
      <c r="AN23" s="109"/>
      <c r="AO23" s="109"/>
      <c r="AP23" s="109"/>
    </row>
    <row r="24" spans="3:45" x14ac:dyDescent="0.25">
      <c r="C24" s="112"/>
      <c r="D24" s="112"/>
      <c r="E24" s="109"/>
      <c r="F24" s="109"/>
      <c r="G24" s="109"/>
      <c r="H24" s="109"/>
      <c r="I24" s="109"/>
      <c r="J24" s="109"/>
      <c r="K24" s="113"/>
      <c r="L24" s="112"/>
      <c r="M24" s="112"/>
      <c r="N24" s="112"/>
      <c r="P24" s="112"/>
      <c r="Q24" s="109"/>
      <c r="R24" s="111"/>
      <c r="S24" s="109"/>
      <c r="T24" s="109"/>
      <c r="U24" s="109"/>
      <c r="V24" s="109"/>
      <c r="W24" s="109"/>
      <c r="X24" s="119"/>
      <c r="Y24" s="118"/>
      <c r="Z24" s="120"/>
      <c r="AA24" s="120"/>
      <c r="AB24" s="120"/>
      <c r="AC24" s="119"/>
      <c r="AD24" s="119"/>
      <c r="AE24" s="119"/>
      <c r="AF24" s="120"/>
      <c r="AG24" s="120"/>
      <c r="AH24" s="117"/>
      <c r="AI24" s="137" t="s">
        <v>944</v>
      </c>
      <c r="AJ24" s="114"/>
      <c r="AK24" s="119"/>
      <c r="AL24" s="114"/>
      <c r="AM24" s="114"/>
      <c r="AN24" s="114"/>
      <c r="AO24" s="114"/>
      <c r="AP24" s="114"/>
    </row>
    <row r="25" spans="3:45" x14ac:dyDescent="0.25">
      <c r="C25" s="112"/>
      <c r="D25" s="112"/>
      <c r="E25" s="109"/>
      <c r="F25" s="109"/>
      <c r="G25" s="109"/>
      <c r="H25" s="109"/>
      <c r="I25" s="109"/>
      <c r="J25" s="109"/>
      <c r="K25" s="113"/>
      <c r="L25" s="112"/>
      <c r="M25" s="112"/>
      <c r="N25" s="112"/>
      <c r="P25" s="112"/>
      <c r="Q25" s="109"/>
      <c r="R25" s="111"/>
      <c r="S25" s="109"/>
      <c r="T25" s="109"/>
      <c r="U25" s="109"/>
      <c r="V25" s="109"/>
      <c r="W25" s="109"/>
      <c r="X25" s="109"/>
      <c r="Y25" s="110"/>
      <c r="AC25" s="109"/>
      <c r="AD25" s="109"/>
      <c r="AE25" s="109"/>
      <c r="AI25" s="326" t="s">
        <v>945</v>
      </c>
      <c r="AJ25" s="109"/>
      <c r="AK25" s="109"/>
      <c r="AL25" s="109"/>
      <c r="AM25" s="109"/>
      <c r="AN25" s="109"/>
      <c r="AO25" s="109"/>
      <c r="AP25" s="109"/>
    </row>
    <row r="26" spans="3:45" x14ac:dyDescent="0.25">
      <c r="C26" s="112"/>
      <c r="D26" s="112"/>
      <c r="E26" s="109"/>
      <c r="F26" s="109"/>
      <c r="G26" s="109"/>
      <c r="H26" s="109"/>
      <c r="I26" s="109"/>
      <c r="J26" s="109"/>
      <c r="K26" s="113"/>
      <c r="L26" s="112"/>
      <c r="M26" s="112"/>
      <c r="N26" s="112"/>
      <c r="P26" s="112"/>
      <c r="Q26" s="109"/>
      <c r="R26" s="111"/>
      <c r="S26" s="109"/>
      <c r="T26" s="109"/>
      <c r="U26" s="109"/>
      <c r="V26" s="109"/>
      <c r="W26" s="109"/>
      <c r="X26" s="145"/>
      <c r="Y26" s="144"/>
      <c r="Z26" s="131"/>
      <c r="AA26" s="131"/>
      <c r="AB26" s="131"/>
      <c r="AC26" s="130"/>
      <c r="AD26" s="130"/>
      <c r="AE26" s="130"/>
      <c r="AF26" s="131"/>
      <c r="AG26" s="155"/>
      <c r="AJ26" s="109"/>
      <c r="AK26" s="109"/>
      <c r="AL26" s="109"/>
      <c r="AM26" s="109"/>
      <c r="AN26" s="109"/>
      <c r="AO26" s="109"/>
      <c r="AP26" s="109"/>
    </row>
    <row r="27" spans="3:45" x14ac:dyDescent="0.25">
      <c r="E27" s="109"/>
      <c r="F27" s="109"/>
      <c r="G27" s="109"/>
      <c r="H27" s="109"/>
      <c r="I27" s="109"/>
      <c r="J27" s="109"/>
      <c r="K27" s="113"/>
      <c r="L27" s="112"/>
      <c r="M27" s="112"/>
      <c r="N27" s="112"/>
      <c r="P27" s="112"/>
      <c r="Q27" s="109"/>
      <c r="R27" s="111"/>
      <c r="S27" s="109"/>
      <c r="T27" s="109"/>
      <c r="U27" s="109"/>
      <c r="V27" s="109"/>
      <c r="W27" s="109"/>
      <c r="X27" s="109"/>
      <c r="Y27" s="132"/>
      <c r="Z27" s="131"/>
      <c r="AA27" s="131"/>
      <c r="AB27" s="131"/>
      <c r="AC27" s="130"/>
      <c r="AD27" s="130"/>
      <c r="AE27" s="130"/>
      <c r="AF27" s="129"/>
      <c r="AG27" s="140"/>
      <c r="AJ27" s="109"/>
      <c r="AK27" s="109"/>
      <c r="AL27" s="109"/>
      <c r="AM27" s="109"/>
      <c r="AN27" s="109"/>
      <c r="AO27" s="109"/>
      <c r="AP27" s="109"/>
    </row>
    <row r="28" spans="3:45" x14ac:dyDescent="0.25">
      <c r="E28" s="109"/>
      <c r="F28" s="109"/>
      <c r="G28" s="109"/>
      <c r="H28" s="109"/>
      <c r="I28" s="109"/>
      <c r="J28" s="109"/>
      <c r="K28" s="113"/>
      <c r="L28" s="112"/>
      <c r="M28" s="112"/>
      <c r="N28" s="112"/>
      <c r="P28" s="112"/>
      <c r="Q28" s="109"/>
      <c r="R28" s="111"/>
      <c r="S28" s="109"/>
      <c r="T28" s="109"/>
      <c r="U28" s="109"/>
      <c r="V28" s="114"/>
      <c r="W28" s="119"/>
      <c r="X28" s="119"/>
      <c r="Y28" s="118"/>
      <c r="Z28" s="117"/>
      <c r="AA28" s="139" t="s">
        <v>985</v>
      </c>
      <c r="AB28" s="151"/>
      <c r="AC28" s="119"/>
      <c r="AD28" s="109"/>
      <c r="AE28" s="109"/>
      <c r="AF28" s="116"/>
      <c r="AG28" s="140"/>
      <c r="AJ28" s="109"/>
      <c r="AK28" s="109"/>
      <c r="AL28" s="109"/>
      <c r="AM28" s="109"/>
      <c r="AN28" s="109"/>
      <c r="AO28" s="109"/>
      <c r="AP28" s="109"/>
    </row>
    <row r="29" spans="3:45" x14ac:dyDescent="0.25">
      <c r="E29" s="109"/>
      <c r="F29" s="109"/>
      <c r="G29" s="109"/>
      <c r="H29" s="109"/>
      <c r="I29" s="109"/>
      <c r="J29" s="109"/>
      <c r="K29" s="113"/>
      <c r="L29" s="112"/>
      <c r="M29" s="112"/>
      <c r="N29" s="112"/>
      <c r="P29" s="112"/>
      <c r="Q29" s="109"/>
      <c r="R29" s="111"/>
      <c r="S29" s="109"/>
      <c r="T29" s="109"/>
      <c r="U29" s="109"/>
      <c r="V29" s="109"/>
      <c r="W29" s="145"/>
      <c r="X29" s="145"/>
      <c r="Y29" s="125"/>
      <c r="Z29" s="124"/>
      <c r="AA29" s="116"/>
      <c r="AB29" s="150"/>
      <c r="AC29" s="119"/>
      <c r="AD29" s="119"/>
      <c r="AE29" s="119"/>
      <c r="AF29" s="121"/>
      <c r="AG29" s="140"/>
      <c r="AJ29" s="109"/>
      <c r="AK29" s="109"/>
      <c r="AL29" s="109"/>
      <c r="AM29" s="109"/>
      <c r="AN29" s="109"/>
      <c r="AO29" s="109"/>
      <c r="AP29" s="109"/>
    </row>
    <row r="30" spans="3:45" x14ac:dyDescent="0.25">
      <c r="E30" s="109"/>
      <c r="F30" s="109"/>
      <c r="G30" s="109"/>
      <c r="H30" s="109"/>
      <c r="I30" s="109"/>
      <c r="J30" s="109"/>
      <c r="K30" s="113"/>
      <c r="L30" s="112"/>
      <c r="M30" s="112"/>
      <c r="N30" s="112"/>
      <c r="P30" s="112"/>
      <c r="Q30" s="109"/>
      <c r="R30" s="111"/>
      <c r="S30" s="114"/>
      <c r="T30" s="119"/>
      <c r="U30" s="119"/>
      <c r="V30" s="119"/>
      <c r="W30" s="119"/>
      <c r="X30" s="119"/>
      <c r="Y30" s="118"/>
      <c r="Z30" s="117"/>
      <c r="AA30" s="116"/>
      <c r="AB30" s="147"/>
      <c r="AC30" s="119"/>
      <c r="AD30" s="119"/>
      <c r="AE30" s="119"/>
      <c r="AF30" s="120"/>
      <c r="AG30" s="117"/>
      <c r="AJ30" s="109"/>
      <c r="AK30" s="109"/>
      <c r="AL30" s="109"/>
      <c r="AM30" s="109"/>
      <c r="AN30" s="109"/>
      <c r="AO30" s="109"/>
      <c r="AP30" s="109"/>
    </row>
    <row r="31" spans="3:45" x14ac:dyDescent="0.25">
      <c r="E31" s="109"/>
      <c r="F31" s="109"/>
      <c r="G31" s="109"/>
      <c r="H31" s="109"/>
      <c r="I31" s="109"/>
      <c r="J31" s="109"/>
      <c r="K31" s="113"/>
      <c r="L31" s="112"/>
      <c r="M31" s="112"/>
      <c r="N31" s="112"/>
      <c r="P31" s="112"/>
      <c r="Q31" s="109"/>
      <c r="R31" s="111"/>
      <c r="S31" s="109"/>
      <c r="T31" s="109"/>
      <c r="U31" s="109"/>
      <c r="V31" s="109"/>
      <c r="W31" s="109"/>
      <c r="X31" s="109"/>
      <c r="Y31" s="110"/>
      <c r="AA31" s="114" t="s">
        <v>469</v>
      </c>
      <c r="AB31" s="113"/>
      <c r="AC31" s="109"/>
      <c r="AD31" s="109"/>
      <c r="AE31" s="109"/>
      <c r="AJ31" s="109"/>
      <c r="AK31" s="109"/>
      <c r="AL31" s="109"/>
      <c r="AM31" s="109"/>
      <c r="AN31" s="109"/>
      <c r="AO31" s="109"/>
      <c r="AP31" s="109"/>
    </row>
    <row r="32" spans="3:45" x14ac:dyDescent="0.25">
      <c r="E32" s="109"/>
      <c r="F32" s="109"/>
      <c r="G32" s="109"/>
      <c r="H32" s="109"/>
      <c r="I32" s="109"/>
      <c r="J32" s="109"/>
      <c r="K32" s="113"/>
      <c r="L32" s="112"/>
      <c r="M32" s="112"/>
      <c r="N32" s="112"/>
      <c r="P32" s="112"/>
      <c r="Q32" s="109"/>
      <c r="R32" s="111"/>
      <c r="S32" s="109"/>
      <c r="T32" s="109"/>
      <c r="U32" s="109"/>
      <c r="V32" s="109"/>
      <c r="W32" s="109"/>
      <c r="X32" s="109"/>
      <c r="Y32" s="110"/>
      <c r="AC32" s="109"/>
      <c r="AD32" s="109"/>
      <c r="AE32" s="109"/>
      <c r="AJ32" s="109"/>
      <c r="AK32" s="109"/>
      <c r="AL32" s="109"/>
      <c r="AM32" s="109"/>
      <c r="AN32" s="109"/>
      <c r="AO32" s="109"/>
      <c r="AP32" s="109"/>
    </row>
    <row r="33" spans="3:45" x14ac:dyDescent="0.25">
      <c r="E33" s="109"/>
      <c r="F33" s="109"/>
      <c r="G33" s="109"/>
      <c r="H33" s="109"/>
      <c r="I33" s="109"/>
      <c r="J33" s="109"/>
      <c r="K33" s="113"/>
      <c r="L33" s="112"/>
      <c r="M33" s="112"/>
      <c r="N33" s="112"/>
      <c r="P33" s="112"/>
      <c r="Q33" s="109"/>
      <c r="R33" s="111"/>
      <c r="S33" s="109"/>
      <c r="T33" s="109"/>
      <c r="U33" s="109"/>
      <c r="V33" s="109"/>
      <c r="W33" s="109"/>
      <c r="X33" s="109"/>
      <c r="Y33" s="110"/>
      <c r="AC33" s="109"/>
      <c r="AD33" s="109"/>
      <c r="AE33" s="109"/>
      <c r="AJ33" s="109"/>
      <c r="AK33" s="109"/>
      <c r="AL33" s="109"/>
      <c r="AM33" s="109"/>
      <c r="AN33" s="109"/>
      <c r="AO33" s="109"/>
      <c r="AP33" s="109"/>
    </row>
    <row r="34" spans="3:45" x14ac:dyDescent="0.25">
      <c r="E34" s="109"/>
      <c r="F34" s="109"/>
      <c r="G34" s="109"/>
      <c r="H34" s="109"/>
      <c r="I34" s="109"/>
      <c r="J34" s="109"/>
      <c r="K34" s="113"/>
      <c r="L34" s="112"/>
      <c r="M34" s="112"/>
      <c r="N34" s="112"/>
      <c r="O34" s="108"/>
      <c r="P34" s="112"/>
      <c r="Q34" s="109"/>
      <c r="R34" s="111"/>
      <c r="S34" s="109"/>
      <c r="T34" s="109"/>
      <c r="U34" s="109"/>
      <c r="V34" s="109"/>
      <c r="W34" s="109"/>
      <c r="X34" s="109"/>
      <c r="Y34" s="132"/>
      <c r="Z34" s="131"/>
      <c r="AA34" s="131"/>
      <c r="AB34" s="131"/>
      <c r="AC34" s="130"/>
      <c r="AD34" s="130"/>
      <c r="AE34" s="130"/>
      <c r="AF34" s="129"/>
      <c r="AJ34" s="109"/>
      <c r="AK34" s="109"/>
      <c r="AL34" s="109"/>
      <c r="AM34" s="109"/>
      <c r="AN34" s="109"/>
      <c r="AO34" s="109"/>
      <c r="AP34" s="109"/>
    </row>
    <row r="35" spans="3:45" x14ac:dyDescent="0.25">
      <c r="E35" s="109"/>
      <c r="F35" s="109"/>
      <c r="G35" s="109"/>
      <c r="H35" s="109"/>
      <c r="I35" s="109"/>
      <c r="J35" s="109"/>
      <c r="K35" s="113"/>
      <c r="L35" s="112"/>
      <c r="M35" s="112"/>
      <c r="N35" s="112"/>
      <c r="P35" s="112"/>
      <c r="Q35" s="109"/>
      <c r="R35" s="111"/>
      <c r="S35" s="109"/>
      <c r="T35" s="109"/>
      <c r="U35" s="109"/>
      <c r="V35" s="114"/>
      <c r="W35" s="119"/>
      <c r="X35" s="119"/>
      <c r="Y35" s="118"/>
      <c r="Z35" s="117"/>
      <c r="AA35" s="137" t="s">
        <v>843</v>
      </c>
      <c r="AB35" s="122"/>
      <c r="AC35" s="119"/>
      <c r="AD35" s="114"/>
      <c r="AE35" s="111"/>
      <c r="AF35" s="116"/>
      <c r="AJ35" s="109"/>
      <c r="AK35" s="109"/>
      <c r="AL35" s="109"/>
      <c r="AM35" s="109"/>
      <c r="AN35" s="109"/>
      <c r="AO35" s="109"/>
      <c r="AP35" s="109"/>
    </row>
    <row r="36" spans="3:45" x14ac:dyDescent="0.25">
      <c r="E36" s="109"/>
      <c r="F36" s="109"/>
      <c r="G36" s="109"/>
      <c r="H36" s="109"/>
      <c r="I36" s="109"/>
      <c r="J36" s="109"/>
      <c r="Q36" s="109"/>
      <c r="R36" s="116"/>
      <c r="S36" s="116"/>
      <c r="T36" s="109"/>
      <c r="U36" s="109"/>
      <c r="V36" s="109"/>
      <c r="W36" s="126"/>
      <c r="X36" s="126"/>
      <c r="Y36" s="125"/>
      <c r="Z36" s="124"/>
      <c r="AA36" s="123" t="s">
        <v>468</v>
      </c>
      <c r="AB36" s="149"/>
      <c r="AC36" s="119"/>
      <c r="AD36" s="119"/>
      <c r="AE36" s="119"/>
      <c r="AF36" s="121"/>
      <c r="AJ36" s="109"/>
      <c r="AK36" s="109"/>
      <c r="AL36" s="109"/>
      <c r="AM36" s="109"/>
      <c r="AN36" s="109"/>
      <c r="AO36" s="109"/>
      <c r="AP36" s="109"/>
    </row>
    <row r="37" spans="3:45" x14ac:dyDescent="0.25">
      <c r="E37" s="109"/>
      <c r="F37" s="109"/>
      <c r="G37" s="109"/>
      <c r="H37" s="109"/>
      <c r="I37" s="109"/>
      <c r="J37" s="109"/>
      <c r="Q37" s="109"/>
      <c r="R37" s="116"/>
      <c r="S37" s="121"/>
      <c r="T37" s="119"/>
      <c r="U37" s="119"/>
      <c r="V37" s="119"/>
      <c r="W37" s="119"/>
      <c r="X37" s="119"/>
      <c r="Y37" s="118"/>
      <c r="Z37" s="117"/>
      <c r="AA37" s="116"/>
      <c r="AB37" s="115"/>
      <c r="AC37" s="109"/>
      <c r="AD37" s="109"/>
      <c r="AE37" s="109"/>
      <c r="AJ37" s="109"/>
      <c r="AK37" s="109"/>
      <c r="AL37" s="109"/>
      <c r="AM37" s="109"/>
      <c r="AN37" s="109"/>
      <c r="AO37" s="109"/>
      <c r="AP37" s="109"/>
    </row>
    <row r="38" spans="3:45" x14ac:dyDescent="0.25">
      <c r="E38" s="109"/>
      <c r="F38" s="109"/>
      <c r="G38" s="109"/>
      <c r="H38" s="109"/>
      <c r="I38" s="109"/>
      <c r="J38" s="109"/>
      <c r="Q38" s="109"/>
      <c r="R38" s="116"/>
      <c r="S38" s="116"/>
      <c r="T38" s="130"/>
      <c r="U38" s="130"/>
      <c r="V38" s="130"/>
      <c r="W38" s="130"/>
      <c r="X38" s="130"/>
      <c r="Y38" s="110"/>
      <c r="AA38" s="114" t="s">
        <v>467</v>
      </c>
      <c r="AB38" s="113"/>
      <c r="AC38" s="109"/>
      <c r="AD38" s="109"/>
      <c r="AE38" s="109"/>
      <c r="AJ38" s="109"/>
      <c r="AK38" s="109"/>
      <c r="AL38" s="109"/>
      <c r="AM38" s="109"/>
      <c r="AN38" s="109"/>
      <c r="AO38" s="109"/>
      <c r="AP38" s="109"/>
    </row>
    <row r="39" spans="3:45" x14ac:dyDescent="0.25">
      <c r="E39" s="109"/>
      <c r="F39" s="109"/>
      <c r="G39" s="109"/>
      <c r="H39" s="109"/>
      <c r="I39" s="109"/>
      <c r="J39" s="109"/>
      <c r="Q39" s="109"/>
      <c r="R39" s="116"/>
      <c r="S39" s="116"/>
      <c r="T39" s="109"/>
      <c r="U39" s="109"/>
      <c r="V39" s="109"/>
      <c r="W39" s="109"/>
      <c r="X39" s="109"/>
      <c r="Y39" s="110"/>
      <c r="AC39" s="109"/>
      <c r="AD39" s="109"/>
      <c r="AE39" s="109"/>
      <c r="AJ39" s="109"/>
      <c r="AK39" s="109"/>
      <c r="AL39" s="109"/>
      <c r="AM39" s="109"/>
      <c r="AN39" s="109"/>
      <c r="AO39" s="109"/>
      <c r="AP39" s="109"/>
    </row>
    <row r="40" spans="3:45" x14ac:dyDescent="0.25">
      <c r="C40" s="112"/>
      <c r="D40" s="112"/>
      <c r="E40" s="109"/>
      <c r="F40" s="109"/>
      <c r="G40" s="109"/>
      <c r="H40" s="109"/>
      <c r="I40" s="109"/>
      <c r="J40" s="109"/>
      <c r="K40" s="113"/>
      <c r="L40" s="112"/>
      <c r="M40" s="112"/>
      <c r="N40" s="112"/>
      <c r="P40" s="112"/>
      <c r="Q40" s="109"/>
      <c r="R40" s="111"/>
      <c r="S40" s="109"/>
      <c r="T40" s="109"/>
      <c r="U40" s="109"/>
      <c r="V40" s="109"/>
      <c r="W40" s="109"/>
      <c r="X40" s="109"/>
      <c r="Y40" s="110"/>
      <c r="AC40" s="109"/>
      <c r="AD40" s="109"/>
      <c r="AE40" s="109"/>
      <c r="AJ40" s="109"/>
      <c r="AK40" s="109"/>
      <c r="AL40" s="109"/>
      <c r="AM40" s="109"/>
      <c r="AN40" s="109"/>
      <c r="AO40" s="109"/>
      <c r="AP40" s="109"/>
    </row>
    <row r="41" spans="3:45" x14ac:dyDescent="0.25">
      <c r="C41" s="139" t="s">
        <v>671</v>
      </c>
      <c r="D41" s="133"/>
      <c r="E41" s="119"/>
      <c r="F41" s="119"/>
      <c r="G41" s="119"/>
      <c r="H41" s="119"/>
      <c r="I41" s="114"/>
      <c r="J41" s="109"/>
      <c r="K41" s="113"/>
      <c r="L41" s="112"/>
      <c r="M41" s="112"/>
      <c r="N41" s="112"/>
      <c r="P41" s="112"/>
      <c r="Q41" s="109"/>
      <c r="R41" s="111"/>
      <c r="S41" s="109"/>
      <c r="T41" s="109"/>
      <c r="U41" s="114"/>
      <c r="V41" s="109"/>
      <c r="W41" s="145"/>
      <c r="X41" s="145"/>
      <c r="Y41" s="144"/>
      <c r="Z41" s="131"/>
      <c r="AA41" s="131"/>
      <c r="AB41" s="131"/>
      <c r="AC41" s="130"/>
      <c r="AD41" s="130"/>
      <c r="AE41" s="130"/>
      <c r="AF41" s="131"/>
      <c r="AG41" s="155"/>
      <c r="AJ41" s="109"/>
      <c r="AK41" s="109"/>
      <c r="AL41" s="109"/>
      <c r="AM41" s="109"/>
      <c r="AN41" s="109"/>
      <c r="AO41" s="109"/>
      <c r="AP41" s="109"/>
      <c r="AS41" s="154"/>
    </row>
    <row r="42" spans="3:45" x14ac:dyDescent="0.25">
      <c r="C42" s="114" t="str">
        <f>"X"&amp;$I$2</f>
        <v>XPWRGAS</v>
      </c>
      <c r="D42" s="112"/>
      <c r="E42" s="109"/>
      <c r="F42" s="109"/>
      <c r="G42" s="109"/>
      <c r="H42" s="109"/>
      <c r="I42" s="109"/>
      <c r="J42" s="109"/>
      <c r="K42" s="113"/>
      <c r="L42" s="112"/>
      <c r="M42" s="112"/>
      <c r="N42" s="112"/>
      <c r="P42" s="112"/>
      <c r="Q42" s="109"/>
      <c r="R42" s="111"/>
      <c r="S42" s="109"/>
      <c r="T42" s="109"/>
      <c r="U42" s="109"/>
      <c r="V42" s="145"/>
      <c r="W42" s="130"/>
      <c r="X42" s="130"/>
      <c r="Y42" s="144"/>
      <c r="Z42" s="131"/>
      <c r="AA42" s="131"/>
      <c r="AB42" s="131"/>
      <c r="AC42" s="130"/>
      <c r="AD42" s="130"/>
      <c r="AE42" s="130"/>
      <c r="AF42" s="129"/>
      <c r="AG42" s="140"/>
      <c r="AJ42" s="109"/>
      <c r="AK42" s="109"/>
      <c r="AL42" s="109"/>
      <c r="AM42" s="109"/>
      <c r="AN42" s="109"/>
      <c r="AO42" s="109"/>
      <c r="AP42" s="109"/>
    </row>
    <row r="43" spans="3:45" x14ac:dyDescent="0.25">
      <c r="D43" s="112"/>
      <c r="E43" s="109"/>
      <c r="F43" s="109"/>
      <c r="G43" s="109"/>
      <c r="H43" s="109"/>
      <c r="I43" s="109"/>
      <c r="J43" s="109"/>
      <c r="K43" s="113"/>
      <c r="L43" s="112"/>
      <c r="M43" s="112"/>
      <c r="N43" s="112"/>
      <c r="P43" s="112"/>
      <c r="Q43" s="109"/>
      <c r="R43" s="111"/>
      <c r="S43" s="109"/>
      <c r="T43" s="109"/>
      <c r="U43" s="109"/>
      <c r="V43" s="109"/>
      <c r="W43" s="109"/>
      <c r="X43" s="109"/>
      <c r="Y43" s="110"/>
      <c r="AA43" s="137" t="s">
        <v>473</v>
      </c>
      <c r="AB43" s="122"/>
      <c r="AC43" s="119"/>
      <c r="AD43" s="119"/>
      <c r="AE43" s="119"/>
      <c r="AF43" s="117"/>
      <c r="AG43" s="140"/>
      <c r="AJ43" s="109"/>
      <c r="AK43" s="109"/>
      <c r="AL43" s="109"/>
      <c r="AM43" s="109"/>
      <c r="AN43" s="109"/>
      <c r="AO43" s="109"/>
      <c r="AP43" s="109"/>
    </row>
    <row r="44" spans="3:45" x14ac:dyDescent="0.25">
      <c r="D44" s="112"/>
      <c r="E44" s="109"/>
      <c r="F44" s="114"/>
      <c r="G44" s="119"/>
      <c r="H44" s="119"/>
      <c r="I44" s="119"/>
      <c r="J44" s="119"/>
      <c r="K44" s="133"/>
      <c r="L44" s="118"/>
      <c r="M44" s="118"/>
      <c r="N44" s="118"/>
      <c r="O44" s="120"/>
      <c r="P44" s="118"/>
      <c r="Q44" s="119"/>
      <c r="R44" s="126"/>
      <c r="S44" s="152"/>
      <c r="T44" s="152"/>
      <c r="U44" s="152"/>
      <c r="V44" s="152"/>
      <c r="W44" s="152"/>
      <c r="X44" s="152"/>
      <c r="Y44" s="125"/>
      <c r="Z44" s="124"/>
      <c r="AA44" s="123" t="s">
        <v>472</v>
      </c>
      <c r="AB44" s="149"/>
      <c r="AC44" s="119"/>
      <c r="AD44" s="119"/>
      <c r="AE44" s="119"/>
      <c r="AF44" s="120"/>
      <c r="AG44" s="117"/>
      <c r="AJ44" s="109"/>
      <c r="AK44" s="109"/>
      <c r="AL44" s="109"/>
      <c r="AM44" s="109"/>
      <c r="AN44" s="109"/>
      <c r="AO44" s="109"/>
      <c r="AP44" s="109"/>
    </row>
    <row r="45" spans="3:45" x14ac:dyDescent="0.25">
      <c r="C45" s="112"/>
      <c r="D45" s="112"/>
      <c r="E45" s="109"/>
      <c r="F45" s="109"/>
      <c r="G45" s="126"/>
      <c r="H45" s="126"/>
      <c r="I45" s="152"/>
      <c r="J45" s="152"/>
      <c r="K45" s="327"/>
      <c r="L45" s="125"/>
      <c r="M45" s="125"/>
      <c r="N45" s="125"/>
      <c r="O45" s="153"/>
      <c r="P45" s="125"/>
      <c r="Q45" s="152"/>
      <c r="R45" s="126"/>
      <c r="S45" s="152"/>
      <c r="T45" s="152"/>
      <c r="U45" s="152"/>
      <c r="V45" s="152"/>
      <c r="W45" s="152"/>
      <c r="X45" s="152"/>
      <c r="Y45" s="125"/>
      <c r="Z45" s="124"/>
      <c r="AA45" s="116"/>
      <c r="AB45" s="108"/>
      <c r="AC45" s="109"/>
      <c r="AD45" s="109"/>
      <c r="AE45" s="109"/>
      <c r="AJ45" s="109"/>
      <c r="AK45" s="109"/>
      <c r="AL45" s="109"/>
      <c r="AM45" s="109"/>
      <c r="AN45" s="109"/>
      <c r="AO45" s="109"/>
      <c r="AP45" s="109"/>
    </row>
    <row r="46" spans="3:45" x14ac:dyDescent="0.25">
      <c r="C46" s="112"/>
      <c r="D46" s="112"/>
      <c r="E46" s="109"/>
      <c r="F46" s="109"/>
      <c r="G46" s="109"/>
      <c r="H46" s="109"/>
      <c r="I46" s="126"/>
      <c r="J46" s="152"/>
      <c r="K46" s="327"/>
      <c r="L46" s="125"/>
      <c r="M46" s="125"/>
      <c r="N46" s="125"/>
      <c r="O46" s="153"/>
      <c r="P46" s="125"/>
      <c r="Q46" s="152"/>
      <c r="R46" s="126"/>
      <c r="S46" s="152"/>
      <c r="T46" s="152"/>
      <c r="U46" s="152"/>
      <c r="V46" s="152"/>
      <c r="W46" s="152"/>
      <c r="X46" s="152"/>
      <c r="Y46" s="125"/>
      <c r="Z46" s="124"/>
      <c r="AA46" s="116"/>
      <c r="AB46" s="110"/>
      <c r="AC46" s="109"/>
      <c r="AD46" s="109"/>
      <c r="AE46" s="109"/>
      <c r="AJ46" s="109"/>
      <c r="AK46" s="109"/>
      <c r="AL46" s="109"/>
      <c r="AM46" s="109"/>
      <c r="AN46" s="109"/>
      <c r="AO46" s="109"/>
      <c r="AP46" s="109"/>
    </row>
    <row r="47" spans="3:45" x14ac:dyDescent="0.25">
      <c r="C47" s="112"/>
      <c r="D47" s="112"/>
      <c r="E47" s="109"/>
      <c r="F47" s="109"/>
      <c r="G47" s="109"/>
      <c r="H47" s="109"/>
      <c r="I47" s="109"/>
      <c r="J47" s="109"/>
      <c r="K47" s="113"/>
      <c r="L47" s="112"/>
      <c r="M47" s="112"/>
      <c r="N47" s="112"/>
      <c r="P47" s="112"/>
      <c r="Q47" s="109"/>
      <c r="R47" s="111"/>
      <c r="S47" s="109"/>
      <c r="T47" s="109"/>
      <c r="U47" s="109"/>
      <c r="V47" s="109"/>
      <c r="W47" s="109"/>
      <c r="X47" s="109"/>
      <c r="Y47" s="110"/>
      <c r="AA47" s="114" t="s">
        <v>471</v>
      </c>
      <c r="AB47" s="108"/>
      <c r="AC47" s="109"/>
      <c r="AD47" s="109"/>
      <c r="AE47" s="109"/>
      <c r="AJ47" s="109"/>
      <c r="AK47" s="109"/>
      <c r="AL47" s="109"/>
      <c r="AM47" s="109"/>
      <c r="AN47" s="109"/>
      <c r="AO47" s="109"/>
      <c r="AP47" s="109"/>
    </row>
    <row r="48" spans="3:45" x14ac:dyDescent="0.25">
      <c r="C48" s="139" t="s">
        <v>672</v>
      </c>
      <c r="D48" s="133"/>
      <c r="E48" s="119"/>
      <c r="F48" s="119"/>
      <c r="G48" s="119"/>
      <c r="H48" s="119"/>
      <c r="I48" s="119"/>
      <c r="J48" s="119"/>
      <c r="K48" s="113"/>
      <c r="L48" s="112"/>
      <c r="M48" s="112"/>
      <c r="N48" s="112"/>
      <c r="P48" s="112"/>
      <c r="Q48" s="109"/>
    </row>
    <row r="49" spans="3:42" x14ac:dyDescent="0.25">
      <c r="C49" s="114" t="str">
        <f>"X"&amp;$J$2</f>
        <v>XPWRCLE</v>
      </c>
      <c r="D49" s="112"/>
      <c r="E49" s="109"/>
      <c r="F49" s="109"/>
      <c r="G49" s="109"/>
      <c r="H49" s="109"/>
      <c r="I49" s="109"/>
      <c r="J49" s="109"/>
      <c r="K49" s="113"/>
      <c r="L49" s="112"/>
      <c r="M49" s="112"/>
      <c r="N49" s="112"/>
      <c r="P49" s="112"/>
      <c r="Q49" s="109"/>
    </row>
    <row r="50" spans="3:42" x14ac:dyDescent="0.25">
      <c r="C50" s="112"/>
      <c r="D50" s="112"/>
      <c r="E50" s="109"/>
      <c r="F50" s="109"/>
      <c r="G50" s="109"/>
      <c r="H50" s="109"/>
      <c r="I50" s="109"/>
      <c r="J50" s="109"/>
      <c r="K50" s="113"/>
      <c r="L50" s="112"/>
      <c r="M50" s="112"/>
      <c r="N50" s="112"/>
      <c r="P50" s="112"/>
      <c r="Q50" s="109"/>
    </row>
    <row r="51" spans="3:42" x14ac:dyDescent="0.25">
      <c r="C51" s="112"/>
      <c r="D51" s="112"/>
      <c r="E51" s="109"/>
      <c r="F51" s="109"/>
      <c r="G51" s="109"/>
      <c r="H51" s="109"/>
      <c r="I51" s="109"/>
      <c r="J51" s="109"/>
      <c r="K51" s="113"/>
      <c r="L51" s="112"/>
      <c r="M51" s="112"/>
      <c r="N51" s="112"/>
      <c r="P51" s="112"/>
      <c r="Q51" s="109"/>
    </row>
    <row r="52" spans="3:42" x14ac:dyDescent="0.25">
      <c r="C52" s="112"/>
      <c r="D52" s="112"/>
      <c r="E52" s="109"/>
      <c r="F52" s="109"/>
      <c r="G52" s="109"/>
      <c r="H52" s="109"/>
      <c r="I52" s="109"/>
      <c r="J52" s="109"/>
      <c r="K52" s="113"/>
      <c r="L52" s="112"/>
      <c r="M52" s="112"/>
      <c r="N52" s="112"/>
      <c r="P52" s="112"/>
      <c r="Q52" s="109"/>
    </row>
    <row r="53" spans="3:42" x14ac:dyDescent="0.25">
      <c r="E53" s="109"/>
      <c r="F53" s="109"/>
      <c r="G53" s="109"/>
      <c r="H53" s="109"/>
      <c r="I53" s="109"/>
      <c r="J53" s="109"/>
      <c r="K53" s="113"/>
      <c r="L53" s="112"/>
      <c r="M53" s="118"/>
      <c r="N53" s="118"/>
      <c r="O53" s="120"/>
      <c r="P53" s="118"/>
      <c r="Q53" s="119"/>
      <c r="R53" s="114"/>
      <c r="S53" s="111"/>
      <c r="T53" s="109"/>
      <c r="U53" s="109"/>
      <c r="V53" s="109"/>
      <c r="W53" s="109"/>
      <c r="X53" s="109"/>
      <c r="AC53" s="109"/>
      <c r="AD53" s="109"/>
      <c r="AE53" s="109"/>
      <c r="AJ53" s="109"/>
      <c r="AK53" s="109"/>
      <c r="AL53" s="109"/>
      <c r="AM53" s="109"/>
      <c r="AN53" s="109"/>
      <c r="AO53" s="109"/>
      <c r="AP53" s="109"/>
    </row>
    <row r="54" spans="3:42" x14ac:dyDescent="0.25">
      <c r="E54" s="109"/>
      <c r="F54" s="109"/>
      <c r="G54" s="109"/>
      <c r="H54" s="109"/>
      <c r="I54" s="109"/>
      <c r="J54" s="109"/>
      <c r="K54" s="113"/>
      <c r="L54" s="132"/>
      <c r="M54" s="120"/>
      <c r="N54" s="118"/>
      <c r="O54" s="120"/>
      <c r="P54" s="118"/>
      <c r="Q54" s="119"/>
      <c r="R54" s="114"/>
      <c r="S54" s="114"/>
      <c r="T54" s="119"/>
      <c r="U54" s="119"/>
      <c r="V54" s="119"/>
      <c r="W54" s="119"/>
      <c r="X54" s="119"/>
      <c r="AC54" s="109"/>
      <c r="AD54" s="109"/>
      <c r="AE54" s="109"/>
      <c r="AJ54" s="109"/>
      <c r="AK54" s="109"/>
      <c r="AL54" s="109"/>
      <c r="AM54" s="109"/>
      <c r="AN54" s="109"/>
      <c r="AO54" s="109"/>
      <c r="AP54" s="109"/>
    </row>
    <row r="55" spans="3:42" x14ac:dyDescent="0.25">
      <c r="E55" s="109"/>
      <c r="F55" s="109"/>
      <c r="G55" s="109"/>
      <c r="H55" s="109"/>
      <c r="I55" s="109"/>
      <c r="J55" s="109"/>
      <c r="K55" s="113"/>
      <c r="L55" s="113"/>
      <c r="M55" s="328"/>
      <c r="N55" s="112"/>
      <c r="P55" s="112"/>
      <c r="Q55" s="109"/>
      <c r="R55" s="111"/>
      <c r="S55" s="109"/>
      <c r="T55" s="114"/>
      <c r="U55" s="119"/>
      <c r="V55" s="119"/>
      <c r="W55" s="119"/>
      <c r="X55" s="109"/>
      <c r="AC55" s="109"/>
      <c r="AD55" s="109"/>
      <c r="AE55" s="109"/>
      <c r="AJ55" s="109"/>
      <c r="AK55" s="109"/>
      <c r="AL55" s="109"/>
      <c r="AM55" s="109"/>
      <c r="AN55" s="109"/>
      <c r="AO55" s="109"/>
      <c r="AP55" s="109"/>
    </row>
    <row r="56" spans="3:42" x14ac:dyDescent="0.25">
      <c r="E56" s="109"/>
      <c r="F56" s="109"/>
      <c r="G56" s="109"/>
      <c r="H56" s="109"/>
      <c r="I56" s="109"/>
      <c r="J56" s="109"/>
      <c r="K56" s="113"/>
      <c r="L56" s="113"/>
      <c r="M56" s="115"/>
      <c r="N56" s="132"/>
      <c r="O56" s="131"/>
      <c r="P56" s="144"/>
      <c r="Q56" s="130"/>
      <c r="R56" s="145"/>
      <c r="S56" s="130"/>
      <c r="T56" s="109"/>
      <c r="U56" s="109"/>
      <c r="V56" s="109"/>
      <c r="W56" s="109"/>
      <c r="X56" s="109"/>
      <c r="AC56" s="109"/>
      <c r="AD56" s="109"/>
      <c r="AE56" s="109"/>
      <c r="AJ56" s="109"/>
      <c r="AK56" s="109"/>
      <c r="AL56" s="109"/>
      <c r="AM56" s="109"/>
      <c r="AN56" s="109"/>
      <c r="AO56" s="109"/>
      <c r="AP56" s="109"/>
    </row>
    <row r="57" spans="3:42" x14ac:dyDescent="0.25">
      <c r="E57" s="109"/>
      <c r="F57" s="109"/>
      <c r="G57" s="109"/>
      <c r="H57" s="109"/>
      <c r="I57" s="109"/>
      <c r="J57" s="109"/>
      <c r="K57" s="113"/>
      <c r="L57" s="113"/>
      <c r="M57" s="115"/>
      <c r="N57" s="148">
        <f>85%*0.4</f>
        <v>0.34</v>
      </c>
      <c r="O57" s="128" t="s">
        <v>984</v>
      </c>
      <c r="P57" s="110"/>
      <c r="Q57" s="109"/>
      <c r="R57" s="111"/>
      <c r="S57" s="109"/>
      <c r="T57" s="109"/>
      <c r="U57" s="109"/>
      <c r="V57" s="109"/>
      <c r="W57" s="109"/>
      <c r="X57" s="109"/>
      <c r="AC57" s="109"/>
      <c r="AD57" s="109"/>
      <c r="AE57" s="109"/>
      <c r="AJ57" s="109"/>
      <c r="AK57" s="109"/>
      <c r="AL57" s="109"/>
      <c r="AM57" s="109"/>
      <c r="AN57" s="109"/>
      <c r="AO57" s="109"/>
      <c r="AP57" s="109"/>
    </row>
    <row r="58" spans="3:42" x14ac:dyDescent="0.25">
      <c r="E58" s="109"/>
      <c r="F58" s="109"/>
      <c r="G58" s="109"/>
      <c r="H58" s="109"/>
      <c r="I58" s="109"/>
      <c r="J58" s="109"/>
      <c r="K58" s="113"/>
      <c r="L58" s="113"/>
      <c r="M58" s="147"/>
      <c r="N58" s="143">
        <f>45%*40%</f>
        <v>0.18000000000000002</v>
      </c>
      <c r="O58" s="116"/>
      <c r="P58" s="112"/>
      <c r="Q58" s="109"/>
      <c r="R58" s="111"/>
      <c r="S58" s="109"/>
      <c r="T58" s="109"/>
      <c r="U58" s="109"/>
      <c r="V58" s="109"/>
      <c r="W58" s="109"/>
      <c r="X58" s="109"/>
      <c r="AC58" s="109"/>
      <c r="AD58" s="109"/>
      <c r="AE58" s="109"/>
      <c r="AJ58" s="109"/>
      <c r="AK58" s="109"/>
      <c r="AL58" s="109"/>
      <c r="AM58" s="109"/>
      <c r="AN58" s="109"/>
      <c r="AO58" s="109"/>
      <c r="AP58" s="109"/>
    </row>
    <row r="59" spans="3:42" x14ac:dyDescent="0.25">
      <c r="E59" s="109"/>
      <c r="F59" s="109"/>
      <c r="G59" s="109"/>
      <c r="H59" s="109"/>
      <c r="I59" s="109"/>
      <c r="J59" s="109"/>
      <c r="K59" s="113"/>
      <c r="L59" s="147"/>
      <c r="M59" s="120"/>
      <c r="N59" s="146">
        <f>85%*0.4</f>
        <v>0.34</v>
      </c>
      <c r="O59" s="116"/>
      <c r="P59" s="133"/>
      <c r="Q59" s="119"/>
      <c r="R59" s="114"/>
      <c r="S59" s="114"/>
      <c r="T59" s="119"/>
      <c r="U59" s="109"/>
      <c r="V59" s="109"/>
      <c r="W59" s="109"/>
      <c r="X59" s="109"/>
      <c r="AC59" s="109"/>
      <c r="AD59" s="109"/>
      <c r="AE59" s="109"/>
      <c r="AJ59" s="109"/>
      <c r="AK59" s="109"/>
      <c r="AL59" s="109"/>
      <c r="AM59" s="109"/>
      <c r="AN59" s="109"/>
      <c r="AO59" s="109"/>
      <c r="AP59" s="109"/>
    </row>
    <row r="60" spans="3:42" x14ac:dyDescent="0.25">
      <c r="E60" s="109"/>
      <c r="F60" s="109"/>
      <c r="G60" s="109"/>
      <c r="H60" s="109"/>
      <c r="I60" s="114"/>
      <c r="J60" s="119"/>
      <c r="K60" s="133"/>
      <c r="L60" s="118"/>
      <c r="M60" s="118"/>
      <c r="N60" s="143">
        <f>50%*0.4</f>
        <v>0.2</v>
      </c>
      <c r="O60" s="116"/>
      <c r="R60" s="111"/>
      <c r="S60" s="109"/>
      <c r="T60" s="109"/>
      <c r="U60" s="111"/>
      <c r="V60" s="111"/>
      <c r="W60" s="111"/>
      <c r="X60" s="111"/>
      <c r="AC60" s="109"/>
      <c r="AD60" s="111"/>
      <c r="AE60" s="111"/>
      <c r="AF60" s="115"/>
      <c r="AJ60" s="109"/>
      <c r="AK60" s="109"/>
      <c r="AL60" s="109"/>
      <c r="AM60" s="109"/>
      <c r="AN60" s="109"/>
      <c r="AO60" s="109"/>
      <c r="AP60" s="109"/>
    </row>
    <row r="61" spans="3:42" x14ac:dyDescent="0.25">
      <c r="E61" s="109"/>
      <c r="F61" s="109"/>
      <c r="G61" s="109"/>
      <c r="H61" s="109"/>
      <c r="I61" s="109"/>
      <c r="J61" s="109"/>
      <c r="K61" s="113"/>
      <c r="L61" s="112"/>
      <c r="M61" s="112"/>
      <c r="N61" s="142">
        <f>50%*0.4</f>
        <v>0.2</v>
      </c>
      <c r="O61" s="116"/>
      <c r="P61" s="112"/>
      <c r="Q61" s="109"/>
      <c r="R61" s="111"/>
      <c r="S61" s="109"/>
      <c r="T61" s="109"/>
      <c r="U61" s="109"/>
      <c r="V61" s="109"/>
      <c r="W61" s="111"/>
      <c r="X61" s="111"/>
      <c r="AC61" s="109"/>
      <c r="AD61" s="109"/>
      <c r="AE61" s="109"/>
      <c r="AF61" s="115"/>
      <c r="AJ61" s="109"/>
      <c r="AK61" s="109"/>
      <c r="AL61" s="109"/>
      <c r="AM61" s="109"/>
      <c r="AN61" s="109"/>
      <c r="AO61" s="109"/>
      <c r="AP61" s="109"/>
    </row>
    <row r="62" spans="3:42" x14ac:dyDescent="0.25">
      <c r="E62" s="109"/>
      <c r="F62" s="109"/>
      <c r="G62" s="109"/>
      <c r="H62" s="109"/>
      <c r="I62" s="109"/>
      <c r="J62" s="109"/>
      <c r="K62" s="113"/>
      <c r="L62" s="112"/>
      <c r="M62" s="112"/>
      <c r="N62" s="141"/>
      <c r="O62" s="114" t="s">
        <v>465</v>
      </c>
      <c r="P62" s="112"/>
      <c r="Q62" s="109"/>
      <c r="R62" s="111"/>
      <c r="S62" s="109"/>
      <c r="T62" s="111"/>
      <c r="U62" s="111"/>
      <c r="V62" s="111"/>
      <c r="W62" s="111"/>
      <c r="X62" s="111"/>
      <c r="AC62" s="109"/>
      <c r="AD62" s="111"/>
      <c r="AE62" s="111"/>
      <c r="AF62" s="115"/>
      <c r="AJ62" s="109"/>
      <c r="AK62" s="109"/>
      <c r="AL62" s="109"/>
      <c r="AM62" s="109"/>
      <c r="AN62" s="109"/>
      <c r="AO62" s="109"/>
      <c r="AP62" s="109"/>
    </row>
    <row r="63" spans="3:42" x14ac:dyDescent="0.25">
      <c r="E63" s="109"/>
      <c r="F63" s="109"/>
      <c r="G63" s="109"/>
      <c r="H63" s="109"/>
      <c r="I63" s="109"/>
      <c r="J63" s="109"/>
      <c r="K63" s="113"/>
      <c r="L63" s="112"/>
      <c r="M63" s="112"/>
      <c r="N63" s="133"/>
      <c r="O63" s="120"/>
      <c r="P63" s="120"/>
      <c r="Q63" s="117"/>
      <c r="R63" s="111"/>
      <c r="S63" s="109"/>
      <c r="T63" s="109"/>
      <c r="U63" s="109"/>
      <c r="V63" s="109"/>
      <c r="W63" s="109"/>
      <c r="X63" s="109"/>
      <c r="AC63" s="109"/>
      <c r="AD63" s="109"/>
      <c r="AE63" s="109"/>
      <c r="AJ63" s="109"/>
      <c r="AK63" s="109"/>
      <c r="AL63" s="109"/>
      <c r="AM63" s="109"/>
      <c r="AN63" s="109"/>
      <c r="AO63" s="109"/>
      <c r="AP63" s="109"/>
    </row>
    <row r="64" spans="3:42" x14ac:dyDescent="0.25">
      <c r="E64" s="109"/>
      <c r="F64" s="109"/>
      <c r="G64" s="109"/>
      <c r="H64" s="109"/>
      <c r="I64" s="109"/>
      <c r="J64" s="109"/>
      <c r="K64" s="113"/>
      <c r="L64" s="112"/>
      <c r="M64" s="112"/>
      <c r="N64" s="112"/>
      <c r="P64" s="112"/>
      <c r="Q64" s="109"/>
      <c r="R64" s="111"/>
      <c r="S64" s="109"/>
      <c r="T64" s="109"/>
      <c r="U64" s="109"/>
      <c r="V64" s="109"/>
      <c r="W64" s="109"/>
      <c r="X64" s="109"/>
      <c r="AC64" s="109"/>
      <c r="AD64" s="109"/>
      <c r="AE64" s="109"/>
      <c r="AJ64" s="109"/>
      <c r="AK64" s="109"/>
      <c r="AL64" s="109"/>
      <c r="AM64" s="109"/>
      <c r="AN64" s="109"/>
      <c r="AO64" s="109"/>
      <c r="AP64" s="109"/>
    </row>
    <row r="65" spans="5:42" x14ac:dyDescent="0.25">
      <c r="E65" s="109"/>
      <c r="F65" s="109"/>
      <c r="G65" s="109"/>
      <c r="H65" s="109"/>
      <c r="I65" s="109"/>
      <c r="J65" s="109"/>
      <c r="K65" s="113"/>
      <c r="L65" s="112"/>
      <c r="M65" s="118"/>
      <c r="N65" s="118"/>
      <c r="O65" s="120"/>
      <c r="P65" s="118"/>
      <c r="Q65" s="119"/>
      <c r="R65" s="114"/>
      <c r="S65" s="111"/>
      <c r="T65" s="109"/>
      <c r="U65" s="109"/>
      <c r="V65" s="109"/>
      <c r="W65" s="109"/>
      <c r="X65" s="109"/>
      <c r="AC65" s="109"/>
      <c r="AD65" s="109"/>
      <c r="AE65" s="109"/>
      <c r="AJ65" s="109"/>
      <c r="AK65" s="109"/>
      <c r="AL65" s="109"/>
      <c r="AM65" s="109"/>
      <c r="AN65" s="109"/>
      <c r="AO65" s="109"/>
      <c r="AP65" s="109"/>
    </row>
    <row r="66" spans="5:42" x14ac:dyDescent="0.25">
      <c r="E66" s="109"/>
      <c r="F66" s="109"/>
      <c r="G66" s="109"/>
      <c r="H66" s="109"/>
      <c r="I66" s="109"/>
      <c r="J66" s="109"/>
      <c r="K66" s="113"/>
      <c r="L66" s="132"/>
      <c r="M66" s="120"/>
      <c r="N66" s="118"/>
      <c r="O66" s="120"/>
      <c r="P66" s="118"/>
      <c r="Q66" s="119"/>
      <c r="R66" s="114"/>
      <c r="S66" s="114"/>
      <c r="T66" s="119"/>
      <c r="U66" s="119"/>
      <c r="V66" s="119"/>
      <c r="W66" s="119"/>
      <c r="X66" s="119"/>
      <c r="AC66" s="109"/>
      <c r="AD66" s="109"/>
      <c r="AE66" s="109"/>
      <c r="AJ66" s="109"/>
      <c r="AK66" s="109"/>
      <c r="AL66" s="109"/>
      <c r="AM66" s="109"/>
      <c r="AN66" s="109"/>
      <c r="AO66" s="109"/>
      <c r="AP66" s="109"/>
    </row>
    <row r="67" spans="5:42" x14ac:dyDescent="0.25">
      <c r="E67" s="109"/>
      <c r="F67" s="109"/>
      <c r="G67" s="109"/>
      <c r="H67" s="109"/>
      <c r="I67" s="109"/>
      <c r="J67" s="109"/>
      <c r="K67" s="113"/>
      <c r="L67" s="113"/>
      <c r="M67" s="328"/>
      <c r="N67" s="112"/>
      <c r="P67" s="112"/>
      <c r="Q67" s="109"/>
      <c r="R67" s="111"/>
      <c r="S67" s="109"/>
      <c r="T67" s="114"/>
      <c r="U67" s="119"/>
      <c r="V67" s="119"/>
      <c r="W67" s="119"/>
      <c r="X67" s="109"/>
      <c r="AC67" s="109"/>
      <c r="AD67" s="109"/>
      <c r="AE67" s="109"/>
      <c r="AJ67" s="109"/>
      <c r="AK67" s="109"/>
      <c r="AL67" s="109"/>
      <c r="AM67" s="109"/>
      <c r="AN67" s="109"/>
      <c r="AO67" s="109"/>
      <c r="AP67" s="109"/>
    </row>
    <row r="68" spans="5:42" x14ac:dyDescent="0.25">
      <c r="E68" s="109"/>
      <c r="F68" s="109"/>
      <c r="G68" s="109"/>
      <c r="H68" s="109"/>
      <c r="I68" s="109"/>
      <c r="J68" s="109"/>
      <c r="K68" s="113"/>
      <c r="L68" s="113"/>
      <c r="M68" s="115"/>
      <c r="N68" s="132"/>
      <c r="O68" s="131"/>
      <c r="P68" s="144"/>
      <c r="Q68" s="130"/>
      <c r="R68" s="145"/>
      <c r="S68" s="130"/>
      <c r="T68" s="109"/>
      <c r="U68" s="109"/>
      <c r="V68" s="109"/>
      <c r="W68" s="109"/>
      <c r="X68" s="109"/>
      <c r="AC68" s="109"/>
      <c r="AD68" s="109"/>
      <c r="AE68" s="109"/>
      <c r="AJ68" s="109"/>
      <c r="AK68" s="109"/>
      <c r="AL68" s="109"/>
      <c r="AM68" s="109"/>
      <c r="AN68" s="109"/>
      <c r="AO68" s="109"/>
      <c r="AP68" s="109"/>
    </row>
    <row r="69" spans="5:42" x14ac:dyDescent="0.25">
      <c r="E69" s="109"/>
      <c r="F69" s="109"/>
      <c r="G69" s="109"/>
      <c r="H69" s="109"/>
      <c r="I69" s="109"/>
      <c r="J69" s="109"/>
      <c r="K69" s="113"/>
      <c r="L69" s="113"/>
      <c r="M69" s="115"/>
      <c r="N69" s="148">
        <f>85%*0.8</f>
        <v>0.68</v>
      </c>
      <c r="O69" s="128" t="s">
        <v>983</v>
      </c>
      <c r="P69" s="110"/>
      <c r="Q69" s="109"/>
      <c r="R69" s="111"/>
      <c r="S69" s="109"/>
      <c r="T69" s="114"/>
      <c r="U69" s="119"/>
      <c r="V69" s="119"/>
      <c r="W69" s="119"/>
      <c r="X69" s="119"/>
      <c r="Y69" s="118"/>
      <c r="Z69" s="120"/>
      <c r="AA69" s="120"/>
      <c r="AB69" s="120"/>
      <c r="AC69" s="119"/>
      <c r="AD69" s="119"/>
      <c r="AE69" s="119"/>
      <c r="AF69" s="120"/>
      <c r="AG69" s="120"/>
      <c r="AH69" s="117"/>
      <c r="AI69" s="137" t="s">
        <v>982</v>
      </c>
      <c r="AJ69" s="114"/>
      <c r="AK69" s="119"/>
      <c r="AL69" s="114"/>
      <c r="AM69" s="119"/>
      <c r="AN69" s="119"/>
      <c r="AO69" s="119"/>
      <c r="AP69" s="119"/>
    </row>
    <row r="70" spans="5:42" x14ac:dyDescent="0.25">
      <c r="E70" s="109"/>
      <c r="F70" s="109"/>
      <c r="G70" s="109"/>
      <c r="H70" s="109"/>
      <c r="I70" s="109"/>
      <c r="J70" s="109"/>
      <c r="K70" s="113"/>
      <c r="L70" s="113"/>
      <c r="M70" s="147"/>
      <c r="N70" s="146">
        <f>45%*0.8</f>
        <v>0.36000000000000004</v>
      </c>
      <c r="O70" s="116"/>
      <c r="P70" s="112"/>
      <c r="Q70" s="109"/>
      <c r="R70" s="111"/>
      <c r="S70" s="109"/>
      <c r="T70" s="109"/>
      <c r="U70" s="109"/>
      <c r="V70" s="109"/>
      <c r="W70" s="109"/>
      <c r="X70" s="109"/>
      <c r="Y70" s="110"/>
      <c r="AC70" s="109"/>
      <c r="AD70" s="109"/>
      <c r="AE70" s="109"/>
      <c r="AI70" s="298" t="s">
        <v>874</v>
      </c>
      <c r="AJ70" s="109"/>
      <c r="AK70" s="109"/>
      <c r="AL70" s="109"/>
      <c r="AM70" s="109"/>
      <c r="AN70" s="109"/>
      <c r="AO70" s="109"/>
      <c r="AP70" s="109"/>
    </row>
    <row r="71" spans="5:42" x14ac:dyDescent="0.25">
      <c r="E71" s="109"/>
      <c r="F71" s="109"/>
      <c r="G71" s="109"/>
      <c r="H71" s="109"/>
      <c r="I71" s="109"/>
      <c r="J71" s="109"/>
      <c r="K71" s="113"/>
      <c r="L71" s="147"/>
      <c r="M71" s="120"/>
      <c r="N71" s="146">
        <f>85%*0.8</f>
        <v>0.68</v>
      </c>
      <c r="O71" s="116"/>
      <c r="P71" s="133"/>
      <c r="Q71" s="119"/>
      <c r="R71" s="114"/>
      <c r="S71" s="119"/>
      <c r="T71" s="109"/>
      <c r="V71" s="111"/>
      <c r="W71" s="109"/>
      <c r="X71" s="109"/>
      <c r="AC71" s="109"/>
      <c r="AD71" s="109"/>
      <c r="AE71" s="109"/>
      <c r="AJ71" s="109"/>
      <c r="AK71" s="109"/>
      <c r="AL71" s="109"/>
      <c r="AM71" s="109"/>
      <c r="AN71" s="109"/>
      <c r="AO71" s="109"/>
      <c r="AP71" s="109"/>
    </row>
    <row r="72" spans="5:42" x14ac:dyDescent="0.25">
      <c r="E72" s="109"/>
      <c r="F72" s="109"/>
      <c r="G72" s="109"/>
      <c r="H72" s="109"/>
      <c r="I72" s="114"/>
      <c r="J72" s="119"/>
      <c r="K72" s="133"/>
      <c r="L72" s="118"/>
      <c r="M72" s="118"/>
      <c r="N72" s="143">
        <f>50%*0.8</f>
        <v>0.4</v>
      </c>
      <c r="O72" s="116"/>
      <c r="R72" s="111"/>
      <c r="S72" s="109"/>
      <c r="T72" s="109"/>
      <c r="U72" s="111"/>
      <c r="V72" s="111"/>
      <c r="W72" s="111"/>
      <c r="X72" s="111"/>
      <c r="AC72" s="109"/>
      <c r="AD72" s="111"/>
      <c r="AE72" s="111"/>
      <c r="AF72" s="115"/>
      <c r="AJ72" s="109"/>
      <c r="AK72" s="109"/>
      <c r="AL72" s="109"/>
      <c r="AM72" s="109"/>
      <c r="AN72" s="109"/>
      <c r="AO72" s="109"/>
      <c r="AP72" s="109"/>
    </row>
    <row r="73" spans="5:42" x14ac:dyDescent="0.25">
      <c r="E73" s="109"/>
      <c r="F73" s="109"/>
      <c r="G73" s="109"/>
      <c r="H73" s="109"/>
      <c r="I73" s="109"/>
      <c r="J73" s="109"/>
      <c r="K73" s="113"/>
      <c r="L73" s="112"/>
      <c r="M73" s="112"/>
      <c r="N73" s="142">
        <f>50%*0.8</f>
        <v>0.4</v>
      </c>
      <c r="O73" s="116"/>
      <c r="P73" s="112"/>
      <c r="Q73" s="109"/>
      <c r="R73" s="111"/>
      <c r="S73" s="109"/>
      <c r="T73" s="109"/>
      <c r="U73" s="109"/>
      <c r="V73" s="109"/>
      <c r="W73" s="111"/>
      <c r="X73" s="111"/>
      <c r="AC73" s="109"/>
      <c r="AD73" s="109"/>
      <c r="AE73" s="109"/>
      <c r="AF73" s="115"/>
      <c r="AJ73" s="109"/>
      <c r="AK73" s="109"/>
      <c r="AL73" s="109"/>
      <c r="AM73" s="109"/>
      <c r="AN73" s="109"/>
      <c r="AO73" s="109"/>
      <c r="AP73" s="109"/>
    </row>
    <row r="74" spans="5:42" x14ac:dyDescent="0.25">
      <c r="E74" s="109"/>
      <c r="F74" s="109"/>
      <c r="G74" s="109"/>
      <c r="H74" s="109"/>
      <c r="I74" s="109"/>
      <c r="J74" s="109"/>
      <c r="K74" s="113"/>
      <c r="L74" s="112"/>
      <c r="M74" s="112"/>
      <c r="N74" s="141"/>
      <c r="O74" s="114" t="s">
        <v>466</v>
      </c>
      <c r="P74" s="112"/>
      <c r="Q74" s="109"/>
      <c r="R74" s="111"/>
      <c r="S74" s="109"/>
      <c r="T74" s="111"/>
      <c r="U74" s="111"/>
      <c r="V74" s="111"/>
      <c r="W74" s="111"/>
      <c r="X74" s="111"/>
      <c r="AC74" s="109"/>
      <c r="AD74" s="111"/>
      <c r="AE74" s="111"/>
      <c r="AF74" s="115"/>
      <c r="AJ74" s="109"/>
      <c r="AK74" s="109"/>
      <c r="AL74" s="109"/>
      <c r="AM74" s="109"/>
      <c r="AN74" s="109"/>
      <c r="AO74" s="109"/>
      <c r="AP74" s="109"/>
    </row>
    <row r="75" spans="5:42" x14ac:dyDescent="0.25">
      <c r="E75" s="109"/>
      <c r="F75" s="109"/>
      <c r="G75" s="109"/>
      <c r="H75" s="109"/>
      <c r="I75" s="109"/>
      <c r="J75" s="109"/>
      <c r="K75" s="113"/>
      <c r="L75" s="112"/>
      <c r="M75" s="112"/>
      <c r="N75" s="133"/>
      <c r="O75" s="120"/>
      <c r="P75" s="120"/>
      <c r="Q75" s="117"/>
      <c r="R75" s="111"/>
      <c r="S75" s="109"/>
      <c r="T75" s="109"/>
      <c r="U75" s="109"/>
      <c r="V75" s="109"/>
      <c r="W75" s="109"/>
      <c r="X75" s="109"/>
      <c r="AC75" s="109"/>
      <c r="AD75" s="109"/>
      <c r="AE75" s="109"/>
      <c r="AJ75" s="109"/>
      <c r="AK75" s="109"/>
      <c r="AL75" s="109"/>
      <c r="AM75" s="109"/>
      <c r="AN75" s="109"/>
      <c r="AO75" s="109"/>
      <c r="AP75" s="109"/>
    </row>
    <row r="76" spans="5:42" x14ac:dyDescent="0.25">
      <c r="E76" s="109"/>
      <c r="F76" s="109"/>
      <c r="G76" s="109"/>
      <c r="H76" s="109"/>
      <c r="I76" s="109"/>
      <c r="J76" s="109"/>
      <c r="K76" s="113"/>
      <c r="L76" s="112"/>
      <c r="M76" s="112"/>
      <c r="N76" s="112"/>
      <c r="P76" s="112"/>
      <c r="Q76" s="109"/>
      <c r="R76" s="111"/>
      <c r="S76" s="109"/>
      <c r="T76" s="109"/>
      <c r="U76" s="109"/>
      <c r="V76" s="109"/>
      <c r="W76" s="109"/>
      <c r="X76" s="109"/>
      <c r="AC76" s="109"/>
      <c r="AD76" s="109"/>
      <c r="AE76" s="109"/>
      <c r="AJ76" s="109"/>
      <c r="AK76" s="109"/>
      <c r="AL76" s="109"/>
      <c r="AM76" s="109"/>
      <c r="AN76" s="109"/>
      <c r="AO76" s="109"/>
      <c r="AP76" s="109"/>
    </row>
    <row r="77" spans="5:42" x14ac:dyDescent="0.25">
      <c r="E77" s="109"/>
      <c r="F77" s="109"/>
      <c r="G77" s="109"/>
      <c r="H77" s="109"/>
      <c r="I77" s="109"/>
      <c r="J77" s="109"/>
      <c r="K77" s="113"/>
      <c r="L77" s="112"/>
      <c r="M77" s="112"/>
      <c r="N77" s="112"/>
      <c r="P77" s="112"/>
      <c r="Q77" s="109"/>
      <c r="R77" s="111"/>
      <c r="S77" s="109"/>
      <c r="T77" s="109"/>
      <c r="U77" s="109"/>
      <c r="V77" s="109"/>
      <c r="W77" s="109"/>
      <c r="X77" s="109"/>
      <c r="AC77" s="109"/>
      <c r="AD77" s="109"/>
      <c r="AE77" s="109"/>
      <c r="AJ77" s="109"/>
      <c r="AK77" s="109"/>
      <c r="AL77" s="109"/>
      <c r="AM77" s="109"/>
      <c r="AN77" s="109"/>
      <c r="AO77" s="109"/>
      <c r="AP77" s="109"/>
    </row>
    <row r="78" spans="5:42" x14ac:dyDescent="0.25">
      <c r="E78" s="109"/>
      <c r="F78" s="109"/>
      <c r="G78" s="109"/>
      <c r="H78" s="109"/>
      <c r="I78" s="109"/>
      <c r="J78" s="109"/>
      <c r="K78" s="113"/>
      <c r="L78" s="112"/>
      <c r="M78" s="112"/>
      <c r="N78" s="112"/>
      <c r="P78" s="112"/>
      <c r="Q78" s="109"/>
      <c r="R78" s="111"/>
      <c r="S78" s="109"/>
      <c r="T78" s="109"/>
      <c r="U78" s="109"/>
      <c r="V78" s="109"/>
      <c r="W78" s="109"/>
      <c r="X78" s="109"/>
      <c r="AC78" s="109"/>
      <c r="AD78" s="109"/>
      <c r="AE78" s="109"/>
      <c r="AJ78" s="109"/>
      <c r="AK78" s="109"/>
      <c r="AL78" s="109"/>
      <c r="AM78" s="109"/>
      <c r="AN78" s="109"/>
      <c r="AO78" s="109"/>
      <c r="AP78" s="109"/>
    </row>
    <row r="79" spans="5:42" x14ac:dyDescent="0.25">
      <c r="E79" s="109"/>
      <c r="F79" s="109"/>
      <c r="G79" s="109"/>
      <c r="H79" s="109"/>
      <c r="I79" s="109"/>
      <c r="J79" s="109"/>
      <c r="K79" s="113"/>
      <c r="L79" s="112"/>
      <c r="M79" s="112"/>
      <c r="N79" s="112"/>
      <c r="P79" s="112"/>
      <c r="Q79" s="109"/>
      <c r="R79" s="111"/>
      <c r="S79" s="109"/>
      <c r="T79" s="109"/>
      <c r="U79" s="109"/>
      <c r="V79" s="109"/>
      <c r="W79" s="109"/>
      <c r="X79" s="109"/>
      <c r="Y79" s="110"/>
      <c r="AA79" s="110"/>
      <c r="AB79" s="108"/>
      <c r="AC79" s="109"/>
      <c r="AD79" s="109"/>
      <c r="AE79" s="109"/>
      <c r="AJ79" s="109"/>
      <c r="AK79" s="109"/>
      <c r="AL79" s="109"/>
      <c r="AM79" s="109"/>
      <c r="AN79" s="109"/>
      <c r="AO79" s="109"/>
      <c r="AP79" s="109"/>
    </row>
    <row r="80" spans="5:42" x14ac:dyDescent="0.25">
      <c r="E80" s="109"/>
      <c r="F80" s="109"/>
      <c r="G80" s="109"/>
      <c r="H80" s="109"/>
      <c r="I80" s="109"/>
      <c r="J80" s="109"/>
      <c r="K80" s="113"/>
      <c r="L80" s="112"/>
      <c r="M80" s="112"/>
      <c r="N80" s="112"/>
      <c r="P80" s="112"/>
      <c r="Q80" s="109"/>
      <c r="R80" s="111"/>
      <c r="S80" s="109"/>
      <c r="T80" s="109"/>
      <c r="U80" s="109"/>
      <c r="V80" s="109"/>
      <c r="W80" s="109"/>
      <c r="X80" s="109"/>
      <c r="Y80" s="110"/>
      <c r="AC80" s="109"/>
      <c r="AD80" s="109"/>
      <c r="AE80" s="109"/>
      <c r="AJ80" s="109"/>
      <c r="AK80" s="109"/>
      <c r="AL80" s="109"/>
      <c r="AM80" s="109"/>
      <c r="AN80" s="109"/>
      <c r="AO80" s="109"/>
      <c r="AP80" s="109"/>
    </row>
    <row r="81" spans="5:42" x14ac:dyDescent="0.25">
      <c r="E81" s="109"/>
      <c r="F81" s="109"/>
      <c r="G81" s="109"/>
      <c r="H81" s="109"/>
      <c r="I81" s="109"/>
      <c r="J81" s="109"/>
      <c r="K81" s="133"/>
      <c r="L81" s="118"/>
      <c r="M81" s="118"/>
      <c r="N81" s="119"/>
      <c r="O81" s="139" t="s">
        <v>461</v>
      </c>
      <c r="P81" s="133"/>
      <c r="Q81" s="119"/>
      <c r="R81" s="114"/>
      <c r="S81" s="119"/>
      <c r="T81" s="109"/>
      <c r="U81" s="109"/>
      <c r="V81" s="111"/>
      <c r="W81" s="109"/>
      <c r="X81" s="109"/>
      <c r="Y81" s="110"/>
      <c r="Z81" s="108"/>
      <c r="AA81" s="108"/>
      <c r="AB81" s="108"/>
      <c r="AC81" s="109"/>
      <c r="AD81" s="109"/>
      <c r="AE81" s="109"/>
      <c r="AJ81" s="109"/>
      <c r="AK81" s="109"/>
      <c r="AL81" s="109"/>
      <c r="AM81" s="109"/>
      <c r="AN81" s="109"/>
      <c r="AO81" s="109"/>
      <c r="AP81" s="109"/>
    </row>
    <row r="82" spans="5:42" x14ac:dyDescent="0.25">
      <c r="E82" s="109"/>
      <c r="F82" s="109"/>
      <c r="G82" s="109"/>
      <c r="H82" s="109"/>
      <c r="I82" s="109"/>
      <c r="J82" s="109"/>
      <c r="K82" s="113"/>
      <c r="L82" s="112"/>
      <c r="M82" s="112"/>
      <c r="N82" s="112"/>
      <c r="O82" s="114" t="s">
        <v>460</v>
      </c>
      <c r="P82" s="112"/>
      <c r="Q82" s="109"/>
      <c r="R82" s="111"/>
      <c r="S82" s="109"/>
      <c r="T82" s="109"/>
      <c r="U82" s="109"/>
      <c r="V82" s="109"/>
      <c r="W82" s="109"/>
      <c r="X82" s="109"/>
      <c r="Y82" s="110"/>
      <c r="AC82" s="109"/>
      <c r="AD82" s="109"/>
      <c r="AE82" s="109"/>
      <c r="AJ82" s="109"/>
      <c r="AK82" s="109"/>
      <c r="AL82" s="109"/>
      <c r="AM82" s="109"/>
      <c r="AN82" s="109"/>
      <c r="AO82" s="109"/>
      <c r="AP82" s="109"/>
    </row>
    <row r="83" spans="5:42" x14ac:dyDescent="0.25">
      <c r="E83" s="109"/>
      <c r="F83" s="109"/>
      <c r="G83" s="109"/>
      <c r="H83" s="109"/>
      <c r="I83" s="109"/>
      <c r="J83" s="109"/>
      <c r="K83" s="113"/>
      <c r="L83" s="112"/>
      <c r="M83" s="112"/>
      <c r="N83" s="112"/>
      <c r="P83" s="112"/>
      <c r="Q83" s="109"/>
      <c r="R83" s="111"/>
      <c r="S83" s="109"/>
      <c r="T83" s="109"/>
      <c r="U83" s="109"/>
      <c r="V83" s="114"/>
      <c r="W83" s="119"/>
      <c r="X83" s="119"/>
      <c r="Y83" s="118"/>
      <c r="Z83" s="120"/>
      <c r="AA83" s="120"/>
      <c r="AB83" s="120"/>
      <c r="AC83" s="109"/>
      <c r="AD83" s="109"/>
      <c r="AE83" s="109"/>
      <c r="AJ83" s="109"/>
      <c r="AK83" s="109"/>
      <c r="AL83" s="109"/>
      <c r="AM83" s="109"/>
      <c r="AN83" s="109"/>
      <c r="AO83" s="109"/>
      <c r="AP83" s="109"/>
    </row>
    <row r="84" spans="5:42" x14ac:dyDescent="0.25">
      <c r="E84" s="109"/>
      <c r="F84" s="109"/>
      <c r="G84" s="109"/>
      <c r="H84" s="109"/>
      <c r="I84" s="109"/>
      <c r="J84" s="114"/>
      <c r="K84" s="133"/>
      <c r="L84" s="118"/>
      <c r="M84" s="118"/>
      <c r="N84" s="119"/>
      <c r="O84" s="137" t="s">
        <v>459</v>
      </c>
      <c r="P84" s="133"/>
      <c r="Q84" s="119"/>
      <c r="R84" s="114"/>
      <c r="S84" s="119"/>
      <c r="T84" s="119"/>
      <c r="U84" s="119"/>
      <c r="V84" s="109"/>
      <c r="W84" s="109"/>
      <c r="X84" s="109"/>
      <c r="Y84" s="110"/>
      <c r="AB84" s="140"/>
      <c r="AC84" s="109"/>
      <c r="AD84" s="109"/>
      <c r="AE84" s="109"/>
      <c r="AJ84" s="109"/>
      <c r="AK84" s="109"/>
      <c r="AL84" s="109"/>
      <c r="AM84" s="109"/>
      <c r="AN84" s="109"/>
      <c r="AO84" s="109"/>
      <c r="AP84" s="109"/>
    </row>
    <row r="85" spans="5:42" x14ac:dyDescent="0.25">
      <c r="E85" s="109"/>
      <c r="F85" s="109"/>
      <c r="G85" s="109"/>
      <c r="H85" s="109"/>
      <c r="I85" s="109"/>
      <c r="J85" s="109"/>
      <c r="K85" s="113"/>
      <c r="L85" s="112"/>
      <c r="M85" s="112"/>
      <c r="N85" s="112"/>
      <c r="O85" s="114" t="s">
        <v>458</v>
      </c>
      <c r="P85" s="112"/>
      <c r="Q85" s="109"/>
      <c r="R85" s="111"/>
      <c r="S85" s="109"/>
      <c r="T85" s="109"/>
      <c r="U85" s="114"/>
      <c r="V85" s="119"/>
      <c r="W85" s="119"/>
      <c r="X85" s="119"/>
      <c r="Y85" s="118"/>
      <c r="Z85" s="117"/>
      <c r="AA85" s="139" t="s">
        <v>457</v>
      </c>
      <c r="AB85" s="138"/>
      <c r="AC85" s="109"/>
      <c r="AD85" s="109"/>
      <c r="AE85" s="109"/>
      <c r="AJ85" s="109"/>
      <c r="AK85" s="109"/>
      <c r="AL85" s="109"/>
      <c r="AM85" s="109"/>
      <c r="AN85" s="109"/>
      <c r="AO85" s="109"/>
      <c r="AP85" s="109"/>
    </row>
    <row r="86" spans="5:42" x14ac:dyDescent="0.25">
      <c r="E86" s="109"/>
      <c r="F86" s="109"/>
      <c r="G86" s="109"/>
      <c r="H86" s="109"/>
      <c r="I86" s="109"/>
      <c r="J86" s="109"/>
      <c r="K86" s="113"/>
      <c r="L86" s="112"/>
      <c r="M86" s="112"/>
      <c r="N86" s="112"/>
      <c r="P86" s="112"/>
      <c r="Q86" s="109"/>
      <c r="R86" s="111"/>
      <c r="S86" s="109"/>
      <c r="T86" s="109"/>
      <c r="U86" s="109"/>
      <c r="V86" s="109"/>
      <c r="W86" s="109"/>
      <c r="X86" s="109"/>
      <c r="Y86" s="110"/>
      <c r="AA86" s="114" t="str">
        <f>"X"&amp;$T$2&amp;"EXP"</f>
        <v>XISIELCEXP</v>
      </c>
      <c r="AB86" s="113"/>
      <c r="AC86" s="109"/>
      <c r="AD86" s="109"/>
      <c r="AE86" s="109"/>
      <c r="AJ86" s="109"/>
      <c r="AK86" s="109"/>
      <c r="AL86" s="109"/>
      <c r="AM86" s="109"/>
      <c r="AN86" s="109"/>
      <c r="AO86" s="109"/>
      <c r="AP86" s="109"/>
    </row>
    <row r="87" spans="5:42" x14ac:dyDescent="0.25">
      <c r="E87" s="109"/>
      <c r="F87" s="109"/>
      <c r="G87" s="109"/>
      <c r="H87" s="109"/>
      <c r="I87" s="109"/>
      <c r="J87" s="109"/>
      <c r="K87" s="113"/>
      <c r="L87" s="112"/>
      <c r="M87" s="112"/>
      <c r="N87" s="112"/>
      <c r="O87" s="137" t="s">
        <v>456</v>
      </c>
      <c r="P87" s="133"/>
      <c r="Q87" s="119"/>
      <c r="R87" s="114"/>
      <c r="S87" s="119"/>
      <c r="T87" s="119"/>
      <c r="U87" s="119"/>
      <c r="V87" s="109"/>
      <c r="W87" s="109"/>
      <c r="X87" s="109"/>
      <c r="Y87" s="110"/>
      <c r="AC87" s="109"/>
      <c r="AD87" s="109"/>
      <c r="AE87" s="109"/>
      <c r="AJ87" s="109"/>
      <c r="AK87" s="109"/>
      <c r="AL87" s="109"/>
      <c r="AM87" s="109"/>
      <c r="AN87" s="109"/>
      <c r="AO87" s="109"/>
      <c r="AP87" s="109"/>
    </row>
    <row r="88" spans="5:42" x14ac:dyDescent="0.25">
      <c r="E88" s="109"/>
      <c r="F88" s="109"/>
      <c r="G88" s="109"/>
      <c r="H88" s="109"/>
      <c r="I88" s="109"/>
      <c r="J88" s="109"/>
      <c r="K88" s="113"/>
      <c r="L88" s="112"/>
      <c r="M88" s="112"/>
      <c r="N88" s="112"/>
      <c r="O88" s="114" t="s">
        <v>455</v>
      </c>
      <c r="P88" s="112"/>
      <c r="Q88" s="109"/>
      <c r="R88" s="111"/>
      <c r="S88" s="109"/>
      <c r="T88" s="109"/>
      <c r="U88" s="109"/>
      <c r="V88" s="109"/>
      <c r="W88" s="109"/>
      <c r="X88" s="109"/>
      <c r="Y88" s="110"/>
      <c r="AC88" s="109"/>
      <c r="AD88" s="109"/>
      <c r="AE88" s="109"/>
      <c r="AF88" s="120"/>
      <c r="AG88" s="120"/>
      <c r="AH88" s="117"/>
      <c r="AI88" s="139" t="s">
        <v>464</v>
      </c>
      <c r="AJ88" s="119"/>
      <c r="AK88" s="119"/>
      <c r="AL88" s="119"/>
      <c r="AM88" s="119"/>
      <c r="AN88" s="119"/>
      <c r="AO88" s="119"/>
      <c r="AP88" s="119"/>
    </row>
    <row r="89" spans="5:42" x14ac:dyDescent="0.25">
      <c r="E89" s="109"/>
      <c r="F89" s="109"/>
      <c r="G89" s="109"/>
      <c r="H89" s="109"/>
      <c r="I89" s="109"/>
      <c r="J89" s="109"/>
      <c r="K89" s="113"/>
      <c r="L89" s="112"/>
      <c r="M89" s="112"/>
      <c r="N89" s="112"/>
      <c r="P89" s="112"/>
      <c r="Q89" s="109"/>
      <c r="R89" s="111"/>
      <c r="S89" s="109"/>
      <c r="T89" s="109"/>
      <c r="U89" s="109"/>
      <c r="V89" s="109"/>
      <c r="W89" s="109"/>
      <c r="X89" s="109"/>
      <c r="Y89" s="110"/>
      <c r="AC89" s="109"/>
      <c r="AD89" s="109"/>
      <c r="AE89" s="109"/>
      <c r="AI89" s="114" t="s">
        <v>462</v>
      </c>
      <c r="AJ89" s="109"/>
      <c r="AK89" s="109"/>
      <c r="AL89" s="109"/>
      <c r="AM89" s="109"/>
      <c r="AN89" s="109"/>
      <c r="AO89" s="109"/>
      <c r="AP89" s="109"/>
    </row>
    <row r="90" spans="5:42" x14ac:dyDescent="0.25">
      <c r="E90" s="109"/>
      <c r="F90" s="109"/>
      <c r="G90" s="109"/>
      <c r="H90" s="109"/>
      <c r="I90" s="109"/>
      <c r="J90" s="109"/>
      <c r="K90" s="113"/>
      <c r="L90" s="112"/>
      <c r="M90" s="112"/>
      <c r="N90" s="112"/>
      <c r="O90" s="137" t="s">
        <v>454</v>
      </c>
      <c r="P90" s="133"/>
      <c r="Q90" s="119"/>
      <c r="R90" s="114"/>
      <c r="S90" s="119"/>
      <c r="T90" s="119"/>
      <c r="U90" s="119"/>
      <c r="V90" s="109"/>
      <c r="W90" s="109"/>
      <c r="X90" s="109"/>
      <c r="Y90" s="110"/>
      <c r="AC90" s="109"/>
      <c r="AD90" s="109"/>
      <c r="AE90" s="109"/>
      <c r="AJ90" s="109"/>
      <c r="AK90" s="109"/>
      <c r="AL90" s="109"/>
      <c r="AM90" s="109"/>
      <c r="AN90" s="109"/>
      <c r="AO90" s="109"/>
      <c r="AP90" s="109"/>
    </row>
    <row r="91" spans="5:42" x14ac:dyDescent="0.25">
      <c r="E91" s="109"/>
      <c r="F91" s="109"/>
      <c r="G91" s="109"/>
      <c r="H91" s="109"/>
      <c r="I91" s="109"/>
      <c r="J91" s="109"/>
      <c r="K91" s="113"/>
      <c r="L91" s="112"/>
      <c r="M91" s="112"/>
      <c r="N91" s="112"/>
      <c r="O91" s="114" t="s">
        <v>453</v>
      </c>
      <c r="P91" s="112"/>
      <c r="Q91" s="109"/>
      <c r="R91" s="111"/>
      <c r="S91" s="109"/>
      <c r="T91" s="109"/>
      <c r="U91" s="109"/>
      <c r="V91" s="114"/>
      <c r="W91" s="119"/>
      <c r="X91" s="119"/>
      <c r="Y91" s="118"/>
      <c r="Z91" s="117"/>
      <c r="AA91" s="136" t="s">
        <v>452</v>
      </c>
      <c r="AB91" s="135"/>
      <c r="AC91" s="119"/>
      <c r="AD91" s="119"/>
      <c r="AE91" s="119"/>
      <c r="AJ91" s="109"/>
      <c r="AK91" s="109"/>
      <c r="AL91" s="109"/>
      <c r="AM91" s="109"/>
      <c r="AN91" s="109"/>
      <c r="AO91" s="109"/>
      <c r="AP91" s="109"/>
    </row>
    <row r="92" spans="5:42" x14ac:dyDescent="0.25">
      <c r="E92" s="109"/>
      <c r="F92" s="109"/>
      <c r="G92" s="109"/>
      <c r="H92" s="109"/>
      <c r="I92" s="109"/>
      <c r="J92" s="109"/>
      <c r="K92" s="113"/>
      <c r="L92" s="112"/>
      <c r="M92" s="112"/>
      <c r="N92" s="112"/>
      <c r="P92" s="112"/>
      <c r="Q92" s="109"/>
      <c r="R92" s="111"/>
      <c r="S92" s="109"/>
      <c r="T92" s="109"/>
      <c r="U92" s="109"/>
      <c r="V92" s="109"/>
      <c r="W92" s="109"/>
      <c r="X92" s="109"/>
      <c r="Y92" s="110"/>
      <c r="AA92" s="114" t="s">
        <v>451</v>
      </c>
      <c r="AB92" s="113"/>
      <c r="AC92" s="109"/>
      <c r="AD92" s="109"/>
      <c r="AE92" s="109"/>
      <c r="AJ92" s="109"/>
      <c r="AK92" s="109"/>
      <c r="AL92" s="109"/>
      <c r="AM92" s="109"/>
      <c r="AN92" s="109"/>
      <c r="AO92" s="109"/>
      <c r="AP92" s="109"/>
    </row>
    <row r="93" spans="5:42" x14ac:dyDescent="0.25">
      <c r="E93" s="109"/>
      <c r="F93" s="109"/>
      <c r="G93" s="109"/>
      <c r="H93" s="109"/>
      <c r="I93" s="109"/>
      <c r="J93" s="109"/>
      <c r="K93" s="113"/>
      <c r="L93" s="112"/>
      <c r="M93" s="112"/>
      <c r="N93" s="119"/>
      <c r="O93" s="134" t="s">
        <v>450</v>
      </c>
      <c r="P93" s="133"/>
      <c r="Q93" s="119"/>
      <c r="R93" s="114"/>
      <c r="S93" s="119"/>
      <c r="T93" s="119"/>
      <c r="U93" s="119"/>
      <c r="V93" s="109"/>
      <c r="W93" s="109"/>
      <c r="X93" s="109"/>
      <c r="Y93" s="110"/>
      <c r="AC93" s="109"/>
      <c r="AD93" s="109"/>
      <c r="AE93" s="109"/>
      <c r="AJ93" s="109"/>
      <c r="AK93" s="109"/>
      <c r="AL93" s="109"/>
      <c r="AM93" s="109"/>
      <c r="AN93" s="109"/>
      <c r="AO93" s="109"/>
      <c r="AP93" s="109"/>
    </row>
    <row r="94" spans="5:42" x14ac:dyDescent="0.25">
      <c r="E94" s="109"/>
      <c r="F94" s="109"/>
      <c r="G94" s="109"/>
      <c r="H94" s="109"/>
      <c r="I94" s="109"/>
      <c r="J94" s="109"/>
      <c r="K94" s="113"/>
      <c r="L94" s="112"/>
      <c r="M94" s="112"/>
      <c r="N94" s="113"/>
      <c r="O94" s="114" t="s">
        <v>449</v>
      </c>
      <c r="P94" s="112"/>
      <c r="Q94" s="109"/>
      <c r="R94" s="111"/>
      <c r="S94" s="109"/>
      <c r="T94" s="109"/>
      <c r="U94" s="109"/>
      <c r="V94" s="109"/>
      <c r="W94" s="109"/>
      <c r="X94" s="109"/>
      <c r="Y94" s="110"/>
      <c r="AC94" s="109"/>
      <c r="AD94" s="109"/>
      <c r="AE94" s="109"/>
      <c r="AJ94" s="109"/>
      <c r="AK94" s="109"/>
      <c r="AL94" s="109"/>
      <c r="AM94" s="109"/>
      <c r="AN94" s="109"/>
      <c r="AO94" s="109"/>
      <c r="AP94" s="109"/>
    </row>
    <row r="95" spans="5:42" x14ac:dyDescent="0.25">
      <c r="E95" s="109"/>
      <c r="F95" s="109"/>
      <c r="G95" s="109"/>
      <c r="H95" s="109"/>
      <c r="I95" s="109"/>
      <c r="J95" s="109"/>
      <c r="K95" s="113"/>
      <c r="L95" s="112"/>
      <c r="M95" s="112"/>
      <c r="N95" s="133"/>
      <c r="O95" s="120"/>
      <c r="P95" s="118"/>
      <c r="Q95" s="119"/>
      <c r="R95" s="114"/>
      <c r="S95" s="119"/>
      <c r="T95" s="119"/>
      <c r="U95" s="119"/>
      <c r="V95" s="109"/>
      <c r="W95" s="109"/>
      <c r="X95" s="109"/>
      <c r="Y95" s="110"/>
      <c r="AC95" s="109"/>
      <c r="AD95" s="109"/>
      <c r="AE95" s="109"/>
      <c r="AJ95" s="109"/>
      <c r="AK95" s="109"/>
      <c r="AL95" s="109"/>
      <c r="AM95" s="109"/>
      <c r="AN95" s="109"/>
      <c r="AO95" s="109"/>
      <c r="AP95" s="109"/>
    </row>
    <row r="96" spans="5:42" x14ac:dyDescent="0.25">
      <c r="E96" s="109"/>
      <c r="F96" s="109"/>
      <c r="G96" s="109"/>
      <c r="H96" s="109"/>
      <c r="I96" s="109"/>
      <c r="J96" s="109"/>
      <c r="K96" s="113"/>
      <c r="L96" s="112"/>
      <c r="M96" s="112"/>
      <c r="O96" s="108"/>
      <c r="P96" s="110"/>
      <c r="Q96" s="109"/>
      <c r="R96" s="111"/>
      <c r="S96" s="109"/>
      <c r="T96" s="109"/>
      <c r="U96" s="109"/>
      <c r="V96" s="109"/>
      <c r="W96" s="109"/>
      <c r="X96" s="109"/>
      <c r="Y96" s="110"/>
      <c r="AC96" s="109"/>
      <c r="AD96" s="109"/>
      <c r="AE96" s="109"/>
      <c r="AJ96" s="109"/>
      <c r="AK96" s="109"/>
      <c r="AL96" s="109"/>
      <c r="AM96" s="109"/>
      <c r="AN96" s="109"/>
      <c r="AO96" s="109"/>
      <c r="AP96" s="109"/>
    </row>
    <row r="97" spans="5:42" x14ac:dyDescent="0.25">
      <c r="E97" s="109"/>
      <c r="F97" s="109"/>
      <c r="G97" s="109"/>
      <c r="H97" s="109"/>
      <c r="I97" s="109"/>
      <c r="J97" s="109"/>
      <c r="K97" s="113"/>
      <c r="L97" s="112"/>
      <c r="M97" s="112"/>
      <c r="O97" s="108"/>
      <c r="P97" s="110"/>
      <c r="Q97" s="109"/>
      <c r="R97" s="111"/>
      <c r="S97" s="109"/>
      <c r="T97" s="109"/>
      <c r="U97" s="109"/>
      <c r="V97" s="109"/>
      <c r="W97" s="109"/>
      <c r="X97" s="109"/>
      <c r="Y97" s="110"/>
      <c r="AC97" s="109"/>
      <c r="AD97" s="109"/>
      <c r="AE97" s="109"/>
      <c r="AJ97" s="109"/>
      <c r="AK97" s="109"/>
      <c r="AL97" s="109"/>
      <c r="AM97" s="109"/>
      <c r="AN97" s="109"/>
      <c r="AO97" s="109"/>
      <c r="AP97" s="109"/>
    </row>
    <row r="98" spans="5:42" x14ac:dyDescent="0.25">
      <c r="E98" s="109"/>
      <c r="F98" s="109"/>
      <c r="G98" s="109"/>
      <c r="H98" s="109"/>
      <c r="I98" s="109"/>
      <c r="J98" s="109"/>
      <c r="K98" s="113"/>
      <c r="L98" s="112"/>
      <c r="M98" s="112"/>
      <c r="O98" s="108"/>
      <c r="P98" s="110"/>
      <c r="Q98" s="109"/>
      <c r="R98" s="111"/>
      <c r="S98" s="109"/>
      <c r="T98" s="109"/>
      <c r="U98" s="109"/>
      <c r="V98" s="109"/>
      <c r="W98" s="109"/>
      <c r="X98" s="109"/>
      <c r="Y98" s="110"/>
      <c r="AC98" s="109"/>
      <c r="AD98" s="109"/>
      <c r="AE98" s="109"/>
      <c r="AJ98" s="109"/>
      <c r="AK98" s="109"/>
      <c r="AL98" s="111"/>
      <c r="AM98" s="109"/>
      <c r="AN98" s="111"/>
      <c r="AO98" s="111"/>
      <c r="AP98" s="111"/>
    </row>
    <row r="99" spans="5:42" x14ac:dyDescent="0.25">
      <c r="E99" s="109"/>
      <c r="F99" s="109"/>
      <c r="G99" s="109"/>
      <c r="H99" s="109"/>
      <c r="I99" s="109"/>
      <c r="J99" s="109"/>
      <c r="K99" s="113"/>
      <c r="L99" s="112"/>
      <c r="M99" s="112"/>
      <c r="O99" s="108"/>
      <c r="P99" s="110"/>
      <c r="Q99" s="109"/>
      <c r="R99" s="111"/>
      <c r="S99" s="109"/>
      <c r="T99" s="109"/>
      <c r="U99" s="109"/>
      <c r="V99" s="109"/>
      <c r="W99" s="109"/>
      <c r="X99" s="109"/>
      <c r="Y99" s="132"/>
      <c r="Z99" s="131"/>
      <c r="AA99" s="131"/>
      <c r="AB99" s="131"/>
      <c r="AC99" s="130"/>
      <c r="AD99" s="130"/>
      <c r="AE99" s="130"/>
      <c r="AF99" s="129"/>
      <c r="AJ99" s="109"/>
      <c r="AK99" s="109"/>
      <c r="AL99" s="109"/>
      <c r="AM99" s="109"/>
      <c r="AN99" s="109"/>
      <c r="AO99" s="109"/>
      <c r="AP99" s="109"/>
    </row>
    <row r="100" spans="5:42" x14ac:dyDescent="0.25">
      <c r="E100" s="109"/>
      <c r="F100" s="109"/>
      <c r="G100" s="109"/>
      <c r="H100" s="109"/>
      <c r="I100" s="109"/>
      <c r="J100" s="109"/>
      <c r="K100" s="113"/>
      <c r="L100" s="112"/>
      <c r="M100" s="112"/>
      <c r="O100" s="108"/>
      <c r="P100" s="110"/>
      <c r="Q100" s="109"/>
      <c r="R100" s="111"/>
      <c r="S100" s="109"/>
      <c r="T100" s="109"/>
      <c r="U100" s="109"/>
      <c r="V100" s="114"/>
      <c r="W100" s="119"/>
      <c r="X100" s="119"/>
      <c r="Y100" s="118"/>
      <c r="Z100" s="117"/>
      <c r="AA100" s="128" t="s">
        <v>448</v>
      </c>
      <c r="AB100" s="127"/>
      <c r="AC100" s="119"/>
      <c r="AD100" s="114"/>
      <c r="AE100" s="114"/>
      <c r="AF100" s="116"/>
      <c r="AI100" s="108"/>
      <c r="AJ100" s="109"/>
      <c r="AK100" s="109"/>
      <c r="AL100" s="111"/>
      <c r="AM100" s="109"/>
      <c r="AN100" s="111"/>
      <c r="AO100" s="111"/>
      <c r="AP100" s="111"/>
    </row>
    <row r="101" spans="5:42" x14ac:dyDescent="0.25">
      <c r="E101" s="109"/>
      <c r="F101" s="109"/>
      <c r="G101" s="109"/>
      <c r="H101" s="109"/>
      <c r="I101" s="109"/>
      <c r="J101" s="109"/>
      <c r="K101" s="113"/>
      <c r="L101" s="112"/>
      <c r="M101" s="112"/>
      <c r="O101" s="108"/>
      <c r="P101" s="110"/>
      <c r="Q101" s="109"/>
      <c r="R101" s="111"/>
      <c r="S101" s="109"/>
      <c r="T101" s="109"/>
      <c r="U101" s="109"/>
      <c r="V101" s="109"/>
      <c r="W101" s="126"/>
      <c r="X101" s="126"/>
      <c r="Y101" s="125"/>
      <c r="Z101" s="124"/>
      <c r="AA101" s="123"/>
      <c r="AB101" s="122"/>
      <c r="AC101" s="119"/>
      <c r="AD101" s="119"/>
      <c r="AE101" s="119"/>
      <c r="AF101" s="121"/>
      <c r="AI101" s="72" t="s">
        <v>447</v>
      </c>
      <c r="AJ101" s="111"/>
      <c r="AK101" s="111"/>
      <c r="AL101" s="111"/>
      <c r="AM101" s="111"/>
      <c r="AN101" s="111"/>
      <c r="AO101" s="111"/>
      <c r="AP101" s="111"/>
    </row>
    <row r="102" spans="5:42" x14ac:dyDescent="0.25">
      <c r="E102" s="109"/>
      <c r="F102" s="109"/>
      <c r="G102" s="109"/>
      <c r="H102" s="109"/>
      <c r="I102" s="109"/>
      <c r="J102" s="109"/>
      <c r="K102" s="113"/>
      <c r="L102" s="112"/>
      <c r="M102" s="112"/>
      <c r="O102" s="108"/>
      <c r="P102" s="110"/>
      <c r="Q102" s="109"/>
      <c r="R102" s="111"/>
      <c r="S102" s="114"/>
      <c r="T102" s="119"/>
      <c r="U102" s="119"/>
      <c r="V102" s="119"/>
      <c r="W102" s="119"/>
      <c r="X102" s="119"/>
      <c r="Y102" s="118"/>
      <c r="Z102" s="117"/>
      <c r="AA102" s="116"/>
      <c r="AB102" s="115"/>
      <c r="AC102" s="109"/>
      <c r="AD102" s="109"/>
      <c r="AE102" s="109"/>
      <c r="AI102" s="72" t="s">
        <v>446</v>
      </c>
      <c r="AJ102" s="109"/>
      <c r="AK102" s="109"/>
      <c r="AL102" s="109"/>
      <c r="AM102" s="109"/>
      <c r="AN102" s="109"/>
      <c r="AO102" s="109"/>
      <c r="AP102" s="109"/>
    </row>
    <row r="103" spans="5:42" x14ac:dyDescent="0.25">
      <c r="E103" s="109"/>
      <c r="F103" s="109"/>
      <c r="G103" s="109"/>
      <c r="H103" s="109"/>
      <c r="I103" s="109"/>
      <c r="J103" s="109"/>
      <c r="K103" s="113"/>
      <c r="L103" s="112"/>
      <c r="M103" s="112"/>
      <c r="O103" s="108"/>
      <c r="P103" s="110"/>
      <c r="Q103" s="109"/>
      <c r="R103" s="114"/>
      <c r="S103" s="119"/>
      <c r="T103" s="119"/>
      <c r="U103" s="119"/>
      <c r="V103" s="119"/>
      <c r="W103" s="119"/>
      <c r="X103" s="119"/>
      <c r="Y103" s="118"/>
      <c r="Z103" s="117"/>
      <c r="AA103" s="116"/>
      <c r="AB103" s="115"/>
      <c r="AC103" s="109"/>
      <c r="AD103" s="109"/>
      <c r="AE103" s="109"/>
      <c r="AI103" s="72" t="s">
        <v>445</v>
      </c>
      <c r="AJ103" s="109"/>
      <c r="AK103" s="109"/>
      <c r="AL103" s="109"/>
      <c r="AM103" s="109"/>
      <c r="AN103" s="109"/>
      <c r="AO103" s="109"/>
      <c r="AP103" s="109"/>
    </row>
    <row r="104" spans="5:42" x14ac:dyDescent="0.25">
      <c r="E104" s="109"/>
      <c r="F104" s="109"/>
      <c r="G104" s="109"/>
      <c r="H104" s="114"/>
      <c r="I104" s="114"/>
      <c r="J104" s="119"/>
      <c r="K104" s="133"/>
      <c r="L104" s="118"/>
      <c r="M104" s="118"/>
      <c r="N104" s="120"/>
      <c r="O104" s="120"/>
      <c r="P104" s="118"/>
      <c r="Q104" s="119"/>
      <c r="R104" s="114"/>
      <c r="S104" s="119"/>
      <c r="T104" s="119"/>
      <c r="U104" s="119"/>
      <c r="V104" s="119"/>
      <c r="W104" s="119"/>
      <c r="X104" s="119"/>
      <c r="Y104" s="118"/>
      <c r="Z104" s="117"/>
      <c r="AA104" s="116"/>
      <c r="AB104" s="115"/>
      <c r="AC104" s="109"/>
      <c r="AD104" s="109"/>
      <c r="AE104" s="109"/>
      <c r="AJ104" s="109"/>
      <c r="AK104" s="109"/>
      <c r="AL104" s="109"/>
      <c r="AM104" s="109"/>
      <c r="AN104" s="109"/>
      <c r="AO104" s="109"/>
      <c r="AP104" s="109"/>
    </row>
    <row r="105" spans="5:42" x14ac:dyDescent="0.25">
      <c r="E105" s="109"/>
      <c r="F105" s="109"/>
      <c r="G105" s="109"/>
      <c r="H105" s="109"/>
      <c r="I105" s="109"/>
      <c r="J105" s="109"/>
      <c r="K105" s="113"/>
      <c r="L105" s="112"/>
      <c r="M105" s="112"/>
      <c r="O105" s="108"/>
      <c r="P105" s="110"/>
      <c r="Q105" s="109"/>
      <c r="R105" s="111"/>
      <c r="S105" s="109"/>
      <c r="T105" s="109"/>
      <c r="U105" s="109"/>
      <c r="V105" s="109"/>
      <c r="W105" s="109"/>
      <c r="X105" s="109"/>
      <c r="Y105" s="110"/>
      <c r="AA105" s="114" t="s">
        <v>444</v>
      </c>
      <c r="AB105" s="113"/>
      <c r="AC105" s="109"/>
      <c r="AD105" s="109"/>
      <c r="AE105" s="109"/>
      <c r="AJ105" s="109"/>
      <c r="AK105" s="109"/>
      <c r="AL105" s="109"/>
      <c r="AM105" s="109"/>
      <c r="AN105" s="109"/>
      <c r="AO105" s="109"/>
      <c r="AP105" s="109"/>
    </row>
    <row r="106" spans="5:42" x14ac:dyDescent="0.25">
      <c r="E106" s="109"/>
      <c r="F106" s="109"/>
      <c r="G106" s="109"/>
      <c r="H106" s="109"/>
      <c r="I106" s="109"/>
      <c r="J106" s="109"/>
      <c r="K106" s="113"/>
      <c r="L106" s="112"/>
      <c r="M106" s="112"/>
      <c r="O106" s="108"/>
      <c r="P106" s="110"/>
      <c r="Q106" s="109"/>
      <c r="R106" s="111"/>
      <c r="S106" s="109"/>
      <c r="T106" s="109"/>
      <c r="U106" s="109"/>
      <c r="V106" s="109"/>
      <c r="W106" s="109"/>
      <c r="X106" s="109"/>
      <c r="Y106" s="110"/>
      <c r="AC106" s="109"/>
      <c r="AD106" s="109"/>
      <c r="AE106" s="109"/>
      <c r="AJ106" s="109"/>
      <c r="AK106" s="109"/>
      <c r="AL106" s="109"/>
      <c r="AM106" s="109"/>
      <c r="AN106" s="109"/>
      <c r="AO106" s="109"/>
      <c r="AP106" s="109"/>
    </row>
    <row r="107" spans="5:42" x14ac:dyDescent="0.25">
      <c r="E107" s="109"/>
      <c r="F107" s="109"/>
      <c r="G107" s="109"/>
      <c r="H107" s="109"/>
      <c r="I107" s="109"/>
      <c r="J107" s="109"/>
      <c r="K107" s="113"/>
      <c r="L107" s="112"/>
      <c r="M107" s="112"/>
      <c r="O107" s="108"/>
      <c r="P107" s="110"/>
      <c r="Q107" s="109"/>
      <c r="R107" s="111"/>
      <c r="S107" s="109"/>
      <c r="T107" s="109"/>
      <c r="U107" s="109"/>
      <c r="V107" s="109"/>
      <c r="W107" s="109"/>
      <c r="X107" s="109"/>
      <c r="Y107" s="110"/>
      <c r="AC107" s="109"/>
      <c r="AD107" s="109"/>
      <c r="AE107" s="109"/>
      <c r="AJ107" s="109"/>
      <c r="AK107" s="109"/>
      <c r="AL107" s="109"/>
      <c r="AM107" s="109"/>
      <c r="AN107" s="109"/>
      <c r="AO107" s="109"/>
      <c r="AP107" s="109"/>
    </row>
    <row r="108" spans="5:42" x14ac:dyDescent="0.25">
      <c r="Y108" s="108"/>
    </row>
    <row r="109" spans="5:42" x14ac:dyDescent="0.25">
      <c r="Y109" s="108"/>
    </row>
    <row r="110" spans="5:42" x14ac:dyDescent="0.25">
      <c r="Y110" s="108"/>
    </row>
    <row r="111" spans="5:42" x14ac:dyDescent="0.25">
      <c r="Y111" s="108"/>
    </row>
    <row r="112" spans="5:42" x14ac:dyDescent="0.25">
      <c r="Y112" s="108"/>
    </row>
    <row r="113" spans="25:25" x14ac:dyDescent="0.25">
      <c r="Y113" s="108"/>
    </row>
    <row r="114" spans="25:25" x14ac:dyDescent="0.25">
      <c r="Y114" s="108"/>
    </row>
    <row r="115" spans="25:25" x14ac:dyDescent="0.25">
      <c r="Y115" s="108"/>
    </row>
    <row r="116" spans="25:25" x14ac:dyDescent="0.25">
      <c r="Y116" s="108"/>
    </row>
    <row r="117" spans="25:25" x14ac:dyDescent="0.25">
      <c r="Y117" s="108"/>
    </row>
    <row r="118" spans="25:25" x14ac:dyDescent="0.25">
      <c r="Y118" s="108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FFE49-C614-4598-8CB6-8F14A4C9CFF1}">
  <sheetPr codeName="Sheet36">
    <tabColor theme="9"/>
  </sheetPr>
  <dimension ref="C1:AT97"/>
  <sheetViews>
    <sheetView zoomScale="70" zoomScaleNormal="70" workbookViewId="0">
      <pane xSplit="4" ySplit="3" topLeftCell="E44" activePane="bottomRight" state="frozen"/>
      <selection activeCell="W2" sqref="W2"/>
      <selection pane="topRight" activeCell="W2" sqref="W2"/>
      <selection pane="bottomLeft" activeCell="W2" sqref="W2"/>
      <selection pane="bottomRight" activeCell="AI12" sqref="AI12"/>
    </sheetView>
  </sheetViews>
  <sheetFormatPr defaultRowHeight="15" x14ac:dyDescent="0.25"/>
  <cols>
    <col min="1" max="1" width="9.140625" style="72"/>
    <col min="2" max="2" width="9.140625" style="72" customWidth="1"/>
    <col min="3" max="3" width="20.7109375" style="72" customWidth="1"/>
    <col min="4" max="4" width="3.85546875" style="72" customWidth="1"/>
    <col min="5" max="10" width="3.5703125" style="72" customWidth="1"/>
    <col min="11" max="13" width="4" style="72" customWidth="1"/>
    <col min="14" max="14" width="4.5703125" style="72" customWidth="1"/>
    <col min="15" max="15" width="23.140625" style="72" customWidth="1"/>
    <col min="16" max="16" width="4" style="72" customWidth="1"/>
    <col min="17" max="25" width="3.5703125" style="72" customWidth="1"/>
    <col min="26" max="26" width="3.85546875" style="72" customWidth="1"/>
    <col min="27" max="27" width="25.42578125" style="72" customWidth="1"/>
    <col min="28" max="28" width="3.85546875" style="72" customWidth="1"/>
    <col min="29" max="31" width="3.5703125" style="72" customWidth="1"/>
    <col min="32" max="32" width="3.7109375" style="72" customWidth="1"/>
    <col min="33" max="33" width="3.85546875" style="72" customWidth="1"/>
    <col min="34" max="34" width="4" style="72" customWidth="1"/>
    <col min="35" max="35" width="25.5703125" style="72" customWidth="1"/>
    <col min="36" max="42" width="3.5703125" style="72" customWidth="1"/>
    <col min="43" max="16384" width="9.140625" style="72"/>
  </cols>
  <sheetData>
    <row r="1" spans="3:46" x14ac:dyDescent="0.25">
      <c r="D1" s="72" t="s">
        <v>509</v>
      </c>
      <c r="P1" s="72" t="s">
        <v>508</v>
      </c>
      <c r="AC1" s="72" t="s">
        <v>507</v>
      </c>
      <c r="AJ1" s="206" t="s">
        <v>664</v>
      </c>
    </row>
    <row r="2" spans="3:46" ht="84" customHeight="1" x14ac:dyDescent="0.25">
      <c r="C2" s="112"/>
      <c r="E2" s="161" t="s">
        <v>506</v>
      </c>
      <c r="F2" s="161" t="s">
        <v>505</v>
      </c>
      <c r="G2" s="342" t="s">
        <v>968</v>
      </c>
      <c r="H2" s="204" t="s">
        <v>675</v>
      </c>
      <c r="I2" s="161" t="s">
        <v>504</v>
      </c>
      <c r="J2" s="161" t="s">
        <v>503</v>
      </c>
      <c r="K2" s="162"/>
      <c r="L2" s="163"/>
      <c r="M2" s="163"/>
      <c r="N2" s="163"/>
      <c r="O2" s="112"/>
      <c r="Q2" s="204" t="s">
        <v>666</v>
      </c>
      <c r="R2" s="325" t="s">
        <v>943</v>
      </c>
      <c r="S2" s="299" t="s">
        <v>876</v>
      </c>
      <c r="T2" s="161" t="s">
        <v>501</v>
      </c>
      <c r="U2" s="161" t="s">
        <v>500</v>
      </c>
      <c r="V2" s="161" t="s">
        <v>499</v>
      </c>
      <c r="W2" s="325" t="s">
        <v>937</v>
      </c>
      <c r="X2" s="325" t="s">
        <v>938</v>
      </c>
      <c r="Y2" s="162"/>
      <c r="AA2" s="112"/>
      <c r="AB2" s="112"/>
      <c r="AC2" s="161" t="s">
        <v>497</v>
      </c>
      <c r="AD2" s="161" t="s">
        <v>498</v>
      </c>
      <c r="AE2" s="161" t="s">
        <v>133</v>
      </c>
      <c r="AJ2" s="161" t="s">
        <v>602</v>
      </c>
      <c r="AK2" s="161" t="s">
        <v>601</v>
      </c>
      <c r="AL2" s="325" t="s">
        <v>941</v>
      </c>
      <c r="AM2" s="204" t="s">
        <v>483</v>
      </c>
      <c r="AN2" s="161" t="s">
        <v>496</v>
      </c>
      <c r="AO2" s="299" t="s">
        <v>502</v>
      </c>
      <c r="AP2" s="325" t="s">
        <v>940</v>
      </c>
    </row>
    <row r="3" spans="3:46" ht="56.25" customHeight="1" x14ac:dyDescent="0.25">
      <c r="C3" s="112" t="s">
        <v>495</v>
      </c>
      <c r="E3" s="161" t="s">
        <v>482</v>
      </c>
      <c r="F3" s="325" t="s">
        <v>935</v>
      </c>
      <c r="G3" s="342" t="s">
        <v>967</v>
      </c>
      <c r="H3" s="204" t="s">
        <v>674</v>
      </c>
      <c r="I3" s="161" t="s">
        <v>474</v>
      </c>
      <c r="J3" s="161" t="s">
        <v>470</v>
      </c>
      <c r="K3" s="162"/>
      <c r="L3" s="163"/>
      <c r="M3" s="163"/>
      <c r="N3" s="163"/>
      <c r="O3" s="112" t="s">
        <v>493</v>
      </c>
      <c r="Q3" s="161" t="s">
        <v>492</v>
      </c>
      <c r="R3" s="325" t="s">
        <v>942</v>
      </c>
      <c r="S3" s="299" t="s">
        <v>875</v>
      </c>
      <c r="T3" s="161" t="s">
        <v>490</v>
      </c>
      <c r="U3" s="161" t="s">
        <v>489</v>
      </c>
      <c r="V3" s="274" t="s">
        <v>767</v>
      </c>
      <c r="W3" s="351" t="s">
        <v>987</v>
      </c>
      <c r="X3" s="325" t="s">
        <v>898</v>
      </c>
      <c r="Y3" s="162"/>
      <c r="AA3" s="112" t="s">
        <v>488</v>
      </c>
      <c r="AB3" s="112"/>
      <c r="AC3" s="161" t="s">
        <v>486</v>
      </c>
      <c r="AD3" s="161" t="s">
        <v>487</v>
      </c>
      <c r="AE3" s="161" t="s">
        <v>134</v>
      </c>
      <c r="AJ3" s="161" t="s">
        <v>599</v>
      </c>
      <c r="AK3" s="161" t="s">
        <v>600</v>
      </c>
      <c r="AL3" s="204" t="s">
        <v>665</v>
      </c>
      <c r="AM3" s="204" t="s">
        <v>620</v>
      </c>
      <c r="AN3" s="161" t="s">
        <v>464</v>
      </c>
      <c r="AO3" s="325" t="s">
        <v>939</v>
      </c>
      <c r="AP3" s="351" t="s">
        <v>986</v>
      </c>
    </row>
    <row r="4" spans="3:46" x14ac:dyDescent="0.25">
      <c r="E4" s="109"/>
      <c r="F4" s="109"/>
      <c r="G4" s="109"/>
      <c r="H4" s="109"/>
      <c r="I4" s="109"/>
      <c r="J4" s="109"/>
      <c r="K4" s="113"/>
      <c r="L4" s="112"/>
      <c r="M4" s="112"/>
      <c r="N4" s="112"/>
      <c r="Q4" s="109"/>
      <c r="R4" s="109"/>
      <c r="S4" s="109"/>
      <c r="T4" s="109"/>
      <c r="U4" s="109"/>
      <c r="V4" s="109"/>
      <c r="W4" s="109"/>
      <c r="X4" s="109"/>
      <c r="Y4" s="110"/>
      <c r="AC4" s="109"/>
      <c r="AD4" s="109"/>
      <c r="AE4" s="109"/>
      <c r="AJ4" s="109"/>
      <c r="AK4" s="109"/>
      <c r="AL4" s="109"/>
      <c r="AM4" s="109"/>
      <c r="AN4" s="109"/>
      <c r="AO4" s="109"/>
      <c r="AP4" s="109"/>
    </row>
    <row r="5" spans="3:46" x14ac:dyDescent="0.25">
      <c r="D5" s="112"/>
      <c r="E5" s="109"/>
      <c r="F5" s="109"/>
      <c r="G5" s="114"/>
      <c r="H5" s="114"/>
      <c r="I5" s="114"/>
      <c r="J5" s="119"/>
      <c r="K5" s="133"/>
      <c r="L5" s="118"/>
      <c r="M5" s="118"/>
      <c r="N5" s="119"/>
      <c r="O5" s="139" t="s">
        <v>485</v>
      </c>
      <c r="P5" s="133"/>
      <c r="Q5" s="119"/>
      <c r="R5" s="140"/>
      <c r="S5" s="140"/>
      <c r="T5" s="140"/>
      <c r="U5" s="140"/>
      <c r="V5" s="140"/>
      <c r="W5" s="140"/>
      <c r="X5" s="140"/>
      <c r="Y5" s="108"/>
      <c r="AA5" s="112"/>
      <c r="AB5" s="112"/>
      <c r="AC5" s="109"/>
      <c r="AD5" s="114"/>
      <c r="AE5" s="114"/>
      <c r="AF5" s="120"/>
      <c r="AG5" s="120"/>
      <c r="AH5" s="117"/>
      <c r="AI5" s="137" t="s">
        <v>484</v>
      </c>
      <c r="AJ5" s="114"/>
      <c r="AK5" s="114"/>
      <c r="AL5" s="114"/>
      <c r="AM5" s="114"/>
      <c r="AN5" s="109"/>
      <c r="AO5" s="109"/>
      <c r="AP5" s="109"/>
      <c r="AT5" s="160"/>
    </row>
    <row r="6" spans="3:46" x14ac:dyDescent="0.25">
      <c r="C6" s="112"/>
      <c r="D6" s="112"/>
      <c r="E6" s="109"/>
      <c r="F6" s="109"/>
      <c r="G6" s="109"/>
      <c r="H6" s="109"/>
      <c r="I6" s="109"/>
      <c r="J6" s="109"/>
      <c r="K6" s="132"/>
      <c r="L6" s="144"/>
      <c r="M6" s="125"/>
      <c r="N6" s="152"/>
      <c r="O6" s="159"/>
      <c r="P6" s="133"/>
      <c r="Q6" s="119"/>
      <c r="R6" s="114"/>
      <c r="S6" s="109"/>
      <c r="T6" s="109"/>
      <c r="U6" s="114"/>
      <c r="V6" s="114"/>
      <c r="W6" s="119"/>
      <c r="X6" s="119"/>
      <c r="Y6" s="118"/>
      <c r="Z6" s="120"/>
      <c r="AA6" s="120"/>
      <c r="AB6" s="120"/>
      <c r="AC6" s="109"/>
      <c r="AD6" s="109"/>
      <c r="AE6" s="109"/>
      <c r="AI6" s="210" t="s">
        <v>718</v>
      </c>
      <c r="AJ6" s="109"/>
      <c r="AK6" s="109"/>
      <c r="AL6" s="109"/>
      <c r="AM6" s="109"/>
      <c r="AN6" s="109"/>
      <c r="AO6" s="109"/>
      <c r="AP6" s="109"/>
      <c r="AT6" s="156"/>
    </row>
    <row r="7" spans="3:46" x14ac:dyDescent="0.25">
      <c r="C7" s="139" t="s">
        <v>670</v>
      </c>
      <c r="D7" s="133"/>
      <c r="E7" s="119"/>
      <c r="F7" s="109"/>
      <c r="G7" s="109"/>
      <c r="H7" s="109"/>
      <c r="I7" s="109"/>
      <c r="J7" s="109"/>
      <c r="K7" s="113"/>
      <c r="L7" s="112"/>
      <c r="M7" s="132"/>
      <c r="N7" s="152"/>
      <c r="O7" s="116"/>
      <c r="R7" s="129"/>
      <c r="S7" s="109"/>
      <c r="T7" s="109"/>
      <c r="U7" s="109"/>
      <c r="V7" s="109"/>
      <c r="W7" s="109"/>
      <c r="X7" s="109"/>
      <c r="Y7" s="110"/>
      <c r="AB7" s="140"/>
      <c r="AC7" s="109"/>
      <c r="AD7" s="109"/>
      <c r="AE7" s="109"/>
      <c r="AJ7" s="109"/>
      <c r="AK7" s="109"/>
      <c r="AL7" s="109"/>
      <c r="AM7" s="109"/>
      <c r="AN7" s="109"/>
      <c r="AO7" s="109"/>
      <c r="AP7" s="109"/>
      <c r="AT7" s="158"/>
    </row>
    <row r="8" spans="3:46" x14ac:dyDescent="0.25">
      <c r="C8" s="114" t="str">
        <f>"X"&amp;$E$2</f>
        <v>XINDCOA</v>
      </c>
      <c r="D8" s="112"/>
      <c r="E8" s="109"/>
      <c r="F8" s="109"/>
      <c r="G8" s="109"/>
      <c r="H8" s="109"/>
      <c r="I8" s="109"/>
      <c r="J8" s="109"/>
      <c r="K8" s="113"/>
      <c r="L8" s="112"/>
      <c r="M8" s="113"/>
      <c r="N8" s="132"/>
      <c r="O8" s="114" t="s">
        <v>481</v>
      </c>
      <c r="P8" s="112"/>
      <c r="Q8" s="110"/>
      <c r="R8" s="116"/>
      <c r="S8" s="109"/>
      <c r="T8" s="109"/>
      <c r="U8" s="109"/>
      <c r="V8" s="114"/>
      <c r="W8" s="119"/>
      <c r="X8" s="119"/>
      <c r="Y8" s="118"/>
      <c r="Z8" s="117"/>
      <c r="AA8" s="139" t="s">
        <v>463</v>
      </c>
      <c r="AB8" s="138"/>
      <c r="AC8" s="109"/>
      <c r="AD8" s="114"/>
      <c r="AE8" s="114"/>
      <c r="AF8" s="120"/>
      <c r="AG8" s="120"/>
      <c r="AH8" s="117"/>
      <c r="AI8" s="137" t="s">
        <v>480</v>
      </c>
      <c r="AJ8" s="114"/>
      <c r="AK8" s="109"/>
      <c r="AL8" s="109"/>
      <c r="AM8" s="109"/>
      <c r="AN8" s="109"/>
      <c r="AO8" s="109"/>
      <c r="AP8" s="109"/>
      <c r="AT8" s="154"/>
    </row>
    <row r="9" spans="3:46" x14ac:dyDescent="0.25">
      <c r="C9" s="112"/>
      <c r="D9" s="112"/>
      <c r="E9" s="109"/>
      <c r="F9" s="109"/>
      <c r="G9" s="109"/>
      <c r="H9" s="109"/>
      <c r="I9" s="109"/>
      <c r="J9" s="109"/>
      <c r="K9" s="113"/>
      <c r="L9" s="112"/>
      <c r="M9" s="113"/>
      <c r="N9" s="133"/>
      <c r="O9" s="120"/>
      <c r="P9" s="118"/>
      <c r="Q9" s="119"/>
      <c r="R9" s="121"/>
      <c r="S9" s="119"/>
      <c r="T9" s="119"/>
      <c r="U9" s="109"/>
      <c r="V9" s="109"/>
      <c r="W9" s="109"/>
      <c r="X9" s="109"/>
      <c r="Y9" s="110"/>
      <c r="AA9" s="114" t="str">
        <f>"X"&amp;$T$2</f>
        <v>XISIELC</v>
      </c>
      <c r="AB9" s="113"/>
      <c r="AC9" s="109"/>
      <c r="AD9" s="109"/>
      <c r="AE9" s="109"/>
      <c r="AI9" s="114" t="s">
        <v>479</v>
      </c>
      <c r="AJ9" s="109"/>
      <c r="AK9" s="109"/>
      <c r="AL9" s="109"/>
      <c r="AM9" s="109"/>
      <c r="AN9" s="109"/>
      <c r="AO9" s="109"/>
      <c r="AP9" s="109"/>
      <c r="AT9" s="157"/>
    </row>
    <row r="10" spans="3:46" x14ac:dyDescent="0.25">
      <c r="C10" s="112"/>
      <c r="D10" s="112"/>
      <c r="E10" s="109"/>
      <c r="F10" s="109"/>
      <c r="G10" s="109"/>
      <c r="H10" s="109"/>
      <c r="I10" s="109"/>
      <c r="J10" s="109"/>
      <c r="K10" s="113"/>
      <c r="L10" s="112"/>
      <c r="M10" s="133"/>
      <c r="N10" s="118"/>
      <c r="O10" s="120"/>
      <c r="P10" s="118"/>
      <c r="Q10" s="119"/>
      <c r="R10" s="121"/>
      <c r="S10" s="119"/>
      <c r="T10" s="119"/>
      <c r="U10" s="119"/>
      <c r="V10" s="119"/>
      <c r="W10" s="109"/>
      <c r="X10" s="109"/>
      <c r="Y10" s="110"/>
      <c r="AC10" s="109"/>
      <c r="AD10" s="109"/>
      <c r="AE10" s="109"/>
      <c r="AJ10" s="109"/>
      <c r="AK10" s="109"/>
      <c r="AL10" s="109"/>
      <c r="AM10" s="109"/>
      <c r="AN10" s="109"/>
      <c r="AO10" s="109"/>
      <c r="AP10" s="109"/>
    </row>
    <row r="11" spans="3:46" x14ac:dyDescent="0.25">
      <c r="C11" s="139" t="s">
        <v>936</v>
      </c>
      <c r="D11" s="133"/>
      <c r="E11" s="119"/>
      <c r="F11" s="114"/>
      <c r="G11" s="109"/>
      <c r="H11" s="109"/>
      <c r="I11" s="109"/>
      <c r="J11" s="109"/>
      <c r="K11" s="113"/>
      <c r="L11" s="112"/>
      <c r="M11" s="112"/>
      <c r="N11" s="112"/>
      <c r="P11" s="112"/>
      <c r="Q11" s="109"/>
      <c r="R11" s="116"/>
      <c r="S11" s="109"/>
      <c r="T11" s="109"/>
      <c r="U11" s="109"/>
      <c r="V11" s="109"/>
      <c r="W11" s="109"/>
      <c r="X11" s="109"/>
      <c r="Y11" s="110"/>
      <c r="AC11" s="109"/>
      <c r="AD11" s="109"/>
      <c r="AE11" s="114"/>
      <c r="AF11" s="120"/>
      <c r="AG11" s="120"/>
      <c r="AH11" s="117"/>
      <c r="AI11" s="137" t="s">
        <v>478</v>
      </c>
      <c r="AJ11" s="114"/>
      <c r="AK11" s="119"/>
      <c r="AL11" s="109"/>
      <c r="AM11" s="109"/>
      <c r="AN11" s="109"/>
      <c r="AO11" s="109"/>
      <c r="AP11" s="109"/>
    </row>
    <row r="12" spans="3:46" x14ac:dyDescent="0.25">
      <c r="C12" s="114" t="str">
        <f>"X"&amp;$F$2</f>
        <v>XBSC</v>
      </c>
      <c r="D12" s="112"/>
      <c r="E12" s="109"/>
      <c r="F12" s="109"/>
      <c r="G12" s="109"/>
      <c r="H12" s="109"/>
      <c r="I12" s="109"/>
      <c r="J12" s="109"/>
      <c r="K12" s="113"/>
      <c r="L12" s="112"/>
      <c r="M12" s="112"/>
      <c r="N12" s="112"/>
      <c r="P12" s="112"/>
      <c r="Q12" s="109"/>
      <c r="R12" s="111"/>
      <c r="S12" s="109"/>
      <c r="T12" s="109"/>
      <c r="U12" s="109"/>
      <c r="V12" s="109"/>
      <c r="W12" s="109"/>
      <c r="X12" s="109"/>
      <c r="Y12" s="110"/>
      <c r="AC12" s="109"/>
      <c r="AD12" s="109"/>
      <c r="AE12" s="109"/>
      <c r="AI12" s="114" t="s">
        <v>477</v>
      </c>
      <c r="AJ12" s="109"/>
      <c r="AK12" s="109"/>
      <c r="AL12" s="109"/>
      <c r="AM12" s="109"/>
      <c r="AN12" s="109"/>
      <c r="AO12" s="109"/>
      <c r="AP12" s="109"/>
    </row>
    <row r="13" spans="3:46" x14ac:dyDescent="0.25">
      <c r="C13" s="112"/>
      <c r="D13" s="112"/>
      <c r="E13" s="109"/>
      <c r="F13" s="109"/>
      <c r="G13" s="109"/>
      <c r="H13" s="109"/>
      <c r="I13" s="109"/>
      <c r="J13" s="109"/>
      <c r="K13" s="113"/>
      <c r="L13" s="112"/>
      <c r="M13" s="112"/>
      <c r="N13" s="112"/>
      <c r="P13" s="112"/>
      <c r="Q13" s="109"/>
      <c r="R13" s="111"/>
      <c r="S13" s="109"/>
      <c r="T13" s="109"/>
      <c r="U13" s="109"/>
      <c r="V13" s="109"/>
      <c r="W13" s="109"/>
      <c r="X13" s="109"/>
      <c r="Y13" s="110"/>
      <c r="AC13" s="109"/>
      <c r="AD13" s="109"/>
      <c r="AE13" s="109"/>
      <c r="AJ13" s="109"/>
      <c r="AK13" s="109"/>
      <c r="AL13" s="109"/>
      <c r="AM13" s="109"/>
      <c r="AN13" s="109"/>
      <c r="AO13" s="109"/>
      <c r="AP13" s="109"/>
      <c r="AS13" s="79"/>
    </row>
    <row r="14" spans="3:46" x14ac:dyDescent="0.25">
      <c r="C14" s="112"/>
      <c r="D14" s="112"/>
      <c r="E14" s="109"/>
      <c r="F14" s="109"/>
      <c r="G14" s="109"/>
      <c r="H14" s="109"/>
      <c r="I14" s="109"/>
      <c r="J14" s="109"/>
      <c r="K14" s="113"/>
      <c r="L14" s="112"/>
      <c r="M14" s="112"/>
      <c r="N14" s="112"/>
      <c r="P14" s="112"/>
      <c r="Q14" s="109"/>
      <c r="R14" s="111"/>
      <c r="S14" s="109"/>
      <c r="T14" s="109"/>
      <c r="U14" s="114"/>
      <c r="V14" s="109"/>
      <c r="W14" s="145"/>
      <c r="X14" s="145"/>
      <c r="Y14" s="144"/>
      <c r="Z14" s="131"/>
      <c r="AA14" s="131"/>
      <c r="AB14" s="131"/>
      <c r="AC14" s="130"/>
      <c r="AD14" s="130"/>
      <c r="AE14" s="130"/>
      <c r="AF14" s="131"/>
      <c r="AG14" s="155"/>
      <c r="AJ14" s="109"/>
      <c r="AK14" s="109"/>
      <c r="AL14" s="109"/>
      <c r="AM14" s="109"/>
      <c r="AN14" s="109"/>
      <c r="AO14" s="109"/>
      <c r="AP14" s="109"/>
    </row>
    <row r="15" spans="3:46" x14ac:dyDescent="0.25">
      <c r="C15" s="139" t="s">
        <v>969</v>
      </c>
      <c r="D15" s="133"/>
      <c r="E15" s="119"/>
      <c r="F15" s="119"/>
      <c r="G15" s="119"/>
      <c r="H15" s="119"/>
      <c r="I15" s="109"/>
      <c r="J15" s="109"/>
      <c r="K15" s="113"/>
      <c r="L15" s="112"/>
      <c r="M15" s="112"/>
      <c r="N15" s="112"/>
      <c r="P15" s="112"/>
      <c r="Q15" s="109"/>
      <c r="R15" s="111"/>
      <c r="S15" s="109"/>
      <c r="T15" s="109"/>
      <c r="U15" s="109"/>
      <c r="V15" s="145"/>
      <c r="W15" s="130"/>
      <c r="X15" s="130"/>
      <c r="Y15" s="144"/>
      <c r="Z15" s="131"/>
      <c r="AA15" s="131"/>
      <c r="AB15" s="131"/>
      <c r="AC15" s="130"/>
      <c r="AD15" s="130"/>
      <c r="AE15" s="130"/>
      <c r="AF15" s="129"/>
      <c r="AG15" s="140"/>
      <c r="AJ15" s="109"/>
      <c r="AK15" s="109"/>
      <c r="AL15" s="109"/>
      <c r="AM15" s="109"/>
      <c r="AN15" s="109"/>
      <c r="AO15" s="109"/>
      <c r="AP15" s="109"/>
    </row>
    <row r="16" spans="3:46" x14ac:dyDescent="0.25">
      <c r="C16" s="114" t="str">
        <f>"X"&amp;$G$2</f>
        <v>XBCL</v>
      </c>
      <c r="D16" s="112"/>
      <c r="E16" s="109"/>
      <c r="F16" s="109"/>
      <c r="G16" s="109"/>
      <c r="H16" s="109"/>
      <c r="I16" s="109"/>
      <c r="J16" s="109"/>
      <c r="K16" s="113"/>
      <c r="L16" s="112"/>
      <c r="M16" s="112"/>
      <c r="N16" s="112"/>
      <c r="P16" s="112"/>
      <c r="Q16" s="109"/>
      <c r="R16" s="111"/>
      <c r="S16" s="109"/>
      <c r="T16" s="109"/>
      <c r="U16" s="109"/>
      <c r="V16" s="109"/>
      <c r="W16" s="109"/>
      <c r="X16" s="109"/>
      <c r="Y16" s="110"/>
      <c r="AA16" s="137" t="s">
        <v>476</v>
      </c>
      <c r="AB16" s="122"/>
      <c r="AC16" s="119"/>
      <c r="AD16" s="119"/>
      <c r="AE16" s="119"/>
      <c r="AF16" s="117"/>
      <c r="AG16" s="140"/>
      <c r="AJ16" s="109"/>
      <c r="AK16" s="109"/>
      <c r="AL16" s="109"/>
      <c r="AM16" s="109"/>
      <c r="AN16" s="109"/>
      <c r="AO16" s="109"/>
      <c r="AP16" s="109"/>
    </row>
    <row r="17" spans="3:45" x14ac:dyDescent="0.25">
      <c r="C17" s="112"/>
      <c r="D17" s="112"/>
      <c r="E17" s="109"/>
      <c r="F17" s="114"/>
      <c r="G17" s="119"/>
      <c r="H17" s="119"/>
      <c r="I17" s="119"/>
      <c r="J17" s="119"/>
      <c r="K17" s="133"/>
      <c r="L17" s="118"/>
      <c r="M17" s="118"/>
      <c r="N17" s="118"/>
      <c r="O17" s="120"/>
      <c r="P17" s="118"/>
      <c r="Q17" s="119"/>
      <c r="R17" s="126"/>
      <c r="S17" s="152"/>
      <c r="T17" s="152"/>
      <c r="U17" s="152"/>
      <c r="V17" s="152"/>
      <c r="W17" s="152"/>
      <c r="X17" s="152"/>
      <c r="Y17" s="125"/>
      <c r="Z17" s="124"/>
      <c r="AA17" s="116"/>
      <c r="AB17" s="150"/>
      <c r="AC17" s="119"/>
      <c r="AD17" s="119"/>
      <c r="AE17" s="119"/>
      <c r="AF17" s="120"/>
      <c r="AG17" s="117"/>
      <c r="AJ17" s="109"/>
      <c r="AK17" s="109"/>
      <c r="AL17" s="109"/>
      <c r="AM17" s="109"/>
      <c r="AN17" s="109"/>
      <c r="AO17" s="109"/>
      <c r="AP17" s="109"/>
      <c r="AS17" s="79"/>
    </row>
    <row r="18" spans="3:45" x14ac:dyDescent="0.25">
      <c r="C18" s="112"/>
      <c r="D18" s="112"/>
      <c r="E18" s="109"/>
      <c r="F18" s="109"/>
      <c r="G18" s="145"/>
      <c r="H18" s="145"/>
      <c r="I18" s="126"/>
      <c r="J18" s="152"/>
      <c r="K18" s="327"/>
      <c r="L18" s="125"/>
      <c r="M18" s="125"/>
      <c r="N18" s="125"/>
      <c r="O18" s="153"/>
      <c r="P18" s="125"/>
      <c r="Q18" s="152"/>
      <c r="R18" s="126"/>
      <c r="S18" s="152"/>
      <c r="T18" s="152"/>
      <c r="U18" s="152"/>
      <c r="V18" s="152"/>
      <c r="W18" s="152"/>
      <c r="X18" s="152"/>
      <c r="Y18" s="125"/>
      <c r="Z18" s="124"/>
      <c r="AA18" s="116"/>
      <c r="AB18" s="115"/>
      <c r="AC18" s="109"/>
      <c r="AD18" s="109"/>
      <c r="AE18" s="109"/>
      <c r="AJ18" s="109"/>
      <c r="AK18" s="109"/>
      <c r="AL18" s="109"/>
      <c r="AM18" s="109"/>
      <c r="AN18" s="109"/>
      <c r="AO18" s="109"/>
      <c r="AP18" s="109"/>
      <c r="AS18" s="156"/>
    </row>
    <row r="19" spans="3:45" x14ac:dyDescent="0.25">
      <c r="C19" s="112"/>
      <c r="D19" s="112"/>
      <c r="E19" s="109"/>
      <c r="F19" s="109"/>
      <c r="G19" s="109"/>
      <c r="H19" s="109"/>
      <c r="I19" s="109"/>
      <c r="J19" s="109"/>
      <c r="K19" s="113"/>
      <c r="L19" s="112"/>
      <c r="M19" s="112"/>
      <c r="N19" s="112"/>
      <c r="P19" s="112"/>
      <c r="Q19" s="109"/>
      <c r="R19" s="111"/>
      <c r="S19" s="109"/>
      <c r="T19" s="109"/>
      <c r="U19" s="109"/>
      <c r="V19" s="109"/>
      <c r="W19" s="109"/>
      <c r="X19" s="109"/>
      <c r="Y19" s="110"/>
      <c r="AA19" s="114" t="s">
        <v>475</v>
      </c>
      <c r="AB19" s="113"/>
      <c r="AC19" s="109"/>
      <c r="AD19" s="109"/>
      <c r="AE19" s="109"/>
      <c r="AJ19" s="109"/>
      <c r="AK19" s="109"/>
      <c r="AL19" s="109"/>
      <c r="AM19" s="109"/>
      <c r="AN19" s="109"/>
      <c r="AO19" s="109"/>
      <c r="AP19" s="109"/>
      <c r="AS19" s="156"/>
    </row>
    <row r="20" spans="3:45" x14ac:dyDescent="0.25">
      <c r="C20" s="139" t="s">
        <v>676</v>
      </c>
      <c r="D20" s="133"/>
      <c r="E20" s="119"/>
      <c r="F20" s="119"/>
      <c r="G20" s="119"/>
      <c r="H20" s="119"/>
      <c r="I20" s="114"/>
      <c r="J20" s="109"/>
      <c r="K20" s="113"/>
      <c r="L20" s="112"/>
      <c r="M20" s="112"/>
      <c r="N20" s="112"/>
      <c r="P20" s="112"/>
      <c r="Q20" s="109"/>
      <c r="R20" s="111"/>
      <c r="S20" s="109"/>
      <c r="T20" s="109"/>
      <c r="U20" s="109"/>
      <c r="V20" s="109"/>
      <c r="W20" s="111"/>
      <c r="X20" s="109"/>
      <c r="Y20" s="110"/>
      <c r="Z20" s="108"/>
      <c r="AA20" s="108"/>
      <c r="AB20" s="108"/>
      <c r="AC20" s="109"/>
      <c r="AD20" s="109"/>
      <c r="AE20" s="109"/>
      <c r="AF20" s="108"/>
      <c r="AG20" s="108"/>
      <c r="AJ20" s="109"/>
      <c r="AK20" s="109"/>
      <c r="AL20" s="109"/>
      <c r="AM20" s="109"/>
      <c r="AN20" s="109"/>
      <c r="AO20" s="109"/>
      <c r="AP20" s="109"/>
      <c r="AS20" s="156"/>
    </row>
    <row r="21" spans="3:45" x14ac:dyDescent="0.25">
      <c r="C21" s="114" t="str">
        <f>"X"&amp;$H$2</f>
        <v>XBIW</v>
      </c>
      <c r="D21" s="112"/>
      <c r="E21" s="109"/>
      <c r="F21" s="109"/>
      <c r="G21" s="109"/>
      <c r="H21" s="109"/>
      <c r="I21" s="109"/>
      <c r="J21" s="109"/>
      <c r="K21" s="113"/>
      <c r="L21" s="112"/>
      <c r="M21" s="112"/>
      <c r="N21" s="112"/>
      <c r="P21" s="112"/>
      <c r="Q21" s="109"/>
      <c r="R21" s="114"/>
      <c r="S21" s="119"/>
      <c r="T21" s="119"/>
      <c r="U21" s="119"/>
      <c r="V21" s="119"/>
      <c r="W21" s="119"/>
      <c r="X21" s="119"/>
      <c r="Y21" s="118"/>
      <c r="Z21" s="120"/>
      <c r="AA21" s="120"/>
      <c r="AB21" s="120"/>
      <c r="AC21" s="119"/>
      <c r="AD21" s="119"/>
      <c r="AE21" s="119"/>
      <c r="AF21" s="120"/>
      <c r="AG21" s="120"/>
      <c r="AH21" s="117"/>
      <c r="AI21" s="137" t="s">
        <v>667</v>
      </c>
      <c r="AJ21" s="114"/>
      <c r="AK21" s="119"/>
      <c r="AL21" s="114"/>
      <c r="AM21" s="109"/>
      <c r="AN21" s="109"/>
      <c r="AO21" s="109"/>
      <c r="AP21" s="109"/>
      <c r="AS21" s="154"/>
    </row>
    <row r="22" spans="3:45" x14ac:dyDescent="0.25">
      <c r="D22" s="112"/>
      <c r="E22" s="109"/>
      <c r="F22" s="109"/>
      <c r="G22" s="109"/>
      <c r="H22" s="109"/>
      <c r="I22" s="109"/>
      <c r="J22" s="109"/>
      <c r="K22" s="113"/>
      <c r="L22" s="112"/>
      <c r="M22" s="112"/>
      <c r="N22" s="112"/>
      <c r="P22" s="112"/>
      <c r="Q22" s="109"/>
      <c r="R22" s="111"/>
      <c r="S22" s="109"/>
      <c r="T22" s="109"/>
      <c r="U22" s="109"/>
      <c r="V22" s="109"/>
      <c r="W22" s="109"/>
      <c r="X22" s="109"/>
      <c r="Y22" s="110"/>
      <c r="AC22" s="109"/>
      <c r="AD22" s="109"/>
      <c r="AE22" s="109"/>
      <c r="AI22" s="210" t="s">
        <v>668</v>
      </c>
      <c r="AJ22" s="109"/>
      <c r="AK22" s="109"/>
      <c r="AL22" s="109"/>
      <c r="AM22" s="109"/>
      <c r="AN22" s="109"/>
      <c r="AO22" s="109"/>
      <c r="AP22" s="109"/>
    </row>
    <row r="23" spans="3:45" x14ac:dyDescent="0.25">
      <c r="C23" s="112"/>
      <c r="D23" s="112"/>
      <c r="E23" s="109"/>
      <c r="F23" s="109"/>
      <c r="G23" s="109"/>
      <c r="H23" s="109"/>
      <c r="I23" s="109"/>
      <c r="J23" s="109"/>
      <c r="K23" s="113"/>
      <c r="L23" s="112"/>
      <c r="M23" s="112"/>
      <c r="N23" s="112"/>
      <c r="P23" s="112"/>
      <c r="Q23" s="109"/>
      <c r="R23" s="111"/>
      <c r="S23" s="109"/>
      <c r="T23" s="109"/>
      <c r="U23" s="109"/>
      <c r="V23" s="109"/>
      <c r="W23" s="109"/>
      <c r="X23" s="109"/>
      <c r="Y23" s="110"/>
      <c r="AC23" s="109"/>
      <c r="AD23" s="109"/>
      <c r="AE23" s="109"/>
      <c r="AJ23" s="109"/>
      <c r="AK23" s="109"/>
      <c r="AL23" s="109"/>
      <c r="AM23" s="109"/>
      <c r="AN23" s="109"/>
      <c r="AO23" s="109"/>
      <c r="AP23" s="109"/>
    </row>
    <row r="24" spans="3:45" x14ac:dyDescent="0.25">
      <c r="C24" s="112"/>
      <c r="D24" s="112"/>
      <c r="E24" s="109"/>
      <c r="F24" s="109"/>
      <c r="G24" s="109"/>
      <c r="H24" s="109"/>
      <c r="I24" s="109"/>
      <c r="J24" s="109"/>
      <c r="K24" s="113"/>
      <c r="L24" s="112"/>
      <c r="M24" s="112"/>
      <c r="N24" s="112"/>
      <c r="P24" s="112"/>
      <c r="Q24" s="109"/>
      <c r="R24" s="111"/>
      <c r="S24" s="109"/>
      <c r="T24" s="109"/>
      <c r="U24" s="109"/>
      <c r="V24" s="109"/>
      <c r="W24" s="109"/>
      <c r="X24" s="119"/>
      <c r="Y24" s="118"/>
      <c r="Z24" s="120"/>
      <c r="AA24" s="120"/>
      <c r="AB24" s="120"/>
      <c r="AC24" s="119"/>
      <c r="AD24" s="119"/>
      <c r="AE24" s="119"/>
      <c r="AF24" s="120"/>
      <c r="AG24" s="120"/>
      <c r="AH24" s="117"/>
      <c r="AI24" s="137" t="s">
        <v>944</v>
      </c>
      <c r="AJ24" s="114"/>
      <c r="AK24" s="119"/>
      <c r="AL24" s="114"/>
      <c r="AM24" s="114"/>
      <c r="AN24" s="114"/>
      <c r="AO24" s="114"/>
      <c r="AP24" s="114"/>
      <c r="AS24" s="154"/>
    </row>
    <row r="25" spans="3:45" x14ac:dyDescent="0.25">
      <c r="C25" s="112"/>
      <c r="D25" s="112"/>
      <c r="E25" s="109"/>
      <c r="F25" s="109"/>
      <c r="G25" s="109"/>
      <c r="H25" s="109"/>
      <c r="I25" s="109"/>
      <c r="J25" s="109"/>
      <c r="K25" s="113"/>
      <c r="L25" s="112"/>
      <c r="M25" s="112"/>
      <c r="N25" s="112"/>
      <c r="P25" s="112"/>
      <c r="Q25" s="109"/>
      <c r="R25" s="111"/>
      <c r="S25" s="109"/>
      <c r="T25" s="109"/>
      <c r="U25" s="109"/>
      <c r="V25" s="109"/>
      <c r="W25" s="109"/>
      <c r="X25" s="109"/>
      <c r="Y25" s="110"/>
      <c r="AC25" s="109"/>
      <c r="AD25" s="109"/>
      <c r="AE25" s="109"/>
      <c r="AI25" s="326" t="s">
        <v>945</v>
      </c>
      <c r="AJ25" s="109"/>
      <c r="AK25" s="109"/>
      <c r="AL25" s="109"/>
      <c r="AM25" s="109"/>
      <c r="AN25" s="109"/>
      <c r="AO25" s="109"/>
      <c r="AP25" s="109"/>
    </row>
    <row r="26" spans="3:45" x14ac:dyDescent="0.25">
      <c r="C26" s="112"/>
      <c r="D26" s="112"/>
      <c r="E26" s="109"/>
      <c r="F26" s="109"/>
      <c r="G26" s="109"/>
      <c r="H26" s="109"/>
      <c r="I26" s="109"/>
      <c r="J26" s="109"/>
      <c r="K26" s="113"/>
      <c r="L26" s="112"/>
      <c r="M26" s="112"/>
      <c r="N26" s="112"/>
      <c r="P26" s="112"/>
      <c r="Q26" s="109"/>
      <c r="R26" s="111"/>
      <c r="S26" s="109"/>
      <c r="T26" s="109"/>
      <c r="U26" s="109"/>
      <c r="V26" s="109"/>
      <c r="W26" s="109"/>
      <c r="X26" s="145"/>
      <c r="Y26" s="144"/>
      <c r="Z26" s="131"/>
      <c r="AA26" s="131"/>
      <c r="AB26" s="131"/>
      <c r="AC26" s="130"/>
      <c r="AD26" s="130"/>
      <c r="AE26" s="130"/>
      <c r="AF26" s="131"/>
      <c r="AG26" s="155"/>
      <c r="AJ26" s="109"/>
      <c r="AK26" s="109"/>
      <c r="AL26" s="109"/>
      <c r="AM26" s="109"/>
      <c r="AN26" s="109"/>
      <c r="AO26" s="109"/>
      <c r="AP26" s="109"/>
    </row>
    <row r="27" spans="3:45" x14ac:dyDescent="0.25">
      <c r="E27" s="109"/>
      <c r="F27" s="109"/>
      <c r="G27" s="109"/>
      <c r="H27" s="109"/>
      <c r="I27" s="109"/>
      <c r="J27" s="109"/>
      <c r="K27" s="113"/>
      <c r="L27" s="112"/>
      <c r="M27" s="112"/>
      <c r="N27" s="112"/>
      <c r="P27" s="112"/>
      <c r="Q27" s="109"/>
      <c r="R27" s="111"/>
      <c r="S27" s="109"/>
      <c r="T27" s="109"/>
      <c r="U27" s="109"/>
      <c r="V27" s="109"/>
      <c r="W27" s="109"/>
      <c r="X27" s="109"/>
      <c r="Y27" s="132"/>
      <c r="Z27" s="131"/>
      <c r="AA27" s="131"/>
      <c r="AB27" s="131"/>
      <c r="AC27" s="130"/>
      <c r="AD27" s="130"/>
      <c r="AE27" s="130"/>
      <c r="AF27" s="129"/>
      <c r="AG27" s="140"/>
      <c r="AJ27" s="109"/>
      <c r="AK27" s="109"/>
      <c r="AL27" s="109"/>
      <c r="AM27" s="109"/>
      <c r="AN27" s="109"/>
      <c r="AO27" s="109"/>
      <c r="AP27" s="109"/>
    </row>
    <row r="28" spans="3:45" x14ac:dyDescent="0.25">
      <c r="E28" s="109"/>
      <c r="F28" s="109"/>
      <c r="G28" s="109"/>
      <c r="H28" s="109"/>
      <c r="I28" s="109"/>
      <c r="J28" s="109"/>
      <c r="K28" s="113"/>
      <c r="L28" s="112"/>
      <c r="M28" s="112"/>
      <c r="N28" s="112"/>
      <c r="P28" s="112"/>
      <c r="Q28" s="109"/>
      <c r="R28" s="111"/>
      <c r="S28" s="109"/>
      <c r="T28" s="109"/>
      <c r="U28" s="109"/>
      <c r="V28" s="114"/>
      <c r="W28" s="119"/>
      <c r="X28" s="119"/>
      <c r="Y28" s="118"/>
      <c r="Z28" s="117"/>
      <c r="AA28" s="139" t="s">
        <v>985</v>
      </c>
      <c r="AB28" s="151"/>
      <c r="AC28" s="119"/>
      <c r="AD28" s="109"/>
      <c r="AE28" s="109"/>
      <c r="AF28" s="116"/>
      <c r="AG28" s="140"/>
      <c r="AJ28" s="109"/>
      <c r="AK28" s="109"/>
      <c r="AL28" s="109"/>
      <c r="AM28" s="109"/>
      <c r="AN28" s="109"/>
      <c r="AO28" s="109"/>
      <c r="AP28" s="109"/>
    </row>
    <row r="29" spans="3:45" x14ac:dyDescent="0.25">
      <c r="E29" s="109"/>
      <c r="F29" s="109"/>
      <c r="G29" s="109"/>
      <c r="H29" s="109"/>
      <c r="I29" s="109"/>
      <c r="J29" s="109"/>
      <c r="K29" s="113"/>
      <c r="L29" s="112"/>
      <c r="M29" s="112"/>
      <c r="N29" s="112"/>
      <c r="P29" s="112"/>
      <c r="Q29" s="109"/>
      <c r="R29" s="111"/>
      <c r="S29" s="109"/>
      <c r="T29" s="109"/>
      <c r="U29" s="109"/>
      <c r="V29" s="109"/>
      <c r="W29" s="145"/>
      <c r="X29" s="145"/>
      <c r="Y29" s="125"/>
      <c r="Z29" s="124"/>
      <c r="AA29" s="116"/>
      <c r="AB29" s="150"/>
      <c r="AC29" s="119"/>
      <c r="AD29" s="119"/>
      <c r="AE29" s="119"/>
      <c r="AF29" s="121"/>
      <c r="AG29" s="140"/>
      <c r="AJ29" s="109"/>
      <c r="AK29" s="109"/>
      <c r="AL29" s="109"/>
      <c r="AM29" s="109"/>
      <c r="AN29" s="109"/>
      <c r="AO29" s="109"/>
      <c r="AP29" s="109"/>
    </row>
    <row r="30" spans="3:45" x14ac:dyDescent="0.25">
      <c r="E30" s="109"/>
      <c r="F30" s="109"/>
      <c r="G30" s="109"/>
      <c r="H30" s="109"/>
      <c r="I30" s="109"/>
      <c r="J30" s="109"/>
      <c r="K30" s="113"/>
      <c r="L30" s="112"/>
      <c r="M30" s="112"/>
      <c r="N30" s="112"/>
      <c r="P30" s="112"/>
      <c r="Q30" s="109"/>
      <c r="R30" s="111"/>
      <c r="S30" s="114"/>
      <c r="T30" s="119"/>
      <c r="U30" s="119"/>
      <c r="V30" s="119"/>
      <c r="W30" s="119"/>
      <c r="X30" s="119"/>
      <c r="Y30" s="118"/>
      <c r="Z30" s="117"/>
      <c r="AA30" s="116"/>
      <c r="AB30" s="147"/>
      <c r="AC30" s="119"/>
      <c r="AD30" s="119"/>
      <c r="AE30" s="119"/>
      <c r="AF30" s="120"/>
      <c r="AG30" s="117"/>
      <c r="AJ30" s="109"/>
      <c r="AK30" s="109"/>
      <c r="AL30" s="109"/>
      <c r="AM30" s="109"/>
      <c r="AN30" s="109"/>
      <c r="AO30" s="109"/>
      <c r="AP30" s="109"/>
    </row>
    <row r="31" spans="3:45" x14ac:dyDescent="0.25">
      <c r="E31" s="109"/>
      <c r="F31" s="109"/>
      <c r="G31" s="109"/>
      <c r="H31" s="109"/>
      <c r="I31" s="109"/>
      <c r="J31" s="109"/>
      <c r="K31" s="113"/>
      <c r="L31" s="112"/>
      <c r="M31" s="112"/>
      <c r="N31" s="112"/>
      <c r="P31" s="112"/>
      <c r="Q31" s="109"/>
      <c r="R31" s="111"/>
      <c r="S31" s="109"/>
      <c r="T31" s="109"/>
      <c r="U31" s="109"/>
      <c r="V31" s="109"/>
      <c r="W31" s="109"/>
      <c r="X31" s="109"/>
      <c r="Y31" s="110"/>
      <c r="AA31" s="114" t="s">
        <v>469</v>
      </c>
      <c r="AB31" s="113"/>
      <c r="AC31" s="109"/>
      <c r="AD31" s="109"/>
      <c r="AE31" s="109"/>
      <c r="AJ31" s="109"/>
      <c r="AK31" s="109"/>
      <c r="AL31" s="109"/>
      <c r="AM31" s="109"/>
      <c r="AN31" s="109"/>
      <c r="AO31" s="109"/>
      <c r="AP31" s="109"/>
    </row>
    <row r="32" spans="3:45" x14ac:dyDescent="0.25">
      <c r="E32" s="109"/>
      <c r="F32" s="109"/>
      <c r="G32" s="109"/>
      <c r="H32" s="109"/>
      <c r="I32" s="109"/>
      <c r="J32" s="109"/>
      <c r="K32" s="113"/>
      <c r="L32" s="112"/>
      <c r="M32" s="118"/>
      <c r="N32" s="118"/>
      <c r="O32" s="120"/>
      <c r="P32" s="118"/>
      <c r="Q32" s="119"/>
      <c r="R32" s="114"/>
      <c r="S32" s="111"/>
      <c r="T32" s="109"/>
      <c r="U32" s="109"/>
      <c r="V32" s="109"/>
      <c r="W32" s="109"/>
      <c r="X32" s="109"/>
      <c r="AC32" s="109"/>
      <c r="AD32" s="109"/>
      <c r="AE32" s="109"/>
      <c r="AJ32" s="109"/>
      <c r="AK32" s="109"/>
      <c r="AL32" s="109"/>
      <c r="AM32" s="109"/>
      <c r="AN32" s="109"/>
      <c r="AO32" s="109"/>
      <c r="AP32" s="109"/>
    </row>
    <row r="33" spans="5:42" x14ac:dyDescent="0.25">
      <c r="E33" s="109"/>
      <c r="F33" s="109"/>
      <c r="G33" s="109"/>
      <c r="H33" s="109"/>
      <c r="I33" s="109"/>
      <c r="J33" s="109"/>
      <c r="K33" s="113"/>
      <c r="L33" s="132"/>
      <c r="M33" s="120"/>
      <c r="N33" s="118"/>
      <c r="O33" s="120"/>
      <c r="P33" s="118"/>
      <c r="Q33" s="119"/>
      <c r="R33" s="114"/>
      <c r="S33" s="114"/>
      <c r="T33" s="119"/>
      <c r="U33" s="119"/>
      <c r="V33" s="119"/>
      <c r="W33" s="119"/>
      <c r="X33" s="119"/>
      <c r="AC33" s="109"/>
      <c r="AD33" s="109"/>
      <c r="AE33" s="109"/>
      <c r="AJ33" s="109"/>
      <c r="AK33" s="109"/>
      <c r="AL33" s="109"/>
      <c r="AM33" s="109"/>
      <c r="AN33" s="109"/>
      <c r="AO33" s="109"/>
      <c r="AP33" s="109"/>
    </row>
    <row r="34" spans="5:42" x14ac:dyDescent="0.25">
      <c r="E34" s="109"/>
      <c r="F34" s="109"/>
      <c r="G34" s="109"/>
      <c r="H34" s="109"/>
      <c r="I34" s="109"/>
      <c r="J34" s="109"/>
      <c r="K34" s="113"/>
      <c r="L34" s="113"/>
      <c r="M34" s="328"/>
      <c r="N34" s="112"/>
      <c r="P34" s="112"/>
      <c r="Q34" s="109"/>
      <c r="R34" s="111"/>
      <c r="S34" s="109"/>
      <c r="T34" s="114"/>
      <c r="U34" s="119"/>
      <c r="V34" s="119"/>
      <c r="W34" s="119"/>
      <c r="X34" s="109"/>
      <c r="AC34" s="109"/>
      <c r="AD34" s="109"/>
      <c r="AE34" s="109"/>
      <c r="AJ34" s="109"/>
      <c r="AK34" s="109"/>
      <c r="AL34" s="109"/>
      <c r="AM34" s="109"/>
      <c r="AN34" s="109"/>
      <c r="AO34" s="109"/>
      <c r="AP34" s="109"/>
    </row>
    <row r="35" spans="5:42" x14ac:dyDescent="0.25">
      <c r="E35" s="109"/>
      <c r="F35" s="109"/>
      <c r="G35" s="109"/>
      <c r="H35" s="109"/>
      <c r="I35" s="109"/>
      <c r="J35" s="109"/>
      <c r="K35" s="113"/>
      <c r="L35" s="113"/>
      <c r="M35" s="115"/>
      <c r="N35" s="132"/>
      <c r="O35" s="131"/>
      <c r="P35" s="144"/>
      <c r="Q35" s="130"/>
      <c r="R35" s="145"/>
      <c r="S35" s="130"/>
      <c r="T35" s="109"/>
      <c r="U35" s="109"/>
      <c r="V35" s="109"/>
      <c r="W35" s="109"/>
      <c r="X35" s="109"/>
      <c r="AC35" s="109"/>
      <c r="AD35" s="109"/>
      <c r="AE35" s="109"/>
      <c r="AJ35" s="109"/>
      <c r="AK35" s="109"/>
      <c r="AL35" s="109"/>
      <c r="AM35" s="109"/>
      <c r="AN35" s="109"/>
      <c r="AO35" s="109"/>
      <c r="AP35" s="109"/>
    </row>
    <row r="36" spans="5:42" x14ac:dyDescent="0.25">
      <c r="E36" s="109"/>
      <c r="F36" s="109"/>
      <c r="G36" s="109"/>
      <c r="H36" s="109"/>
      <c r="I36" s="109"/>
      <c r="J36" s="109"/>
      <c r="K36" s="113"/>
      <c r="L36" s="113"/>
      <c r="M36" s="115"/>
      <c r="N36" s="148">
        <f>85%*0.4</f>
        <v>0.34</v>
      </c>
      <c r="O36" s="128" t="s">
        <v>984</v>
      </c>
      <c r="P36" s="110"/>
      <c r="Q36" s="109"/>
      <c r="R36" s="111"/>
      <c r="S36" s="109"/>
      <c r="T36" s="109"/>
      <c r="U36" s="109"/>
      <c r="V36" s="109"/>
      <c r="W36" s="109"/>
      <c r="X36" s="109"/>
      <c r="AC36" s="109"/>
      <c r="AD36" s="109"/>
      <c r="AE36" s="109"/>
      <c r="AJ36" s="109"/>
      <c r="AK36" s="109"/>
      <c r="AL36" s="109"/>
      <c r="AM36" s="109"/>
      <c r="AN36" s="109"/>
      <c r="AO36" s="109"/>
      <c r="AP36" s="109"/>
    </row>
    <row r="37" spans="5:42" x14ac:dyDescent="0.25">
      <c r="E37" s="109"/>
      <c r="F37" s="109"/>
      <c r="G37" s="109"/>
      <c r="H37" s="109"/>
      <c r="I37" s="109"/>
      <c r="J37" s="109"/>
      <c r="K37" s="113"/>
      <c r="L37" s="113"/>
      <c r="M37" s="147"/>
      <c r="N37" s="143">
        <f>45%*40%</f>
        <v>0.18000000000000002</v>
      </c>
      <c r="O37" s="116"/>
      <c r="P37" s="112"/>
      <c r="Q37" s="109"/>
      <c r="R37" s="111"/>
      <c r="S37" s="109"/>
      <c r="T37" s="109"/>
      <c r="U37" s="109"/>
      <c r="V37" s="109"/>
      <c r="W37" s="109"/>
      <c r="X37" s="109"/>
      <c r="AC37" s="109"/>
      <c r="AD37" s="109"/>
      <c r="AE37" s="109"/>
      <c r="AJ37" s="109"/>
      <c r="AK37" s="109"/>
      <c r="AL37" s="109"/>
      <c r="AM37" s="109"/>
      <c r="AN37" s="109"/>
      <c r="AO37" s="109"/>
      <c r="AP37" s="109"/>
    </row>
    <row r="38" spans="5:42" x14ac:dyDescent="0.25">
      <c r="E38" s="109"/>
      <c r="F38" s="109"/>
      <c r="G38" s="109"/>
      <c r="H38" s="109"/>
      <c r="I38" s="109"/>
      <c r="J38" s="109"/>
      <c r="K38" s="113"/>
      <c r="L38" s="147"/>
      <c r="M38" s="120"/>
      <c r="N38" s="146">
        <f>85%*0.4</f>
        <v>0.34</v>
      </c>
      <c r="O38" s="116"/>
      <c r="P38" s="133"/>
      <c r="Q38" s="119"/>
      <c r="R38" s="114"/>
      <c r="S38" s="114"/>
      <c r="T38" s="119"/>
      <c r="U38" s="109"/>
      <c r="V38" s="109"/>
      <c r="W38" s="109"/>
      <c r="X38" s="109"/>
      <c r="AC38" s="109"/>
      <c r="AD38" s="109"/>
      <c r="AE38" s="109"/>
      <c r="AJ38" s="109"/>
      <c r="AK38" s="109"/>
      <c r="AL38" s="109"/>
      <c r="AM38" s="109"/>
      <c r="AN38" s="109"/>
      <c r="AO38" s="109"/>
      <c r="AP38" s="109"/>
    </row>
    <row r="39" spans="5:42" x14ac:dyDescent="0.25">
      <c r="E39" s="109"/>
      <c r="F39" s="109"/>
      <c r="G39" s="109"/>
      <c r="H39" s="109"/>
      <c r="I39" s="114"/>
      <c r="J39" s="119"/>
      <c r="K39" s="133"/>
      <c r="L39" s="118"/>
      <c r="M39" s="118"/>
      <c r="N39" s="143">
        <f>50%*0.4</f>
        <v>0.2</v>
      </c>
      <c r="O39" s="116"/>
      <c r="R39" s="111"/>
      <c r="S39" s="109"/>
      <c r="T39" s="109"/>
      <c r="U39" s="111"/>
      <c r="V39" s="111"/>
      <c r="W39" s="111"/>
      <c r="X39" s="111"/>
      <c r="AC39" s="109"/>
      <c r="AD39" s="111"/>
      <c r="AE39" s="111"/>
      <c r="AF39" s="115"/>
      <c r="AJ39" s="109"/>
      <c r="AK39" s="109"/>
      <c r="AL39" s="109"/>
      <c r="AM39" s="109"/>
      <c r="AN39" s="109"/>
      <c r="AO39" s="109"/>
      <c r="AP39" s="109"/>
    </row>
    <row r="40" spans="5:42" x14ac:dyDescent="0.25">
      <c r="E40" s="109"/>
      <c r="F40" s="109"/>
      <c r="G40" s="109"/>
      <c r="H40" s="109"/>
      <c r="I40" s="109"/>
      <c r="J40" s="109"/>
      <c r="K40" s="113"/>
      <c r="L40" s="112"/>
      <c r="M40" s="112"/>
      <c r="N40" s="142">
        <f>50%*0.4</f>
        <v>0.2</v>
      </c>
      <c r="O40" s="116"/>
      <c r="P40" s="112"/>
      <c r="Q40" s="109"/>
      <c r="R40" s="111"/>
      <c r="S40" s="109"/>
      <c r="T40" s="109"/>
      <c r="U40" s="109"/>
      <c r="V40" s="109"/>
      <c r="W40" s="111"/>
      <c r="X40" s="111"/>
      <c r="AC40" s="109"/>
      <c r="AD40" s="109"/>
      <c r="AE40" s="109"/>
      <c r="AF40" s="115"/>
      <c r="AJ40" s="109"/>
      <c r="AK40" s="109"/>
      <c r="AL40" s="109"/>
      <c r="AM40" s="109"/>
      <c r="AN40" s="109"/>
      <c r="AO40" s="109"/>
      <c r="AP40" s="109"/>
    </row>
    <row r="41" spans="5:42" x14ac:dyDescent="0.25">
      <c r="E41" s="109"/>
      <c r="F41" s="109"/>
      <c r="G41" s="109"/>
      <c r="H41" s="109"/>
      <c r="I41" s="109"/>
      <c r="J41" s="109"/>
      <c r="K41" s="113"/>
      <c r="L41" s="112"/>
      <c r="M41" s="112"/>
      <c r="N41" s="141"/>
      <c r="O41" s="114" t="s">
        <v>465</v>
      </c>
      <c r="P41" s="112"/>
      <c r="Q41" s="109"/>
      <c r="R41" s="111"/>
      <c r="S41" s="109"/>
      <c r="T41" s="111"/>
      <c r="U41" s="111"/>
      <c r="V41" s="111"/>
      <c r="W41" s="111"/>
      <c r="X41" s="111"/>
      <c r="AC41" s="109"/>
      <c r="AD41" s="111"/>
      <c r="AE41" s="111"/>
      <c r="AF41" s="115"/>
      <c r="AJ41" s="109"/>
      <c r="AK41" s="109"/>
      <c r="AL41" s="109"/>
      <c r="AM41" s="109"/>
      <c r="AN41" s="109"/>
      <c r="AO41" s="109"/>
      <c r="AP41" s="109"/>
    </row>
    <row r="42" spans="5:42" x14ac:dyDescent="0.25">
      <c r="E42" s="109"/>
      <c r="F42" s="109"/>
      <c r="G42" s="109"/>
      <c r="H42" s="109"/>
      <c r="I42" s="109"/>
      <c r="J42" s="109"/>
      <c r="K42" s="113"/>
      <c r="L42" s="112"/>
      <c r="M42" s="112"/>
      <c r="N42" s="133"/>
      <c r="O42" s="120"/>
      <c r="P42" s="120"/>
      <c r="Q42" s="117"/>
      <c r="R42" s="111"/>
      <c r="S42" s="109"/>
      <c r="T42" s="109"/>
      <c r="U42" s="109"/>
      <c r="V42" s="109"/>
      <c r="W42" s="109"/>
      <c r="X42" s="109"/>
      <c r="AC42" s="109"/>
      <c r="AD42" s="109"/>
      <c r="AE42" s="109"/>
      <c r="AJ42" s="109"/>
      <c r="AK42" s="109"/>
      <c r="AL42" s="109"/>
      <c r="AM42" s="109"/>
      <c r="AN42" s="109"/>
      <c r="AO42" s="109"/>
      <c r="AP42" s="109"/>
    </row>
    <row r="43" spans="5:42" x14ac:dyDescent="0.25">
      <c r="E43" s="109"/>
      <c r="F43" s="109"/>
      <c r="G43" s="109"/>
      <c r="H43" s="109"/>
      <c r="I43" s="109"/>
      <c r="J43" s="109"/>
      <c r="K43" s="113"/>
      <c r="L43" s="112"/>
      <c r="M43" s="112"/>
      <c r="N43" s="112"/>
      <c r="P43" s="112"/>
      <c r="Q43" s="109"/>
      <c r="R43" s="111"/>
      <c r="S43" s="109"/>
      <c r="T43" s="109"/>
      <c r="U43" s="109"/>
      <c r="V43" s="109"/>
      <c r="W43" s="109"/>
      <c r="X43" s="109"/>
      <c r="AC43" s="109"/>
      <c r="AD43" s="109"/>
      <c r="AE43" s="109"/>
      <c r="AJ43" s="109"/>
      <c r="AK43" s="109"/>
      <c r="AL43" s="109"/>
      <c r="AM43" s="109"/>
      <c r="AN43" s="109"/>
      <c r="AO43" s="109"/>
      <c r="AP43" s="109"/>
    </row>
    <row r="44" spans="5:42" x14ac:dyDescent="0.25">
      <c r="E44" s="109"/>
      <c r="F44" s="109"/>
      <c r="G44" s="109"/>
      <c r="H44" s="109"/>
      <c r="I44" s="109"/>
      <c r="J44" s="109"/>
      <c r="K44" s="113"/>
      <c r="L44" s="112"/>
      <c r="M44" s="118"/>
      <c r="N44" s="118"/>
      <c r="O44" s="120"/>
      <c r="P44" s="118"/>
      <c r="Q44" s="119"/>
      <c r="R44" s="114"/>
      <c r="S44" s="111"/>
      <c r="T44" s="109"/>
      <c r="U44" s="109"/>
      <c r="V44" s="109"/>
      <c r="W44" s="109"/>
      <c r="X44" s="109"/>
      <c r="AC44" s="109"/>
      <c r="AD44" s="109"/>
      <c r="AE44" s="109"/>
      <c r="AJ44" s="109"/>
      <c r="AK44" s="109"/>
      <c r="AL44" s="109"/>
      <c r="AM44" s="109"/>
      <c r="AN44" s="109"/>
      <c r="AO44" s="109"/>
      <c r="AP44" s="109"/>
    </row>
    <row r="45" spans="5:42" x14ac:dyDescent="0.25">
      <c r="E45" s="109"/>
      <c r="F45" s="109"/>
      <c r="G45" s="109"/>
      <c r="H45" s="109"/>
      <c r="I45" s="109"/>
      <c r="J45" s="109"/>
      <c r="K45" s="113"/>
      <c r="L45" s="132"/>
      <c r="M45" s="120"/>
      <c r="N45" s="118"/>
      <c r="O45" s="120"/>
      <c r="P45" s="118"/>
      <c r="Q45" s="119"/>
      <c r="R45" s="114"/>
      <c r="S45" s="114"/>
      <c r="T45" s="119"/>
      <c r="U45" s="119"/>
      <c r="V45" s="119"/>
      <c r="W45" s="119"/>
      <c r="X45" s="119"/>
      <c r="AC45" s="109"/>
      <c r="AD45" s="109"/>
      <c r="AE45" s="109"/>
      <c r="AJ45" s="109"/>
      <c r="AK45" s="109"/>
      <c r="AL45" s="109"/>
      <c r="AM45" s="109"/>
      <c r="AN45" s="109"/>
      <c r="AO45" s="109"/>
      <c r="AP45" s="109"/>
    </row>
    <row r="46" spans="5:42" x14ac:dyDescent="0.25">
      <c r="E46" s="109"/>
      <c r="F46" s="109"/>
      <c r="G46" s="109"/>
      <c r="H46" s="109"/>
      <c r="I46" s="109"/>
      <c r="J46" s="109"/>
      <c r="K46" s="113"/>
      <c r="L46" s="113"/>
      <c r="M46" s="328"/>
      <c r="N46" s="112"/>
      <c r="P46" s="112"/>
      <c r="Q46" s="109"/>
      <c r="R46" s="111"/>
      <c r="S46" s="109"/>
      <c r="T46" s="114"/>
      <c r="U46" s="119"/>
      <c r="V46" s="119"/>
      <c r="W46" s="119"/>
      <c r="X46" s="109"/>
      <c r="AC46" s="109"/>
      <c r="AD46" s="109"/>
      <c r="AE46" s="109"/>
      <c r="AJ46" s="109"/>
      <c r="AK46" s="109"/>
      <c r="AL46" s="109"/>
      <c r="AM46" s="109"/>
      <c r="AN46" s="109"/>
      <c r="AO46" s="109"/>
      <c r="AP46" s="109"/>
    </row>
    <row r="47" spans="5:42" x14ac:dyDescent="0.25">
      <c r="E47" s="109"/>
      <c r="F47" s="109"/>
      <c r="G47" s="109"/>
      <c r="H47" s="109"/>
      <c r="I47" s="109"/>
      <c r="J47" s="109"/>
      <c r="K47" s="113"/>
      <c r="L47" s="113"/>
      <c r="M47" s="115"/>
      <c r="N47" s="132"/>
      <c r="O47" s="131"/>
      <c r="P47" s="144"/>
      <c r="Q47" s="130"/>
      <c r="R47" s="145"/>
      <c r="S47" s="130"/>
      <c r="T47" s="109"/>
      <c r="U47" s="109"/>
      <c r="V47" s="109"/>
      <c r="W47" s="109"/>
      <c r="X47" s="109"/>
      <c r="AC47" s="109"/>
      <c r="AD47" s="109"/>
      <c r="AE47" s="109"/>
      <c r="AJ47" s="109"/>
      <c r="AK47" s="109"/>
      <c r="AL47" s="109"/>
      <c r="AM47" s="109"/>
      <c r="AN47" s="109"/>
      <c r="AO47" s="109"/>
      <c r="AP47" s="109"/>
    </row>
    <row r="48" spans="5:42" x14ac:dyDescent="0.25">
      <c r="E48" s="109"/>
      <c r="F48" s="109"/>
      <c r="G48" s="109"/>
      <c r="H48" s="109"/>
      <c r="I48" s="109"/>
      <c r="J48" s="109"/>
      <c r="K48" s="113"/>
      <c r="L48" s="113"/>
      <c r="M48" s="115"/>
      <c r="N48" s="148">
        <f>85%*0.8</f>
        <v>0.68</v>
      </c>
      <c r="O48" s="128" t="s">
        <v>983</v>
      </c>
      <c r="P48" s="110"/>
      <c r="Q48" s="109"/>
      <c r="R48" s="111"/>
      <c r="S48" s="109"/>
      <c r="T48" s="114"/>
      <c r="U48" s="119"/>
      <c r="V48" s="119"/>
      <c r="W48" s="119"/>
      <c r="X48" s="119"/>
      <c r="Y48" s="118"/>
      <c r="Z48" s="120"/>
      <c r="AA48" s="120"/>
      <c r="AB48" s="120"/>
      <c r="AC48" s="119"/>
      <c r="AD48" s="119"/>
      <c r="AE48" s="119"/>
      <c r="AF48" s="120"/>
      <c r="AG48" s="120"/>
      <c r="AH48" s="117"/>
      <c r="AI48" s="137" t="s">
        <v>982</v>
      </c>
      <c r="AJ48" s="114"/>
      <c r="AK48" s="119"/>
      <c r="AL48" s="114"/>
      <c r="AM48" s="119"/>
      <c r="AN48" s="119"/>
      <c r="AO48" s="119"/>
      <c r="AP48" s="119"/>
    </row>
    <row r="49" spans="5:42" x14ac:dyDescent="0.25">
      <c r="E49" s="109"/>
      <c r="F49" s="109"/>
      <c r="G49" s="109"/>
      <c r="H49" s="109"/>
      <c r="I49" s="109"/>
      <c r="J49" s="109"/>
      <c r="K49" s="113"/>
      <c r="L49" s="113"/>
      <c r="M49" s="147"/>
      <c r="N49" s="146">
        <f>45%*0.8</f>
        <v>0.36000000000000004</v>
      </c>
      <c r="O49" s="116"/>
      <c r="P49" s="112"/>
      <c r="Q49" s="109"/>
      <c r="R49" s="111"/>
      <c r="S49" s="109"/>
      <c r="T49" s="109"/>
      <c r="U49" s="109"/>
      <c r="V49" s="109"/>
      <c r="W49" s="109"/>
      <c r="X49" s="109"/>
      <c r="Y49" s="110"/>
      <c r="AC49" s="109"/>
      <c r="AD49" s="109"/>
      <c r="AE49" s="109"/>
      <c r="AI49" s="298" t="s">
        <v>874</v>
      </c>
      <c r="AJ49" s="109"/>
      <c r="AK49" s="109"/>
      <c r="AL49" s="109"/>
      <c r="AM49" s="109"/>
      <c r="AN49" s="109"/>
      <c r="AO49" s="109"/>
      <c r="AP49" s="109"/>
    </row>
    <row r="50" spans="5:42" x14ac:dyDescent="0.25">
      <c r="E50" s="109"/>
      <c r="F50" s="109"/>
      <c r="G50" s="109"/>
      <c r="H50" s="109"/>
      <c r="I50" s="109"/>
      <c r="J50" s="109"/>
      <c r="K50" s="113"/>
      <c r="L50" s="147"/>
      <c r="M50" s="120"/>
      <c r="N50" s="146">
        <f>85%*0.8</f>
        <v>0.68</v>
      </c>
      <c r="O50" s="116"/>
      <c r="P50" s="133"/>
      <c r="Q50" s="119"/>
      <c r="R50" s="114"/>
      <c r="S50" s="119"/>
      <c r="T50" s="109"/>
      <c r="V50" s="111"/>
      <c r="W50" s="109"/>
      <c r="X50" s="109"/>
      <c r="AC50" s="109"/>
      <c r="AD50" s="109"/>
      <c r="AE50" s="109"/>
      <c r="AJ50" s="109"/>
      <c r="AK50" s="109"/>
      <c r="AL50" s="109"/>
      <c r="AM50" s="109"/>
      <c r="AN50" s="109"/>
      <c r="AO50" s="109"/>
      <c r="AP50" s="109"/>
    </row>
    <row r="51" spans="5:42" x14ac:dyDescent="0.25">
      <c r="E51" s="109"/>
      <c r="F51" s="109"/>
      <c r="G51" s="109"/>
      <c r="H51" s="109"/>
      <c r="I51" s="114"/>
      <c r="J51" s="119"/>
      <c r="K51" s="133"/>
      <c r="L51" s="118"/>
      <c r="M51" s="118"/>
      <c r="N51" s="143">
        <f>50%*0.8</f>
        <v>0.4</v>
      </c>
      <c r="O51" s="116"/>
      <c r="R51" s="111"/>
      <c r="S51" s="109"/>
      <c r="T51" s="109"/>
      <c r="U51" s="111"/>
      <c r="V51" s="111"/>
      <c r="W51" s="111"/>
      <c r="X51" s="111"/>
      <c r="AC51" s="109"/>
      <c r="AD51" s="111"/>
      <c r="AE51" s="111"/>
      <c r="AF51" s="115"/>
      <c r="AJ51" s="109"/>
      <c r="AK51" s="109"/>
      <c r="AL51" s="109"/>
      <c r="AM51" s="109"/>
      <c r="AN51" s="109"/>
      <c r="AO51" s="109"/>
      <c r="AP51" s="109"/>
    </row>
    <row r="52" spans="5:42" x14ac:dyDescent="0.25">
      <c r="E52" s="109"/>
      <c r="F52" s="109"/>
      <c r="G52" s="109"/>
      <c r="H52" s="109"/>
      <c r="I52" s="109"/>
      <c r="J52" s="109"/>
      <c r="K52" s="113"/>
      <c r="L52" s="112"/>
      <c r="M52" s="112"/>
      <c r="N52" s="142">
        <f>50%*0.8</f>
        <v>0.4</v>
      </c>
      <c r="O52" s="116"/>
      <c r="P52" s="112"/>
      <c r="Q52" s="109"/>
      <c r="R52" s="111"/>
      <c r="S52" s="109"/>
      <c r="T52" s="109"/>
      <c r="U52" s="109"/>
      <c r="V52" s="109"/>
      <c r="W52" s="111"/>
      <c r="X52" s="111"/>
      <c r="AC52" s="109"/>
      <c r="AD52" s="109"/>
      <c r="AE52" s="109"/>
      <c r="AF52" s="115"/>
      <c r="AJ52" s="109"/>
      <c r="AK52" s="109"/>
      <c r="AL52" s="109"/>
      <c r="AM52" s="109"/>
      <c r="AN52" s="109"/>
      <c r="AO52" s="109"/>
      <c r="AP52" s="109"/>
    </row>
    <row r="53" spans="5:42" x14ac:dyDescent="0.25">
      <c r="E53" s="109"/>
      <c r="F53" s="109"/>
      <c r="G53" s="109"/>
      <c r="H53" s="109"/>
      <c r="I53" s="109"/>
      <c r="J53" s="109"/>
      <c r="K53" s="113"/>
      <c r="L53" s="112"/>
      <c r="M53" s="112"/>
      <c r="N53" s="141"/>
      <c r="O53" s="114" t="s">
        <v>466</v>
      </c>
      <c r="P53" s="112"/>
      <c r="Q53" s="109"/>
      <c r="R53" s="111"/>
      <c r="S53" s="109"/>
      <c r="T53" s="111"/>
      <c r="U53" s="111"/>
      <c r="V53" s="111"/>
      <c r="W53" s="111"/>
      <c r="X53" s="111"/>
      <c r="AC53" s="109"/>
      <c r="AD53" s="111"/>
      <c r="AE53" s="111"/>
      <c r="AF53" s="115"/>
      <c r="AJ53" s="109"/>
      <c r="AK53" s="109"/>
      <c r="AL53" s="109"/>
      <c r="AM53" s="109"/>
      <c r="AN53" s="109"/>
      <c r="AO53" s="109"/>
      <c r="AP53" s="109"/>
    </row>
    <row r="54" spans="5:42" x14ac:dyDescent="0.25">
      <c r="E54" s="109"/>
      <c r="F54" s="109"/>
      <c r="G54" s="109"/>
      <c r="H54" s="109"/>
      <c r="I54" s="109"/>
      <c r="J54" s="109"/>
      <c r="K54" s="113"/>
      <c r="L54" s="112"/>
      <c r="M54" s="112"/>
      <c r="N54" s="133"/>
      <c r="O54" s="120"/>
      <c r="P54" s="120"/>
      <c r="Q54" s="117"/>
      <c r="R54" s="111"/>
      <c r="S54" s="109"/>
      <c r="T54" s="109"/>
      <c r="U54" s="109"/>
      <c r="V54" s="109"/>
      <c r="W54" s="109"/>
      <c r="X54" s="109"/>
      <c r="AC54" s="109"/>
      <c r="AD54" s="109"/>
      <c r="AE54" s="109"/>
      <c r="AJ54" s="109"/>
      <c r="AK54" s="109"/>
      <c r="AL54" s="109"/>
      <c r="AM54" s="109"/>
      <c r="AN54" s="109"/>
      <c r="AO54" s="109"/>
      <c r="AP54" s="109"/>
    </row>
    <row r="55" spans="5:42" x14ac:dyDescent="0.25">
      <c r="E55" s="109"/>
      <c r="F55" s="109"/>
      <c r="G55" s="109"/>
      <c r="H55" s="109"/>
      <c r="I55" s="109"/>
      <c r="J55" s="109"/>
      <c r="K55" s="113"/>
      <c r="L55" s="112"/>
      <c r="M55" s="112"/>
      <c r="N55" s="112"/>
      <c r="P55" s="112"/>
      <c r="Q55" s="109"/>
      <c r="R55" s="111"/>
      <c r="S55" s="109"/>
      <c r="T55" s="109"/>
      <c r="U55" s="109"/>
      <c r="V55" s="109"/>
      <c r="W55" s="109"/>
      <c r="X55" s="109"/>
      <c r="AC55" s="109"/>
      <c r="AD55" s="109"/>
      <c r="AE55" s="109"/>
      <c r="AJ55" s="109"/>
      <c r="AK55" s="109"/>
      <c r="AL55" s="109"/>
      <c r="AM55" s="109"/>
      <c r="AN55" s="109"/>
      <c r="AO55" s="109"/>
      <c r="AP55" s="109"/>
    </row>
    <row r="56" spans="5:42" x14ac:dyDescent="0.25">
      <c r="E56" s="109"/>
      <c r="F56" s="109"/>
      <c r="G56" s="109"/>
      <c r="H56" s="109"/>
      <c r="I56" s="109"/>
      <c r="J56" s="109"/>
      <c r="K56" s="113"/>
      <c r="L56" s="112"/>
      <c r="M56" s="112"/>
      <c r="N56" s="112"/>
      <c r="P56" s="112"/>
      <c r="Q56" s="109"/>
      <c r="R56" s="111"/>
      <c r="S56" s="109"/>
      <c r="T56" s="109"/>
      <c r="U56" s="109"/>
      <c r="V56" s="109"/>
      <c r="W56" s="109"/>
      <c r="X56" s="109"/>
      <c r="AC56" s="109"/>
      <c r="AD56" s="109"/>
      <c r="AE56" s="109"/>
      <c r="AJ56" s="109"/>
      <c r="AK56" s="109"/>
      <c r="AL56" s="109"/>
      <c r="AM56" s="109"/>
      <c r="AN56" s="109"/>
      <c r="AO56" s="109"/>
      <c r="AP56" s="109"/>
    </row>
    <row r="57" spans="5:42" x14ac:dyDescent="0.25">
      <c r="E57" s="109"/>
      <c r="F57" s="109"/>
      <c r="G57" s="109"/>
      <c r="H57" s="109"/>
      <c r="I57" s="109"/>
      <c r="J57" s="109"/>
      <c r="K57" s="113"/>
      <c r="L57" s="112"/>
      <c r="M57" s="112"/>
      <c r="N57" s="112"/>
      <c r="P57" s="112"/>
      <c r="Q57" s="109"/>
      <c r="R57" s="111"/>
      <c r="S57" s="109"/>
      <c r="T57" s="109"/>
      <c r="U57" s="109"/>
      <c r="V57" s="109"/>
      <c r="W57" s="109"/>
      <c r="X57" s="109"/>
      <c r="AC57" s="109"/>
      <c r="AD57" s="109"/>
      <c r="AE57" s="109"/>
      <c r="AJ57" s="109"/>
      <c r="AK57" s="109"/>
      <c r="AL57" s="109"/>
      <c r="AM57" s="109"/>
      <c r="AN57" s="109"/>
      <c r="AO57" s="109"/>
      <c r="AP57" s="109"/>
    </row>
    <row r="58" spans="5:42" x14ac:dyDescent="0.25">
      <c r="E58" s="109"/>
      <c r="F58" s="109"/>
      <c r="G58" s="109"/>
      <c r="H58" s="109"/>
      <c r="I58" s="109"/>
      <c r="J58" s="109"/>
      <c r="K58" s="113"/>
      <c r="L58" s="112"/>
      <c r="M58" s="112"/>
      <c r="N58" s="112"/>
      <c r="P58" s="112"/>
      <c r="Q58" s="109"/>
      <c r="R58" s="111"/>
      <c r="S58" s="109"/>
      <c r="T58" s="109"/>
      <c r="U58" s="109"/>
      <c r="V58" s="109"/>
      <c r="W58" s="109"/>
      <c r="X58" s="109"/>
      <c r="Y58" s="110"/>
      <c r="AA58" s="110"/>
      <c r="AB58" s="108"/>
      <c r="AC58" s="109"/>
      <c r="AD58" s="109"/>
      <c r="AE58" s="109"/>
      <c r="AJ58" s="109"/>
      <c r="AK58" s="109"/>
      <c r="AL58" s="109"/>
      <c r="AM58" s="109"/>
      <c r="AN58" s="109"/>
      <c r="AO58" s="109"/>
      <c r="AP58" s="109"/>
    </row>
    <row r="59" spans="5:42" x14ac:dyDescent="0.25">
      <c r="E59" s="109"/>
      <c r="F59" s="109"/>
      <c r="G59" s="109"/>
      <c r="H59" s="109"/>
      <c r="I59" s="109"/>
      <c r="J59" s="109"/>
      <c r="K59" s="113"/>
      <c r="L59" s="112"/>
      <c r="M59" s="112"/>
      <c r="N59" s="112"/>
      <c r="P59" s="112"/>
      <c r="Q59" s="109"/>
      <c r="R59" s="111"/>
      <c r="S59" s="109"/>
      <c r="T59" s="109"/>
      <c r="U59" s="109"/>
      <c r="V59" s="109"/>
      <c r="W59" s="109"/>
      <c r="X59" s="109"/>
      <c r="Y59" s="110"/>
      <c r="AC59" s="109"/>
      <c r="AD59" s="109"/>
      <c r="AE59" s="109"/>
      <c r="AJ59" s="109"/>
      <c r="AK59" s="109"/>
      <c r="AL59" s="109"/>
      <c r="AM59" s="109"/>
      <c r="AN59" s="109"/>
      <c r="AO59" s="109"/>
      <c r="AP59" s="109"/>
    </row>
    <row r="60" spans="5:42" x14ac:dyDescent="0.25">
      <c r="E60" s="109"/>
      <c r="F60" s="109"/>
      <c r="G60" s="109"/>
      <c r="H60" s="109"/>
      <c r="I60" s="109"/>
      <c r="J60" s="109"/>
      <c r="K60" s="133"/>
      <c r="L60" s="118"/>
      <c r="M60" s="118"/>
      <c r="N60" s="119"/>
      <c r="O60" s="139" t="s">
        <v>461</v>
      </c>
      <c r="P60" s="133"/>
      <c r="Q60" s="119"/>
      <c r="R60" s="114"/>
      <c r="S60" s="119"/>
      <c r="T60" s="109"/>
      <c r="U60" s="109"/>
      <c r="V60" s="111"/>
      <c r="W60" s="109"/>
      <c r="X60" s="109"/>
      <c r="Y60" s="110"/>
      <c r="Z60" s="108"/>
      <c r="AA60" s="108"/>
      <c r="AB60" s="108"/>
      <c r="AC60" s="109"/>
      <c r="AD60" s="109"/>
      <c r="AE60" s="109"/>
      <c r="AJ60" s="109"/>
      <c r="AK60" s="109"/>
      <c r="AL60" s="109"/>
      <c r="AM60" s="109"/>
      <c r="AN60" s="109"/>
      <c r="AO60" s="109"/>
      <c r="AP60" s="109"/>
    </row>
    <row r="61" spans="5:42" x14ac:dyDescent="0.25">
      <c r="E61" s="109"/>
      <c r="F61" s="109"/>
      <c r="G61" s="109"/>
      <c r="H61" s="109"/>
      <c r="I61" s="109"/>
      <c r="J61" s="109"/>
      <c r="K61" s="113"/>
      <c r="L61" s="112"/>
      <c r="M61" s="112"/>
      <c r="N61" s="112"/>
      <c r="O61" s="114" t="s">
        <v>460</v>
      </c>
      <c r="P61" s="112"/>
      <c r="Q61" s="109"/>
      <c r="R61" s="111"/>
      <c r="S61" s="109"/>
      <c r="T61" s="109"/>
      <c r="U61" s="109"/>
      <c r="V61" s="109"/>
      <c r="W61" s="109"/>
      <c r="X61" s="109"/>
      <c r="Y61" s="110"/>
      <c r="AC61" s="109"/>
      <c r="AD61" s="109"/>
      <c r="AE61" s="109"/>
      <c r="AJ61" s="109"/>
      <c r="AK61" s="109"/>
      <c r="AL61" s="109"/>
      <c r="AM61" s="109"/>
      <c r="AN61" s="109"/>
      <c r="AO61" s="109"/>
      <c r="AP61" s="109"/>
    </row>
    <row r="62" spans="5:42" x14ac:dyDescent="0.25">
      <c r="E62" s="109"/>
      <c r="F62" s="109"/>
      <c r="G62" s="109"/>
      <c r="H62" s="109"/>
      <c r="I62" s="109"/>
      <c r="J62" s="109"/>
      <c r="K62" s="113"/>
      <c r="L62" s="112"/>
      <c r="M62" s="112"/>
      <c r="N62" s="112"/>
      <c r="P62" s="112"/>
      <c r="Q62" s="109"/>
      <c r="R62" s="111"/>
      <c r="S62" s="109"/>
      <c r="T62" s="109"/>
      <c r="U62" s="109"/>
      <c r="V62" s="114"/>
      <c r="W62" s="119"/>
      <c r="X62" s="119"/>
      <c r="Y62" s="118"/>
      <c r="Z62" s="120"/>
      <c r="AA62" s="120"/>
      <c r="AB62" s="120"/>
      <c r="AC62" s="109"/>
      <c r="AD62" s="109"/>
      <c r="AE62" s="109"/>
      <c r="AJ62" s="109"/>
      <c r="AK62" s="109"/>
      <c r="AL62" s="109"/>
      <c r="AM62" s="109"/>
      <c r="AN62" s="109"/>
      <c r="AO62" s="109"/>
      <c r="AP62" s="109"/>
    </row>
    <row r="63" spans="5:42" x14ac:dyDescent="0.25">
      <c r="E63" s="109"/>
      <c r="F63" s="109"/>
      <c r="G63" s="109"/>
      <c r="H63" s="109"/>
      <c r="I63" s="109"/>
      <c r="J63" s="114"/>
      <c r="K63" s="133"/>
      <c r="L63" s="118"/>
      <c r="M63" s="118"/>
      <c r="N63" s="119"/>
      <c r="O63" s="137" t="s">
        <v>459</v>
      </c>
      <c r="P63" s="133"/>
      <c r="Q63" s="119"/>
      <c r="R63" s="114"/>
      <c r="S63" s="119"/>
      <c r="T63" s="119"/>
      <c r="U63" s="119"/>
      <c r="V63" s="109"/>
      <c r="W63" s="109"/>
      <c r="X63" s="109"/>
      <c r="Y63" s="110"/>
      <c r="AB63" s="140"/>
      <c r="AC63" s="109"/>
      <c r="AD63" s="109"/>
      <c r="AE63" s="109"/>
      <c r="AJ63" s="109"/>
      <c r="AK63" s="109"/>
      <c r="AL63" s="109"/>
      <c r="AM63" s="109"/>
      <c r="AN63" s="109"/>
      <c r="AO63" s="109"/>
      <c r="AP63" s="109"/>
    </row>
    <row r="64" spans="5:42" x14ac:dyDescent="0.25">
      <c r="E64" s="109"/>
      <c r="F64" s="109"/>
      <c r="G64" s="109"/>
      <c r="H64" s="109"/>
      <c r="I64" s="109"/>
      <c r="J64" s="109"/>
      <c r="K64" s="113"/>
      <c r="L64" s="112"/>
      <c r="M64" s="112"/>
      <c r="N64" s="112"/>
      <c r="O64" s="114" t="s">
        <v>458</v>
      </c>
      <c r="P64" s="112"/>
      <c r="Q64" s="109"/>
      <c r="R64" s="111"/>
      <c r="S64" s="109"/>
      <c r="T64" s="109"/>
      <c r="U64" s="114"/>
      <c r="V64" s="119"/>
      <c r="W64" s="119"/>
      <c r="X64" s="119"/>
      <c r="Y64" s="118"/>
      <c r="Z64" s="117"/>
      <c r="AA64" s="139" t="s">
        <v>457</v>
      </c>
      <c r="AB64" s="138"/>
      <c r="AC64" s="109"/>
      <c r="AD64" s="109"/>
      <c r="AE64" s="109"/>
      <c r="AJ64" s="109"/>
      <c r="AK64" s="109"/>
      <c r="AL64" s="109"/>
      <c r="AM64" s="109"/>
      <c r="AN64" s="109"/>
      <c r="AO64" s="109"/>
      <c r="AP64" s="109"/>
    </row>
    <row r="65" spans="5:42" x14ac:dyDescent="0.25">
      <c r="E65" s="109"/>
      <c r="F65" s="109"/>
      <c r="G65" s="109"/>
      <c r="H65" s="109"/>
      <c r="I65" s="109"/>
      <c r="J65" s="109"/>
      <c r="K65" s="113"/>
      <c r="L65" s="112"/>
      <c r="M65" s="112"/>
      <c r="N65" s="112"/>
      <c r="P65" s="112"/>
      <c r="Q65" s="109"/>
      <c r="R65" s="111"/>
      <c r="S65" s="109"/>
      <c r="T65" s="109"/>
      <c r="U65" s="109"/>
      <c r="V65" s="109"/>
      <c r="W65" s="109"/>
      <c r="X65" s="109"/>
      <c r="Y65" s="110"/>
      <c r="AA65" s="114" t="str">
        <f>"X"&amp;$T$2&amp;"EXP"</f>
        <v>XISIELCEXP</v>
      </c>
      <c r="AB65" s="113"/>
      <c r="AC65" s="109"/>
      <c r="AD65" s="109"/>
      <c r="AE65" s="109"/>
      <c r="AJ65" s="109"/>
      <c r="AK65" s="109"/>
      <c r="AL65" s="109"/>
      <c r="AM65" s="109"/>
      <c r="AN65" s="109"/>
      <c r="AO65" s="109"/>
      <c r="AP65" s="109"/>
    </row>
    <row r="66" spans="5:42" x14ac:dyDescent="0.25">
      <c r="E66" s="109"/>
      <c r="F66" s="109"/>
      <c r="G66" s="109"/>
      <c r="H66" s="109"/>
      <c r="I66" s="109"/>
      <c r="J66" s="109"/>
      <c r="K66" s="113"/>
      <c r="L66" s="112"/>
      <c r="M66" s="112"/>
      <c r="N66" s="112"/>
      <c r="O66" s="137" t="s">
        <v>456</v>
      </c>
      <c r="P66" s="133"/>
      <c r="Q66" s="119"/>
      <c r="R66" s="114"/>
      <c r="S66" s="119"/>
      <c r="T66" s="119"/>
      <c r="U66" s="119"/>
      <c r="V66" s="109"/>
      <c r="W66" s="109"/>
      <c r="X66" s="109"/>
      <c r="Y66" s="110"/>
      <c r="AC66" s="109"/>
      <c r="AD66" s="109"/>
      <c r="AE66" s="109"/>
      <c r="AJ66" s="109"/>
      <c r="AK66" s="109"/>
      <c r="AL66" s="109"/>
      <c r="AM66" s="109"/>
      <c r="AN66" s="109"/>
      <c r="AO66" s="109"/>
      <c r="AP66" s="109"/>
    </row>
    <row r="67" spans="5:42" x14ac:dyDescent="0.25">
      <c r="E67" s="109"/>
      <c r="F67" s="109"/>
      <c r="G67" s="109"/>
      <c r="H67" s="109"/>
      <c r="I67" s="109"/>
      <c r="J67" s="109"/>
      <c r="K67" s="113"/>
      <c r="L67" s="112"/>
      <c r="M67" s="112"/>
      <c r="N67" s="112"/>
      <c r="O67" s="114" t="s">
        <v>455</v>
      </c>
      <c r="P67" s="112"/>
      <c r="Q67" s="109"/>
      <c r="R67" s="111"/>
      <c r="S67" s="109"/>
      <c r="T67" s="109"/>
      <c r="U67" s="109"/>
      <c r="V67" s="109"/>
      <c r="W67" s="109"/>
      <c r="X67" s="109"/>
      <c r="Y67" s="110"/>
      <c r="AC67" s="109"/>
      <c r="AD67" s="109"/>
      <c r="AE67" s="109"/>
      <c r="AF67" s="120"/>
      <c r="AG67" s="120"/>
      <c r="AH67" s="117"/>
      <c r="AI67" s="139" t="s">
        <v>464</v>
      </c>
      <c r="AJ67" s="119"/>
      <c r="AK67" s="119"/>
      <c r="AL67" s="119"/>
      <c r="AM67" s="119"/>
      <c r="AN67" s="119"/>
      <c r="AO67" s="119"/>
      <c r="AP67" s="119"/>
    </row>
    <row r="68" spans="5:42" x14ac:dyDescent="0.25">
      <c r="E68" s="109"/>
      <c r="F68" s="109"/>
      <c r="G68" s="109"/>
      <c r="H68" s="109"/>
      <c r="I68" s="109"/>
      <c r="J68" s="109"/>
      <c r="K68" s="113"/>
      <c r="L68" s="112"/>
      <c r="M68" s="112"/>
      <c r="N68" s="112"/>
      <c r="P68" s="112"/>
      <c r="Q68" s="109"/>
      <c r="R68" s="111"/>
      <c r="S68" s="109"/>
      <c r="T68" s="109"/>
      <c r="U68" s="109"/>
      <c r="V68" s="109"/>
      <c r="W68" s="109"/>
      <c r="X68" s="109"/>
      <c r="Y68" s="110"/>
      <c r="AC68" s="109"/>
      <c r="AD68" s="109"/>
      <c r="AE68" s="109"/>
      <c r="AI68" s="114" t="s">
        <v>462</v>
      </c>
      <c r="AJ68" s="109"/>
      <c r="AK68" s="109"/>
      <c r="AL68" s="109"/>
      <c r="AM68" s="109"/>
      <c r="AN68" s="109"/>
      <c r="AO68" s="109"/>
      <c r="AP68" s="109"/>
    </row>
    <row r="69" spans="5:42" x14ac:dyDescent="0.25">
      <c r="E69" s="109"/>
      <c r="F69" s="109"/>
      <c r="G69" s="109"/>
      <c r="H69" s="109"/>
      <c r="I69" s="109"/>
      <c r="J69" s="109"/>
      <c r="K69" s="113"/>
      <c r="L69" s="112"/>
      <c r="M69" s="112"/>
      <c r="N69" s="112"/>
      <c r="O69" s="137" t="s">
        <v>454</v>
      </c>
      <c r="P69" s="133"/>
      <c r="Q69" s="119"/>
      <c r="R69" s="114"/>
      <c r="S69" s="119"/>
      <c r="T69" s="119"/>
      <c r="U69" s="119"/>
      <c r="V69" s="109"/>
      <c r="W69" s="109"/>
      <c r="X69" s="109"/>
      <c r="Y69" s="110"/>
      <c r="AC69" s="109"/>
      <c r="AD69" s="109"/>
      <c r="AE69" s="109"/>
      <c r="AJ69" s="109"/>
      <c r="AK69" s="109"/>
      <c r="AL69" s="109"/>
      <c r="AM69" s="109"/>
      <c r="AN69" s="109"/>
      <c r="AO69" s="109"/>
      <c r="AP69" s="109"/>
    </row>
    <row r="70" spans="5:42" x14ac:dyDescent="0.25">
      <c r="E70" s="109"/>
      <c r="F70" s="109"/>
      <c r="G70" s="109"/>
      <c r="H70" s="109"/>
      <c r="I70" s="109"/>
      <c r="J70" s="109"/>
      <c r="K70" s="113"/>
      <c r="L70" s="112"/>
      <c r="M70" s="112"/>
      <c r="N70" s="112"/>
      <c r="O70" s="114" t="s">
        <v>453</v>
      </c>
      <c r="P70" s="112"/>
      <c r="Q70" s="109"/>
      <c r="R70" s="111"/>
      <c r="S70" s="109"/>
      <c r="T70" s="109"/>
      <c r="U70" s="109"/>
      <c r="V70" s="114"/>
      <c r="W70" s="119"/>
      <c r="X70" s="119"/>
      <c r="Y70" s="118"/>
      <c r="Z70" s="117"/>
      <c r="AA70" s="136" t="s">
        <v>452</v>
      </c>
      <c r="AB70" s="135"/>
      <c r="AC70" s="119"/>
      <c r="AD70" s="119"/>
      <c r="AE70" s="119"/>
      <c r="AJ70" s="109"/>
      <c r="AK70" s="109"/>
      <c r="AL70" s="109"/>
      <c r="AM70" s="109"/>
      <c r="AN70" s="109"/>
      <c r="AO70" s="109"/>
      <c r="AP70" s="109"/>
    </row>
    <row r="71" spans="5:42" x14ac:dyDescent="0.25">
      <c r="E71" s="109"/>
      <c r="F71" s="109"/>
      <c r="G71" s="109"/>
      <c r="H71" s="109"/>
      <c r="I71" s="109"/>
      <c r="J71" s="109"/>
      <c r="K71" s="113"/>
      <c r="L71" s="112"/>
      <c r="M71" s="112"/>
      <c r="N71" s="112"/>
      <c r="P71" s="112"/>
      <c r="Q71" s="109"/>
      <c r="R71" s="111"/>
      <c r="S71" s="109"/>
      <c r="T71" s="109"/>
      <c r="U71" s="109"/>
      <c r="V71" s="109"/>
      <c r="W71" s="109"/>
      <c r="X71" s="109"/>
      <c r="Y71" s="110"/>
      <c r="AA71" s="114" t="s">
        <v>451</v>
      </c>
      <c r="AB71" s="113"/>
      <c r="AC71" s="109"/>
      <c r="AD71" s="109"/>
      <c r="AE71" s="109"/>
      <c r="AJ71" s="109"/>
      <c r="AK71" s="109"/>
      <c r="AL71" s="109"/>
      <c r="AM71" s="109"/>
      <c r="AN71" s="109"/>
      <c r="AO71" s="109"/>
      <c r="AP71" s="109"/>
    </row>
    <row r="72" spans="5:42" x14ac:dyDescent="0.25">
      <c r="E72" s="109"/>
      <c r="F72" s="109"/>
      <c r="G72" s="109"/>
      <c r="H72" s="109"/>
      <c r="I72" s="109"/>
      <c r="J72" s="109"/>
      <c r="K72" s="113"/>
      <c r="L72" s="112"/>
      <c r="M72" s="112"/>
      <c r="N72" s="119"/>
      <c r="O72" s="134" t="s">
        <v>450</v>
      </c>
      <c r="P72" s="133"/>
      <c r="Q72" s="119"/>
      <c r="R72" s="114"/>
      <c r="S72" s="119"/>
      <c r="T72" s="119"/>
      <c r="U72" s="119"/>
      <c r="V72" s="109"/>
      <c r="W72" s="109"/>
      <c r="X72" s="109"/>
      <c r="Y72" s="110"/>
      <c r="AC72" s="109"/>
      <c r="AD72" s="109"/>
      <c r="AE72" s="109"/>
      <c r="AJ72" s="109"/>
      <c r="AK72" s="109"/>
      <c r="AL72" s="109"/>
      <c r="AM72" s="109"/>
      <c r="AN72" s="109"/>
      <c r="AO72" s="109"/>
      <c r="AP72" s="109"/>
    </row>
    <row r="73" spans="5:42" x14ac:dyDescent="0.25">
      <c r="E73" s="109"/>
      <c r="F73" s="109"/>
      <c r="G73" s="109"/>
      <c r="H73" s="109"/>
      <c r="I73" s="109"/>
      <c r="J73" s="109"/>
      <c r="K73" s="113"/>
      <c r="L73" s="112"/>
      <c r="M73" s="112"/>
      <c r="N73" s="113"/>
      <c r="O73" s="114" t="s">
        <v>449</v>
      </c>
      <c r="P73" s="112"/>
      <c r="Q73" s="109"/>
      <c r="R73" s="111"/>
      <c r="S73" s="109"/>
      <c r="T73" s="109"/>
      <c r="U73" s="109"/>
      <c r="V73" s="109"/>
      <c r="W73" s="109"/>
      <c r="X73" s="109"/>
      <c r="Y73" s="110"/>
      <c r="AC73" s="109"/>
      <c r="AD73" s="109"/>
      <c r="AE73" s="109"/>
      <c r="AJ73" s="109"/>
      <c r="AK73" s="109"/>
      <c r="AL73" s="109"/>
      <c r="AM73" s="109"/>
      <c r="AN73" s="109"/>
      <c r="AO73" s="109"/>
      <c r="AP73" s="109"/>
    </row>
    <row r="74" spans="5:42" x14ac:dyDescent="0.25">
      <c r="E74" s="109"/>
      <c r="F74" s="109"/>
      <c r="G74" s="109"/>
      <c r="H74" s="109"/>
      <c r="I74" s="109"/>
      <c r="J74" s="109"/>
      <c r="K74" s="113"/>
      <c r="L74" s="112"/>
      <c r="M74" s="112"/>
      <c r="N74" s="133"/>
      <c r="O74" s="120"/>
      <c r="P74" s="118"/>
      <c r="Q74" s="119"/>
      <c r="R74" s="114"/>
      <c r="S74" s="119"/>
      <c r="T74" s="119"/>
      <c r="U74" s="119"/>
      <c r="V74" s="109"/>
      <c r="W74" s="109"/>
      <c r="X74" s="109"/>
      <c r="Y74" s="110"/>
      <c r="AC74" s="109"/>
      <c r="AD74" s="109"/>
      <c r="AE74" s="109"/>
      <c r="AJ74" s="109"/>
      <c r="AK74" s="109"/>
      <c r="AL74" s="109"/>
      <c r="AM74" s="109"/>
      <c r="AN74" s="109"/>
      <c r="AO74" s="109"/>
      <c r="AP74" s="109"/>
    </row>
    <row r="75" spans="5:42" x14ac:dyDescent="0.25">
      <c r="E75" s="109"/>
      <c r="F75" s="109"/>
      <c r="G75" s="109"/>
      <c r="H75" s="109"/>
      <c r="I75" s="109"/>
      <c r="J75" s="109"/>
      <c r="K75" s="113"/>
      <c r="L75" s="112"/>
      <c r="M75" s="112"/>
      <c r="O75" s="108"/>
      <c r="P75" s="110"/>
      <c r="Q75" s="109"/>
      <c r="R75" s="111"/>
      <c r="S75" s="109"/>
      <c r="T75" s="109"/>
      <c r="U75" s="109"/>
      <c r="V75" s="109"/>
      <c r="W75" s="109"/>
      <c r="X75" s="109"/>
      <c r="Y75" s="110"/>
      <c r="AC75" s="109"/>
      <c r="AD75" s="109"/>
      <c r="AE75" s="109"/>
      <c r="AJ75" s="109"/>
      <c r="AK75" s="109"/>
      <c r="AL75" s="109"/>
      <c r="AM75" s="109"/>
      <c r="AN75" s="109"/>
      <c r="AO75" s="109"/>
      <c r="AP75" s="109"/>
    </row>
    <row r="76" spans="5:42" x14ac:dyDescent="0.25">
      <c r="E76" s="109"/>
      <c r="F76" s="109"/>
      <c r="G76" s="109"/>
      <c r="H76" s="109"/>
      <c r="I76" s="109"/>
      <c r="J76" s="109"/>
      <c r="K76" s="113"/>
      <c r="L76" s="112"/>
      <c r="M76" s="112"/>
      <c r="O76" s="108"/>
      <c r="P76" s="110"/>
      <c r="Q76" s="109"/>
      <c r="R76" s="111"/>
      <c r="S76" s="109"/>
      <c r="T76" s="109"/>
      <c r="U76" s="109"/>
      <c r="V76" s="109"/>
      <c r="W76" s="109"/>
      <c r="X76" s="109"/>
      <c r="Y76" s="110"/>
      <c r="AC76" s="109"/>
      <c r="AD76" s="109"/>
      <c r="AE76" s="109"/>
      <c r="AJ76" s="109"/>
      <c r="AK76" s="109"/>
      <c r="AL76" s="109"/>
      <c r="AM76" s="109"/>
      <c r="AN76" s="109"/>
      <c r="AO76" s="109"/>
      <c r="AP76" s="109"/>
    </row>
    <row r="77" spans="5:42" x14ac:dyDescent="0.25">
      <c r="E77" s="109"/>
      <c r="F77" s="109"/>
      <c r="G77" s="109"/>
      <c r="H77" s="109"/>
      <c r="I77" s="109"/>
      <c r="J77" s="109"/>
      <c r="K77" s="113"/>
      <c r="L77" s="112"/>
      <c r="M77" s="112"/>
      <c r="O77" s="108"/>
      <c r="P77" s="110"/>
      <c r="Q77" s="109"/>
      <c r="R77" s="111"/>
      <c r="S77" s="109"/>
      <c r="T77" s="109"/>
      <c r="U77" s="109"/>
      <c r="V77" s="109"/>
      <c r="W77" s="109"/>
      <c r="X77" s="109"/>
      <c r="Y77" s="110"/>
      <c r="AC77" s="109"/>
      <c r="AD77" s="109"/>
      <c r="AE77" s="109"/>
      <c r="AJ77" s="109"/>
      <c r="AK77" s="109"/>
      <c r="AL77" s="111"/>
      <c r="AM77" s="109"/>
      <c r="AN77" s="111"/>
      <c r="AO77" s="111"/>
      <c r="AP77" s="111"/>
    </row>
    <row r="78" spans="5:42" x14ac:dyDescent="0.25">
      <c r="E78" s="109"/>
      <c r="F78" s="109"/>
      <c r="G78" s="109"/>
      <c r="H78" s="109"/>
      <c r="I78" s="109"/>
      <c r="J78" s="109"/>
      <c r="K78" s="113"/>
      <c r="L78" s="112"/>
      <c r="M78" s="112"/>
      <c r="O78" s="108"/>
      <c r="P78" s="110"/>
      <c r="Q78" s="109"/>
      <c r="R78" s="111"/>
      <c r="S78" s="109"/>
      <c r="T78" s="109"/>
      <c r="U78" s="109"/>
      <c r="V78" s="109"/>
      <c r="W78" s="109"/>
      <c r="X78" s="109"/>
      <c r="Y78" s="132"/>
      <c r="Z78" s="131"/>
      <c r="AA78" s="131"/>
      <c r="AB78" s="131"/>
      <c r="AC78" s="130"/>
      <c r="AD78" s="130"/>
      <c r="AE78" s="130"/>
      <c r="AF78" s="129"/>
      <c r="AJ78" s="109"/>
      <c r="AK78" s="109"/>
      <c r="AL78" s="109"/>
      <c r="AM78" s="109"/>
      <c r="AN78" s="109"/>
      <c r="AO78" s="109"/>
      <c r="AP78" s="109"/>
    </row>
    <row r="79" spans="5:42" x14ac:dyDescent="0.25">
      <c r="E79" s="109"/>
      <c r="F79" s="109"/>
      <c r="G79" s="109"/>
      <c r="H79" s="109"/>
      <c r="I79" s="109"/>
      <c r="J79" s="109"/>
      <c r="K79" s="113"/>
      <c r="L79" s="112"/>
      <c r="M79" s="112"/>
      <c r="O79" s="108"/>
      <c r="P79" s="110"/>
      <c r="Q79" s="109"/>
      <c r="R79" s="111"/>
      <c r="S79" s="109"/>
      <c r="T79" s="109"/>
      <c r="U79" s="109"/>
      <c r="V79" s="114"/>
      <c r="W79" s="119"/>
      <c r="X79" s="119"/>
      <c r="Y79" s="118"/>
      <c r="Z79" s="117"/>
      <c r="AA79" s="128" t="s">
        <v>448</v>
      </c>
      <c r="AB79" s="127"/>
      <c r="AC79" s="119"/>
      <c r="AD79" s="114"/>
      <c r="AE79" s="114"/>
      <c r="AF79" s="116"/>
      <c r="AI79" s="108"/>
      <c r="AJ79" s="109"/>
      <c r="AK79" s="109"/>
      <c r="AL79" s="111"/>
      <c r="AM79" s="109"/>
      <c r="AN79" s="111"/>
      <c r="AO79" s="111"/>
      <c r="AP79" s="111"/>
    </row>
    <row r="80" spans="5:42" x14ac:dyDescent="0.25">
      <c r="E80" s="109"/>
      <c r="F80" s="109"/>
      <c r="G80" s="109"/>
      <c r="H80" s="109"/>
      <c r="I80" s="109"/>
      <c r="J80" s="109"/>
      <c r="K80" s="113"/>
      <c r="L80" s="112"/>
      <c r="M80" s="112"/>
      <c r="O80" s="108"/>
      <c r="P80" s="110"/>
      <c r="Q80" s="109"/>
      <c r="R80" s="111"/>
      <c r="S80" s="109"/>
      <c r="T80" s="109"/>
      <c r="U80" s="109"/>
      <c r="V80" s="109"/>
      <c r="W80" s="126"/>
      <c r="X80" s="126"/>
      <c r="Y80" s="125"/>
      <c r="Z80" s="124"/>
      <c r="AA80" s="123"/>
      <c r="AB80" s="122"/>
      <c r="AC80" s="119"/>
      <c r="AD80" s="119"/>
      <c r="AE80" s="119"/>
      <c r="AF80" s="121"/>
      <c r="AI80" s="72" t="s">
        <v>447</v>
      </c>
      <c r="AJ80" s="111"/>
      <c r="AK80" s="111"/>
      <c r="AL80" s="111"/>
      <c r="AM80" s="111"/>
      <c r="AN80" s="111"/>
      <c r="AO80" s="111"/>
      <c r="AP80" s="111"/>
    </row>
    <row r="81" spans="5:42" x14ac:dyDescent="0.25">
      <c r="E81" s="109"/>
      <c r="F81" s="109"/>
      <c r="G81" s="109"/>
      <c r="H81" s="109"/>
      <c r="I81" s="109"/>
      <c r="J81" s="109"/>
      <c r="K81" s="113"/>
      <c r="L81" s="112"/>
      <c r="M81" s="112"/>
      <c r="O81" s="108"/>
      <c r="P81" s="110"/>
      <c r="Q81" s="109"/>
      <c r="R81" s="111"/>
      <c r="S81" s="114"/>
      <c r="T81" s="119"/>
      <c r="U81" s="119"/>
      <c r="V81" s="119"/>
      <c r="W81" s="119"/>
      <c r="X81" s="119"/>
      <c r="Y81" s="118"/>
      <c r="Z81" s="117"/>
      <c r="AA81" s="116"/>
      <c r="AB81" s="115"/>
      <c r="AC81" s="109"/>
      <c r="AD81" s="109"/>
      <c r="AE81" s="109"/>
      <c r="AI81" s="72" t="s">
        <v>446</v>
      </c>
      <c r="AJ81" s="109"/>
      <c r="AK81" s="109"/>
      <c r="AL81" s="109"/>
      <c r="AM81" s="109"/>
      <c r="AN81" s="109"/>
      <c r="AO81" s="109"/>
      <c r="AP81" s="109"/>
    </row>
    <row r="82" spans="5:42" x14ac:dyDescent="0.25">
      <c r="E82" s="109"/>
      <c r="F82" s="109"/>
      <c r="G82" s="109"/>
      <c r="H82" s="109"/>
      <c r="I82" s="109"/>
      <c r="J82" s="109"/>
      <c r="K82" s="113"/>
      <c r="L82" s="112"/>
      <c r="M82" s="112"/>
      <c r="O82" s="108"/>
      <c r="P82" s="110"/>
      <c r="Q82" s="109"/>
      <c r="R82" s="114"/>
      <c r="S82" s="119"/>
      <c r="T82" s="119"/>
      <c r="U82" s="119"/>
      <c r="V82" s="119"/>
      <c r="W82" s="119"/>
      <c r="X82" s="119"/>
      <c r="Y82" s="118"/>
      <c r="Z82" s="117"/>
      <c r="AA82" s="116"/>
      <c r="AB82" s="115"/>
      <c r="AC82" s="109"/>
      <c r="AD82" s="109"/>
      <c r="AE82" s="109"/>
      <c r="AI82" s="72" t="s">
        <v>445</v>
      </c>
      <c r="AJ82" s="109"/>
      <c r="AK82" s="109"/>
      <c r="AL82" s="109"/>
      <c r="AM82" s="109"/>
      <c r="AN82" s="109"/>
      <c r="AO82" s="109"/>
      <c r="AP82" s="109"/>
    </row>
    <row r="83" spans="5:42" x14ac:dyDescent="0.25">
      <c r="E83" s="109"/>
      <c r="F83" s="109"/>
      <c r="G83" s="109"/>
      <c r="H83" s="114"/>
      <c r="I83" s="114"/>
      <c r="J83" s="119"/>
      <c r="K83" s="133"/>
      <c r="L83" s="118"/>
      <c r="M83" s="118"/>
      <c r="N83" s="120"/>
      <c r="O83" s="120"/>
      <c r="P83" s="118"/>
      <c r="Q83" s="119"/>
      <c r="R83" s="114"/>
      <c r="S83" s="119"/>
      <c r="T83" s="119"/>
      <c r="U83" s="119"/>
      <c r="V83" s="119"/>
      <c r="W83" s="119"/>
      <c r="X83" s="119"/>
      <c r="Y83" s="118"/>
      <c r="Z83" s="117"/>
      <c r="AA83" s="116"/>
      <c r="AB83" s="115"/>
      <c r="AC83" s="109"/>
      <c r="AD83" s="109"/>
      <c r="AE83" s="109"/>
      <c r="AJ83" s="109"/>
      <c r="AK83" s="109"/>
      <c r="AL83" s="109"/>
      <c r="AM83" s="109"/>
      <c r="AN83" s="109"/>
      <c r="AO83" s="109"/>
      <c r="AP83" s="109"/>
    </row>
    <row r="84" spans="5:42" x14ac:dyDescent="0.25">
      <c r="E84" s="109"/>
      <c r="F84" s="109"/>
      <c r="G84" s="109"/>
      <c r="H84" s="109"/>
      <c r="I84" s="109"/>
      <c r="J84" s="109"/>
      <c r="K84" s="113"/>
      <c r="L84" s="112"/>
      <c r="M84" s="112"/>
      <c r="O84" s="108"/>
      <c r="P84" s="110"/>
      <c r="Q84" s="109"/>
      <c r="R84" s="111"/>
      <c r="S84" s="109"/>
      <c r="T84" s="109"/>
      <c r="U84" s="109"/>
      <c r="V84" s="109"/>
      <c r="W84" s="109"/>
      <c r="X84" s="109"/>
      <c r="Y84" s="110"/>
      <c r="AA84" s="114" t="s">
        <v>444</v>
      </c>
      <c r="AB84" s="113"/>
      <c r="AC84" s="109"/>
      <c r="AD84" s="109"/>
      <c r="AE84" s="109"/>
      <c r="AJ84" s="109"/>
      <c r="AK84" s="109"/>
      <c r="AL84" s="109"/>
      <c r="AM84" s="109"/>
      <c r="AN84" s="109"/>
      <c r="AO84" s="109"/>
      <c r="AP84" s="109"/>
    </row>
    <row r="85" spans="5:42" x14ac:dyDescent="0.25">
      <c r="E85" s="109"/>
      <c r="F85" s="109"/>
      <c r="G85" s="109"/>
      <c r="H85" s="109"/>
      <c r="I85" s="109"/>
      <c r="J85" s="109"/>
      <c r="K85" s="113"/>
      <c r="L85" s="112"/>
      <c r="M85" s="112"/>
      <c r="O85" s="108"/>
      <c r="P85" s="110"/>
      <c r="Q85" s="109"/>
      <c r="R85" s="111"/>
      <c r="S85" s="109"/>
      <c r="T85" s="109"/>
      <c r="U85" s="109"/>
      <c r="V85" s="109"/>
      <c r="W85" s="109"/>
      <c r="X85" s="109"/>
      <c r="Y85" s="110"/>
      <c r="AC85" s="109"/>
      <c r="AD85" s="109"/>
      <c r="AE85" s="109"/>
      <c r="AJ85" s="109"/>
      <c r="AK85" s="109"/>
      <c r="AL85" s="109"/>
      <c r="AM85" s="109"/>
      <c r="AN85" s="109"/>
      <c r="AO85" s="109"/>
      <c r="AP85" s="109"/>
    </row>
    <row r="86" spans="5:42" x14ac:dyDescent="0.25">
      <c r="E86" s="109"/>
      <c r="F86" s="109"/>
      <c r="G86" s="109"/>
      <c r="H86" s="109"/>
      <c r="I86" s="109"/>
      <c r="J86" s="109"/>
      <c r="K86" s="113"/>
      <c r="L86" s="112"/>
      <c r="M86" s="112"/>
      <c r="O86" s="108"/>
      <c r="P86" s="110"/>
      <c r="Q86" s="109"/>
      <c r="R86" s="111"/>
      <c r="S86" s="109"/>
      <c r="T86" s="109"/>
      <c r="U86" s="109"/>
      <c r="V86" s="109"/>
      <c r="W86" s="109"/>
      <c r="X86" s="109"/>
      <c r="Y86" s="110"/>
      <c r="AC86" s="109"/>
      <c r="AD86" s="109"/>
      <c r="AE86" s="109"/>
      <c r="AJ86" s="109"/>
      <c r="AK86" s="109"/>
      <c r="AL86" s="109"/>
      <c r="AM86" s="109"/>
      <c r="AN86" s="109"/>
      <c r="AO86" s="109"/>
      <c r="AP86" s="109"/>
    </row>
    <row r="87" spans="5:42" x14ac:dyDescent="0.25">
      <c r="Y87" s="108"/>
    </row>
    <row r="88" spans="5:42" x14ac:dyDescent="0.25">
      <c r="Y88" s="108"/>
    </row>
    <row r="89" spans="5:42" x14ac:dyDescent="0.25">
      <c r="Y89" s="108"/>
    </row>
    <row r="90" spans="5:42" x14ac:dyDescent="0.25">
      <c r="Y90" s="108"/>
    </row>
    <row r="91" spans="5:42" x14ac:dyDescent="0.25">
      <c r="Y91" s="108"/>
    </row>
    <row r="92" spans="5:42" x14ac:dyDescent="0.25">
      <c r="Y92" s="108"/>
    </row>
    <row r="93" spans="5:42" x14ac:dyDescent="0.25">
      <c r="Y93" s="108"/>
    </row>
    <row r="94" spans="5:42" x14ac:dyDescent="0.25">
      <c r="Y94" s="108"/>
    </row>
    <row r="95" spans="5:42" x14ac:dyDescent="0.25">
      <c r="Y95" s="108"/>
    </row>
    <row r="96" spans="5:42" x14ac:dyDescent="0.25">
      <c r="Y96" s="108"/>
    </row>
    <row r="97" spans="25:25" x14ac:dyDescent="0.25">
      <c r="Y97" s="108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8">
    <tabColor theme="9"/>
  </sheetPr>
  <dimension ref="A1:AH69"/>
  <sheetViews>
    <sheetView zoomScaleNormal="100" workbookViewId="0">
      <selection activeCell="K21" sqref="K21"/>
    </sheetView>
  </sheetViews>
  <sheetFormatPr defaultColWidth="8.85546875" defaultRowHeight="12.75" x14ac:dyDescent="0.2"/>
  <cols>
    <col min="1" max="1" width="18.7109375" customWidth="1"/>
    <col min="2" max="2" width="22" customWidth="1"/>
    <col min="3" max="3" width="10.5703125" customWidth="1"/>
    <col min="4" max="4" width="20.7109375" customWidth="1"/>
    <col min="5" max="5" width="4.7109375" customWidth="1"/>
    <col min="6" max="6" width="9.140625" customWidth="1"/>
    <col min="7" max="7" width="12" customWidth="1"/>
    <col min="8" max="8" width="11.42578125" style="211" customWidth="1"/>
    <col min="9" max="9" width="23.7109375" customWidth="1"/>
    <col min="10" max="10" width="5.42578125" customWidth="1"/>
    <col min="11" max="16" width="9.140625" customWidth="1"/>
    <col min="17" max="17" width="22.140625" customWidth="1"/>
    <col min="18" max="22" width="9.140625" customWidth="1"/>
    <col min="23" max="23" width="40" customWidth="1"/>
    <col min="24" max="24" width="9.140625" customWidth="1"/>
    <col min="25" max="26" width="12" bestFit="1" customWidth="1"/>
    <col min="27" max="31" width="8.85546875" customWidth="1"/>
    <col min="32" max="32" width="12" bestFit="1" customWidth="1"/>
    <col min="33" max="33" width="8.85546875" customWidth="1"/>
    <col min="34" max="36" width="12" bestFit="1" customWidth="1"/>
    <col min="37" max="40" width="0" hidden="1" customWidth="1"/>
    <col min="41" max="44" width="12" bestFit="1" customWidth="1"/>
    <col min="45" max="45" width="11.85546875" customWidth="1"/>
    <col min="46" max="46" width="12" bestFit="1" customWidth="1"/>
    <col min="47" max="47" width="16" customWidth="1"/>
    <col min="48" max="49" width="14.28515625" customWidth="1"/>
  </cols>
  <sheetData>
    <row r="1" spans="1:34" ht="17.25" x14ac:dyDescent="0.3">
      <c r="A1" s="223" t="s">
        <v>639</v>
      </c>
      <c r="B1" s="223"/>
      <c r="Q1" t="s">
        <v>933</v>
      </c>
      <c r="AH1" s="203" t="s">
        <v>643</v>
      </c>
    </row>
    <row r="2" spans="1:34" ht="16.5" thickBot="1" x14ac:dyDescent="0.3">
      <c r="A2" s="224"/>
      <c r="B2" s="216"/>
      <c r="D2" s="301" t="s">
        <v>634</v>
      </c>
      <c r="E2" s="216"/>
      <c r="F2" s="216"/>
      <c r="G2" s="217"/>
      <c r="I2" s="301" t="s">
        <v>636</v>
      </c>
      <c r="J2" s="216"/>
      <c r="K2" s="216"/>
      <c r="L2" s="217"/>
      <c r="Q2" s="321" t="s">
        <v>946</v>
      </c>
    </row>
    <row r="3" spans="1:34" x14ac:dyDescent="0.2">
      <c r="A3" s="225" t="s">
        <v>660</v>
      </c>
      <c r="B3" s="226" t="s">
        <v>612</v>
      </c>
      <c r="C3" s="225" t="s">
        <v>661</v>
      </c>
      <c r="D3" s="226" t="s">
        <v>635</v>
      </c>
      <c r="E3" s="226" t="s">
        <v>637</v>
      </c>
      <c r="F3" s="226" t="s">
        <v>638</v>
      </c>
      <c r="G3" s="227" t="s">
        <v>897</v>
      </c>
      <c r="H3" s="225" t="s">
        <v>661</v>
      </c>
      <c r="I3" s="226" t="s">
        <v>635</v>
      </c>
      <c r="J3" s="226" t="s">
        <v>637</v>
      </c>
      <c r="K3" s="226" t="s">
        <v>638</v>
      </c>
      <c r="L3" s="227" t="s">
        <v>897</v>
      </c>
      <c r="M3" t="s">
        <v>658</v>
      </c>
      <c r="Q3" s="329">
        <v>7.6300000000000007E-2</v>
      </c>
    </row>
    <row r="4" spans="1:34" ht="13.5" thickBot="1" x14ac:dyDescent="0.25">
      <c r="A4" s="224" t="str">
        <f>RES!E2</f>
        <v>INDCOA</v>
      </c>
      <c r="B4" s="216" t="str">
        <f>RES!E3</f>
        <v>Industry Coal</v>
      </c>
      <c r="C4" s="224" t="str">
        <f>RES!C8</f>
        <v>XINDCOA</v>
      </c>
      <c r="D4" s="216" t="str">
        <f>RES!C7</f>
        <v>Industry Coal Supply</v>
      </c>
      <c r="E4" s="216" t="s">
        <v>621</v>
      </c>
      <c r="F4" s="228">
        <f>'Cost of generation'!I58</f>
        <v>0.20334822</v>
      </c>
      <c r="G4" s="343" t="s">
        <v>962</v>
      </c>
      <c r="H4" s="224"/>
      <c r="I4" s="216"/>
      <c r="J4" s="216"/>
      <c r="K4" s="216"/>
      <c r="L4" s="217"/>
      <c r="M4" t="s">
        <v>659</v>
      </c>
      <c r="Q4" t="s">
        <v>933</v>
      </c>
    </row>
    <row r="5" spans="1:34" x14ac:dyDescent="0.2">
      <c r="A5" s="220"/>
      <c r="B5" s="221"/>
      <c r="C5" s="220"/>
      <c r="D5" s="221"/>
      <c r="E5" s="229" t="s">
        <v>117</v>
      </c>
      <c r="F5" s="230">
        <f>F4*G5</f>
        <v>5.3887278299999997</v>
      </c>
      <c r="G5" s="231">
        <f>Constants!D6/1000</f>
        <v>26.5</v>
      </c>
      <c r="H5" s="220" t="str">
        <f>H12</f>
        <v>ISICHPEX</v>
      </c>
      <c r="I5" s="221" t="str">
        <f>I12</f>
        <v>Existing CHP Plant</v>
      </c>
      <c r="J5" s="221" t="str">
        <f>E5</f>
        <v>PJ</v>
      </c>
      <c r="K5" s="230">
        <f>F5</f>
        <v>5.3887278299999997</v>
      </c>
      <c r="L5" s="222"/>
      <c r="Q5" s="373" t="s">
        <v>932</v>
      </c>
      <c r="R5" s="374"/>
      <c r="S5" s="320" t="s">
        <v>931</v>
      </c>
      <c r="T5" s="320" t="s">
        <v>930</v>
      </c>
      <c r="U5" s="320" t="s">
        <v>929</v>
      </c>
      <c r="V5" s="320" t="s">
        <v>928</v>
      </c>
      <c r="W5" s="320" t="s">
        <v>492</v>
      </c>
      <c r="X5" s="320" t="s">
        <v>662</v>
      </c>
      <c r="Y5" s="320" t="s">
        <v>927</v>
      </c>
      <c r="Z5" s="320" t="s">
        <v>896</v>
      </c>
      <c r="AA5" s="320" t="s">
        <v>895</v>
      </c>
      <c r="AB5" s="320" t="s">
        <v>486</v>
      </c>
      <c r="AC5" s="319" t="s">
        <v>926</v>
      </c>
    </row>
    <row r="6" spans="1:34" x14ac:dyDescent="0.2">
      <c r="A6" s="224" t="str">
        <f>RES!H2</f>
        <v>BIW</v>
      </c>
      <c r="B6" s="216" t="str">
        <f>RES!H3</f>
        <v>Biomass Woodchips</v>
      </c>
      <c r="C6" s="224" t="str">
        <f>RES!C21</f>
        <v>XBIW</v>
      </c>
      <c r="D6" s="216" t="str">
        <f>RES!C20</f>
        <v>Biomass Woodchip Supply</v>
      </c>
      <c r="E6" s="216" t="s">
        <v>621</v>
      </c>
      <c r="F6" s="232">
        <f>'Cost of generation'!K58</f>
        <v>7.7837000000000003E-2</v>
      </c>
      <c r="G6" s="343" t="s">
        <v>962</v>
      </c>
      <c r="H6" s="224"/>
      <c r="I6" s="216"/>
      <c r="J6" s="216"/>
      <c r="K6" s="216"/>
      <c r="L6" s="217"/>
      <c r="M6" t="s">
        <v>659</v>
      </c>
      <c r="Q6" s="318" t="s">
        <v>925</v>
      </c>
      <c r="R6" s="317" t="s">
        <v>924</v>
      </c>
      <c r="V6" t="s">
        <v>923</v>
      </c>
      <c r="W6" t="s">
        <v>922</v>
      </c>
      <c r="X6" t="s">
        <v>922</v>
      </c>
      <c r="Y6" t="s">
        <v>922</v>
      </c>
      <c r="Z6" t="s">
        <v>921</v>
      </c>
      <c r="AA6" t="s">
        <v>921</v>
      </c>
      <c r="AB6" t="s">
        <v>921</v>
      </c>
      <c r="AC6" s="316" t="s">
        <v>921</v>
      </c>
    </row>
    <row r="7" spans="1:34" x14ac:dyDescent="0.2">
      <c r="A7" s="220"/>
      <c r="B7" s="221"/>
      <c r="C7" s="220"/>
      <c r="D7" s="221"/>
      <c r="E7" s="229" t="s">
        <v>117</v>
      </c>
      <c r="F7" s="230">
        <f>F6*G7</f>
        <v>0.97991501759550004</v>
      </c>
      <c r="G7" s="233">
        <f>G13*1.75</f>
        <v>12.5893215</v>
      </c>
      <c r="H7" s="220" t="str">
        <f>H5</f>
        <v>ISICHPEX</v>
      </c>
      <c r="I7" s="221" t="str">
        <f>I5</f>
        <v>Existing CHP Plant</v>
      </c>
      <c r="J7" s="221" t="str">
        <f>E7</f>
        <v>PJ</v>
      </c>
      <c r="K7" s="230">
        <f>F7</f>
        <v>0.97991501759550004</v>
      </c>
      <c r="L7" s="222"/>
      <c r="Q7" s="314" t="s">
        <v>920</v>
      </c>
      <c r="R7" t="s">
        <v>919</v>
      </c>
      <c r="S7" s="284">
        <v>100</v>
      </c>
      <c r="T7" s="272">
        <v>20.475000000000001</v>
      </c>
      <c r="U7" s="272">
        <v>11.620000000000001</v>
      </c>
      <c r="V7" s="272">
        <v>67.905000000000001</v>
      </c>
      <c r="W7" s="272">
        <v>20.279701894736839</v>
      </c>
      <c r="X7" s="272">
        <v>73.386795977064608</v>
      </c>
      <c r="Y7" s="272">
        <v>25.761497871801453</v>
      </c>
      <c r="Z7" s="272">
        <v>0.96002811147799105</v>
      </c>
      <c r="AA7" s="272">
        <v>3.055604428012423</v>
      </c>
      <c r="AB7" s="272">
        <v>7.7160828040249791</v>
      </c>
      <c r="AC7" s="315">
        <v>18.265215824391841</v>
      </c>
    </row>
    <row r="8" spans="1:34" x14ac:dyDescent="0.2">
      <c r="A8" s="224" t="str">
        <f>RES!F2</f>
        <v>BSC</v>
      </c>
      <c r="B8" s="216" t="str">
        <f>RES!F3</f>
        <v>Cane-into factory</v>
      </c>
      <c r="C8" s="224" t="str">
        <f>RES!C12</f>
        <v>XBSC</v>
      </c>
      <c r="D8" s="216" t="str">
        <f>RES!C11</f>
        <v>Cane_Into Factory Supply</v>
      </c>
      <c r="E8" s="216" t="s">
        <v>621</v>
      </c>
      <c r="F8" s="232">
        <f>'Cost of generation'!F58</f>
        <v>19.031677826999999</v>
      </c>
      <c r="G8" s="344" t="s">
        <v>961</v>
      </c>
      <c r="H8" s="224" t="str">
        <f>RES!O8</f>
        <v>ISIMIL</v>
      </c>
      <c r="I8" s="216" t="str">
        <f>RES!O5</f>
        <v>Existing Milling Plant</v>
      </c>
      <c r="J8" s="216" t="s">
        <v>621</v>
      </c>
      <c r="K8" s="232">
        <f>F8</f>
        <v>19.031677826999999</v>
      </c>
      <c r="L8" s="217"/>
      <c r="M8" t="str">
        <f>M4</f>
        <v>Cost of Generation sheet (from indsutry)</v>
      </c>
      <c r="Q8" s="314" t="s">
        <v>918</v>
      </c>
      <c r="R8" t="s">
        <v>917</v>
      </c>
      <c r="S8" s="284">
        <v>5230.2401400292401</v>
      </c>
      <c r="T8" s="272">
        <v>653.98144499999989</v>
      </c>
      <c r="U8" s="272">
        <v>1069.2333560233922</v>
      </c>
      <c r="V8" s="272">
        <v>3507.0253390058456</v>
      </c>
      <c r="W8" s="272">
        <v>1825.9959384330493</v>
      </c>
      <c r="X8" s="272">
        <v>1684.3394670489527</v>
      </c>
      <c r="Y8" s="272">
        <v>0</v>
      </c>
      <c r="Z8" s="272">
        <v>23.408196926249556</v>
      </c>
      <c r="AA8" s="272">
        <v>226.36804791118033</v>
      </c>
      <c r="AB8" s="272">
        <v>1273.8295915177541</v>
      </c>
      <c r="AC8" s="315">
        <v>54.213443820041306</v>
      </c>
    </row>
    <row r="9" spans="1:34" ht="15" x14ac:dyDescent="0.25">
      <c r="A9" s="220"/>
      <c r="B9" s="221"/>
      <c r="C9" s="220"/>
      <c r="D9" s="221"/>
      <c r="E9" s="229" t="s">
        <v>117</v>
      </c>
      <c r="F9" s="323">
        <f>V18</f>
        <v>98.291107257322295</v>
      </c>
      <c r="G9" s="324">
        <f>F9/F8</f>
        <v>5.1646054620511679</v>
      </c>
      <c r="H9" s="220"/>
      <c r="I9" s="221"/>
      <c r="J9" s="221"/>
      <c r="K9" s="221"/>
      <c r="L9" s="222"/>
      <c r="Q9" s="314" t="s">
        <v>916</v>
      </c>
      <c r="R9" t="s">
        <v>915</v>
      </c>
      <c r="S9" s="284">
        <v>25</v>
      </c>
      <c r="T9" s="272">
        <v>25</v>
      </c>
      <c r="U9" s="272">
        <v>25</v>
      </c>
      <c r="V9" s="272">
        <v>25</v>
      </c>
      <c r="W9" s="272">
        <v>65</v>
      </c>
      <c r="X9" s="272">
        <v>60</v>
      </c>
      <c r="Y9" s="272">
        <v>90</v>
      </c>
      <c r="Z9" s="272">
        <v>90</v>
      </c>
      <c r="AA9" s="272">
        <v>53.6</v>
      </c>
      <c r="AB9" s="272">
        <v>56.1</v>
      </c>
      <c r="AC9" s="315">
        <v>45</v>
      </c>
    </row>
    <row r="10" spans="1:34" ht="15" x14ac:dyDescent="0.25">
      <c r="A10" s="224" t="str">
        <f>RES!G2</f>
        <v>BCL</v>
      </c>
      <c r="B10" s="216" t="str">
        <f>RES!G3</f>
        <v>Recoverable leaves</v>
      </c>
      <c r="C10" s="224" t="str">
        <f>RES!C16</f>
        <v>XBCL</v>
      </c>
      <c r="D10" s="216" t="str">
        <f>RES!C15</f>
        <v>Recoverable Leaves Supply</v>
      </c>
      <c r="E10" s="216" t="s">
        <v>621</v>
      </c>
      <c r="F10" s="232">
        <f>F11/G11</f>
        <v>1.3737267867148892</v>
      </c>
      <c r="G10" s="344" t="s">
        <v>962</v>
      </c>
      <c r="H10" s="224"/>
      <c r="I10" s="216"/>
      <c r="J10" s="216"/>
      <c r="K10" s="232"/>
      <c r="L10" s="217"/>
      <c r="M10" t="str">
        <f>M6</f>
        <v>Cost of Generation sheet (from indsutry)</v>
      </c>
      <c r="Q10" s="314" t="s">
        <v>914</v>
      </c>
      <c r="R10" t="s">
        <v>913</v>
      </c>
      <c r="S10" s="284"/>
      <c r="T10" s="272"/>
      <c r="U10" s="272"/>
      <c r="V10" s="272"/>
      <c r="W10" s="272">
        <v>71.042604950842417</v>
      </c>
      <c r="X10" s="272">
        <v>96.48341142114478</v>
      </c>
      <c r="Y10" s="272">
        <v>104.92806751189623</v>
      </c>
      <c r="Z10" s="272">
        <v>107.52212790010229</v>
      </c>
      <c r="AA10" s="272">
        <v>63.842389361606863</v>
      </c>
      <c r="AB10" s="272">
        <v>29.685600709383237</v>
      </c>
      <c r="AC10" s="315">
        <v>103.51468985128513</v>
      </c>
    </row>
    <row r="11" spans="1:34" x14ac:dyDescent="0.2">
      <c r="A11" s="220"/>
      <c r="B11" s="221"/>
      <c r="C11" s="220"/>
      <c r="D11" s="221"/>
      <c r="E11" s="229" t="s">
        <v>117</v>
      </c>
      <c r="F11" s="323">
        <f>0.33*(T19+U19)</f>
        <v>10.440323579033159</v>
      </c>
      <c r="G11" s="324">
        <f>U22</f>
        <v>7.6</v>
      </c>
      <c r="H11" s="220"/>
      <c r="I11" s="221"/>
      <c r="J11" s="221"/>
      <c r="K11" s="221"/>
      <c r="L11" s="222"/>
      <c r="Q11" s="314" t="s">
        <v>912</v>
      </c>
      <c r="R11" t="s">
        <v>911</v>
      </c>
      <c r="S11" s="284"/>
      <c r="T11" s="272"/>
      <c r="U11" s="272"/>
      <c r="V11" s="272"/>
      <c r="W11" s="272">
        <v>188.00874239127478</v>
      </c>
      <c r="X11" s="272">
        <v>232.01513435003528</v>
      </c>
      <c r="Y11" s="272">
        <v>376.99151470783363</v>
      </c>
      <c r="Z11" s="272">
        <v>276.5756371429037</v>
      </c>
      <c r="AA11" s="272">
        <v>126.4569534042749</v>
      </c>
      <c r="AB11" s="272">
        <v>70.851367274415637</v>
      </c>
      <c r="AC11" s="315">
        <v>186.35132733373587</v>
      </c>
    </row>
    <row r="12" spans="1:34" x14ac:dyDescent="0.2">
      <c r="A12" s="224" t="str">
        <f>RES!Q2</f>
        <v>ISIBIB</v>
      </c>
      <c r="B12" s="216" t="str">
        <f>RES!Q3</f>
        <v>Bagasse</v>
      </c>
      <c r="C12" s="224" t="str">
        <f>RES!O8</f>
        <v>ISIMIL</v>
      </c>
      <c r="D12" s="216" t="str">
        <f>RES!O5</f>
        <v>Existing Milling Plant</v>
      </c>
      <c r="E12" s="234" t="s">
        <v>621</v>
      </c>
      <c r="F12" s="331">
        <f>'Cost of generation'!G58</f>
        <v>5.783495668784866</v>
      </c>
      <c r="G12" s="343" t="s">
        <v>962</v>
      </c>
      <c r="H12" s="224" t="str">
        <f>RES!AA19</f>
        <v>ISICHPEX</v>
      </c>
      <c r="I12" s="216" t="str">
        <f>RES!AA16</f>
        <v>Existing CHP Plant</v>
      </c>
      <c r="J12" s="234" t="s">
        <v>621</v>
      </c>
      <c r="K12" s="232">
        <f>(1-Q$3)*F12</f>
        <v>5.3422149492565802</v>
      </c>
      <c r="L12" s="217"/>
      <c r="Q12" s="314" t="s">
        <v>910</v>
      </c>
      <c r="R12" t="s">
        <v>909</v>
      </c>
      <c r="S12" s="284">
        <f t="shared" ref="S12:AC12" si="0">S8+(S11-S10)*S7</f>
        <v>5230.2401400292401</v>
      </c>
      <c r="T12" s="284">
        <f t="shared" si="0"/>
        <v>653.98144499999989</v>
      </c>
      <c r="U12" s="284">
        <f t="shared" si="0"/>
        <v>1069.2333560233922</v>
      </c>
      <c r="V12" s="284">
        <f t="shared" si="0"/>
        <v>3507.0253390058456</v>
      </c>
      <c r="W12" s="284">
        <f t="shared" si="0"/>
        <v>4198.0343375038346</v>
      </c>
      <c r="X12" s="284">
        <f t="shared" si="0"/>
        <v>11630.57836605149</v>
      </c>
      <c r="Y12" s="284">
        <f t="shared" si="0"/>
        <v>7008.761915933108</v>
      </c>
      <c r="Z12" s="284">
        <f t="shared" si="0"/>
        <v>185.7043181433433</v>
      </c>
      <c r="AA12" s="284">
        <f t="shared" si="0"/>
        <v>417.6933870580242</v>
      </c>
      <c r="AB12" s="284">
        <f t="shared" si="0"/>
        <v>1591.4680550247072</v>
      </c>
      <c r="AC12" s="313">
        <f t="shared" si="0"/>
        <v>1567.2425056039108</v>
      </c>
    </row>
    <row r="13" spans="1:34" ht="13.5" thickBot="1" x14ac:dyDescent="0.25">
      <c r="A13" s="211"/>
      <c r="B13" s="214"/>
      <c r="C13" s="211"/>
      <c r="D13" s="214"/>
      <c r="E13" s="215" t="s">
        <v>117</v>
      </c>
      <c r="F13" s="213">
        <f>F12*G13</f>
        <v>41.605877924680108</v>
      </c>
      <c r="G13" s="330">
        <f>W22</f>
        <v>7.1938979999999999</v>
      </c>
      <c r="I13" s="214"/>
      <c r="J13" s="215" t="s">
        <v>117</v>
      </c>
      <c r="K13" s="213">
        <f>(1-Q$3)*F13</f>
        <v>38.431349439027017</v>
      </c>
      <c r="Q13" s="312" t="s">
        <v>908</v>
      </c>
      <c r="R13" s="311" t="s">
        <v>907</v>
      </c>
      <c r="S13" s="310">
        <f t="shared" ref="S13:AC13" si="1">S12/$S$12*100</f>
        <v>100</v>
      </c>
      <c r="T13" s="309">
        <f t="shared" si="1"/>
        <v>12.503851209331735</v>
      </c>
      <c r="U13" s="309">
        <f t="shared" si="1"/>
        <v>20.443293757013127</v>
      </c>
      <c r="V13" s="309">
        <f t="shared" si="1"/>
        <v>67.052855033655092</v>
      </c>
      <c r="W13" s="309">
        <f t="shared" si="1"/>
        <v>80.264657551275747</v>
      </c>
      <c r="X13" s="309">
        <f t="shared" si="1"/>
        <v>222.37178513158037</v>
      </c>
      <c r="Y13" s="309">
        <f t="shared" si="1"/>
        <v>134.0045911523658</v>
      </c>
      <c r="Z13" s="309">
        <f t="shared" si="1"/>
        <v>3.5505887525520983</v>
      </c>
      <c r="AA13" s="309">
        <f t="shared" si="1"/>
        <v>7.9861225464819485</v>
      </c>
      <c r="AB13" s="309">
        <f t="shared" si="1"/>
        <v>30.42820238490636</v>
      </c>
      <c r="AC13" s="308">
        <f t="shared" si="1"/>
        <v>29.965020030517163</v>
      </c>
    </row>
    <row r="14" spans="1:34" x14ac:dyDescent="0.2">
      <c r="A14" s="211"/>
      <c r="B14" s="214"/>
      <c r="C14" s="211"/>
      <c r="D14" s="214"/>
      <c r="E14" s="214"/>
      <c r="F14" s="214"/>
      <c r="G14" s="218"/>
      <c r="H14" s="211" t="str">
        <f>RES!AI32</f>
        <v>XINDBIB</v>
      </c>
      <c r="I14" s="214" t="str">
        <f>RES!AI31</f>
        <v>Bagasse to Local Market</v>
      </c>
      <c r="J14" s="215" t="s">
        <v>621</v>
      </c>
      <c r="K14" s="213">
        <f>F12-K12</f>
        <v>0.44128071952828574</v>
      </c>
      <c r="L14" s="218"/>
      <c r="M14" s="203" t="s">
        <v>960</v>
      </c>
    </row>
    <row r="15" spans="1:34" x14ac:dyDescent="0.2">
      <c r="A15" s="220"/>
      <c r="B15" s="221"/>
      <c r="C15" s="220"/>
      <c r="D15" s="221"/>
      <c r="E15" s="221"/>
      <c r="F15" s="221"/>
      <c r="G15" s="222"/>
      <c r="H15" s="220"/>
      <c r="I15" s="221"/>
      <c r="J15" s="229" t="s">
        <v>117</v>
      </c>
      <c r="K15" s="230">
        <f>K14*G13</f>
        <v>3.1745284856530955</v>
      </c>
      <c r="L15" s="222"/>
      <c r="R15" s="203" t="s">
        <v>934</v>
      </c>
    </row>
    <row r="16" spans="1:34" x14ac:dyDescent="0.2">
      <c r="A16" s="235" t="str">
        <f>RES!R2</f>
        <v>BCS</v>
      </c>
      <c r="B16" s="236" t="str">
        <f>RES!R3</f>
        <v>Cane Syrup (A-Mollasses)</v>
      </c>
      <c r="C16" s="235" t="str">
        <f>RES!O8</f>
        <v>ISIMIL</v>
      </c>
      <c r="D16" s="236" t="str">
        <f>RES!O5</f>
        <v>Existing Milling Plant</v>
      </c>
      <c r="E16" s="237" t="s">
        <v>117</v>
      </c>
      <c r="F16" s="332">
        <f>X18</f>
        <v>47.206842041346803</v>
      </c>
      <c r="G16" s="238"/>
      <c r="H16" s="235" t="str">
        <f>C25</f>
        <v>UBSCSUG</v>
      </c>
      <c r="I16" s="236" t="str">
        <f>D25</f>
        <v>B and C Stages</v>
      </c>
      <c r="J16" s="236" t="str">
        <f>E16</f>
        <v>PJ</v>
      </c>
      <c r="K16" s="239">
        <f>F16</f>
        <v>47.206842041346803</v>
      </c>
      <c r="L16" s="238"/>
      <c r="M16" s="203" t="s">
        <v>960</v>
      </c>
      <c r="T16" s="241"/>
    </row>
    <row r="17" spans="1:32" x14ac:dyDescent="0.2">
      <c r="A17" s="224" t="str">
        <f>RES!V2</f>
        <v>ISIHET</v>
      </c>
      <c r="B17" s="216" t="str">
        <f>RES!V3</f>
        <v>Steam From CHP</v>
      </c>
      <c r="C17" s="224" t="str">
        <f>RES!AA19</f>
        <v>ISICHPEX</v>
      </c>
      <c r="D17" s="216" t="str">
        <f>RES!AA16</f>
        <v>Existing CHP Plant</v>
      </c>
      <c r="E17" s="234" t="s">
        <v>117</v>
      </c>
      <c r="F17" s="359">
        <f>X48</f>
        <v>32.909271380077087</v>
      </c>
      <c r="G17" s="217"/>
      <c r="H17" s="224" t="str">
        <f>RES!O8</f>
        <v>ISIMIL</v>
      </c>
      <c r="I17" s="216" t="str">
        <f>RES!O5</f>
        <v>Existing Milling Plant</v>
      </c>
      <c r="J17" s="234" t="s">
        <v>117</v>
      </c>
      <c r="K17" s="232">
        <f>SUM(X35:X38)/SUM(X35:X40)*F17</f>
        <v>28.367708784862273</v>
      </c>
      <c r="L17" s="255"/>
      <c r="M17" s="203" t="s">
        <v>960</v>
      </c>
      <c r="R17" t="s">
        <v>906</v>
      </c>
      <c r="T17" s="272">
        <f t="shared" ref="T17" si="2">T8/($V7/$S7)</f>
        <v>963.08290258449279</v>
      </c>
      <c r="U17" s="272">
        <f>U8/($V7/$S7)</f>
        <v>1574.6018054979634</v>
      </c>
      <c r="V17" s="272">
        <f>V8/($V7/$S7)</f>
        <v>5164.6054620511677</v>
      </c>
      <c r="W17" s="272">
        <f t="shared" ref="W17:AC17" si="3">W8/($V7/$S7)</f>
        <v>2689.0448986570195</v>
      </c>
      <c r="X17" s="272">
        <f t="shared" si="3"/>
        <v>2480.4351182518999</v>
      </c>
      <c r="Y17" s="272">
        <f t="shared" si="3"/>
        <v>0</v>
      </c>
      <c r="Z17" s="272">
        <f t="shared" si="3"/>
        <v>34.471978390765855</v>
      </c>
      <c r="AA17" s="272">
        <f t="shared" si="3"/>
        <v>333.35991151046363</v>
      </c>
      <c r="AB17" s="272">
        <f t="shared" si="3"/>
        <v>1875.8995530782033</v>
      </c>
      <c r="AC17" s="272">
        <f t="shared" si="3"/>
        <v>79.837189927164872</v>
      </c>
      <c r="AE17" s="203" t="s">
        <v>963</v>
      </c>
      <c r="AF17" s="341">
        <v>3</v>
      </c>
    </row>
    <row r="18" spans="1:32" x14ac:dyDescent="0.2">
      <c r="A18" s="220"/>
      <c r="B18" s="221"/>
      <c r="C18" s="220"/>
      <c r="D18" s="221"/>
      <c r="E18" s="221"/>
      <c r="F18" s="221"/>
      <c r="G18" s="222"/>
      <c r="H18" s="220" t="str">
        <f>H16</f>
        <v>UBSCSUG</v>
      </c>
      <c r="I18" s="221" t="str">
        <f>I16</f>
        <v>B and C Stages</v>
      </c>
      <c r="J18" s="229" t="s">
        <v>117</v>
      </c>
      <c r="K18" s="230">
        <f>F17-K17</f>
        <v>4.5415625952148133</v>
      </c>
      <c r="L18" s="222"/>
      <c r="M18" s="203" t="s">
        <v>960</v>
      </c>
      <c r="Q18" s="203" t="s">
        <v>961</v>
      </c>
      <c r="R18" t="s">
        <v>905</v>
      </c>
      <c r="S18" s="209">
        <f>SUM(T18:V18)</f>
        <v>146.58750504805215</v>
      </c>
      <c r="T18" s="322">
        <f t="shared" ref="T18:AC18" si="4">T17*$V$20/1000</f>
        <v>18.32908352268009</v>
      </c>
      <c r="U18" s="322">
        <f t="shared" si="4"/>
        <v>29.967314268049755</v>
      </c>
      <c r="V18" s="322">
        <f t="shared" si="4"/>
        <v>98.291107257322295</v>
      </c>
      <c r="W18" s="322">
        <f t="shared" si="4"/>
        <v>51.177036173578259</v>
      </c>
      <c r="X18" s="322">
        <f t="shared" si="4"/>
        <v>47.206842041346803</v>
      </c>
      <c r="Y18" s="322">
        <f t="shared" si="4"/>
        <v>0</v>
      </c>
      <c r="Z18" s="322">
        <f t="shared" si="4"/>
        <v>0.65605958679236165</v>
      </c>
      <c r="AA18" s="322">
        <f t="shared" si="4"/>
        <v>6.3443984363043731</v>
      </c>
      <c r="AB18" s="322">
        <f t="shared" si="4"/>
        <v>35.701515929997655</v>
      </c>
      <c r="AC18" s="322">
        <f t="shared" si="4"/>
        <v>1.5194356773068114</v>
      </c>
      <c r="AE18" s="203" t="s">
        <v>964</v>
      </c>
      <c r="AF18" s="341">
        <v>1.4</v>
      </c>
    </row>
    <row r="19" spans="1:32" x14ac:dyDescent="0.2">
      <c r="A19" s="224" t="str">
        <f>RES!T2</f>
        <v>ISIELC</v>
      </c>
      <c r="B19" s="216" t="str">
        <f>RES!T3</f>
        <v>Sugar Industry Electricity</v>
      </c>
      <c r="C19" s="224" t="str">
        <f>RES!AA19</f>
        <v>ISICHPEX</v>
      </c>
      <c r="D19" s="216" t="str">
        <f>RES!AA16</f>
        <v>Existing CHP Plant</v>
      </c>
      <c r="E19" s="234" t="s">
        <v>609</v>
      </c>
      <c r="F19" s="232">
        <f>'Cost of generation'!AF58</f>
        <v>0.70795636500000003</v>
      </c>
      <c r="G19" s="217"/>
      <c r="H19" s="224" t="str">
        <f>RES!AA42</f>
        <v>UBSCSUG</v>
      </c>
      <c r="I19" s="216" t="str">
        <f>RES!AA39</f>
        <v>B and C Stages</v>
      </c>
      <c r="J19" s="234" t="s">
        <v>609</v>
      </c>
      <c r="K19" s="232">
        <f>(SUM(X39:X40))*'Cost of generation'!AG58</f>
        <v>8.8794226412930805E-2</v>
      </c>
      <c r="L19" s="217"/>
      <c r="M19" s="203" t="s">
        <v>659</v>
      </c>
      <c r="Q19" s="203" t="s">
        <v>962</v>
      </c>
      <c r="R19" s="203" t="s">
        <v>905</v>
      </c>
      <c r="T19" s="209">
        <f>T20*T22</f>
        <v>6.8862134483379718</v>
      </c>
      <c r="U19" s="209">
        <f>U20*U22</f>
        <v>24.751130730550383</v>
      </c>
      <c r="AE19" s="203" t="s">
        <v>965</v>
      </c>
      <c r="AF19" s="341">
        <v>50.6</v>
      </c>
    </row>
    <row r="20" spans="1:32" x14ac:dyDescent="0.2">
      <c r="A20" s="211"/>
      <c r="B20" s="214"/>
      <c r="C20" s="211"/>
      <c r="D20" s="214"/>
      <c r="E20" s="215" t="s">
        <v>117</v>
      </c>
      <c r="F20" s="213">
        <f>F19*3.6</f>
        <v>2.5486429140000002</v>
      </c>
      <c r="G20" s="218"/>
      <c r="I20" s="214"/>
      <c r="J20" s="215" t="s">
        <v>117</v>
      </c>
      <c r="K20" s="213">
        <f>K19*3.6</f>
        <v>0.31965921508655093</v>
      </c>
      <c r="L20" s="218"/>
      <c r="R20" t="s">
        <v>610</v>
      </c>
      <c r="S20" s="209">
        <f>SUM(T20:V20)</f>
        <v>28.026916761652309</v>
      </c>
      <c r="T20" s="209">
        <f>T7/$V7*$V20</f>
        <v>5.73851120694831</v>
      </c>
      <c r="U20" s="209">
        <f>U7/$V7*$V20</f>
        <v>3.2567277277039981</v>
      </c>
      <c r="V20" s="209">
        <f>F8</f>
        <v>19.031677826999999</v>
      </c>
      <c r="W20" s="209">
        <f t="shared" ref="W20:AC20" si="5">W7/$V7*$V20</f>
        <v>5.6837751695491194</v>
      </c>
      <c r="X20" s="209">
        <f t="shared" si="5"/>
        <v>20.568056222535503</v>
      </c>
      <c r="Y20" s="209">
        <f t="shared" si="5"/>
        <v>7.2201535650846234</v>
      </c>
      <c r="Z20" s="209">
        <f t="shared" si="5"/>
        <v>0.26906627969239916</v>
      </c>
      <c r="AA20" s="209">
        <f t="shared" si="5"/>
        <v>0.85639170960440381</v>
      </c>
      <c r="AB20" s="209">
        <f t="shared" si="5"/>
        <v>2.1625801047442481</v>
      </c>
      <c r="AC20" s="209">
        <f t="shared" si="5"/>
        <v>5.1191768354384468</v>
      </c>
      <c r="AE20" s="203" t="s">
        <v>966</v>
      </c>
      <c r="AF20">
        <f>18260-207.01*AF19-182.6*AF17-31.14*AF18</f>
        <v>7193.8980000000001</v>
      </c>
    </row>
    <row r="21" spans="1:32" x14ac:dyDescent="0.2">
      <c r="A21" s="211"/>
      <c r="B21" s="214"/>
      <c r="C21" s="211" t="str">
        <f>RES!AA9</f>
        <v>XISIELC</v>
      </c>
      <c r="D21" s="214" t="str">
        <f>RES!AA8</f>
        <v>Electricity from Eskom</v>
      </c>
      <c r="E21" s="214" t="str">
        <f>E19</f>
        <v>TWh</v>
      </c>
      <c r="F21" s="219">
        <f>'Cost of generation'!J58</f>
        <v>9.1829870000000008E-2</v>
      </c>
      <c r="G21" s="218"/>
      <c r="H21" s="211" t="str">
        <f>H17</f>
        <v>ISIMIL</v>
      </c>
      <c r="I21" s="214" t="str">
        <f>I17</f>
        <v>Existing Milling Plant</v>
      </c>
      <c r="J21" s="286" t="s">
        <v>609</v>
      </c>
      <c r="K21" s="209">
        <f>(SUM(X35:X38)+X41)*'Cost of generation'!AG58</f>
        <v>0.58639443658706936</v>
      </c>
      <c r="L21" s="218"/>
      <c r="M21" s="203" t="s">
        <v>677</v>
      </c>
      <c r="Q21" s="203" t="s">
        <v>961</v>
      </c>
      <c r="R21" s="307" t="s">
        <v>904</v>
      </c>
      <c r="T21" s="270">
        <f t="shared" ref="T21:AC21" si="6">T18/T20</f>
        <v>3.1940485714285702</v>
      </c>
      <c r="U21" s="270">
        <f t="shared" si="6"/>
        <v>9.2016639933166271</v>
      </c>
      <c r="V21" s="270">
        <f t="shared" si="6"/>
        <v>5.1646054620511679</v>
      </c>
      <c r="W21" s="270">
        <f t="shared" si="6"/>
        <v>9.0040571005974552</v>
      </c>
      <c r="X21" s="270">
        <f t="shared" si="6"/>
        <v>2.2951532964804118</v>
      </c>
      <c r="Y21" s="270">
        <f t="shared" si="6"/>
        <v>0</v>
      </c>
      <c r="Z21" s="270">
        <f t="shared" si="6"/>
        <v>2.4382824467725177</v>
      </c>
      <c r="AA21" s="270">
        <f t="shared" si="6"/>
        <v>7.4082903479239244</v>
      </c>
      <c r="AB21" s="270">
        <f t="shared" si="6"/>
        <v>16.508759999999999</v>
      </c>
      <c r="AC21" s="270">
        <f t="shared" si="6"/>
        <v>0.29681250055443237</v>
      </c>
    </row>
    <row r="22" spans="1:32" x14ac:dyDescent="0.2">
      <c r="A22" s="211"/>
      <c r="B22" s="214"/>
      <c r="C22" s="211"/>
      <c r="D22" s="214"/>
      <c r="E22" s="214" t="str">
        <f>E20</f>
        <v>PJ</v>
      </c>
      <c r="F22" s="219">
        <f>F21*3.6</f>
        <v>0.33058753200000002</v>
      </c>
      <c r="G22" s="218"/>
      <c r="J22" s="286" t="s">
        <v>117</v>
      </c>
      <c r="K22" s="213">
        <f>K21*3.6</f>
        <v>2.1110199717134499</v>
      </c>
      <c r="L22" s="218"/>
      <c r="Q22" s="203" t="s">
        <v>962</v>
      </c>
      <c r="R22" s="307" t="s">
        <v>904</v>
      </c>
      <c r="T22">
        <v>1.2</v>
      </c>
      <c r="U22">
        <v>7.6</v>
      </c>
      <c r="W22" s="270">
        <f>AF20/1000</f>
        <v>7.1938979999999999</v>
      </c>
    </row>
    <row r="23" spans="1:32" x14ac:dyDescent="0.2">
      <c r="A23" s="211"/>
      <c r="B23" s="214"/>
      <c r="C23" s="211"/>
      <c r="D23" s="214"/>
      <c r="E23" s="214"/>
      <c r="F23" s="219"/>
      <c r="G23" s="218"/>
      <c r="H23" s="211" t="str">
        <f>RES!AA84</f>
        <v>XISIELCEXP</v>
      </c>
      <c r="I23" s="214" t="str">
        <f>RES!AA83</f>
        <v>Export to Grid from Sugar</v>
      </c>
      <c r="J23" s="215" t="s">
        <v>609</v>
      </c>
      <c r="K23" s="213">
        <f>F19+F21-K19-K21</f>
        <v>0.12459757199999988</v>
      </c>
      <c r="L23" s="218"/>
      <c r="R23" s="203" t="s">
        <v>899</v>
      </c>
      <c r="T23">
        <f>T20/$S$20</f>
        <v>0.20474999999999999</v>
      </c>
      <c r="U23">
        <f>U20/$S$20</f>
        <v>0.1162</v>
      </c>
      <c r="V23">
        <f>V20/$S$20</f>
        <v>0.67904999999999993</v>
      </c>
      <c r="W23">
        <f>W20/$S$20</f>
        <v>0.20279701894736837</v>
      </c>
      <c r="X23">
        <f>X20/$S$20</f>
        <v>0.73386795977064612</v>
      </c>
    </row>
    <row r="24" spans="1:32" x14ac:dyDescent="0.2">
      <c r="A24" s="220"/>
      <c r="B24" s="221"/>
      <c r="C24" s="220"/>
      <c r="D24" s="221"/>
      <c r="E24" s="221"/>
      <c r="F24" s="240"/>
      <c r="G24" s="222"/>
      <c r="I24" s="214"/>
      <c r="J24" s="215" t="s">
        <v>117</v>
      </c>
      <c r="K24" s="219">
        <f>K23*3.6</f>
        <v>0.44855125919999955</v>
      </c>
      <c r="L24" s="222"/>
      <c r="AA24" s="242">
        <f>AA20/V20</f>
        <v>4.4998224401920667E-2</v>
      </c>
    </row>
    <row r="25" spans="1:32" x14ac:dyDescent="0.2">
      <c r="A25" s="224" t="str">
        <f>RES!W2</f>
        <v>ISIBML</v>
      </c>
      <c r="B25" s="216" t="str">
        <f>RES!W3</f>
        <v>C-Molasses</v>
      </c>
      <c r="C25" s="224" t="str">
        <f>RES!AA42</f>
        <v>UBSCSUG</v>
      </c>
      <c r="D25" s="216" t="str">
        <f>RES!AA39</f>
        <v>B and C Stages</v>
      </c>
      <c r="E25" s="234" t="s">
        <v>621</v>
      </c>
      <c r="F25" s="232">
        <f>F26/G26</f>
        <v>0.85639170960440381</v>
      </c>
      <c r="G25" s="343" t="s">
        <v>961</v>
      </c>
      <c r="H25" s="224" t="str">
        <f>RES!AI35</f>
        <v>XINDBIM</v>
      </c>
      <c r="I25" s="216" t="str">
        <f>RES!AI34</f>
        <v>Molasses to Local Market</v>
      </c>
      <c r="J25" s="234" t="s">
        <v>621</v>
      </c>
      <c r="K25" s="346">
        <f>F25</f>
        <v>0.85639170960440381</v>
      </c>
      <c r="L25" s="217"/>
      <c r="M25" s="203" t="s">
        <v>960</v>
      </c>
      <c r="O25" s="242">
        <f>F25/F8</f>
        <v>4.4998224401920667E-2</v>
      </c>
    </row>
    <row r="26" spans="1:32" x14ac:dyDescent="0.2">
      <c r="A26" s="220"/>
      <c r="B26" s="221"/>
      <c r="C26" s="220"/>
      <c r="D26" s="221"/>
      <c r="E26" s="229" t="s">
        <v>117</v>
      </c>
      <c r="F26" s="230">
        <f>AA18</f>
        <v>6.3443984363043731</v>
      </c>
      <c r="G26" s="345">
        <f>AA21</f>
        <v>7.4082903479239244</v>
      </c>
      <c r="H26" s="220"/>
      <c r="I26" s="221"/>
      <c r="J26" s="229" t="s">
        <v>117</v>
      </c>
      <c r="K26" s="347">
        <f>F26</f>
        <v>6.3443984363043731</v>
      </c>
      <c r="L26" s="222"/>
    </row>
    <row r="27" spans="1:32" x14ac:dyDescent="0.2">
      <c r="A27" s="224" t="str">
        <f>RES!X2</f>
        <v>ISIBFC</v>
      </c>
      <c r="B27" s="216" t="str">
        <f>RES!X3</f>
        <v>Filter Cake</v>
      </c>
      <c r="C27" s="224" t="str">
        <f>C25</f>
        <v>UBSCSUG</v>
      </c>
      <c r="D27" s="216" t="str">
        <f>D25</f>
        <v>B and C Stages</v>
      </c>
      <c r="E27" s="234" t="s">
        <v>621</v>
      </c>
      <c r="F27" s="232">
        <f>F28*G28</f>
        <v>8.5287746283007007</v>
      </c>
      <c r="G27" s="343" t="s">
        <v>961</v>
      </c>
      <c r="H27" s="224"/>
      <c r="I27" s="216"/>
      <c r="J27" s="216"/>
      <c r="K27" s="216"/>
      <c r="L27" s="217"/>
      <c r="M27" s="203" t="s">
        <v>960</v>
      </c>
    </row>
    <row r="28" spans="1:32" x14ac:dyDescent="0.2">
      <c r="A28" s="220"/>
      <c r="B28" s="221"/>
      <c r="C28" s="220"/>
      <c r="D28" s="221"/>
      <c r="E28" s="229" t="s">
        <v>117</v>
      </c>
      <c r="F28" s="230">
        <f>Z18</f>
        <v>0.65605958679236165</v>
      </c>
      <c r="G28" s="222">
        <f>[2]Biogas!V36</f>
        <v>13</v>
      </c>
      <c r="H28" s="220"/>
      <c r="I28" s="221"/>
      <c r="J28" s="221"/>
      <c r="K28" s="221"/>
      <c r="L28" s="222"/>
    </row>
    <row r="29" spans="1:32" x14ac:dyDescent="0.2">
      <c r="A29" s="224" t="str">
        <f>RES!AC2</f>
        <v>ISISUG</v>
      </c>
      <c r="B29" s="216" t="str">
        <f>RES!AC3</f>
        <v>Sugar</v>
      </c>
      <c r="C29" s="224" t="str">
        <f>C25</f>
        <v>UBSCSUG</v>
      </c>
      <c r="D29" s="216" t="str">
        <f>D25</f>
        <v>B and C Stages</v>
      </c>
      <c r="E29" s="234" t="s">
        <v>117</v>
      </c>
      <c r="F29" s="232">
        <f>F30*G30</f>
        <v>36.052176771959999</v>
      </c>
      <c r="G29" s="203" t="s">
        <v>961</v>
      </c>
      <c r="H29" s="224" t="str">
        <f>C31</f>
        <v>PEXSUG</v>
      </c>
      <c r="I29" s="216" t="str">
        <f>D31</f>
        <v>Sugar to Export Market</v>
      </c>
      <c r="J29" s="234" t="s">
        <v>621</v>
      </c>
      <c r="K29" s="232">
        <f>F31</f>
        <v>1.0428310000000001</v>
      </c>
      <c r="L29" s="217"/>
      <c r="M29" s="203" t="s">
        <v>673</v>
      </c>
    </row>
    <row r="30" spans="1:32" ht="15" customHeight="1" x14ac:dyDescent="0.2">
      <c r="A30" s="220"/>
      <c r="B30" s="221"/>
      <c r="C30" s="220"/>
      <c r="D30" s="221"/>
      <c r="E30" s="229" t="s">
        <v>621</v>
      </c>
      <c r="F30" s="230">
        <f>SugarPrices!C24/1000000</f>
        <v>2.183821</v>
      </c>
      <c r="G30" s="345">
        <f>AB21</f>
        <v>16.508759999999999</v>
      </c>
      <c r="H30" s="220" t="str">
        <f>C32</f>
        <v>ISISUGDEM</v>
      </c>
      <c r="I30" s="221" t="str">
        <f>D32</f>
        <v>Sugar to Local Market</v>
      </c>
      <c r="J30" s="229" t="s">
        <v>621</v>
      </c>
      <c r="K30" s="230">
        <f>F32</f>
        <v>1.1409899999999999</v>
      </c>
      <c r="L30" s="222"/>
      <c r="M30" s="203" t="s">
        <v>673</v>
      </c>
    </row>
    <row r="31" spans="1:32" x14ac:dyDescent="0.2">
      <c r="A31" s="235" t="str">
        <f>RES!AJ2</f>
        <v>SUG</v>
      </c>
      <c r="B31" s="236" t="str">
        <f>RES!AJ3</f>
        <v>Sugar Exports</v>
      </c>
      <c r="C31" s="235" t="str">
        <f>RES!AI9</f>
        <v>PEXSUG</v>
      </c>
      <c r="D31" s="236" t="str">
        <f>RES!AI8</f>
        <v>Sugar to Export Market</v>
      </c>
      <c r="E31" s="237" t="s">
        <v>621</v>
      </c>
      <c r="F31" s="239">
        <f>SugarPrices!F24/1000000</f>
        <v>1.0428310000000001</v>
      </c>
      <c r="G31" s="238"/>
      <c r="H31" s="235"/>
      <c r="I31" s="236"/>
      <c r="J31" s="236"/>
      <c r="K31" s="236"/>
      <c r="L31" s="238"/>
      <c r="M31" s="203" t="s">
        <v>673</v>
      </c>
    </row>
    <row r="32" spans="1:32" ht="13.5" thickBot="1" x14ac:dyDescent="0.25">
      <c r="A32" s="235" t="str">
        <f>RES!AL2</f>
        <v>BIB</v>
      </c>
      <c r="B32" s="236" t="str">
        <f>RES!AL3</f>
        <v>Bagasse Sales to Other sectors</v>
      </c>
      <c r="C32" s="235" t="str">
        <f>RES!AI6</f>
        <v>ISISUGDEM</v>
      </c>
      <c r="D32" s="236" t="str">
        <f>RES!AI5</f>
        <v>Sugar to Local Market</v>
      </c>
      <c r="E32" s="237" t="s">
        <v>621</v>
      </c>
      <c r="F32" s="239">
        <f>SugarPrices!D24/1000000</f>
        <v>1.1409899999999999</v>
      </c>
      <c r="G32" s="238"/>
      <c r="H32" s="235"/>
      <c r="I32" s="236"/>
      <c r="J32" s="236"/>
      <c r="K32" s="236"/>
      <c r="L32" s="238"/>
      <c r="M32" s="203" t="s">
        <v>673</v>
      </c>
      <c r="Q32" t="s">
        <v>933</v>
      </c>
      <c r="W32" s="203" t="s">
        <v>1022</v>
      </c>
    </row>
    <row r="33" spans="3:34" ht="95.25" thickBot="1" x14ac:dyDescent="0.25">
      <c r="C33" s="216"/>
      <c r="D33" s="216"/>
      <c r="E33" s="216"/>
      <c r="F33" s="216"/>
      <c r="G33" s="217"/>
      <c r="H33" s="224"/>
      <c r="I33" s="216"/>
      <c r="J33" s="216"/>
      <c r="K33" s="216"/>
      <c r="L33" s="216"/>
      <c r="M33" s="214"/>
      <c r="R33" s="333"/>
      <c r="S33" s="334" t="s">
        <v>947</v>
      </c>
      <c r="T33" s="335" t="s">
        <v>948</v>
      </c>
      <c r="X33" s="356" t="s">
        <v>1003</v>
      </c>
      <c r="Y33" s="368" t="s">
        <v>1004</v>
      </c>
      <c r="Z33" s="368" t="s">
        <v>1005</v>
      </c>
      <c r="AA33" s="368" t="s">
        <v>1006</v>
      </c>
      <c r="AB33" s="369" t="s">
        <v>43</v>
      </c>
    </row>
    <row r="34" spans="3:34" ht="18" thickBot="1" x14ac:dyDescent="0.35">
      <c r="C34" s="208" t="s">
        <v>729</v>
      </c>
      <c r="D34" s="208"/>
      <c r="R34" s="336" t="s">
        <v>949</v>
      </c>
      <c r="S34" s="337"/>
      <c r="T34" s="338"/>
      <c r="X34" s="370"/>
      <c r="Y34" s="370"/>
      <c r="Z34" s="370"/>
      <c r="AA34" s="371"/>
      <c r="AB34" s="355"/>
      <c r="AH34" s="203" t="s">
        <v>815</v>
      </c>
    </row>
    <row r="35" spans="3:34" ht="17.25" thickTop="1" thickBot="1" x14ac:dyDescent="0.25">
      <c r="D35" s="203" t="s">
        <v>730</v>
      </c>
      <c r="E35" s="203" t="s">
        <v>117</v>
      </c>
      <c r="F35">
        <f>F9/(1-0.33)</f>
        <v>146.70314516018254</v>
      </c>
      <c r="Q35" s="339" t="s">
        <v>950</v>
      </c>
      <c r="R35" s="340">
        <v>0.54500000000000004</v>
      </c>
      <c r="S35" s="340">
        <v>0.70099999999999996</v>
      </c>
      <c r="T35" s="336" t="s">
        <v>951</v>
      </c>
      <c r="W35" s="360" t="s">
        <v>1007</v>
      </c>
      <c r="X35" s="361">
        <v>0.33688934648596808</v>
      </c>
      <c r="Y35" s="361">
        <v>0.49868841379579831</v>
      </c>
      <c r="Z35" s="361">
        <v>0.42194116530306669</v>
      </c>
      <c r="AA35" s="361">
        <v>0.42803092007803006</v>
      </c>
      <c r="AB35" s="357" t="s">
        <v>1008</v>
      </c>
    </row>
    <row r="36" spans="3:34" ht="16.5" thickBot="1" x14ac:dyDescent="0.25">
      <c r="D36" s="203" t="s">
        <v>732</v>
      </c>
      <c r="F36" s="241">
        <f>(F49+F48)/F47</f>
        <v>0.16571478599000602</v>
      </c>
      <c r="G36" t="s">
        <v>1024</v>
      </c>
      <c r="H36" s="211" t="s">
        <v>1025</v>
      </c>
      <c r="Q36" s="339" t="s">
        <v>952</v>
      </c>
      <c r="R36" s="340">
        <v>0.113</v>
      </c>
      <c r="S36" s="340">
        <v>0.109</v>
      </c>
      <c r="T36" s="336" t="s">
        <v>951</v>
      </c>
      <c r="W36" s="360" t="s">
        <v>1009</v>
      </c>
      <c r="X36" s="361">
        <v>0.1587032858455445</v>
      </c>
      <c r="Y36" s="361">
        <v>9.9432233580740978E-2</v>
      </c>
      <c r="Z36" s="361">
        <v>0.19225358101330831</v>
      </c>
      <c r="AA36" s="361">
        <v>0.18514800169824719</v>
      </c>
      <c r="AB36" s="357" t="s">
        <v>1008</v>
      </c>
    </row>
    <row r="37" spans="3:34" ht="16.5" thickBot="1" x14ac:dyDescent="0.25">
      <c r="D37" t="s">
        <v>819</v>
      </c>
      <c r="E37" t="s">
        <v>117</v>
      </c>
      <c r="F37" s="209">
        <f>F17</f>
        <v>32.909271380077087</v>
      </c>
      <c r="G37" s="241">
        <f>F37/F35</f>
        <v>0.22432560218217573</v>
      </c>
      <c r="H37" s="364">
        <f>F37/(1+F36)/F35</f>
        <v>0.19243609575704473</v>
      </c>
      <c r="I37" t="s">
        <v>1026</v>
      </c>
      <c r="Q37" s="339" t="s">
        <v>953</v>
      </c>
      <c r="R37" s="340">
        <v>0.24399999999999999</v>
      </c>
      <c r="S37" s="340">
        <v>0.11700000000000001</v>
      </c>
      <c r="T37" s="336" t="s">
        <v>951</v>
      </c>
      <c r="W37" s="360" t="s">
        <v>1010</v>
      </c>
      <c r="X37" s="361">
        <v>8.8632616409237586E-2</v>
      </c>
      <c r="Y37" s="361">
        <v>0.10379934210043365</v>
      </c>
      <c r="Z37" s="361">
        <v>8.5692959739938374E-2</v>
      </c>
      <c r="AA37" s="361">
        <v>8.7125681672654443E-2</v>
      </c>
      <c r="AB37" s="357" t="s">
        <v>1008</v>
      </c>
    </row>
    <row r="38" spans="3:34" ht="16.5" thickBot="1" x14ac:dyDescent="0.25">
      <c r="D38" t="s">
        <v>825</v>
      </c>
      <c r="E38" t="s">
        <v>826</v>
      </c>
      <c r="F38">
        <v>2.7</v>
      </c>
      <c r="Q38" s="339" t="s">
        <v>954</v>
      </c>
      <c r="R38" s="340">
        <v>3.1E-2</v>
      </c>
      <c r="S38" s="340">
        <v>0.01</v>
      </c>
      <c r="T38" s="336" t="s">
        <v>951</v>
      </c>
      <c r="W38" s="360" t="s">
        <v>1011</v>
      </c>
      <c r="X38" s="361">
        <v>0.2372198488077894</v>
      </c>
      <c r="Y38" s="361">
        <v>0.21313593125306218</v>
      </c>
      <c r="Z38" s="361">
        <v>0.22998617369519006</v>
      </c>
      <c r="AA38" s="361">
        <v>0.22839678700369809</v>
      </c>
      <c r="AB38" s="357" t="s">
        <v>1008</v>
      </c>
    </row>
    <row r="39" spans="3:34" ht="16.5" thickBot="1" x14ac:dyDescent="0.25">
      <c r="E39" t="s">
        <v>697</v>
      </c>
      <c r="F39">
        <f>F37/F38</f>
        <v>12.188619029658179</v>
      </c>
      <c r="Q39" s="339" t="s">
        <v>955</v>
      </c>
      <c r="R39" s="340">
        <v>6.8000000000000005E-2</v>
      </c>
      <c r="S39" s="340">
        <v>6.4000000000000001E-2</v>
      </c>
      <c r="T39" s="336" t="s">
        <v>951</v>
      </c>
      <c r="W39" s="360" t="s">
        <v>1012</v>
      </c>
      <c r="X39" s="361">
        <v>0.1236588297834216</v>
      </c>
      <c r="Y39" s="360">
        <v>0</v>
      </c>
      <c r="Z39" s="360">
        <v>0</v>
      </c>
      <c r="AA39" s="360">
        <v>0</v>
      </c>
      <c r="AB39" s="357" t="s">
        <v>1008</v>
      </c>
    </row>
    <row r="40" spans="3:34" ht="16.5" thickBot="1" x14ac:dyDescent="0.25">
      <c r="D40" t="s">
        <v>821</v>
      </c>
      <c r="F40" s="283">
        <v>0.56000000000000005</v>
      </c>
      <c r="Q40" s="339" t="s">
        <v>956</v>
      </c>
      <c r="R40" s="340">
        <v>437972.5</v>
      </c>
      <c r="S40" s="340">
        <v>373836.6</v>
      </c>
      <c r="T40" s="336" t="s">
        <v>957</v>
      </c>
      <c r="W40" s="360" t="s">
        <v>1013</v>
      </c>
      <c r="X40" s="361">
        <v>7.8514150989495938E-3</v>
      </c>
      <c r="Y40" s="361">
        <v>1.215404621988137E-2</v>
      </c>
      <c r="Z40" s="361">
        <v>1.0033317679533605E-2</v>
      </c>
      <c r="AA40" s="361">
        <v>1.0201100448253456E-2</v>
      </c>
      <c r="AB40" s="357" t="s">
        <v>1008</v>
      </c>
    </row>
    <row r="41" spans="3:34" ht="16.5" thickBot="1" x14ac:dyDescent="0.25">
      <c r="D41" t="s">
        <v>820</v>
      </c>
      <c r="F41">
        <f>F40*8760</f>
        <v>4905.6000000000004</v>
      </c>
      <c r="Q41" s="339" t="s">
        <v>958</v>
      </c>
      <c r="R41" s="340">
        <v>300</v>
      </c>
      <c r="S41" s="340">
        <v>300</v>
      </c>
      <c r="T41" s="336" t="s">
        <v>959</v>
      </c>
      <c r="W41" s="360" t="s">
        <v>1014</v>
      </c>
      <c r="X41" s="361">
        <v>4.7044657569089425E-2</v>
      </c>
      <c r="Y41" s="361">
        <v>7.279003305008358E-2</v>
      </c>
      <c r="Z41" s="361">
        <v>6.0092802568962871E-2</v>
      </c>
      <c r="AA41" s="361">
        <v>6.1097509099116751E-2</v>
      </c>
      <c r="AB41" s="357" t="s">
        <v>1008</v>
      </c>
    </row>
    <row r="42" spans="3:34" ht="16.5" thickBot="1" x14ac:dyDescent="0.25">
      <c r="D42" t="s">
        <v>822</v>
      </c>
      <c r="E42" t="s">
        <v>823</v>
      </c>
      <c r="F42">
        <f>F39*1000000/F41</f>
        <v>2484.6336899988132</v>
      </c>
      <c r="Q42" s="352" t="s">
        <v>958</v>
      </c>
      <c r="R42" s="353">
        <v>19</v>
      </c>
      <c r="W42" s="360" t="s">
        <v>1015</v>
      </c>
      <c r="X42" s="362">
        <v>519620.07442226977</v>
      </c>
      <c r="Y42" s="362">
        <v>337417.27734786714</v>
      </c>
      <c r="Z42" s="362">
        <v>407487.79240756534</v>
      </c>
      <c r="AA42" s="362">
        <v>400882.16697556898</v>
      </c>
      <c r="AB42" s="357" t="s">
        <v>1016</v>
      </c>
    </row>
    <row r="43" spans="3:34" ht="16.5" thickBot="1" x14ac:dyDescent="0.25">
      <c r="D43" t="s">
        <v>824</v>
      </c>
      <c r="E43" t="s">
        <v>823</v>
      </c>
      <c r="F43">
        <f>F42/F8*2</f>
        <v>261.10505995156086</v>
      </c>
      <c r="Q43" s="352" t="s">
        <v>827</v>
      </c>
      <c r="R43" s="209">
        <f>R42/R41*R40/1000</f>
        <v>27.738258333333334</v>
      </c>
      <c r="W43" s="360" t="s">
        <v>1017</v>
      </c>
      <c r="X43" s="360">
        <v>300</v>
      </c>
      <c r="Y43" s="360">
        <v>300</v>
      </c>
      <c r="Z43" s="360">
        <v>300</v>
      </c>
      <c r="AA43" s="360">
        <v>300</v>
      </c>
      <c r="AB43" s="357" t="s">
        <v>174</v>
      </c>
      <c r="AE43" s="203"/>
    </row>
    <row r="44" spans="3:34" ht="13.5" thickBot="1" x14ac:dyDescent="0.25">
      <c r="W44" s="360" t="s">
        <v>1018</v>
      </c>
      <c r="X44" s="363">
        <v>55.025286217289896</v>
      </c>
      <c r="Y44" s="363">
        <v>35.730879491843886</v>
      </c>
      <c r="Z44" s="363">
        <v>43.151012655174135</v>
      </c>
      <c r="AA44" s="363">
        <v>42.451508444441068</v>
      </c>
      <c r="AB44" s="357" t="s">
        <v>1019</v>
      </c>
    </row>
    <row r="45" spans="3:34" ht="18" thickBot="1" x14ac:dyDescent="0.35">
      <c r="C45" s="208" t="s">
        <v>688</v>
      </c>
      <c r="D45" s="208"/>
      <c r="R45" s="354"/>
      <c r="W45" s="360" t="s">
        <v>1020</v>
      </c>
      <c r="X45" s="363">
        <v>12.122821503583435</v>
      </c>
      <c r="Y45" s="363">
        <v>138.93125108635581</v>
      </c>
      <c r="Z45" s="363">
        <v>23.977797239271702</v>
      </c>
      <c r="AA45" s="363">
        <v>34.576463514456336</v>
      </c>
      <c r="AB45" s="357" t="s">
        <v>174</v>
      </c>
    </row>
    <row r="46" spans="3:34" ht="14.25" thickTop="1" thickBot="1" x14ac:dyDescent="0.25">
      <c r="D46" s="1" t="s">
        <v>678</v>
      </c>
      <c r="I46" s="1" t="s">
        <v>679</v>
      </c>
      <c r="P46" s="203" t="s">
        <v>644</v>
      </c>
      <c r="Q46" t="s">
        <v>645</v>
      </c>
      <c r="W46" s="360" t="s">
        <v>1021</v>
      </c>
      <c r="X46" s="363">
        <v>34.287148857243359</v>
      </c>
      <c r="Y46" s="363">
        <v>16.027769027388036</v>
      </c>
      <c r="Z46" s="363">
        <v>24.697673419957777</v>
      </c>
      <c r="AA46" s="363">
        <v>23.892718463136969</v>
      </c>
      <c r="AB46" s="357" t="s">
        <v>174</v>
      </c>
    </row>
    <row r="47" spans="3:34" x14ac:dyDescent="0.2">
      <c r="C47" s="203" t="str">
        <f>A12</f>
        <v>ISIBIB</v>
      </c>
      <c r="D47" s="203" t="str">
        <f>B12</f>
        <v>Bagasse</v>
      </c>
      <c r="E47" s="203" t="s">
        <v>117</v>
      </c>
      <c r="F47" s="209">
        <f>K13</f>
        <v>38.431349439027017</v>
      </c>
      <c r="H47" s="292" t="str">
        <f>A17</f>
        <v>ISIHET</v>
      </c>
      <c r="I47" s="203" t="str">
        <f>B17</f>
        <v>Steam From CHP</v>
      </c>
      <c r="J47" s="203" t="s">
        <v>117</v>
      </c>
      <c r="K47" s="209">
        <f>F17</f>
        <v>32.909271380077087</v>
      </c>
      <c r="L47" s="241">
        <f>K47/F35</f>
        <v>0.22432560218217573</v>
      </c>
      <c r="Q47" t="s">
        <v>646</v>
      </c>
      <c r="W47" s="358" t="s">
        <v>1023</v>
      </c>
    </row>
    <row r="48" spans="3:34" x14ac:dyDescent="0.2">
      <c r="C48" s="203" t="str">
        <f>A4</f>
        <v>INDCOA</v>
      </c>
      <c r="D48" s="203" t="str">
        <f>B4</f>
        <v>Industry Coal</v>
      </c>
      <c r="E48" s="203" t="s">
        <v>117</v>
      </c>
      <c r="F48" s="209">
        <f>K5</f>
        <v>5.3887278299999997</v>
      </c>
      <c r="H48" s="292" t="str">
        <f>A19</f>
        <v>ISIELC</v>
      </c>
      <c r="I48" s="203" t="str">
        <f>B19</f>
        <v>Sugar Industry Electricity</v>
      </c>
      <c r="J48" s="203" t="s">
        <v>117</v>
      </c>
      <c r="K48" s="209">
        <f>F20</f>
        <v>2.5486429140000002</v>
      </c>
      <c r="L48" s="242">
        <f>K48/(F35)</f>
        <v>1.737278986907324E-2</v>
      </c>
      <c r="Q48" t="s">
        <v>647</v>
      </c>
      <c r="X48">
        <f>X42/1000*19/300</f>
        <v>32.909271380077087</v>
      </c>
    </row>
    <row r="49" spans="3:34" x14ac:dyDescent="0.2">
      <c r="C49" s="203" t="str">
        <f>A6</f>
        <v>BIW</v>
      </c>
      <c r="D49" s="203" t="str">
        <f>B6</f>
        <v>Biomass Woodchips</v>
      </c>
      <c r="E49" s="203" t="s">
        <v>117</v>
      </c>
      <c r="F49" s="209">
        <f>K7</f>
        <v>0.97991501759550004</v>
      </c>
      <c r="I49" s="1" t="s">
        <v>119</v>
      </c>
      <c r="J49" s="203" t="s">
        <v>117</v>
      </c>
      <c r="K49" s="209">
        <f>SUM(K47:K48)</f>
        <v>35.457914294077085</v>
      </c>
      <c r="Q49" t="s">
        <v>648</v>
      </c>
      <c r="W49" s="203" t="s">
        <v>1029</v>
      </c>
      <c r="X49" s="365">
        <v>250</v>
      </c>
      <c r="Y49" s="203" t="s">
        <v>1027</v>
      </c>
      <c r="Z49" s="367">
        <v>0.55800000000000005</v>
      </c>
      <c r="AA49">
        <f>X49*Z49*8760/1000000</f>
        <v>1.2220200000000001</v>
      </c>
      <c r="AB49" s="366" t="s">
        <v>1028</v>
      </c>
    </row>
    <row r="50" spans="3:34" x14ac:dyDescent="0.2">
      <c r="D50" s="1" t="s">
        <v>119</v>
      </c>
      <c r="E50" s="203" t="s">
        <v>117</v>
      </c>
      <c r="F50" s="209">
        <f>SUM(F47:F49)</f>
        <v>44.799992286622519</v>
      </c>
      <c r="Q50" s="203" t="s">
        <v>649</v>
      </c>
      <c r="W50" s="286" t="s">
        <v>1030</v>
      </c>
      <c r="AA50">
        <f>AA49*19/2</f>
        <v>11.609190000000002</v>
      </c>
      <c r="AB50" s="366" t="s">
        <v>1028</v>
      </c>
    </row>
    <row r="51" spans="3:34" x14ac:dyDescent="0.2">
      <c r="D51" t="s">
        <v>817</v>
      </c>
      <c r="F51" s="242">
        <f>K48/(Costs_Exist!C23*31.536)</f>
        <v>0.34117967976289443</v>
      </c>
      <c r="AB51" s="203" t="s">
        <v>1031</v>
      </c>
    </row>
    <row r="52" spans="3:34" x14ac:dyDescent="0.2">
      <c r="D52" s="203" t="s">
        <v>731</v>
      </c>
      <c r="F52" s="242">
        <f>K49/F50</f>
        <v>0.79147143747756799</v>
      </c>
      <c r="AA52">
        <f>X48/AA50</f>
        <v>2.834760339013926</v>
      </c>
      <c r="AB52" s="203" t="s">
        <v>880</v>
      </c>
    </row>
    <row r="53" spans="3:34" x14ac:dyDescent="0.2">
      <c r="D53" s="203" t="s">
        <v>680</v>
      </c>
      <c r="F53" s="273">
        <f>K48/F50</f>
        <v>5.6889360553774838E-2</v>
      </c>
    </row>
    <row r="54" spans="3:34" x14ac:dyDescent="0.2">
      <c r="D54" s="203" t="s">
        <v>681</v>
      </c>
      <c r="F54" s="209">
        <f>K47/K48</f>
        <v>12.912468513852028</v>
      </c>
    </row>
    <row r="55" spans="3:34" x14ac:dyDescent="0.2">
      <c r="D55" s="203" t="s">
        <v>724</v>
      </c>
      <c r="F55">
        <f>F48/F50</f>
        <v>0.12028412405796549</v>
      </c>
    </row>
    <row r="56" spans="3:34" x14ac:dyDescent="0.2">
      <c r="D56" s="203" t="s">
        <v>725</v>
      </c>
      <c r="F56">
        <f>F49/F50</f>
        <v>2.1873106837299771E-2</v>
      </c>
      <c r="M56" t="s">
        <v>650</v>
      </c>
    </row>
    <row r="57" spans="3:34" x14ac:dyDescent="0.2">
      <c r="M57" t="s">
        <v>492</v>
      </c>
      <c r="N57" t="s">
        <v>651</v>
      </c>
      <c r="O57">
        <v>35.200000000000003</v>
      </c>
    </row>
    <row r="58" spans="3:34" ht="18" thickBot="1" x14ac:dyDescent="0.35">
      <c r="C58" s="208" t="s">
        <v>721</v>
      </c>
      <c r="D58" s="208"/>
      <c r="M58" t="s">
        <v>652</v>
      </c>
      <c r="N58" t="s">
        <v>642</v>
      </c>
      <c r="O58">
        <v>7.3</v>
      </c>
    </row>
    <row r="59" spans="3:34" ht="13.5" thickTop="1" x14ac:dyDescent="0.2">
      <c r="D59" s="1" t="s">
        <v>678</v>
      </c>
      <c r="F59" s="209"/>
      <c r="G59" s="209"/>
      <c r="H59" s="212"/>
      <c r="I59" s="250" t="s">
        <v>679</v>
      </c>
      <c r="J59" s="209"/>
      <c r="K59" s="209"/>
      <c r="M59" t="s">
        <v>653</v>
      </c>
      <c r="N59" t="s">
        <v>656</v>
      </c>
      <c r="O59">
        <f>O58/O57</f>
        <v>0.20738636363636362</v>
      </c>
    </row>
    <row r="60" spans="3:34" x14ac:dyDescent="0.2">
      <c r="C60" t="str">
        <f>A8</f>
        <v>BSC</v>
      </c>
      <c r="D60" t="str">
        <f>B8</f>
        <v>Cane-into factory</v>
      </c>
      <c r="E60" t="str">
        <f>J8</f>
        <v>mt</v>
      </c>
      <c r="F60" s="209">
        <f>K8</f>
        <v>19.031677826999999</v>
      </c>
      <c r="G60" s="209"/>
      <c r="H60" s="212" t="str">
        <f>A12</f>
        <v>ISIBIB</v>
      </c>
      <c r="I60" s="209" t="str">
        <f>B12</f>
        <v>Bagasse</v>
      </c>
      <c r="J60" s="209" t="str">
        <f>E13</f>
        <v>PJ</v>
      </c>
      <c r="K60" s="209">
        <f>F13</f>
        <v>41.605877924680108</v>
      </c>
    </row>
    <row r="61" spans="3:34" x14ac:dyDescent="0.2">
      <c r="C61" t="str">
        <f>A17</f>
        <v>ISIHET</v>
      </c>
      <c r="D61" t="str">
        <f>B17</f>
        <v>Steam From CHP</v>
      </c>
      <c r="E61" t="str">
        <f>J17</f>
        <v>PJ</v>
      </c>
      <c r="F61" s="209">
        <f>K17</f>
        <v>28.367708784862273</v>
      </c>
      <c r="G61" s="209"/>
      <c r="H61" s="212" t="str">
        <f>A16</f>
        <v>BCS</v>
      </c>
      <c r="I61" s="209" t="str">
        <f>B16</f>
        <v>Cane Syrup (A-Mollasses)</v>
      </c>
      <c r="J61" s="209" t="str">
        <f>E16</f>
        <v>PJ</v>
      </c>
      <c r="K61" s="209">
        <f>F16</f>
        <v>47.206842041346803</v>
      </c>
    </row>
    <row r="62" spans="3:34" x14ac:dyDescent="0.2">
      <c r="C62" t="str">
        <f>C69</f>
        <v>ISIELC</v>
      </c>
      <c r="D62" t="str">
        <f>D69</f>
        <v>Sugar Industry Electricity</v>
      </c>
      <c r="E62" t="str">
        <f>E69</f>
        <v>PJ</v>
      </c>
      <c r="F62" s="209">
        <f>K22</f>
        <v>2.1110199717134499</v>
      </c>
      <c r="G62" s="209"/>
      <c r="H62" s="212"/>
      <c r="I62" s="209"/>
      <c r="J62" s="209"/>
      <c r="K62" s="209"/>
      <c r="M62" t="s">
        <v>654</v>
      </c>
    </row>
    <row r="63" spans="3:34" x14ac:dyDescent="0.2">
      <c r="F63" s="209"/>
      <c r="G63" s="209"/>
      <c r="H63" s="212"/>
      <c r="I63" s="209"/>
      <c r="J63" s="209"/>
      <c r="K63" s="209"/>
      <c r="M63" s="203" t="s">
        <v>669</v>
      </c>
      <c r="O63">
        <v>29.5</v>
      </c>
      <c r="AH63" s="203" t="s">
        <v>816</v>
      </c>
    </row>
    <row r="64" spans="3:34" x14ac:dyDescent="0.2">
      <c r="F64" s="209"/>
      <c r="G64" s="209"/>
      <c r="H64" s="212"/>
      <c r="I64" s="209"/>
      <c r="J64" s="209"/>
      <c r="K64" s="209"/>
      <c r="M64" t="s">
        <v>655</v>
      </c>
      <c r="N64" t="s">
        <v>642</v>
      </c>
      <c r="O64">
        <f>88.6+85.8</f>
        <v>174.39999999999998</v>
      </c>
    </row>
    <row r="65" spans="3:16" ht="18" thickBot="1" x14ac:dyDescent="0.35">
      <c r="C65" s="208" t="str">
        <f>RES!AA39&amp;" Checks"</f>
        <v>B and C Stages Checks</v>
      </c>
      <c r="D65" s="208"/>
      <c r="F65" s="209"/>
      <c r="G65" s="209"/>
      <c r="H65" s="212"/>
      <c r="I65" s="209"/>
      <c r="J65" s="209"/>
      <c r="K65" s="209"/>
      <c r="N65" t="s">
        <v>657</v>
      </c>
      <c r="O65">
        <f>O64/O57</f>
        <v>4.9545454545454533</v>
      </c>
      <c r="P65">
        <f>F17/K12</f>
        <v>6.1602297347950632</v>
      </c>
    </row>
    <row r="66" spans="3:16" ht="13.5" thickTop="1" x14ac:dyDescent="0.2">
      <c r="D66" s="1" t="s">
        <v>678</v>
      </c>
      <c r="F66" s="209"/>
      <c r="G66" s="209"/>
      <c r="H66" s="212"/>
      <c r="I66" s="250" t="s">
        <v>679</v>
      </c>
      <c r="J66" s="209"/>
      <c r="K66" s="209"/>
    </row>
    <row r="67" spans="3:16" x14ac:dyDescent="0.2">
      <c r="C67" t="str">
        <f>A16</f>
        <v>BCS</v>
      </c>
      <c r="D67" t="str">
        <f>B16</f>
        <v>Cane Syrup (A-Mollasses)</v>
      </c>
      <c r="E67" t="str">
        <f>J16</f>
        <v>PJ</v>
      </c>
      <c r="F67" s="209">
        <f>K16</f>
        <v>47.206842041346803</v>
      </c>
      <c r="G67" s="209"/>
      <c r="H67" s="212" t="str">
        <f>A29</f>
        <v>ISISUG</v>
      </c>
      <c r="I67" s="209" t="str">
        <f>B29</f>
        <v>Sugar</v>
      </c>
      <c r="J67" s="209" t="str">
        <f>E29</f>
        <v>PJ</v>
      </c>
      <c r="K67" s="209">
        <f>F29</f>
        <v>36.052176771959999</v>
      </c>
    </row>
    <row r="68" spans="3:16" x14ac:dyDescent="0.2">
      <c r="C68" t="str">
        <f>A17</f>
        <v>ISIHET</v>
      </c>
      <c r="D68" t="str">
        <f>B17</f>
        <v>Steam From CHP</v>
      </c>
      <c r="E68" t="str">
        <f>J18</f>
        <v>PJ</v>
      </c>
      <c r="F68">
        <f>K18</f>
        <v>4.5415625952148133</v>
      </c>
      <c r="G68" s="209"/>
      <c r="H68" s="212" t="str">
        <f>A25</f>
        <v>ISIBML</v>
      </c>
      <c r="I68" s="209" t="str">
        <f>B25</f>
        <v>C-Molasses</v>
      </c>
      <c r="J68" s="209" t="str">
        <f>E26</f>
        <v>PJ</v>
      </c>
      <c r="K68" s="209">
        <f>F26</f>
        <v>6.3443984363043731</v>
      </c>
    </row>
    <row r="69" spans="3:16" x14ac:dyDescent="0.2">
      <c r="C69" t="str">
        <f>A19</f>
        <v>ISIELC</v>
      </c>
      <c r="D69" t="str">
        <f>B19</f>
        <v>Sugar Industry Electricity</v>
      </c>
      <c r="E69" t="str">
        <f>E20</f>
        <v>PJ</v>
      </c>
      <c r="F69" s="209">
        <f>K20</f>
        <v>0.31965921508655093</v>
      </c>
      <c r="G69" s="209"/>
      <c r="H69" s="212" t="str">
        <f>A27</f>
        <v>ISIBFC</v>
      </c>
      <c r="I69" s="212" t="str">
        <f t="shared" ref="I69" si="7">B27</f>
        <v>Filter Cake</v>
      </c>
      <c r="J69" s="212" t="str">
        <f>E28</f>
        <v>PJ</v>
      </c>
      <c r="K69" s="212">
        <f>F28</f>
        <v>0.65605958679236165</v>
      </c>
      <c r="L69" s="212"/>
    </row>
  </sheetData>
  <mergeCells count="1">
    <mergeCell ref="Q5:R5"/>
  </mergeCell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FEC7F-7D7D-4C94-A787-778F5858F9AF}">
  <sheetPr>
    <tabColor theme="9"/>
  </sheetPr>
  <dimension ref="B2:T39"/>
  <sheetViews>
    <sheetView workbookViewId="0">
      <selection activeCell="M37" sqref="M37"/>
    </sheetView>
  </sheetViews>
  <sheetFormatPr defaultRowHeight="12.75" x14ac:dyDescent="0.2"/>
  <cols>
    <col min="2" max="2" width="13.42578125" customWidth="1"/>
    <col min="16" max="16" width="11.5703125" customWidth="1"/>
  </cols>
  <sheetData>
    <row r="2" spans="2:20" x14ac:dyDescent="0.2">
      <c r="T2" s="280" t="s">
        <v>893</v>
      </c>
    </row>
    <row r="3" spans="2:20" x14ac:dyDescent="0.2">
      <c r="J3" s="203" t="s">
        <v>899</v>
      </c>
      <c r="N3" s="203"/>
    </row>
    <row r="4" spans="2:20" x14ac:dyDescent="0.2">
      <c r="G4" s="203" t="s">
        <v>492</v>
      </c>
      <c r="H4" s="203" t="s">
        <v>610</v>
      </c>
      <c r="I4" s="270">
        <f>5.783/0.85</f>
        <v>6.803529411764706</v>
      </c>
      <c r="L4" s="203" t="s">
        <v>662</v>
      </c>
      <c r="M4" s="203" t="s">
        <v>117</v>
      </c>
      <c r="N4" s="296">
        <f>H38+M38+R38+R5</f>
        <v>60.2348800083372</v>
      </c>
      <c r="O4" s="241">
        <f>N4/D10</f>
        <v>0.36272586472475521</v>
      </c>
      <c r="P4" s="203" t="s">
        <v>898</v>
      </c>
      <c r="Q4" s="203" t="s">
        <v>610</v>
      </c>
      <c r="R4" s="270">
        <v>0.88777499999999998</v>
      </c>
    </row>
    <row r="5" spans="2:20" x14ac:dyDescent="0.2">
      <c r="H5" s="203" t="s">
        <v>117</v>
      </c>
      <c r="I5" s="209">
        <f>I4*I6</f>
        <v>51.026470588235298</v>
      </c>
      <c r="J5" s="241">
        <f>I5/D10</f>
        <v>0.30727413527524472</v>
      </c>
      <c r="Q5" s="203" t="s">
        <v>117</v>
      </c>
      <c r="R5" s="270">
        <f>R4*R6</f>
        <v>11.541074999999999</v>
      </c>
    </row>
    <row r="6" spans="2:20" x14ac:dyDescent="0.2">
      <c r="G6" s="203" t="s">
        <v>641</v>
      </c>
      <c r="H6" s="203" t="s">
        <v>880</v>
      </c>
      <c r="I6">
        <v>7.5</v>
      </c>
      <c r="P6" s="203" t="s">
        <v>641</v>
      </c>
      <c r="Q6" s="203" t="s">
        <v>880</v>
      </c>
      <c r="R6">
        <v>13</v>
      </c>
    </row>
    <row r="9" spans="2:20" x14ac:dyDescent="0.2">
      <c r="B9" s="203" t="s">
        <v>901</v>
      </c>
      <c r="C9" s="203" t="s">
        <v>610</v>
      </c>
    </row>
    <row r="10" spans="2:20" x14ac:dyDescent="0.2">
      <c r="C10" s="203" t="s">
        <v>117</v>
      </c>
      <c r="D10" s="209">
        <f>D15/(35%+32%)</f>
        <v>166.06171730831718</v>
      </c>
    </row>
    <row r="12" spans="2:20" x14ac:dyDescent="0.2">
      <c r="B12" t="s">
        <v>494</v>
      </c>
      <c r="C12" t="s">
        <v>117</v>
      </c>
      <c r="D12" s="209">
        <f>D10*33%</f>
        <v>54.800366711744672</v>
      </c>
      <c r="E12" s="241">
        <f>D12/D10</f>
        <v>0.33</v>
      </c>
    </row>
    <row r="14" spans="2:20" x14ac:dyDescent="0.2">
      <c r="B14" s="203" t="s">
        <v>900</v>
      </c>
      <c r="C14" s="203" t="s">
        <v>610</v>
      </c>
      <c r="D14" s="209">
        <f>EB_Exist!F8</f>
        <v>19.031677826999999</v>
      </c>
    </row>
    <row r="15" spans="2:20" x14ac:dyDescent="0.2">
      <c r="C15" s="203" t="s">
        <v>117</v>
      </c>
      <c r="D15" s="209">
        <f>I5+N4</f>
        <v>111.2613505965725</v>
      </c>
      <c r="E15" s="241">
        <f>D15/D10</f>
        <v>0.66999999999999993</v>
      </c>
    </row>
    <row r="16" spans="2:20" x14ac:dyDescent="0.2">
      <c r="B16" s="203" t="s">
        <v>641</v>
      </c>
      <c r="C16" s="203" t="s">
        <v>880</v>
      </c>
      <c r="D16" s="270">
        <f>D15/D14</f>
        <v>5.8461136011207291</v>
      </c>
    </row>
    <row r="37" spans="6:18" x14ac:dyDescent="0.2">
      <c r="F37" s="203" t="s">
        <v>486</v>
      </c>
      <c r="G37" s="203" t="s">
        <v>610</v>
      </c>
      <c r="H37" s="209">
        <f>EB_Exist!F30</f>
        <v>2.183821</v>
      </c>
      <c r="K37" s="203" t="s">
        <v>895</v>
      </c>
      <c r="L37" s="203" t="s">
        <v>610</v>
      </c>
      <c r="M37" s="270">
        <f>4%*D14</f>
        <v>0.76126711307999995</v>
      </c>
      <c r="P37" s="203" t="s">
        <v>902</v>
      </c>
      <c r="Q37" s="203" t="s">
        <v>903</v>
      </c>
      <c r="R37">
        <v>3.2</v>
      </c>
    </row>
    <row r="38" spans="6:18" x14ac:dyDescent="0.2">
      <c r="G38" s="203" t="s">
        <v>117</v>
      </c>
      <c r="H38">
        <f>H37*H39</f>
        <v>36.052176771959999</v>
      </c>
      <c r="L38" s="203" t="s">
        <v>117</v>
      </c>
      <c r="M38">
        <f>M37*M39</f>
        <v>11.487520736377199</v>
      </c>
      <c r="Q38" s="203" t="s">
        <v>117</v>
      </c>
      <c r="R38" s="306">
        <f>10%*R5</f>
        <v>1.1541075000000001</v>
      </c>
    </row>
    <row r="39" spans="6:18" x14ac:dyDescent="0.2">
      <c r="F39" s="203" t="s">
        <v>641</v>
      </c>
      <c r="G39" s="203" t="s">
        <v>880</v>
      </c>
      <c r="H39">
        <f>EB_Exist!G30</f>
        <v>16.508759999999999</v>
      </c>
      <c r="K39" s="203" t="s">
        <v>641</v>
      </c>
      <c r="L39" s="203" t="s">
        <v>880</v>
      </c>
      <c r="M39">
        <v>15.09</v>
      </c>
      <c r="P39" s="203" t="s">
        <v>641</v>
      </c>
      <c r="Q39" t="s">
        <v>860</v>
      </c>
      <c r="R39" s="270">
        <f>R38/R37</f>
        <v>0.36065859374999998</v>
      </c>
    </row>
  </sheetData>
  <hyperlinks>
    <hyperlink ref="T2" r:id="rId1" xr:uid="{6DBB80F9-969F-4565-8977-AE9A394C5A0A}"/>
  </hyperlinks>
  <pageMargins left="0.7" right="0.7" top="0.75" bottom="0.75" header="0.3" footer="0.3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88E2-A8D0-4B55-8F1D-FDC0A0AE3165}">
  <sheetPr>
    <tabColor theme="9"/>
  </sheetPr>
  <dimension ref="C2:E13"/>
  <sheetViews>
    <sheetView workbookViewId="0">
      <selection activeCell="E3" sqref="E3"/>
    </sheetView>
  </sheetViews>
  <sheetFormatPr defaultRowHeight="12.75" x14ac:dyDescent="0.2"/>
  <cols>
    <col min="3" max="3" width="19.140625" customWidth="1"/>
  </cols>
  <sheetData>
    <row r="2" spans="3:5" x14ac:dyDescent="0.2">
      <c r="D2" t="str">
        <f>'[1]Condensing Turbine'!B2</f>
        <v>R/$</v>
      </c>
      <c r="E2">
        <f>'[1]Condensing Turbine'!C2</f>
        <v>13.24</v>
      </c>
    </row>
    <row r="3" spans="3:5" x14ac:dyDescent="0.2">
      <c r="C3" s="203" t="s">
        <v>867</v>
      </c>
      <c r="D3" s="203" t="s">
        <v>780</v>
      </c>
      <c r="E3">
        <f>[2]Biogas!C36</f>
        <v>12822.7</v>
      </c>
    </row>
    <row r="4" spans="3:5" x14ac:dyDescent="0.2">
      <c r="C4" s="203" t="s">
        <v>863</v>
      </c>
      <c r="E4" s="283">
        <v>0.4</v>
      </c>
    </row>
    <row r="5" spans="3:5" x14ac:dyDescent="0.2">
      <c r="C5" s="203" t="s">
        <v>868</v>
      </c>
      <c r="D5" s="203" t="s">
        <v>869</v>
      </c>
      <c r="E5">
        <v>10</v>
      </c>
    </row>
    <row r="6" spans="3:5" x14ac:dyDescent="0.2">
      <c r="D6" s="203" t="s">
        <v>285</v>
      </c>
      <c r="E6">
        <f>E5*E2</f>
        <v>132.4</v>
      </c>
    </row>
    <row r="7" spans="3:5" x14ac:dyDescent="0.2">
      <c r="C7" s="203" t="s">
        <v>870</v>
      </c>
      <c r="E7" s="283">
        <v>0.2</v>
      </c>
    </row>
    <row r="8" spans="3:5" x14ac:dyDescent="0.2">
      <c r="C8" s="203" t="s">
        <v>871</v>
      </c>
      <c r="E8">
        <f>[2]Biogas!C40</f>
        <v>424.6</v>
      </c>
    </row>
    <row r="9" spans="3:5" x14ac:dyDescent="0.2">
      <c r="C9" s="203" t="s">
        <v>872</v>
      </c>
      <c r="E9" s="283">
        <v>0.1</v>
      </c>
    </row>
    <row r="10" spans="3:5" x14ac:dyDescent="0.2">
      <c r="C10" s="203" t="s">
        <v>838</v>
      </c>
      <c r="E10">
        <v>30</v>
      </c>
    </row>
    <row r="11" spans="3:5" x14ac:dyDescent="0.2">
      <c r="C11" s="203" t="s">
        <v>877</v>
      </c>
      <c r="D11" s="203" t="s">
        <v>837</v>
      </c>
      <c r="E11">
        <f>((-PMT(E9,E10,E3,0,1)+E8)/(8.76*E7))/1000</f>
        <v>0.94815399365351227</v>
      </c>
    </row>
    <row r="12" spans="3:5" x14ac:dyDescent="0.2">
      <c r="C12" s="203" t="s">
        <v>878</v>
      </c>
      <c r="D12" s="203" t="s">
        <v>837</v>
      </c>
      <c r="E12">
        <f>E6*3.6/E4/1000</f>
        <v>1.1916000000000002</v>
      </c>
    </row>
    <row r="13" spans="3:5" x14ac:dyDescent="0.2">
      <c r="C13" s="203" t="s">
        <v>879</v>
      </c>
      <c r="E13">
        <f>E11+E12</f>
        <v>2.1397539936535126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0C4D5-D93D-4457-B982-920477CDC7A5}">
  <sheetPr>
    <tabColor theme="9"/>
  </sheetPr>
  <dimension ref="A2:U85"/>
  <sheetViews>
    <sheetView zoomScale="90" zoomScaleNormal="90" workbookViewId="0">
      <selection activeCell="C55" sqref="C55"/>
    </sheetView>
  </sheetViews>
  <sheetFormatPr defaultRowHeight="12.75" x14ac:dyDescent="0.2"/>
  <cols>
    <col min="1" max="1" width="27" customWidth="1"/>
    <col min="2" max="2" width="12" customWidth="1"/>
    <col min="3" max="3" width="10" customWidth="1"/>
    <col min="11" max="11" width="33.5703125" customWidth="1"/>
  </cols>
  <sheetData>
    <row r="2" spans="1:20" x14ac:dyDescent="0.2">
      <c r="K2" s="203" t="s">
        <v>747</v>
      </c>
      <c r="T2" s="203" t="s">
        <v>747</v>
      </c>
    </row>
    <row r="3" spans="1:20" ht="13.5" thickBot="1" x14ac:dyDescent="0.25">
      <c r="K3" s="203" t="s">
        <v>748</v>
      </c>
    </row>
    <row r="4" spans="1:20" ht="51" customHeight="1" thickBot="1" x14ac:dyDescent="0.35">
      <c r="B4" s="208"/>
      <c r="C4" s="208">
        <v>2018</v>
      </c>
      <c r="K4" s="256" t="s">
        <v>733</v>
      </c>
      <c r="L4" s="257" t="s">
        <v>734</v>
      </c>
      <c r="M4" s="259" t="s">
        <v>736</v>
      </c>
      <c r="N4" s="271" t="s">
        <v>737</v>
      </c>
      <c r="O4" s="271" t="s">
        <v>738</v>
      </c>
    </row>
    <row r="5" spans="1:20" ht="14.25" thickTop="1" thickBot="1" x14ac:dyDescent="0.25">
      <c r="A5" s="203" t="s">
        <v>758</v>
      </c>
      <c r="B5" s="203" t="s">
        <v>610</v>
      </c>
      <c r="C5" s="302">
        <f>'Cost of generation'!F58</f>
        <v>19.031677826999999</v>
      </c>
      <c r="K5" s="267"/>
      <c r="L5" s="258" t="s">
        <v>735</v>
      </c>
      <c r="M5" s="260" t="s">
        <v>735</v>
      </c>
      <c r="N5" s="260" t="s">
        <v>735</v>
      </c>
      <c r="O5" s="260" t="s">
        <v>735</v>
      </c>
    </row>
    <row r="6" spans="1:20" ht="13.5" thickBot="1" x14ac:dyDescent="0.25">
      <c r="A6" s="203" t="s">
        <v>759</v>
      </c>
      <c r="B6" s="203" t="s">
        <v>510</v>
      </c>
      <c r="C6" s="302">
        <f>'Cost of generation'!AI58</f>
        <v>8594.297106359998</v>
      </c>
      <c r="K6" s="261" t="s">
        <v>739</v>
      </c>
      <c r="L6" s="262">
        <v>9.59</v>
      </c>
      <c r="M6" s="263">
        <v>44.59</v>
      </c>
      <c r="N6" s="263">
        <v>9.59</v>
      </c>
      <c r="O6" s="263">
        <v>44.59</v>
      </c>
    </row>
    <row r="7" spans="1:20" ht="13.5" thickBot="1" x14ac:dyDescent="0.25">
      <c r="A7" s="203" t="s">
        <v>755</v>
      </c>
      <c r="B7" s="203" t="s">
        <v>756</v>
      </c>
      <c r="C7" s="302">
        <f>C6/C5</f>
        <v>451.57853051544294</v>
      </c>
      <c r="K7" s="261" t="s">
        <v>740</v>
      </c>
      <c r="L7" s="262">
        <v>0.8</v>
      </c>
      <c r="M7" s="263">
        <v>3.19</v>
      </c>
      <c r="N7" s="263">
        <v>0.8</v>
      </c>
      <c r="O7" s="263">
        <v>3.19</v>
      </c>
    </row>
    <row r="8" spans="1:20" ht="13.5" thickBot="1" x14ac:dyDescent="0.25">
      <c r="A8" s="203" t="s">
        <v>760</v>
      </c>
      <c r="B8" s="203" t="s">
        <v>610</v>
      </c>
      <c r="C8" s="302">
        <f>SugarPrices!C24/1000000</f>
        <v>2.183821</v>
      </c>
      <c r="K8" s="261" t="s">
        <v>741</v>
      </c>
      <c r="L8" s="262">
        <v>0.48</v>
      </c>
      <c r="M8" s="263">
        <v>2.39</v>
      </c>
      <c r="N8" s="263">
        <v>0.48</v>
      </c>
      <c r="O8" s="263">
        <v>2.39</v>
      </c>
    </row>
    <row r="9" spans="1:20" ht="13.5" thickBot="1" x14ac:dyDescent="0.25">
      <c r="B9" s="203" t="s">
        <v>757</v>
      </c>
      <c r="C9" s="302">
        <f>C6/C8</f>
        <v>3935.4402702236116</v>
      </c>
      <c r="K9" s="261" t="s">
        <v>742</v>
      </c>
      <c r="L9" s="262">
        <v>1.28</v>
      </c>
      <c r="M9" s="263">
        <v>3.19</v>
      </c>
      <c r="N9" s="263">
        <v>1.28</v>
      </c>
      <c r="O9" s="263">
        <v>3.19</v>
      </c>
    </row>
    <row r="10" spans="1:20" ht="13.5" thickBot="1" x14ac:dyDescent="0.25">
      <c r="A10" s="203" t="s">
        <v>761</v>
      </c>
      <c r="C10" s="302">
        <f>C5/C8</f>
        <v>8.7148524659301287</v>
      </c>
      <c r="K10" s="261" t="s">
        <v>743</v>
      </c>
      <c r="L10" s="262">
        <v>0.32</v>
      </c>
      <c r="M10" s="263">
        <v>2.39</v>
      </c>
      <c r="N10" s="263">
        <v>0</v>
      </c>
      <c r="O10" s="263">
        <v>0</v>
      </c>
    </row>
    <row r="11" spans="1:20" ht="13.5" thickBot="1" x14ac:dyDescent="0.25">
      <c r="A11" s="203" t="s">
        <v>762</v>
      </c>
      <c r="C11" s="302">
        <f>C13/C40</f>
        <v>8.5507968127490042</v>
      </c>
      <c r="K11" s="261" t="s">
        <v>744</v>
      </c>
      <c r="L11" s="262">
        <v>0.32</v>
      </c>
      <c r="M11" s="263">
        <v>3.19</v>
      </c>
      <c r="N11" s="263">
        <v>0</v>
      </c>
      <c r="O11" s="263">
        <v>0</v>
      </c>
    </row>
    <row r="12" spans="1:20" ht="18" thickBot="1" x14ac:dyDescent="0.35">
      <c r="A12" s="208" t="s">
        <v>978</v>
      </c>
      <c r="B12" s="208"/>
      <c r="C12" s="303"/>
      <c r="K12" s="261" t="s">
        <v>745</v>
      </c>
      <c r="L12" s="262">
        <v>1.6</v>
      </c>
      <c r="M12" s="263">
        <v>19.12</v>
      </c>
      <c r="N12" s="263">
        <v>1.6</v>
      </c>
      <c r="O12" s="263">
        <v>19.12</v>
      </c>
    </row>
    <row r="13" spans="1:20" ht="14.25" thickTop="1" thickBot="1" x14ac:dyDescent="0.25">
      <c r="A13" s="203" t="s">
        <v>751</v>
      </c>
      <c r="B13" s="203" t="s">
        <v>752</v>
      </c>
      <c r="C13" s="302">
        <v>25.754999999999999</v>
      </c>
      <c r="K13" s="264" t="s">
        <v>746</v>
      </c>
      <c r="L13" s="265">
        <v>14.39</v>
      </c>
      <c r="M13" s="266">
        <v>78.06</v>
      </c>
      <c r="N13" s="266">
        <v>13.75</v>
      </c>
      <c r="O13" s="266">
        <v>72.48</v>
      </c>
    </row>
    <row r="14" spans="1:20" x14ac:dyDescent="0.2">
      <c r="A14" s="203" t="s">
        <v>818</v>
      </c>
      <c r="B14" t="str">
        <f>B13</f>
        <v>mtons cane</v>
      </c>
      <c r="C14" s="302">
        <f>'Cost of generation'!F58</f>
        <v>19.031677826999999</v>
      </c>
    </row>
    <row r="15" spans="1:20" x14ac:dyDescent="0.2">
      <c r="A15" s="203" t="s">
        <v>783</v>
      </c>
      <c r="B15" s="203" t="s">
        <v>510</v>
      </c>
      <c r="C15" s="302">
        <f>('Cost of generation'!AP58+'Cost of generation'!AJ58+SUM(L19:M22)*C14)*O43</f>
        <v>2672.133499747812</v>
      </c>
      <c r="D15" s="203" t="s">
        <v>788</v>
      </c>
      <c r="K15" s="268" t="s">
        <v>750</v>
      </c>
      <c r="L15" s="269">
        <v>1.452</v>
      </c>
    </row>
    <row r="16" spans="1:20" x14ac:dyDescent="0.2">
      <c r="B16" s="203" t="s">
        <v>756</v>
      </c>
      <c r="C16" s="302">
        <f>C15/C13</f>
        <v>103.75202872249319</v>
      </c>
      <c r="K16" s="203" t="s">
        <v>749</v>
      </c>
    </row>
    <row r="17" spans="1:21" x14ac:dyDescent="0.2">
      <c r="B17" s="203" t="s">
        <v>757</v>
      </c>
      <c r="C17" s="302">
        <f>C16*$C$10</f>
        <v>904.18362335747338</v>
      </c>
      <c r="K17" t="str">
        <f t="shared" ref="K17:O18" si="0">K4</f>
        <v>Process Unit</v>
      </c>
      <c r="L17" t="str">
        <f t="shared" si="0"/>
        <v>Average Variable Costs for Sugar</v>
      </c>
      <c r="M17" t="str">
        <f t="shared" si="0"/>
        <v xml:space="preserve">Average Fixed Costs for Sugar </v>
      </c>
      <c r="N17" t="str">
        <f t="shared" si="0"/>
        <v>Average Variable Costs for Sugar Juice (R/t Cane)</v>
      </c>
      <c r="O17" t="str">
        <f t="shared" si="0"/>
        <v>Average Fixed Costs for Sugar Juice (R/t Cane)</v>
      </c>
    </row>
    <row r="18" spans="1:21" x14ac:dyDescent="0.2">
      <c r="A18" s="203" t="s">
        <v>784</v>
      </c>
      <c r="B18" s="203" t="s">
        <v>756</v>
      </c>
      <c r="C18" s="302">
        <f>C15/$C$14</f>
        <v>140.4045152528218</v>
      </c>
      <c r="K18">
        <f t="shared" si="0"/>
        <v>0</v>
      </c>
      <c r="L18" t="str">
        <f t="shared" si="0"/>
        <v>(R/t Cane)</v>
      </c>
      <c r="M18" t="str">
        <f t="shared" si="0"/>
        <v>(R/t Cane)</v>
      </c>
      <c r="N18" t="str">
        <f t="shared" si="0"/>
        <v>(R/t Cane)</v>
      </c>
      <c r="O18" t="str">
        <f t="shared" si="0"/>
        <v>(R/t Cane)</v>
      </c>
    </row>
    <row r="19" spans="1:21" x14ac:dyDescent="0.2">
      <c r="B19" s="203" t="s">
        <v>757</v>
      </c>
      <c r="C19" s="302">
        <f>C18*$C$10</f>
        <v>1223.6046359787783</v>
      </c>
      <c r="K19" t="str">
        <f t="shared" ref="K19:K26" si="1">K6</f>
        <v>Front-end</v>
      </c>
      <c r="L19" s="209">
        <f t="shared" ref="L19:O26" si="2">L6*$L$15</f>
        <v>13.924679999999999</v>
      </c>
      <c r="M19" s="209">
        <f t="shared" si="2"/>
        <v>64.744680000000002</v>
      </c>
      <c r="N19" s="209">
        <f t="shared" si="2"/>
        <v>13.924679999999999</v>
      </c>
      <c r="O19" s="209">
        <f t="shared" si="2"/>
        <v>64.744680000000002</v>
      </c>
    </row>
    <row r="20" spans="1:21" x14ac:dyDescent="0.2">
      <c r="C20" s="302"/>
      <c r="K20" t="str">
        <f t="shared" si="1"/>
        <v>Clarification</v>
      </c>
      <c r="L20" s="209">
        <f t="shared" si="2"/>
        <v>1.1616</v>
      </c>
      <c r="M20" s="209">
        <f t="shared" si="2"/>
        <v>4.6318799999999998</v>
      </c>
      <c r="N20" s="209">
        <f t="shared" si="2"/>
        <v>1.1616</v>
      </c>
      <c r="O20" s="209">
        <f t="shared" si="2"/>
        <v>4.6318799999999998</v>
      </c>
    </row>
    <row r="21" spans="1:21" x14ac:dyDescent="0.2">
      <c r="C21" s="302"/>
      <c r="K21" t="str">
        <f t="shared" si="1"/>
        <v>Evaporation</v>
      </c>
      <c r="L21" s="209">
        <f t="shared" si="2"/>
        <v>0.69695999999999991</v>
      </c>
      <c r="M21" s="209">
        <f t="shared" si="2"/>
        <v>3.4702800000000003</v>
      </c>
      <c r="N21" s="209">
        <f t="shared" si="2"/>
        <v>0.69695999999999991</v>
      </c>
      <c r="O21" s="209">
        <f t="shared" si="2"/>
        <v>3.4702800000000003</v>
      </c>
    </row>
    <row r="22" spans="1:21" ht="18" thickBot="1" x14ac:dyDescent="0.35">
      <c r="A22" s="208" t="s">
        <v>763</v>
      </c>
      <c r="B22" s="208"/>
      <c r="C22" s="303"/>
      <c r="K22" t="str">
        <f t="shared" si="1"/>
        <v>A-station</v>
      </c>
      <c r="L22" s="209">
        <f t="shared" si="2"/>
        <v>1.85856</v>
      </c>
      <c r="M22" s="209">
        <f t="shared" si="2"/>
        <v>4.6318799999999998</v>
      </c>
      <c r="N22" s="209">
        <f t="shared" si="2"/>
        <v>1.85856</v>
      </c>
      <c r="O22" s="209">
        <f t="shared" si="2"/>
        <v>4.6318799999999998</v>
      </c>
    </row>
    <row r="23" spans="1:21" ht="13.5" thickTop="1" x14ac:dyDescent="0.2">
      <c r="A23" s="203" t="s">
        <v>766</v>
      </c>
      <c r="B23" s="203" t="s">
        <v>778</v>
      </c>
      <c r="C23" s="305">
        <f>'Future expansion'!W52</f>
        <v>0.236875</v>
      </c>
      <c r="K23" t="str">
        <f t="shared" si="1"/>
        <v>B-station</v>
      </c>
      <c r="L23" s="209">
        <f t="shared" si="2"/>
        <v>0.46464</v>
      </c>
      <c r="M23" s="209">
        <f t="shared" si="2"/>
        <v>3.4702800000000003</v>
      </c>
      <c r="N23" s="209">
        <f t="shared" si="2"/>
        <v>0</v>
      </c>
      <c r="O23" s="209">
        <f t="shared" si="2"/>
        <v>0</v>
      </c>
    </row>
    <row r="24" spans="1:21" x14ac:dyDescent="0.2">
      <c r="A24" s="203" t="s">
        <v>782</v>
      </c>
      <c r="B24" s="203" t="s">
        <v>510</v>
      </c>
      <c r="C24" s="302">
        <f>'Cost of generation'!AN58+'Cost of generation'!AM58+'Cost of generation'!AL58+'Cost of generation'!AK58</f>
        <v>853.95220924970022</v>
      </c>
      <c r="K24" t="str">
        <f t="shared" si="1"/>
        <v>C-station</v>
      </c>
      <c r="L24" s="209">
        <f t="shared" si="2"/>
        <v>0.46464</v>
      </c>
      <c r="M24" s="209">
        <f t="shared" si="2"/>
        <v>4.6318799999999998</v>
      </c>
      <c r="N24" s="209">
        <f t="shared" si="2"/>
        <v>0</v>
      </c>
      <c r="O24" s="209">
        <f t="shared" si="2"/>
        <v>0</v>
      </c>
    </row>
    <row r="25" spans="1:21" x14ac:dyDescent="0.2">
      <c r="B25" s="203" t="s">
        <v>780</v>
      </c>
      <c r="C25" s="302">
        <f>C24/C23</f>
        <v>3605.0752897084967</v>
      </c>
      <c r="K25" t="str">
        <f t="shared" si="1"/>
        <v>Steam &amp; Electricity</v>
      </c>
      <c r="L25" s="209">
        <f t="shared" si="2"/>
        <v>2.3231999999999999</v>
      </c>
      <c r="M25" s="209">
        <f t="shared" si="2"/>
        <v>27.762240000000002</v>
      </c>
      <c r="N25" s="209">
        <f t="shared" si="2"/>
        <v>2.3231999999999999</v>
      </c>
      <c r="O25" s="209">
        <f t="shared" si="2"/>
        <v>27.762240000000002</v>
      </c>
      <c r="T25" s="203" t="s">
        <v>805</v>
      </c>
      <c r="U25" s="280" t="s">
        <v>806</v>
      </c>
    </row>
    <row r="26" spans="1:21" x14ac:dyDescent="0.2">
      <c r="B26" s="203" t="s">
        <v>756</v>
      </c>
      <c r="C26" s="302">
        <f>C24/$C$14</f>
        <v>44.870043356776932</v>
      </c>
      <c r="K26" s="1" t="str">
        <f t="shared" si="1"/>
        <v>TOTAL</v>
      </c>
      <c r="L26" s="250">
        <f t="shared" si="2"/>
        <v>20.894280000000002</v>
      </c>
      <c r="M26" s="250">
        <f t="shared" si="2"/>
        <v>113.34312</v>
      </c>
      <c r="N26" s="250">
        <f t="shared" si="2"/>
        <v>19.965</v>
      </c>
      <c r="O26" s="250">
        <f t="shared" si="2"/>
        <v>105.24096</v>
      </c>
    </row>
    <row r="27" spans="1:21" x14ac:dyDescent="0.2">
      <c r="B27" s="203" t="s">
        <v>757</v>
      </c>
      <c r="C27" s="302">
        <f>C26*$C$10</f>
        <v>391.03580799419922</v>
      </c>
    </row>
    <row r="28" spans="1:21" x14ac:dyDescent="0.2">
      <c r="A28" s="203" t="s">
        <v>765</v>
      </c>
      <c r="B28" s="203" t="s">
        <v>510</v>
      </c>
      <c r="C28" s="302">
        <f>'Cost of generation'!L58+'Cost of generation'!N58</f>
        <v>344.68266085314247</v>
      </c>
      <c r="L28" s="203" t="s">
        <v>757</v>
      </c>
      <c r="M28" s="203" t="s">
        <v>757</v>
      </c>
      <c r="N28" s="203" t="s">
        <v>757</v>
      </c>
      <c r="O28" s="203" t="s">
        <v>757</v>
      </c>
    </row>
    <row r="29" spans="1:21" x14ac:dyDescent="0.2">
      <c r="B29" t="s">
        <v>756</v>
      </c>
      <c r="C29" s="302">
        <f>C28/C5</f>
        <v>18.110997043263602</v>
      </c>
      <c r="K29" t="str">
        <f>K19</f>
        <v>Front-end</v>
      </c>
      <c r="L29" s="209">
        <f>L19*$C$10</f>
        <v>121.35153183528793</v>
      </c>
      <c r="M29" s="209">
        <f>M19*$C$10</f>
        <v>564.24033415385713</v>
      </c>
      <c r="N29" s="209">
        <f>N19*$C$10</f>
        <v>121.35153183528793</v>
      </c>
      <c r="O29" s="209">
        <f>O19*$C$10</f>
        <v>564.24033415385713</v>
      </c>
    </row>
    <row r="30" spans="1:21" x14ac:dyDescent="0.2">
      <c r="B30" t="s">
        <v>757</v>
      </c>
      <c r="C30" s="302">
        <f>C29*$C$10</f>
        <v>157.83466724293908</v>
      </c>
      <c r="K30" t="str">
        <f t="shared" ref="K30:K36" si="3">K20</f>
        <v>Clarification</v>
      </c>
      <c r="L30" s="209">
        <f t="shared" ref="L30:O36" si="4">L20*$C$10</f>
        <v>10.123172624424438</v>
      </c>
      <c r="M30" s="209">
        <f t="shared" si="4"/>
        <v>40.366150839892441</v>
      </c>
      <c r="N30" s="209">
        <f t="shared" si="4"/>
        <v>10.123172624424438</v>
      </c>
      <c r="O30" s="209">
        <f t="shared" si="4"/>
        <v>40.366150839892441</v>
      </c>
    </row>
    <row r="31" spans="1:21" x14ac:dyDescent="0.2">
      <c r="A31" s="203" t="s">
        <v>785</v>
      </c>
      <c r="B31" s="203" t="s">
        <v>510</v>
      </c>
      <c r="C31" s="302">
        <f>'Cost of generation'!M58</f>
        <v>138.49573377999999</v>
      </c>
      <c r="K31" t="str">
        <f t="shared" si="3"/>
        <v>Evaporation</v>
      </c>
      <c r="L31" s="209">
        <f t="shared" si="4"/>
        <v>6.0739035746546621</v>
      </c>
      <c r="M31" s="209">
        <f t="shared" si="4"/>
        <v>30.24297821546801</v>
      </c>
      <c r="N31" s="209">
        <f t="shared" si="4"/>
        <v>6.0739035746546621</v>
      </c>
      <c r="O31" s="209">
        <f t="shared" si="4"/>
        <v>30.24297821546801</v>
      </c>
    </row>
    <row r="32" spans="1:21" x14ac:dyDescent="0.2">
      <c r="A32" s="203" t="s">
        <v>803</v>
      </c>
      <c r="B32" s="203" t="s">
        <v>510</v>
      </c>
      <c r="C32" s="302">
        <f>EB_Exist!K23*(1000000000000/1000/1000000)</f>
        <v>124.59757199999987</v>
      </c>
      <c r="K32" t="str">
        <f t="shared" si="3"/>
        <v>A-station</v>
      </c>
      <c r="L32" s="209">
        <f t="shared" si="4"/>
        <v>16.197076199079099</v>
      </c>
      <c r="M32" s="209">
        <f t="shared" si="4"/>
        <v>40.366150839892441</v>
      </c>
      <c r="N32" s="209">
        <f t="shared" si="4"/>
        <v>16.197076199079099</v>
      </c>
      <c r="O32" s="209">
        <f t="shared" si="4"/>
        <v>40.366150839892441</v>
      </c>
    </row>
    <row r="33" spans="1:16" x14ac:dyDescent="0.2">
      <c r="A33" s="203" t="s">
        <v>781</v>
      </c>
      <c r="B33" s="203" t="s">
        <v>510</v>
      </c>
      <c r="C33" s="302">
        <f>C31-C32</f>
        <v>13.898161780000123</v>
      </c>
      <c r="K33" t="str">
        <f t="shared" si="3"/>
        <v>B-station</v>
      </c>
      <c r="L33" s="209">
        <f t="shared" si="4"/>
        <v>4.0492690497697748</v>
      </c>
      <c r="M33" s="209">
        <f t="shared" si="4"/>
        <v>30.24297821546801</v>
      </c>
      <c r="N33" s="209">
        <f t="shared" si="4"/>
        <v>0</v>
      </c>
      <c r="O33" s="209">
        <f t="shared" si="4"/>
        <v>0</v>
      </c>
    </row>
    <row r="34" spans="1:16" x14ac:dyDescent="0.2">
      <c r="B34" t="s">
        <v>756</v>
      </c>
      <c r="C34" s="302">
        <f>C33/C13</f>
        <v>0.53962965560085896</v>
      </c>
      <c r="K34" t="str">
        <f t="shared" si="3"/>
        <v>C-station</v>
      </c>
      <c r="L34" s="209">
        <f t="shared" si="4"/>
        <v>4.0492690497697748</v>
      </c>
      <c r="M34" s="209">
        <f t="shared" si="4"/>
        <v>40.366150839892441</v>
      </c>
      <c r="N34" s="209">
        <f t="shared" si="4"/>
        <v>0</v>
      </c>
      <c r="O34" s="209">
        <f t="shared" si="4"/>
        <v>0</v>
      </c>
    </row>
    <row r="35" spans="1:16" x14ac:dyDescent="0.2">
      <c r="B35" t="s">
        <v>757</v>
      </c>
      <c r="C35" s="302">
        <f>C34*$C$10</f>
        <v>4.7027928348021719</v>
      </c>
      <c r="K35" t="str">
        <f t="shared" si="3"/>
        <v>Steam &amp; Electricity</v>
      </c>
      <c r="L35" s="209">
        <f t="shared" si="4"/>
        <v>20.246345248848876</v>
      </c>
      <c r="M35" s="209">
        <f t="shared" si="4"/>
        <v>241.94382572374408</v>
      </c>
      <c r="N35" s="209">
        <f t="shared" si="4"/>
        <v>20.246345248848876</v>
      </c>
      <c r="O35" s="209">
        <f t="shared" si="4"/>
        <v>241.94382572374408</v>
      </c>
    </row>
    <row r="36" spans="1:16" x14ac:dyDescent="0.2">
      <c r="A36" s="203" t="s">
        <v>801</v>
      </c>
      <c r="B36" s="203" t="s">
        <v>610</v>
      </c>
      <c r="C36" s="302">
        <f>EB_Exist!K14</f>
        <v>0.44128071952828574</v>
      </c>
      <c r="K36" t="str">
        <f t="shared" si="3"/>
        <v>TOTAL</v>
      </c>
      <c r="L36" s="209">
        <f t="shared" si="4"/>
        <v>182.09056758183459</v>
      </c>
      <c r="M36" s="209">
        <f t="shared" si="4"/>
        <v>987.76856882821448</v>
      </c>
      <c r="N36" s="209">
        <f t="shared" si="4"/>
        <v>173.99202948229501</v>
      </c>
      <c r="O36" s="209">
        <f t="shared" si="4"/>
        <v>917.15943977285406</v>
      </c>
    </row>
    <row r="37" spans="1:16" x14ac:dyDescent="0.2">
      <c r="B37" s="203" t="s">
        <v>802</v>
      </c>
      <c r="C37" s="302">
        <f>-ProcData_Exist!P12</f>
        <v>0</v>
      </c>
    </row>
    <row r="38" spans="1:16" x14ac:dyDescent="0.2">
      <c r="B38" s="203" t="s">
        <v>510</v>
      </c>
      <c r="C38" s="302">
        <f>C36*C37</f>
        <v>0</v>
      </c>
    </row>
    <row r="39" spans="1:16" ht="18" thickBot="1" x14ac:dyDescent="0.35">
      <c r="A39" s="208" t="s">
        <v>985</v>
      </c>
      <c r="B39" s="208"/>
      <c r="C39" s="303"/>
    </row>
    <row r="40" spans="1:16" ht="13.5" thickTop="1" x14ac:dyDescent="0.2">
      <c r="A40" s="203" t="s">
        <v>753</v>
      </c>
      <c r="B40" s="203" t="s">
        <v>754</v>
      </c>
      <c r="C40" s="302">
        <v>3.012</v>
      </c>
      <c r="K40" s="1" t="s">
        <v>975</v>
      </c>
      <c r="M40" s="203" t="s">
        <v>899</v>
      </c>
    </row>
    <row r="41" spans="1:16" ht="15" x14ac:dyDescent="0.2">
      <c r="A41" s="203" t="s">
        <v>753</v>
      </c>
      <c r="B41" s="203" t="s">
        <v>117</v>
      </c>
      <c r="C41" s="302">
        <f>C40*EB_Exist!G30</f>
        <v>49.724385119999994</v>
      </c>
      <c r="K41" s="348" t="s">
        <v>970</v>
      </c>
      <c r="L41" s="283">
        <v>0.63</v>
      </c>
      <c r="N41">
        <f>M43/M48</f>
        <v>0.71970152226901385</v>
      </c>
    </row>
    <row r="42" spans="1:16" ht="15" x14ac:dyDescent="0.2">
      <c r="A42" s="203" t="s">
        <v>799</v>
      </c>
      <c r="B42" s="203" t="s">
        <v>754</v>
      </c>
      <c r="C42" s="302">
        <f>EB_Exist!F30</f>
        <v>2.183821</v>
      </c>
      <c r="K42" s="348" t="s">
        <v>971</v>
      </c>
      <c r="L42" s="283">
        <v>0.66</v>
      </c>
    </row>
    <row r="43" spans="1:16" ht="30" x14ac:dyDescent="0.25">
      <c r="A43" s="203" t="s">
        <v>786</v>
      </c>
      <c r="B43" s="203" t="s">
        <v>756</v>
      </c>
      <c r="C43" s="302">
        <f>SUM(M23:M24)</f>
        <v>8.1021599999999996</v>
      </c>
      <c r="K43" s="348" t="s">
        <v>972</v>
      </c>
      <c r="L43" s="283">
        <v>0.71</v>
      </c>
      <c r="M43" s="349">
        <f>C15</f>
        <v>2672.133499747812</v>
      </c>
      <c r="N43" s="241">
        <f>M43/$M$47</f>
        <v>0.71134614569112475</v>
      </c>
      <c r="O43" s="350">
        <v>1.2</v>
      </c>
      <c r="P43" s="203" t="s">
        <v>977</v>
      </c>
    </row>
    <row r="44" spans="1:16" ht="30" x14ac:dyDescent="0.2">
      <c r="A44" s="203" t="s">
        <v>787</v>
      </c>
      <c r="B44" s="203" t="s">
        <v>756</v>
      </c>
      <c r="C44" s="302">
        <f>SUM(L23:L24)</f>
        <v>0.92927999999999999</v>
      </c>
      <c r="K44" s="348" t="s">
        <v>973</v>
      </c>
      <c r="L44" s="283">
        <v>0.77</v>
      </c>
      <c r="M44" s="349">
        <f>C47</f>
        <v>230.36045428582025</v>
      </c>
      <c r="N44" s="241">
        <f t="shared" ref="N44:N45" si="5">M44/$M$47</f>
        <v>6.1324039869766971E-2</v>
      </c>
    </row>
    <row r="45" spans="1:16" ht="30" x14ac:dyDescent="0.2">
      <c r="A45" s="203" t="s">
        <v>786</v>
      </c>
      <c r="B45" s="203" t="s">
        <v>757</v>
      </c>
      <c r="C45" s="302">
        <f>C43*$C$10</f>
        <v>70.609129055360455</v>
      </c>
      <c r="K45" s="348" t="s">
        <v>974</v>
      </c>
      <c r="L45" s="283">
        <f>1-L44</f>
        <v>0.22999999999999998</v>
      </c>
      <c r="M45" s="349">
        <f>C24</f>
        <v>853.95220924970022</v>
      </c>
      <c r="N45" s="241">
        <f t="shared" si="5"/>
        <v>0.22732981443910827</v>
      </c>
    </row>
    <row r="46" spans="1:16" x14ac:dyDescent="0.2">
      <c r="A46" s="203" t="s">
        <v>787</v>
      </c>
      <c r="B46" s="203" t="s">
        <v>757</v>
      </c>
      <c r="C46" s="302">
        <f>C44*$C$10</f>
        <v>8.0985380995395495</v>
      </c>
    </row>
    <row r="47" spans="1:16" ht="15" x14ac:dyDescent="0.2">
      <c r="B47" s="203" t="s">
        <v>510</v>
      </c>
      <c r="C47" s="302">
        <f>C45*C40+C46*C42</f>
        <v>230.36045428582025</v>
      </c>
      <c r="K47" s="348" t="s">
        <v>976</v>
      </c>
      <c r="M47" s="349">
        <f>SUM(M43:M45)</f>
        <v>3756.4461632833327</v>
      </c>
    </row>
    <row r="48" spans="1:16" x14ac:dyDescent="0.2">
      <c r="A48" s="203" t="s">
        <v>800</v>
      </c>
      <c r="B48" s="203" t="s">
        <v>757</v>
      </c>
      <c r="C48" s="304">
        <f>C47/C42</f>
        <v>105.48504400581378</v>
      </c>
      <c r="M48" s="349">
        <f>M45/L45</f>
        <v>3712.8356923900014</v>
      </c>
    </row>
    <row r="49" spans="1:4" x14ac:dyDescent="0.2">
      <c r="A49" s="203" t="s">
        <v>798</v>
      </c>
      <c r="B49" s="203" t="s">
        <v>286</v>
      </c>
      <c r="C49" s="302">
        <f>C47/C40</f>
        <v>76.480894517204604</v>
      </c>
    </row>
    <row r="50" spans="1:4" x14ac:dyDescent="0.2">
      <c r="B50" s="203" t="s">
        <v>981</v>
      </c>
      <c r="C50" s="302">
        <f>C47/C41</f>
        <v>4.632746161262542</v>
      </c>
    </row>
    <row r="51" spans="1:4" x14ac:dyDescent="0.2">
      <c r="A51" s="203" t="s">
        <v>873</v>
      </c>
      <c r="B51" s="203" t="s">
        <v>286</v>
      </c>
      <c r="C51" s="302">
        <f>SugarPrices!$K$24</f>
        <v>4016.85</v>
      </c>
    </row>
    <row r="52" spans="1:4" x14ac:dyDescent="0.2">
      <c r="B52" s="203" t="s">
        <v>285</v>
      </c>
      <c r="C52" s="302">
        <f>C51/EB_Exist!G30</f>
        <v>243.31627572270722</v>
      </c>
    </row>
    <row r="53" spans="1:4" x14ac:dyDescent="0.2">
      <c r="A53" s="203" t="s">
        <v>979</v>
      </c>
      <c r="B53" s="203" t="s">
        <v>610</v>
      </c>
      <c r="C53" s="209">
        <f>EB_Exist!K25</f>
        <v>0.85639170960440381</v>
      </c>
      <c r="D53" s="241">
        <f>C53/C5</f>
        <v>4.4998224401920667E-2</v>
      </c>
    </row>
    <row r="54" spans="1:4" x14ac:dyDescent="0.2">
      <c r="A54" s="203" t="s">
        <v>21</v>
      </c>
      <c r="B54" s="203" t="s">
        <v>286</v>
      </c>
      <c r="C54" s="272">
        <f>934/1.05</f>
        <v>889.52380952380952</v>
      </c>
    </row>
    <row r="55" spans="1:4" x14ac:dyDescent="0.2">
      <c r="B55" s="203" t="s">
        <v>285</v>
      </c>
      <c r="C55" s="272">
        <f>C54/EB_Exist!G26</f>
        <v>120.07140213842818</v>
      </c>
    </row>
    <row r="56" spans="1:4" x14ac:dyDescent="0.2">
      <c r="A56" s="203" t="s">
        <v>980</v>
      </c>
      <c r="B56" s="203" t="s">
        <v>510</v>
      </c>
      <c r="C56" s="284">
        <f>C54*C53</f>
        <v>761.78081597191726</v>
      </c>
    </row>
    <row r="57" spans="1:4" x14ac:dyDescent="0.2">
      <c r="A57" s="203" t="s">
        <v>994</v>
      </c>
      <c r="B57" s="203" t="s">
        <v>610</v>
      </c>
      <c r="C57" s="302">
        <f>SugarPrices!F24/1000</f>
        <v>1042.8309999999999</v>
      </c>
    </row>
    <row r="58" spans="1:4" x14ac:dyDescent="0.2">
      <c r="A58" s="203" t="s">
        <v>993</v>
      </c>
      <c r="B58" s="203" t="s">
        <v>510</v>
      </c>
      <c r="C58" s="302">
        <f>SugarPrices!P24/1000000</f>
        <v>4188.8957023499997</v>
      </c>
    </row>
    <row r="59" spans="1:4" x14ac:dyDescent="0.2">
      <c r="A59" s="203" t="s">
        <v>995</v>
      </c>
      <c r="B59" s="203" t="s">
        <v>286</v>
      </c>
      <c r="C59" s="302">
        <f>C58/C57*1000</f>
        <v>4016.85</v>
      </c>
    </row>
    <row r="60" spans="1:4" x14ac:dyDescent="0.2">
      <c r="A60" s="203" t="s">
        <v>996</v>
      </c>
      <c r="B60" s="203" t="s">
        <v>610</v>
      </c>
      <c r="C60" s="270">
        <f>SugarPrices!D23/1000000</f>
        <v>1.1902809999999999</v>
      </c>
    </row>
    <row r="61" spans="1:4" x14ac:dyDescent="0.2">
      <c r="A61" s="203" t="s">
        <v>1001</v>
      </c>
      <c r="B61" s="203" t="s">
        <v>510</v>
      </c>
      <c r="C61" s="302">
        <f>SugarPrices!O24/1000000</f>
        <v>9773.7089300999996</v>
      </c>
    </row>
    <row r="62" spans="1:4" x14ac:dyDescent="0.2">
      <c r="A62" s="203" t="s">
        <v>992</v>
      </c>
      <c r="B62" s="203" t="s">
        <v>999</v>
      </c>
      <c r="C62" s="302">
        <v>1337</v>
      </c>
      <c r="D62" t="s">
        <v>1000</v>
      </c>
    </row>
    <row r="63" spans="1:4" x14ac:dyDescent="0.2">
      <c r="A63" s="203" t="s">
        <v>997</v>
      </c>
      <c r="B63" s="203"/>
      <c r="C63" s="302">
        <f>C61/C60</f>
        <v>8211.2618197719694</v>
      </c>
    </row>
    <row r="64" spans="1:4" x14ac:dyDescent="0.2">
      <c r="A64" s="203" t="s">
        <v>998</v>
      </c>
      <c r="B64" s="203"/>
      <c r="C64" s="302">
        <f>(C61-C62)/C60</f>
        <v>7087.9976493785925</v>
      </c>
    </row>
    <row r="65" spans="1:8" x14ac:dyDescent="0.2">
      <c r="A65" s="203"/>
      <c r="B65" s="203"/>
      <c r="C65" s="284"/>
    </row>
    <row r="66" spans="1:8" ht="18" thickBot="1" x14ac:dyDescent="0.35">
      <c r="A66" s="208" t="s">
        <v>797</v>
      </c>
      <c r="B66" s="208"/>
      <c r="C66" s="208"/>
    </row>
    <row r="67" spans="1:8" ht="13.5" thickTop="1" x14ac:dyDescent="0.2">
      <c r="B67" s="203" t="s">
        <v>796</v>
      </c>
      <c r="C67" s="203" t="s">
        <v>789</v>
      </c>
      <c r="D67" t="s">
        <v>830</v>
      </c>
      <c r="E67" s="203" t="s">
        <v>894</v>
      </c>
      <c r="F67" s="203" t="s">
        <v>830</v>
      </c>
      <c r="G67" s="203" t="s">
        <v>894</v>
      </c>
    </row>
    <row r="68" spans="1:8" x14ac:dyDescent="0.2">
      <c r="A68" s="203" t="s">
        <v>791</v>
      </c>
      <c r="B68" s="302">
        <f>C6</f>
        <v>8594.297106359998</v>
      </c>
      <c r="C68" s="302"/>
      <c r="D68" s="302">
        <f>B68/$C$42</f>
        <v>3935.4402702236116</v>
      </c>
      <c r="E68" s="302"/>
      <c r="F68" s="302">
        <f>B68/$C$14</f>
        <v>451.57853051544294</v>
      </c>
      <c r="G68" s="302"/>
      <c r="H68" s="302"/>
    </row>
    <row r="69" spans="1:8" x14ac:dyDescent="0.2">
      <c r="A69" s="203" t="s">
        <v>792</v>
      </c>
      <c r="B69" s="302">
        <f>C15</f>
        <v>2672.133499747812</v>
      </c>
      <c r="C69" s="302"/>
      <c r="D69" s="302">
        <f t="shared" ref="D69:E78" si="6">B69/$C$42</f>
        <v>1223.6046359787786</v>
      </c>
      <c r="E69" s="302"/>
      <c r="F69" s="302">
        <f t="shared" ref="F69:G78" si="7">B69/$C$14</f>
        <v>140.4045152528218</v>
      </c>
      <c r="G69" s="302"/>
      <c r="H69" s="302"/>
    </row>
    <row r="70" spans="1:8" x14ac:dyDescent="0.2">
      <c r="A70" s="203" t="s">
        <v>793</v>
      </c>
      <c r="B70" s="302">
        <f>C24</f>
        <v>853.95220924970022</v>
      </c>
      <c r="C70" s="302"/>
      <c r="D70" s="302">
        <f t="shared" si="6"/>
        <v>391.03580799419927</v>
      </c>
      <c r="E70" s="302"/>
      <c r="F70" s="302">
        <f t="shared" si="7"/>
        <v>44.870043356776932</v>
      </c>
      <c r="G70" s="302"/>
      <c r="H70" s="302"/>
    </row>
    <row r="71" spans="1:8" x14ac:dyDescent="0.2">
      <c r="A71" s="203" t="s">
        <v>790</v>
      </c>
      <c r="B71" s="302">
        <f>C28</f>
        <v>344.68266085314247</v>
      </c>
      <c r="C71" s="302"/>
      <c r="D71" s="302">
        <f t="shared" si="6"/>
        <v>157.83466724293908</v>
      </c>
      <c r="E71" s="302"/>
      <c r="F71" s="302">
        <f t="shared" si="7"/>
        <v>18.110997043263602</v>
      </c>
      <c r="G71" s="302"/>
      <c r="H71" s="302"/>
    </row>
    <row r="72" spans="1:8" x14ac:dyDescent="0.2">
      <c r="A72" s="203" t="s">
        <v>764</v>
      </c>
      <c r="B72" s="302">
        <f>C31</f>
        <v>138.49573377999999</v>
      </c>
      <c r="C72" s="302"/>
      <c r="D72" s="302">
        <f t="shared" si="6"/>
        <v>63.418995320587172</v>
      </c>
      <c r="E72" s="302"/>
      <c r="F72" s="302">
        <f t="shared" si="7"/>
        <v>7.2771163445987854</v>
      </c>
      <c r="G72" s="302"/>
      <c r="H72" s="302"/>
    </row>
    <row r="73" spans="1:8" x14ac:dyDescent="0.2">
      <c r="A73" s="203" t="s">
        <v>990</v>
      </c>
      <c r="B73" s="302">
        <f>C47</f>
        <v>230.36045428582025</v>
      </c>
      <c r="C73" s="302"/>
      <c r="D73" s="302">
        <f t="shared" si="6"/>
        <v>105.48504400581378</v>
      </c>
      <c r="E73" s="302"/>
      <c r="F73" s="302">
        <f t="shared" si="7"/>
        <v>12.104053903172467</v>
      </c>
      <c r="G73" s="302"/>
      <c r="H73" s="302"/>
    </row>
    <row r="74" spans="1:8" x14ac:dyDescent="0.2">
      <c r="A74" s="203" t="s">
        <v>989</v>
      </c>
      <c r="B74" s="302">
        <f>C79-SUM(B68:B73)</f>
        <v>678.0613561454411</v>
      </c>
      <c r="C74" s="302"/>
      <c r="D74" s="302">
        <f t="shared" si="6"/>
        <v>310.49310183638727</v>
      </c>
      <c r="E74" s="302"/>
      <c r="F74" s="302">
        <f t="shared" si="7"/>
        <v>35.62803880504346</v>
      </c>
      <c r="G74" s="302"/>
      <c r="H74" s="302"/>
    </row>
    <row r="75" spans="1:8" x14ac:dyDescent="0.2">
      <c r="A75" s="203" t="s">
        <v>991</v>
      </c>
      <c r="B75" s="302"/>
      <c r="C75" s="302">
        <f>C61-C62</f>
        <v>8436.7089300999996</v>
      </c>
      <c r="D75" s="302"/>
      <c r="E75" s="302">
        <f t="shared" si="6"/>
        <v>3863.2785975132574</v>
      </c>
      <c r="F75" s="302"/>
      <c r="G75" s="302">
        <f t="shared" si="7"/>
        <v>443.29822135444874</v>
      </c>
      <c r="H75" s="302"/>
    </row>
    <row r="76" spans="1:8" x14ac:dyDescent="0.2">
      <c r="A76" s="203" t="s">
        <v>794</v>
      </c>
      <c r="B76" s="302"/>
      <c r="C76" s="302">
        <f>SugarPrices!P24/1000000</f>
        <v>4188.8957023499997</v>
      </c>
      <c r="D76" s="302"/>
      <c r="E76" s="302">
        <f t="shared" si="6"/>
        <v>1918.1497486973519</v>
      </c>
      <c r="F76" s="302"/>
      <c r="G76" s="302">
        <f t="shared" si="7"/>
        <v>220.10123019249866</v>
      </c>
      <c r="H76" s="302"/>
    </row>
    <row r="77" spans="1:8" x14ac:dyDescent="0.2">
      <c r="A77" s="203" t="s">
        <v>795</v>
      </c>
      <c r="B77" s="302"/>
      <c r="C77" s="302">
        <f>C32</f>
        <v>124.59757199999987</v>
      </c>
      <c r="D77" s="302"/>
      <c r="E77" s="302">
        <f t="shared" si="6"/>
        <v>57.054846528172348</v>
      </c>
      <c r="F77" s="302"/>
      <c r="G77" s="302">
        <f t="shared" si="7"/>
        <v>6.5468516823690068</v>
      </c>
      <c r="H77" s="302"/>
    </row>
    <row r="78" spans="1:8" x14ac:dyDescent="0.2">
      <c r="A78" s="203" t="s">
        <v>988</v>
      </c>
      <c r="B78" s="302"/>
      <c r="C78" s="302">
        <f>C38+C56</f>
        <v>761.78081597191726</v>
      </c>
      <c r="D78" s="302"/>
      <c r="E78" s="302">
        <f t="shared" si="6"/>
        <v>348.82932986353609</v>
      </c>
      <c r="F78" s="302"/>
      <c r="G78" s="302">
        <f t="shared" si="7"/>
        <v>40.026991991803712</v>
      </c>
      <c r="H78" s="302"/>
    </row>
    <row r="79" spans="1:8" x14ac:dyDescent="0.2">
      <c r="A79" s="203" t="s">
        <v>119</v>
      </c>
      <c r="B79" s="302">
        <f>SUM(B68:B77)</f>
        <v>13511.983020421916</v>
      </c>
      <c r="C79" s="302">
        <f>SUM(C68:C78)</f>
        <v>13511.983020421916</v>
      </c>
      <c r="D79" s="302"/>
      <c r="E79" s="302"/>
      <c r="F79" s="302"/>
      <c r="G79" s="302"/>
      <c r="H79" s="302"/>
    </row>
    <row r="80" spans="1:8" x14ac:dyDescent="0.2">
      <c r="A80" s="203" t="s">
        <v>829</v>
      </c>
      <c r="B80" s="302">
        <f>B79-C76</f>
        <v>9323.0873180719173</v>
      </c>
      <c r="C80" s="302"/>
      <c r="D80" s="302">
        <f>SUM(D68:D74)</f>
        <v>6187.3125226023149</v>
      </c>
      <c r="E80" s="302"/>
      <c r="F80" s="302"/>
      <c r="G80" s="302"/>
      <c r="H80" s="302"/>
    </row>
    <row r="81" spans="1:8" x14ac:dyDescent="0.2">
      <c r="B81" s="302"/>
      <c r="C81" s="302"/>
      <c r="D81" s="302">
        <f>B79/C42</f>
        <v>6187.3125226023176</v>
      </c>
      <c r="E81" s="302"/>
      <c r="F81" s="302"/>
      <c r="G81" s="302"/>
      <c r="H81" s="302"/>
    </row>
    <row r="82" spans="1:8" x14ac:dyDescent="0.2">
      <c r="A82" s="203" t="s">
        <v>832</v>
      </c>
      <c r="B82" s="302">
        <f>SUM(B68:B73)-SUM(C76:C78)</f>
        <v>7758.6475739545585</v>
      </c>
      <c r="C82" s="302"/>
      <c r="D82" s="302"/>
      <c r="E82" s="302"/>
      <c r="F82" s="302"/>
      <c r="G82" s="302"/>
      <c r="H82" s="302"/>
    </row>
    <row r="83" spans="1:8" x14ac:dyDescent="0.2">
      <c r="B83" s="302"/>
      <c r="C83" s="302"/>
      <c r="D83" s="302"/>
      <c r="E83" s="302"/>
      <c r="F83" s="302"/>
      <c r="G83" s="302"/>
      <c r="H83" s="302"/>
    </row>
    <row r="84" spans="1:8" x14ac:dyDescent="0.2">
      <c r="A84" s="203" t="s">
        <v>864</v>
      </c>
      <c r="B84" s="302">
        <f>B68/C14</f>
        <v>451.57853051544294</v>
      </c>
      <c r="C84" s="302">
        <f>C76/C5</f>
        <v>220.10123019249866</v>
      </c>
      <c r="D84" s="302"/>
      <c r="E84" s="302"/>
      <c r="F84" s="302"/>
      <c r="G84" s="302"/>
      <c r="H84" s="302"/>
    </row>
    <row r="85" spans="1:8" x14ac:dyDescent="0.2">
      <c r="B85" s="302"/>
      <c r="C85" s="302">
        <f>C75/C14</f>
        <v>443.29822135444874</v>
      </c>
      <c r="D85" s="302"/>
      <c r="E85" s="302"/>
      <c r="F85" s="302"/>
      <c r="G85" s="302"/>
      <c r="H85" s="302"/>
    </row>
  </sheetData>
  <hyperlinks>
    <hyperlink ref="U25" r:id="rId1" xr:uid="{9B835410-CF8A-4679-96D0-C219800251FD}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598EC-E663-4C72-BEAE-C45E0F0E871E}">
  <sheetPr codeName="Sheet27"/>
  <dimension ref="B1:C41"/>
  <sheetViews>
    <sheetView workbookViewId="0">
      <selection activeCell="E12" sqref="E12"/>
    </sheetView>
  </sheetViews>
  <sheetFormatPr defaultRowHeight="15" x14ac:dyDescent="0.25"/>
  <cols>
    <col min="1" max="1" width="9.140625" style="72"/>
    <col min="2" max="2" width="39" style="72" bestFit="1" customWidth="1"/>
    <col min="3" max="16384" width="9.140625" style="72"/>
  </cols>
  <sheetData>
    <row r="1" spans="2:3" x14ac:dyDescent="0.25">
      <c r="B1" s="79" t="s">
        <v>683</v>
      </c>
      <c r="C1" s="79" t="s">
        <v>684</v>
      </c>
    </row>
    <row r="2" spans="2:3" x14ac:dyDescent="0.25">
      <c r="B2" s="72" t="s">
        <v>515</v>
      </c>
      <c r="C2" s="72" t="s">
        <v>513</v>
      </c>
    </row>
    <row r="3" spans="2:3" x14ac:dyDescent="0.25">
      <c r="B3" s="72" t="s">
        <v>514</v>
      </c>
      <c r="C3" s="72" t="s">
        <v>513</v>
      </c>
    </row>
    <row r="4" spans="2:3" x14ac:dyDescent="0.25">
      <c r="B4" s="72" t="s">
        <v>512</v>
      </c>
      <c r="C4" s="72" t="s">
        <v>513</v>
      </c>
    </row>
    <row r="5" spans="2:3" x14ac:dyDescent="0.25">
      <c r="B5" s="72" t="s">
        <v>596</v>
      </c>
      <c r="C5" s="206" t="s">
        <v>513</v>
      </c>
    </row>
    <row r="6" spans="2:3" x14ac:dyDescent="0.25">
      <c r="B6" s="72" t="s">
        <v>611</v>
      </c>
      <c r="C6" s="206" t="s">
        <v>513</v>
      </c>
    </row>
    <row r="7" spans="2:3" x14ac:dyDescent="0.25">
      <c r="B7" s="72" t="s">
        <v>589</v>
      </c>
      <c r="C7" s="206" t="s">
        <v>513</v>
      </c>
    </row>
    <row r="8" spans="2:3" x14ac:dyDescent="0.25">
      <c r="B8" s="72" t="s">
        <v>591</v>
      </c>
      <c r="C8" s="206" t="s">
        <v>513</v>
      </c>
    </row>
    <row r="9" spans="2:3" x14ac:dyDescent="0.25">
      <c r="B9" s="72" t="s">
        <v>592</v>
      </c>
      <c r="C9" s="206" t="s">
        <v>513</v>
      </c>
    </row>
    <row r="10" spans="2:3" x14ac:dyDescent="0.25">
      <c r="B10" s="72" t="s">
        <v>595</v>
      </c>
      <c r="C10" s="206" t="s">
        <v>513</v>
      </c>
    </row>
    <row r="11" spans="2:3" x14ac:dyDescent="0.25">
      <c r="B11" s="72" t="s">
        <v>593</v>
      </c>
      <c r="C11" s="206" t="s">
        <v>513</v>
      </c>
    </row>
    <row r="12" spans="2:3" x14ac:dyDescent="0.25">
      <c r="B12" s="72" t="s">
        <v>511</v>
      </c>
      <c r="C12" s="206" t="s">
        <v>513</v>
      </c>
    </row>
    <row r="13" spans="2:3" x14ac:dyDescent="0.25">
      <c r="B13" s="72" t="s">
        <v>594</v>
      </c>
      <c r="C13" s="254" t="s">
        <v>513</v>
      </c>
    </row>
    <row r="14" spans="2:3" x14ac:dyDescent="0.25">
      <c r="B14" s="207" t="s">
        <v>629</v>
      </c>
      <c r="C14" s="254" t="s">
        <v>513</v>
      </c>
    </row>
    <row r="15" spans="2:3" x14ac:dyDescent="0.25">
      <c r="B15" s="207" t="s">
        <v>630</v>
      </c>
      <c r="C15" s="254" t="s">
        <v>513</v>
      </c>
    </row>
    <row r="16" spans="2:3" x14ac:dyDescent="0.25">
      <c r="B16" s="207" t="s">
        <v>631</v>
      </c>
      <c r="C16" s="254" t="s">
        <v>513</v>
      </c>
    </row>
    <row r="17" spans="2:3" x14ac:dyDescent="0.25">
      <c r="B17" s="207" t="s">
        <v>632</v>
      </c>
      <c r="C17" s="206" t="s">
        <v>513</v>
      </c>
    </row>
    <row r="18" spans="2:3" x14ac:dyDescent="0.25">
      <c r="B18" s="207" t="s">
        <v>633</v>
      </c>
      <c r="C18" s="206" t="s">
        <v>513</v>
      </c>
    </row>
    <row r="19" spans="2:3" x14ac:dyDescent="0.25">
      <c r="B19" s="207" t="s">
        <v>698</v>
      </c>
      <c r="C19" s="206" t="s">
        <v>513</v>
      </c>
    </row>
    <row r="20" spans="2:3" x14ac:dyDescent="0.25">
      <c r="B20" s="207" t="s">
        <v>700</v>
      </c>
      <c r="C20" s="206" t="s">
        <v>513</v>
      </c>
    </row>
    <row r="21" spans="2:3" x14ac:dyDescent="0.25">
      <c r="B21" s="207" t="s">
        <v>701</v>
      </c>
      <c r="C21" s="206" t="s">
        <v>513</v>
      </c>
    </row>
    <row r="22" spans="2:3" x14ac:dyDescent="0.25">
      <c r="B22" s="207" t="s">
        <v>705</v>
      </c>
      <c r="C22" s="206" t="s">
        <v>513</v>
      </c>
    </row>
    <row r="23" spans="2:3" x14ac:dyDescent="0.25">
      <c r="B23" s="207" t="s">
        <v>682</v>
      </c>
      <c r="C23" s="206" t="s">
        <v>513</v>
      </c>
    </row>
    <row r="24" spans="2:3" x14ac:dyDescent="0.25">
      <c r="B24" s="206" t="s">
        <v>593</v>
      </c>
      <c r="C24" s="254" t="s">
        <v>513</v>
      </c>
    </row>
    <row r="25" spans="2:3" x14ac:dyDescent="0.25">
      <c r="B25" s="206" t="s">
        <v>511</v>
      </c>
      <c r="C25" s="254" t="s">
        <v>513</v>
      </c>
    </row>
    <row r="26" spans="2:3" x14ac:dyDescent="0.25">
      <c r="B26" s="206" t="s">
        <v>702</v>
      </c>
    </row>
    <row r="27" spans="2:3" x14ac:dyDescent="0.25">
      <c r="B27" s="249" t="s">
        <v>703</v>
      </c>
    </row>
    <row r="28" spans="2:3" x14ac:dyDescent="0.25">
      <c r="B28" s="249" t="s">
        <v>704</v>
      </c>
    </row>
    <row r="29" spans="2:3" x14ac:dyDescent="0.25">
      <c r="B29" s="207" t="s">
        <v>706</v>
      </c>
    </row>
    <row r="30" spans="2:3" x14ac:dyDescent="0.25">
      <c r="B30" s="207" t="s">
        <v>707</v>
      </c>
    </row>
    <row r="31" spans="2:3" x14ac:dyDescent="0.25">
      <c r="B31" s="207" t="s">
        <v>708</v>
      </c>
    </row>
    <row r="32" spans="2:3" x14ac:dyDescent="0.25">
      <c r="B32" s="72" t="s">
        <v>590</v>
      </c>
    </row>
    <row r="33" spans="2:3" x14ac:dyDescent="0.25">
      <c r="B33" s="207" t="s">
        <v>709</v>
      </c>
      <c r="C33" s="206" t="s">
        <v>699</v>
      </c>
    </row>
    <row r="34" spans="2:3" x14ac:dyDescent="0.25">
      <c r="B34" s="207" t="s">
        <v>710</v>
      </c>
      <c r="C34" s="206" t="s">
        <v>699</v>
      </c>
    </row>
    <row r="35" spans="2:3" x14ac:dyDescent="0.25">
      <c r="B35" s="207" t="s">
        <v>711</v>
      </c>
      <c r="C35" s="206" t="s">
        <v>699</v>
      </c>
    </row>
    <row r="36" spans="2:3" x14ac:dyDescent="0.25">
      <c r="B36" s="207" t="s">
        <v>712</v>
      </c>
      <c r="C36" s="206" t="s">
        <v>699</v>
      </c>
    </row>
    <row r="37" spans="2:3" x14ac:dyDescent="0.25">
      <c r="B37" s="207" t="s">
        <v>713</v>
      </c>
    </row>
    <row r="38" spans="2:3" x14ac:dyDescent="0.25">
      <c r="B38" s="206" t="s">
        <v>593</v>
      </c>
    </row>
    <row r="39" spans="2:3" x14ac:dyDescent="0.25">
      <c r="B39" s="206" t="s">
        <v>511</v>
      </c>
    </row>
    <row r="40" spans="2:3" x14ac:dyDescent="0.25">
      <c r="B40" s="206" t="s">
        <v>714</v>
      </c>
    </row>
    <row r="41" spans="2:3" x14ac:dyDescent="0.25">
      <c r="B41" s="206" t="s">
        <v>715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98ABA-E03F-4EB1-BD79-FF09F90E8FDA}">
  <sheetPr codeName="Sheet1">
    <tabColor theme="5"/>
  </sheetPr>
  <dimension ref="A1:BZ71"/>
  <sheetViews>
    <sheetView zoomScaleNormal="10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A8" sqref="A8:XFD49"/>
    </sheetView>
  </sheetViews>
  <sheetFormatPr defaultRowHeight="15" x14ac:dyDescent="0.25"/>
  <cols>
    <col min="1" max="1" width="9.140625" style="200"/>
    <col min="2" max="2" width="11.42578125" style="72" customWidth="1"/>
    <col min="3" max="3" width="9.140625" style="72"/>
    <col min="4" max="5" width="16.28515625" style="72" customWidth="1"/>
    <col min="6" max="10" width="13.42578125" style="72" customWidth="1"/>
    <col min="11" max="11" width="15.7109375" style="72" customWidth="1"/>
    <col min="12" max="13" width="13.42578125" style="72" customWidth="1"/>
    <col min="14" max="14" width="15.140625" style="72" customWidth="1"/>
    <col min="15" max="32" width="13.42578125" style="72" customWidth="1"/>
    <col min="33" max="33" width="14.7109375" style="72" customWidth="1"/>
    <col min="34" max="34" width="13.7109375" style="72" customWidth="1"/>
    <col min="35" max="35" width="13.42578125" style="72" customWidth="1"/>
    <col min="36" max="36" width="19" style="72" customWidth="1"/>
    <col min="37" max="37" width="23.28515625" style="72" customWidth="1"/>
    <col min="38" max="38" width="14.7109375" style="72" customWidth="1"/>
    <col min="39" max="39" width="21.28515625" style="72" customWidth="1"/>
    <col min="40" max="40" width="13.42578125" style="72" customWidth="1"/>
    <col min="41" max="41" width="25.42578125" style="72" customWidth="1"/>
    <col min="42" max="42" width="16.85546875" style="72" customWidth="1"/>
    <col min="43" max="45" width="9.140625" style="72"/>
    <col min="46" max="46" width="11" style="72" bestFit="1" customWidth="1"/>
    <col min="47" max="54" width="9.140625" style="72"/>
    <col min="55" max="56" width="11" style="72" bestFit="1" customWidth="1"/>
    <col min="57" max="64" width="9.140625" style="72"/>
    <col min="65" max="68" width="12.140625" style="72" customWidth="1"/>
    <col min="69" max="73" width="15.7109375" style="72" customWidth="1"/>
    <col min="74" max="16384" width="9.140625" style="72"/>
  </cols>
  <sheetData>
    <row r="1" spans="1:78" x14ac:dyDescent="0.25">
      <c r="D1" s="86"/>
      <c r="E1" s="72" t="s">
        <v>208</v>
      </c>
    </row>
    <row r="2" spans="1:78" x14ac:dyDescent="0.25">
      <c r="D2" s="85"/>
      <c r="E2" s="72" t="s">
        <v>207</v>
      </c>
    </row>
    <row r="3" spans="1:78" x14ac:dyDescent="0.25">
      <c r="D3" s="76"/>
      <c r="E3" s="72" t="s">
        <v>206</v>
      </c>
    </row>
    <row r="4" spans="1:78" x14ac:dyDescent="0.25">
      <c r="D4" s="75"/>
      <c r="E4" s="72" t="s">
        <v>205</v>
      </c>
    </row>
    <row r="5" spans="1:78" s="81" customFormat="1" ht="93.75" customHeight="1" x14ac:dyDescent="0.2">
      <c r="A5" s="201"/>
      <c r="D5" s="81" t="s">
        <v>433</v>
      </c>
      <c r="E5" s="81" t="s">
        <v>432</v>
      </c>
      <c r="F5" s="81" t="s">
        <v>431</v>
      </c>
      <c r="G5" s="81" t="s">
        <v>430</v>
      </c>
      <c r="H5" s="81" t="s">
        <v>429</v>
      </c>
      <c r="I5" s="81" t="s">
        <v>428</v>
      </c>
      <c r="J5" s="81" t="s">
        <v>427</v>
      </c>
      <c r="K5" s="81" t="s">
        <v>426</v>
      </c>
      <c r="L5" s="81" t="s">
        <v>425</v>
      </c>
      <c r="M5" s="81" t="s">
        <v>424</v>
      </c>
      <c r="N5" s="81" t="s">
        <v>423</v>
      </c>
      <c r="O5" s="81" t="s">
        <v>422</v>
      </c>
      <c r="P5" s="81" t="s">
        <v>421</v>
      </c>
      <c r="Q5" s="81" t="s">
        <v>420</v>
      </c>
      <c r="R5" s="81" t="s">
        <v>419</v>
      </c>
      <c r="S5" s="81" t="s">
        <v>418</v>
      </c>
      <c r="T5" s="81" t="s">
        <v>417</v>
      </c>
      <c r="U5" s="81" t="s">
        <v>416</v>
      </c>
      <c r="V5" s="81" t="s">
        <v>415</v>
      </c>
      <c r="W5" s="81" t="s">
        <v>414</v>
      </c>
      <c r="X5" s="81" t="s">
        <v>413</v>
      </c>
      <c r="Y5" s="81" t="s">
        <v>412</v>
      </c>
      <c r="Z5" s="81" t="s">
        <v>411</v>
      </c>
      <c r="AA5" s="81" t="s">
        <v>410</v>
      </c>
      <c r="AB5" s="81" t="s">
        <v>409</v>
      </c>
      <c r="AC5" s="81" t="s">
        <v>408</v>
      </c>
      <c r="AD5" s="81" t="s">
        <v>196</v>
      </c>
      <c r="AE5" s="81" t="s">
        <v>195</v>
      </c>
      <c r="AF5" s="81" t="s">
        <v>407</v>
      </c>
      <c r="AG5" s="81" t="s">
        <v>406</v>
      </c>
      <c r="AH5" s="81" t="s">
        <v>405</v>
      </c>
      <c r="AI5" s="81" t="s">
        <v>404</v>
      </c>
      <c r="AJ5" s="81" t="s">
        <v>403</v>
      </c>
      <c r="AK5" s="81" t="s">
        <v>402</v>
      </c>
      <c r="AL5" s="81" t="s">
        <v>401</v>
      </c>
      <c r="AM5" s="81" t="s">
        <v>400</v>
      </c>
      <c r="AN5" s="81" t="s">
        <v>399</v>
      </c>
      <c r="AO5" s="81" t="s">
        <v>398</v>
      </c>
      <c r="AP5" s="81" t="s">
        <v>397</v>
      </c>
      <c r="AQ5" s="81" t="s">
        <v>396</v>
      </c>
      <c r="AR5" s="81" t="s">
        <v>395</v>
      </c>
      <c r="AS5" s="81" t="s">
        <v>394</v>
      </c>
      <c r="AT5" s="81" t="s">
        <v>189</v>
      </c>
      <c r="AU5" s="81" t="s">
        <v>393</v>
      </c>
      <c r="AV5" s="81" t="s">
        <v>392</v>
      </c>
      <c r="AW5" s="81" t="s">
        <v>391</v>
      </c>
      <c r="AX5" s="81" t="s">
        <v>390</v>
      </c>
      <c r="AY5" s="81" t="s">
        <v>389</v>
      </c>
      <c r="AZ5" s="81" t="s">
        <v>388</v>
      </c>
      <c r="BA5" s="81" t="s">
        <v>387</v>
      </c>
      <c r="BB5" s="81" t="s">
        <v>190</v>
      </c>
      <c r="BC5" s="81" t="s">
        <v>256</v>
      </c>
      <c r="BD5" s="81" t="s">
        <v>386</v>
      </c>
      <c r="BE5" s="81" t="s">
        <v>385</v>
      </c>
      <c r="BF5" s="81" t="s">
        <v>384</v>
      </c>
      <c r="BG5" s="81" t="s">
        <v>383</v>
      </c>
      <c r="BH5" s="81" t="s">
        <v>382</v>
      </c>
      <c r="BI5" s="81" t="s">
        <v>381</v>
      </c>
      <c r="BJ5" s="81" t="s">
        <v>380</v>
      </c>
      <c r="BK5" s="81" t="s">
        <v>379</v>
      </c>
      <c r="BL5" s="81" t="s">
        <v>378</v>
      </c>
      <c r="BM5" s="81" t="s">
        <v>377</v>
      </c>
      <c r="BN5" s="81" t="s">
        <v>376</v>
      </c>
      <c r="BO5" s="81" t="s">
        <v>375</v>
      </c>
      <c r="BP5" s="81" t="s">
        <v>374</v>
      </c>
      <c r="BQ5" s="81" t="s">
        <v>373</v>
      </c>
      <c r="BR5" s="81" t="s">
        <v>372</v>
      </c>
      <c r="BS5" s="81" t="s">
        <v>371</v>
      </c>
      <c r="BT5" s="81" t="s">
        <v>370</v>
      </c>
      <c r="BU5" s="81" t="s">
        <v>369</v>
      </c>
      <c r="BV5" s="81" t="s">
        <v>368</v>
      </c>
      <c r="BY5" s="81" t="s">
        <v>727</v>
      </c>
      <c r="BZ5" s="81" t="s">
        <v>728</v>
      </c>
    </row>
    <row r="6" spans="1:78" x14ac:dyDescent="0.25">
      <c r="D6" s="72" t="s">
        <v>367</v>
      </c>
      <c r="E6" s="72" t="s">
        <v>118</v>
      </c>
      <c r="F6" s="72" t="s">
        <v>364</v>
      </c>
      <c r="G6" s="72" t="s">
        <v>364</v>
      </c>
      <c r="H6" s="72" t="s">
        <v>366</v>
      </c>
      <c r="I6" s="72" t="s">
        <v>364</v>
      </c>
      <c r="J6" s="72" t="s">
        <v>365</v>
      </c>
      <c r="K6" s="72" t="s">
        <v>364</v>
      </c>
      <c r="L6" s="72" t="s">
        <v>355</v>
      </c>
      <c r="M6" s="72" t="s">
        <v>355</v>
      </c>
      <c r="N6" s="72" t="s">
        <v>355</v>
      </c>
      <c r="O6" s="72" t="s">
        <v>360</v>
      </c>
      <c r="P6" s="72" t="s">
        <v>253</v>
      </c>
      <c r="Q6" s="72" t="s">
        <v>173</v>
      </c>
      <c r="R6" s="72" t="s">
        <v>360</v>
      </c>
      <c r="S6" s="72" t="s">
        <v>253</v>
      </c>
      <c r="T6" s="72" t="s">
        <v>173</v>
      </c>
      <c r="U6" s="72" t="s">
        <v>360</v>
      </c>
      <c r="V6" s="72" t="s">
        <v>253</v>
      </c>
      <c r="W6" s="72" t="s">
        <v>173</v>
      </c>
      <c r="X6" s="72" t="s">
        <v>360</v>
      </c>
      <c r="Y6" s="72" t="s">
        <v>253</v>
      </c>
      <c r="Z6" s="72" t="s">
        <v>173</v>
      </c>
      <c r="AA6" s="72" t="s">
        <v>360</v>
      </c>
      <c r="AB6" s="72" t="s">
        <v>253</v>
      </c>
      <c r="AC6" s="72" t="s">
        <v>173</v>
      </c>
      <c r="AD6" s="72" t="s">
        <v>175</v>
      </c>
      <c r="AE6" s="72" t="s">
        <v>175</v>
      </c>
      <c r="AF6" s="72" t="s">
        <v>363</v>
      </c>
      <c r="AG6" s="72" t="s">
        <v>363</v>
      </c>
      <c r="AH6" s="72" t="s">
        <v>362</v>
      </c>
      <c r="AI6" s="72" t="s">
        <v>355</v>
      </c>
      <c r="AJ6" s="72" t="s">
        <v>355</v>
      </c>
      <c r="AK6" s="72" t="s">
        <v>355</v>
      </c>
      <c r="AL6" s="72" t="s">
        <v>355</v>
      </c>
      <c r="AM6" s="72" t="s">
        <v>355</v>
      </c>
      <c r="AN6" s="72" t="s">
        <v>355</v>
      </c>
      <c r="AO6" s="72" t="s">
        <v>355</v>
      </c>
      <c r="AP6" s="72" t="s">
        <v>355</v>
      </c>
      <c r="AQ6" s="72" t="s">
        <v>361</v>
      </c>
      <c r="AR6" s="72" t="s">
        <v>354</v>
      </c>
      <c r="AS6" s="72" t="s">
        <v>361</v>
      </c>
      <c r="AT6" s="72" t="s">
        <v>171</v>
      </c>
      <c r="AU6" s="72" t="s">
        <v>171</v>
      </c>
      <c r="AV6" s="72" t="s">
        <v>171</v>
      </c>
      <c r="AW6" s="72" t="s">
        <v>171</v>
      </c>
      <c r="AX6" s="72" t="s">
        <v>171</v>
      </c>
      <c r="AY6" s="72" t="s">
        <v>360</v>
      </c>
      <c r="AZ6" s="72" t="s">
        <v>359</v>
      </c>
      <c r="BA6" s="72" t="s">
        <v>171</v>
      </c>
      <c r="BB6" s="72" t="s">
        <v>172</v>
      </c>
      <c r="BC6" s="72" t="s">
        <v>359</v>
      </c>
      <c r="BD6" s="72" t="s">
        <v>359</v>
      </c>
      <c r="BE6" s="72" t="s">
        <v>358</v>
      </c>
      <c r="BF6" s="72" t="s">
        <v>358</v>
      </c>
      <c r="BG6" s="72" t="s">
        <v>357</v>
      </c>
      <c r="BH6" s="72" t="s">
        <v>354</v>
      </c>
      <c r="BI6" s="72" t="s">
        <v>354</v>
      </c>
      <c r="BJ6" s="72" t="s">
        <v>353</v>
      </c>
      <c r="BK6" s="72" t="s">
        <v>353</v>
      </c>
      <c r="BL6" s="72" t="s">
        <v>356</v>
      </c>
      <c r="BM6" s="72" t="s">
        <v>355</v>
      </c>
      <c r="BN6" s="72" t="s">
        <v>355</v>
      </c>
      <c r="BO6" s="72" t="s">
        <v>355</v>
      </c>
      <c r="BP6" s="72" t="s">
        <v>355</v>
      </c>
      <c r="BQ6" s="72" t="s">
        <v>354</v>
      </c>
      <c r="BR6" s="72" t="s">
        <v>354</v>
      </c>
      <c r="BS6" s="72" t="s">
        <v>353</v>
      </c>
      <c r="BT6" s="72" t="s">
        <v>353</v>
      </c>
      <c r="BU6" s="72" t="s">
        <v>118</v>
      </c>
      <c r="BV6" s="72" t="s">
        <v>118</v>
      </c>
    </row>
    <row r="7" spans="1:78" s="200" customFormat="1" ht="48.75" x14ac:dyDescent="0.25">
      <c r="B7" s="200" t="s">
        <v>169</v>
      </c>
      <c r="C7" s="200" t="s">
        <v>168</v>
      </c>
      <c r="D7" s="200" t="s">
        <v>352</v>
      </c>
      <c r="E7" s="200" t="s">
        <v>351</v>
      </c>
      <c r="F7" s="201" t="s">
        <v>350</v>
      </c>
      <c r="G7" s="201" t="s">
        <v>349</v>
      </c>
      <c r="H7" s="201" t="s">
        <v>348</v>
      </c>
      <c r="I7" s="201" t="s">
        <v>347</v>
      </c>
      <c r="J7" s="201" t="s">
        <v>346</v>
      </c>
      <c r="K7" s="201" t="s">
        <v>345</v>
      </c>
      <c r="L7" s="201" t="s">
        <v>344</v>
      </c>
      <c r="M7" s="201" t="s">
        <v>343</v>
      </c>
      <c r="N7" s="201" t="s">
        <v>342</v>
      </c>
      <c r="O7" s="201" t="s">
        <v>341</v>
      </c>
      <c r="P7" s="201" t="s">
        <v>340</v>
      </c>
      <c r="Q7" s="201" t="s">
        <v>339</v>
      </c>
      <c r="R7" s="201" t="s">
        <v>338</v>
      </c>
      <c r="S7" s="201" t="s">
        <v>337</v>
      </c>
      <c r="T7" s="201" t="s">
        <v>336</v>
      </c>
      <c r="U7" s="201" t="s">
        <v>335</v>
      </c>
      <c r="V7" s="201" t="s">
        <v>334</v>
      </c>
      <c r="W7" s="201" t="s">
        <v>333</v>
      </c>
      <c r="X7" s="201" t="s">
        <v>332</v>
      </c>
      <c r="Y7" s="201" t="s">
        <v>331</v>
      </c>
      <c r="Z7" s="201" t="s">
        <v>330</v>
      </c>
      <c r="AA7" s="201" t="s">
        <v>329</v>
      </c>
      <c r="AB7" s="201" t="s">
        <v>328</v>
      </c>
      <c r="AC7" s="201" t="s">
        <v>327</v>
      </c>
      <c r="AD7" s="82" t="s">
        <v>159</v>
      </c>
      <c r="AE7" s="82" t="s">
        <v>158</v>
      </c>
      <c r="AF7" s="201" t="s">
        <v>326</v>
      </c>
      <c r="AG7" s="201" t="s">
        <v>325</v>
      </c>
      <c r="AH7" s="202" t="s">
        <v>167</v>
      </c>
      <c r="AI7" s="201" t="s">
        <v>324</v>
      </c>
      <c r="AJ7" s="201" t="s">
        <v>323</v>
      </c>
      <c r="AK7" s="201" t="s">
        <v>322</v>
      </c>
      <c r="AL7" s="201" t="s">
        <v>321</v>
      </c>
      <c r="AM7" s="201" t="s">
        <v>320</v>
      </c>
      <c r="AN7" s="201" t="s">
        <v>319</v>
      </c>
      <c r="AO7" s="201" t="s">
        <v>318</v>
      </c>
      <c r="AP7" s="201" t="s">
        <v>317</v>
      </c>
      <c r="AQ7" s="201" t="s">
        <v>316</v>
      </c>
      <c r="AR7" s="201" t="s">
        <v>315</v>
      </c>
      <c r="AS7" s="201" t="s">
        <v>314</v>
      </c>
      <c r="AT7" s="201" t="s">
        <v>152</v>
      </c>
      <c r="AU7" s="201" t="s">
        <v>313</v>
      </c>
      <c r="AV7" s="201" t="s">
        <v>312</v>
      </c>
      <c r="AW7" s="201" t="s">
        <v>311</v>
      </c>
      <c r="AX7" s="201" t="s">
        <v>310</v>
      </c>
      <c r="AY7" s="201" t="s">
        <v>309</v>
      </c>
      <c r="AZ7" s="201" t="s">
        <v>308</v>
      </c>
      <c r="BA7" s="201" t="s">
        <v>307</v>
      </c>
      <c r="BB7" s="201" t="s">
        <v>153</v>
      </c>
      <c r="BC7" s="201" t="s">
        <v>306</v>
      </c>
      <c r="BD7" s="201" t="s">
        <v>305</v>
      </c>
      <c r="BE7" s="201" t="s">
        <v>304</v>
      </c>
      <c r="BF7" s="201" t="s">
        <v>303</v>
      </c>
      <c r="BG7" s="201" t="s">
        <v>302</v>
      </c>
      <c r="BH7" s="201" t="s">
        <v>301</v>
      </c>
      <c r="BI7" s="201" t="s">
        <v>300</v>
      </c>
      <c r="BJ7" s="201" t="s">
        <v>299</v>
      </c>
      <c r="BK7" s="201" t="s">
        <v>298</v>
      </c>
      <c r="BL7" s="201" t="s">
        <v>297</v>
      </c>
      <c r="BM7" s="201" t="s">
        <v>296</v>
      </c>
      <c r="BN7" s="201" t="s">
        <v>295</v>
      </c>
      <c r="BO7" s="201" t="s">
        <v>294</v>
      </c>
      <c r="BP7" s="201" t="s">
        <v>293</v>
      </c>
      <c r="BQ7" s="201" t="s">
        <v>292</v>
      </c>
      <c r="BR7" s="201" t="s">
        <v>291</v>
      </c>
      <c r="BS7" s="201" t="s">
        <v>290</v>
      </c>
      <c r="BT7" s="201" t="s">
        <v>289</v>
      </c>
      <c r="BU7" s="80" t="s">
        <v>288</v>
      </c>
      <c r="BV7" s="201" t="s">
        <v>287</v>
      </c>
    </row>
    <row r="8" spans="1:78" x14ac:dyDescent="0.25">
      <c r="B8" s="79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101"/>
      <c r="AR8" s="101"/>
      <c r="AS8" s="101"/>
      <c r="AT8" s="97"/>
      <c r="AU8" s="97"/>
      <c r="AV8" s="97"/>
      <c r="AW8" s="97"/>
      <c r="AX8" s="97"/>
      <c r="AY8" s="97"/>
      <c r="AZ8" s="97"/>
      <c r="BA8" s="97"/>
      <c r="BB8" s="97"/>
      <c r="BC8" s="97"/>
      <c r="BD8" s="97"/>
      <c r="BE8" s="97"/>
      <c r="BF8" s="97"/>
      <c r="BG8" s="97"/>
      <c r="BH8" s="100"/>
      <c r="BI8" s="99"/>
      <c r="BJ8" s="99"/>
      <c r="BK8" s="98"/>
      <c r="BL8" s="97"/>
      <c r="BM8" s="97"/>
      <c r="BN8" s="97"/>
      <c r="BO8" s="97"/>
      <c r="BP8" s="97"/>
      <c r="BQ8" s="100"/>
      <c r="BR8" s="99"/>
      <c r="BS8" s="99"/>
      <c r="BT8" s="98"/>
      <c r="BU8" s="97"/>
      <c r="BV8" s="97"/>
    </row>
    <row r="9" spans="1:78" x14ac:dyDescent="0.25">
      <c r="B9" s="79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101"/>
      <c r="AR9" s="101"/>
      <c r="AS9" s="101"/>
      <c r="AT9" s="97"/>
      <c r="AU9" s="97"/>
      <c r="AV9" s="97"/>
      <c r="AW9" s="97"/>
      <c r="AX9" s="97"/>
      <c r="AY9" s="97"/>
      <c r="AZ9" s="97"/>
      <c r="BA9" s="97"/>
      <c r="BB9" s="97"/>
      <c r="BC9" s="97"/>
      <c r="BD9" s="97"/>
      <c r="BE9" s="97"/>
      <c r="BF9" s="97"/>
      <c r="BG9" s="97"/>
      <c r="BH9" s="100"/>
      <c r="BI9" s="99"/>
      <c r="BJ9" s="99"/>
      <c r="BK9" s="98"/>
      <c r="BL9" s="97"/>
      <c r="BM9" s="97"/>
      <c r="BN9" s="97"/>
      <c r="BO9" s="97"/>
      <c r="BP9" s="97"/>
      <c r="BQ9" s="100"/>
      <c r="BR9" s="99"/>
      <c r="BS9" s="99"/>
      <c r="BT9" s="98"/>
      <c r="BU9" s="97"/>
      <c r="BV9" s="97"/>
    </row>
    <row r="10" spans="1:78" ht="15.75" thickBot="1" x14ac:dyDescent="0.3">
      <c r="B10" s="79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101"/>
      <c r="AR10" s="101"/>
      <c r="AS10" s="101"/>
      <c r="AT10" s="97"/>
      <c r="AU10" s="97"/>
      <c r="AV10" s="97"/>
      <c r="AW10" s="97"/>
      <c r="AX10" s="97"/>
      <c r="AY10" s="97"/>
      <c r="AZ10" s="97"/>
      <c r="BA10" s="97"/>
      <c r="BB10" s="97"/>
      <c r="BC10" s="97"/>
      <c r="BD10" s="97"/>
      <c r="BE10" s="97"/>
      <c r="BF10" s="97"/>
      <c r="BG10" s="97"/>
      <c r="BH10" s="100"/>
      <c r="BI10" s="99"/>
      <c r="BJ10" s="99"/>
      <c r="BK10" s="98"/>
      <c r="BL10" s="97"/>
      <c r="BM10" s="97"/>
      <c r="BN10" s="97"/>
      <c r="BO10" s="97"/>
      <c r="BP10" s="97"/>
      <c r="BQ10" s="100"/>
      <c r="BR10" s="99"/>
      <c r="BS10" s="99"/>
      <c r="BT10" s="98"/>
      <c r="BU10" s="97"/>
      <c r="BV10" s="97"/>
    </row>
    <row r="11" spans="1:78" x14ac:dyDescent="0.25"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101"/>
      <c r="AR11" s="101"/>
      <c r="AS11" s="101"/>
      <c r="AT11" s="97"/>
      <c r="AU11" s="97"/>
      <c r="AV11" s="97"/>
      <c r="AW11" s="97"/>
      <c r="AX11" s="97"/>
      <c r="AY11" s="97"/>
      <c r="AZ11" s="97"/>
      <c r="BA11" s="97"/>
      <c r="BB11" s="97"/>
      <c r="BC11" s="97"/>
      <c r="BD11" s="97"/>
      <c r="BE11" s="97"/>
      <c r="BF11" s="97"/>
      <c r="BG11" s="97"/>
      <c r="BH11" s="107"/>
      <c r="BI11" s="106"/>
      <c r="BJ11" s="106"/>
      <c r="BK11" s="105"/>
      <c r="BL11" s="97"/>
      <c r="BM11" s="97"/>
      <c r="BN11" s="97"/>
      <c r="BO11" s="97"/>
      <c r="BP11" s="97"/>
      <c r="BQ11" s="107"/>
      <c r="BR11" s="106"/>
      <c r="BS11" s="106"/>
      <c r="BT11" s="105"/>
      <c r="BU11" s="97"/>
      <c r="BV11" s="97"/>
    </row>
    <row r="12" spans="1:78" x14ac:dyDescent="0.25">
      <c r="B12" s="79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7"/>
      <c r="AP12" s="77"/>
      <c r="AQ12" s="101"/>
      <c r="AR12" s="101"/>
      <c r="AS12" s="101"/>
      <c r="AT12" s="97"/>
      <c r="AU12" s="97"/>
      <c r="AV12" s="97"/>
      <c r="AW12" s="97"/>
      <c r="AX12" s="97"/>
      <c r="AY12" s="97"/>
      <c r="AZ12" s="97"/>
      <c r="BA12" s="97"/>
      <c r="BB12" s="97"/>
      <c r="BC12" s="97"/>
      <c r="BD12" s="97"/>
      <c r="BE12" s="97"/>
      <c r="BF12" s="97"/>
      <c r="BG12" s="97"/>
      <c r="BH12" s="100"/>
      <c r="BI12" s="99"/>
      <c r="BJ12" s="99"/>
      <c r="BK12" s="98"/>
      <c r="BL12" s="97"/>
      <c r="BM12" s="97"/>
      <c r="BN12" s="97"/>
      <c r="BO12" s="97"/>
      <c r="BP12" s="97"/>
      <c r="BQ12" s="100"/>
      <c r="BR12" s="99"/>
      <c r="BS12" s="99"/>
      <c r="BT12" s="98"/>
      <c r="BU12" s="97"/>
      <c r="BV12" s="97"/>
    </row>
    <row r="13" spans="1:78" x14ac:dyDescent="0.25">
      <c r="B13" s="79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101"/>
      <c r="AR13" s="101"/>
      <c r="AS13" s="101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100"/>
      <c r="BI13" s="99"/>
      <c r="BJ13" s="99"/>
      <c r="BK13" s="98"/>
      <c r="BL13" s="97"/>
      <c r="BM13" s="97"/>
      <c r="BN13" s="97"/>
      <c r="BO13" s="97"/>
      <c r="BP13" s="97"/>
      <c r="BQ13" s="100"/>
      <c r="BR13" s="99"/>
      <c r="BS13" s="99"/>
      <c r="BT13" s="98"/>
      <c r="BU13" s="97"/>
      <c r="BV13" s="97"/>
    </row>
    <row r="14" spans="1:78" x14ac:dyDescent="0.25">
      <c r="B14" s="79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101"/>
      <c r="AR14" s="101"/>
      <c r="AS14" s="101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7"/>
      <c r="BG14" s="97"/>
      <c r="BH14" s="100"/>
      <c r="BI14" s="99"/>
      <c r="BJ14" s="99"/>
      <c r="BK14" s="98"/>
      <c r="BL14" s="97"/>
      <c r="BM14" s="97"/>
      <c r="BN14" s="97"/>
      <c r="BO14" s="97"/>
      <c r="BP14" s="97"/>
      <c r="BQ14" s="100"/>
      <c r="BR14" s="99"/>
      <c r="BS14" s="99"/>
      <c r="BT14" s="98"/>
      <c r="BU14" s="97"/>
      <c r="BV14" s="97"/>
    </row>
    <row r="15" spans="1:78" x14ac:dyDescent="0.25">
      <c r="B15" s="79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/>
      <c r="AP15" s="77"/>
      <c r="AQ15" s="101"/>
      <c r="AR15" s="101"/>
      <c r="AS15" s="101"/>
      <c r="AT15" s="97"/>
      <c r="AU15" s="97"/>
      <c r="AV15" s="97"/>
      <c r="AW15" s="97"/>
      <c r="AX15" s="97"/>
      <c r="AY15" s="97"/>
      <c r="AZ15" s="97"/>
      <c r="BA15" s="97"/>
      <c r="BB15" s="97"/>
      <c r="BC15" s="97"/>
      <c r="BD15" s="97"/>
      <c r="BE15" s="97"/>
      <c r="BF15" s="97"/>
      <c r="BG15" s="97"/>
      <c r="BH15" s="100"/>
      <c r="BI15" s="99"/>
      <c r="BJ15" s="99"/>
      <c r="BK15" s="98"/>
      <c r="BL15" s="97"/>
      <c r="BM15" s="97"/>
      <c r="BN15" s="97"/>
      <c r="BO15" s="97"/>
      <c r="BP15" s="97"/>
      <c r="BQ15" s="100"/>
      <c r="BR15" s="99"/>
      <c r="BS15" s="99"/>
      <c r="BT15" s="98"/>
      <c r="BU15" s="97"/>
      <c r="BV15" s="97"/>
    </row>
    <row r="16" spans="1:78" x14ac:dyDescent="0.25">
      <c r="B16" s="79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101"/>
      <c r="AR16" s="101"/>
      <c r="AS16" s="101"/>
      <c r="AT16" s="97"/>
      <c r="AU16" s="97"/>
      <c r="AV16" s="97"/>
      <c r="AW16" s="97"/>
      <c r="AX16" s="97"/>
      <c r="AY16" s="97"/>
      <c r="AZ16" s="97"/>
      <c r="BA16" s="97"/>
      <c r="BB16" s="97"/>
      <c r="BC16" s="97"/>
      <c r="BD16" s="97"/>
      <c r="BE16" s="97"/>
      <c r="BF16" s="97"/>
      <c r="BG16" s="97"/>
      <c r="BH16" s="100"/>
      <c r="BI16" s="99"/>
      <c r="BJ16" s="99"/>
      <c r="BK16" s="98"/>
      <c r="BL16" s="97"/>
      <c r="BM16" s="97"/>
      <c r="BN16" s="97"/>
      <c r="BO16" s="97"/>
      <c r="BP16" s="97"/>
      <c r="BQ16" s="100"/>
      <c r="BR16" s="99"/>
      <c r="BS16" s="99"/>
      <c r="BT16" s="98"/>
      <c r="BU16" s="97"/>
      <c r="BV16" s="97"/>
    </row>
    <row r="17" spans="2:74" x14ac:dyDescent="0.25">
      <c r="B17" s="79"/>
      <c r="D17" s="77"/>
      <c r="E17" s="77"/>
      <c r="F17" s="77"/>
      <c r="G17" s="77"/>
      <c r="H17" s="77"/>
      <c r="I17" s="77"/>
      <c r="J17" s="77"/>
      <c r="K17" s="247"/>
      <c r="L17" s="77"/>
      <c r="M17" s="77"/>
      <c r="N17" s="15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77"/>
      <c r="AN17" s="77"/>
      <c r="AO17" s="77"/>
      <c r="AP17" s="77"/>
      <c r="AQ17" s="101"/>
      <c r="AR17" s="101"/>
      <c r="AS17" s="101"/>
      <c r="AT17" s="97"/>
      <c r="AU17" s="97"/>
      <c r="AV17" s="97"/>
      <c r="AW17" s="97"/>
      <c r="AX17" s="97"/>
      <c r="AY17" s="97"/>
      <c r="AZ17" s="97"/>
      <c r="BA17" s="97"/>
      <c r="BB17" s="97"/>
      <c r="BC17" s="97"/>
      <c r="BD17" s="97"/>
      <c r="BE17" s="97"/>
      <c r="BF17" s="97"/>
      <c r="BG17" s="97"/>
      <c r="BH17" s="100"/>
      <c r="BI17" s="99"/>
      <c r="BJ17" s="99"/>
      <c r="BK17" s="98"/>
      <c r="BL17" s="97"/>
      <c r="BM17" s="97"/>
      <c r="BN17" s="97"/>
      <c r="BO17" s="97"/>
      <c r="BP17" s="97"/>
      <c r="BQ17" s="100"/>
      <c r="BR17" s="99"/>
      <c r="BS17" s="99"/>
      <c r="BT17" s="98"/>
      <c r="BU17" s="97"/>
      <c r="BV17" s="97"/>
    </row>
    <row r="18" spans="2:74" x14ac:dyDescent="0.25">
      <c r="B18" s="79"/>
      <c r="D18" s="77"/>
      <c r="E18" s="77"/>
      <c r="F18" s="77"/>
      <c r="G18" s="77"/>
      <c r="H18" s="77"/>
      <c r="I18" s="77"/>
      <c r="J18" s="77"/>
      <c r="K18" s="247"/>
      <c r="L18" s="77"/>
      <c r="M18" s="77"/>
      <c r="N18" s="15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  <c r="AM18" s="77"/>
      <c r="AN18" s="77"/>
      <c r="AO18" s="77"/>
      <c r="AP18" s="77"/>
      <c r="AQ18" s="101"/>
      <c r="AR18" s="101"/>
      <c r="AS18" s="101"/>
      <c r="AT18" s="97"/>
      <c r="AU18" s="97"/>
      <c r="AV18" s="97"/>
      <c r="AW18" s="97"/>
      <c r="AX18" s="97"/>
      <c r="AY18" s="97"/>
      <c r="AZ18" s="97"/>
      <c r="BA18" s="97"/>
      <c r="BB18" s="97"/>
      <c r="BC18" s="97"/>
      <c r="BD18" s="97"/>
      <c r="BE18" s="97"/>
      <c r="BF18" s="97"/>
      <c r="BG18" s="97"/>
      <c r="BH18" s="100"/>
      <c r="BI18" s="99"/>
      <c r="BJ18" s="99"/>
      <c r="BK18" s="98"/>
      <c r="BL18" s="97"/>
      <c r="BM18" s="97"/>
      <c r="BN18" s="97"/>
      <c r="BO18" s="97"/>
      <c r="BP18" s="97"/>
      <c r="BQ18" s="100"/>
      <c r="BR18" s="99"/>
      <c r="BS18" s="99"/>
      <c r="BT18" s="98"/>
      <c r="BU18" s="97"/>
      <c r="BV18" s="97"/>
    </row>
    <row r="19" spans="2:74" x14ac:dyDescent="0.25">
      <c r="B19" s="79"/>
      <c r="D19" s="77"/>
      <c r="E19" s="77"/>
      <c r="F19" s="77"/>
      <c r="G19" s="77"/>
      <c r="H19" s="77"/>
      <c r="I19" s="77"/>
      <c r="J19" s="77"/>
      <c r="K19" s="247"/>
      <c r="L19" s="77"/>
      <c r="M19" s="77"/>
      <c r="N19" s="15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101"/>
      <c r="AR19" s="101"/>
      <c r="AS19" s="101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100"/>
      <c r="BI19" s="99"/>
      <c r="BJ19" s="99"/>
      <c r="BK19" s="98"/>
      <c r="BL19" s="97"/>
      <c r="BM19" s="97"/>
      <c r="BN19" s="97"/>
      <c r="BO19" s="97"/>
      <c r="BP19" s="97"/>
      <c r="BQ19" s="100"/>
      <c r="BR19" s="99"/>
      <c r="BS19" s="99"/>
      <c r="BT19" s="98"/>
      <c r="BU19" s="97"/>
      <c r="BV19" s="97"/>
    </row>
    <row r="20" spans="2:74" x14ac:dyDescent="0.25">
      <c r="B20" s="79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  <c r="AP20" s="77"/>
      <c r="AQ20" s="101"/>
      <c r="AR20" s="101"/>
      <c r="AS20" s="101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100"/>
      <c r="BI20" s="99"/>
      <c r="BJ20" s="99"/>
      <c r="BK20" s="98"/>
      <c r="BL20" s="97"/>
      <c r="BM20" s="97"/>
      <c r="BN20" s="97"/>
      <c r="BO20" s="97"/>
      <c r="BP20" s="97"/>
      <c r="BQ20" s="100"/>
      <c r="BR20" s="99"/>
      <c r="BS20" s="99"/>
      <c r="BT20" s="98"/>
      <c r="BU20" s="97"/>
      <c r="BV20" s="97"/>
    </row>
    <row r="21" spans="2:74" x14ac:dyDescent="0.25">
      <c r="B21" s="79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  <c r="AM21" s="77"/>
      <c r="AN21" s="77"/>
      <c r="AO21" s="77"/>
      <c r="AP21" s="77"/>
      <c r="AQ21" s="101"/>
      <c r="AR21" s="101"/>
      <c r="AS21" s="101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100"/>
      <c r="BI21" s="99"/>
      <c r="BJ21" s="99"/>
      <c r="BK21" s="98"/>
      <c r="BL21" s="97"/>
      <c r="BM21" s="97"/>
      <c r="BN21" s="97"/>
      <c r="BO21" s="97"/>
      <c r="BP21" s="97"/>
      <c r="BQ21" s="100"/>
      <c r="BR21" s="99"/>
      <c r="BS21" s="99"/>
      <c r="BT21" s="98"/>
      <c r="BU21" s="97"/>
      <c r="BV21" s="97"/>
    </row>
    <row r="22" spans="2:74" x14ac:dyDescent="0.25">
      <c r="B22" s="79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/>
      <c r="AP22" s="77"/>
      <c r="AQ22" s="101"/>
      <c r="AR22" s="101"/>
      <c r="AS22" s="101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100"/>
      <c r="BI22" s="99"/>
      <c r="BJ22" s="99"/>
      <c r="BK22" s="98"/>
      <c r="BL22" s="97"/>
      <c r="BM22" s="97"/>
      <c r="BN22" s="97"/>
      <c r="BO22" s="97"/>
      <c r="BP22" s="97"/>
      <c r="BQ22" s="100"/>
      <c r="BR22" s="99"/>
      <c r="BS22" s="99"/>
      <c r="BT22" s="98"/>
      <c r="BU22" s="97"/>
      <c r="BV22" s="97"/>
    </row>
    <row r="23" spans="2:74" x14ac:dyDescent="0.25">
      <c r="B23" s="79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101"/>
      <c r="AR23" s="101"/>
      <c r="AS23" s="101"/>
      <c r="AT23" s="97"/>
      <c r="AU23" s="97"/>
      <c r="AV23" s="97"/>
      <c r="AW23" s="97"/>
      <c r="AX23" s="97"/>
      <c r="AY23" s="97"/>
      <c r="AZ23" s="97"/>
      <c r="BA23" s="97"/>
      <c r="BB23" s="97"/>
      <c r="BC23" s="97"/>
      <c r="BD23" s="97"/>
      <c r="BE23" s="97"/>
      <c r="BF23" s="97"/>
      <c r="BG23" s="97"/>
      <c r="BH23" s="100"/>
      <c r="BI23" s="99"/>
      <c r="BJ23" s="99"/>
      <c r="BK23" s="98"/>
      <c r="BL23" s="97"/>
      <c r="BM23" s="97"/>
      <c r="BN23" s="97"/>
      <c r="BO23" s="97"/>
      <c r="BP23" s="97"/>
      <c r="BQ23" s="100"/>
      <c r="BR23" s="99"/>
      <c r="BS23" s="99"/>
      <c r="BT23" s="98"/>
      <c r="BU23" s="97"/>
      <c r="BV23" s="97"/>
    </row>
    <row r="24" spans="2:74" x14ac:dyDescent="0.25">
      <c r="B24" s="79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/>
      <c r="AP24" s="77"/>
      <c r="AQ24" s="101"/>
      <c r="AR24" s="101"/>
      <c r="AS24" s="101"/>
      <c r="AT24" s="97"/>
      <c r="AU24" s="97"/>
      <c r="AV24" s="97"/>
      <c r="AW24" s="97"/>
      <c r="AX24" s="97"/>
      <c r="AY24" s="97"/>
      <c r="AZ24" s="97"/>
      <c r="BA24" s="97"/>
      <c r="BB24" s="97"/>
      <c r="BC24" s="97"/>
      <c r="BD24" s="97"/>
      <c r="BE24" s="97"/>
      <c r="BF24" s="97"/>
      <c r="BG24" s="97"/>
      <c r="BH24" s="100"/>
      <c r="BI24" s="99"/>
      <c r="BJ24" s="99"/>
      <c r="BK24" s="98"/>
      <c r="BL24" s="97"/>
      <c r="BM24" s="97"/>
      <c r="BN24" s="97"/>
      <c r="BO24" s="97"/>
      <c r="BP24" s="97"/>
      <c r="BQ24" s="100"/>
      <c r="BR24" s="99"/>
      <c r="BS24" s="99"/>
      <c r="BT24" s="98"/>
      <c r="BU24" s="97"/>
      <c r="BV24" s="97"/>
    </row>
    <row r="25" spans="2:74" x14ac:dyDescent="0.25">
      <c r="B25" s="79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  <c r="AP25" s="77"/>
      <c r="AQ25" s="101"/>
      <c r="AR25" s="101"/>
      <c r="AS25" s="101"/>
      <c r="AT25" s="97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100"/>
      <c r="BI25" s="99"/>
      <c r="BJ25" s="99"/>
      <c r="BK25" s="98"/>
      <c r="BL25" s="97"/>
      <c r="BM25" s="97"/>
      <c r="BN25" s="97"/>
      <c r="BO25" s="97"/>
      <c r="BP25" s="97"/>
      <c r="BQ25" s="100"/>
      <c r="BR25" s="99"/>
      <c r="BS25" s="99"/>
      <c r="BT25" s="98"/>
      <c r="BU25" s="97"/>
      <c r="BV25" s="97"/>
    </row>
    <row r="26" spans="2:74" x14ac:dyDescent="0.25">
      <c r="B26" s="79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101"/>
      <c r="AR26" s="101"/>
      <c r="AS26" s="101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100"/>
      <c r="BI26" s="99"/>
      <c r="BJ26" s="99"/>
      <c r="BK26" s="98"/>
      <c r="BL26" s="97"/>
      <c r="BM26" s="97"/>
      <c r="BN26" s="97"/>
      <c r="BO26" s="97"/>
      <c r="BP26" s="97"/>
      <c r="BQ26" s="100"/>
      <c r="BR26" s="99"/>
      <c r="BS26" s="99"/>
      <c r="BT26" s="98"/>
      <c r="BU26" s="97"/>
      <c r="BV26" s="97"/>
    </row>
    <row r="27" spans="2:74" x14ac:dyDescent="0.25">
      <c r="B27" s="79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101"/>
      <c r="AR27" s="101"/>
      <c r="AS27" s="101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100"/>
      <c r="BI27" s="99"/>
      <c r="BJ27" s="99"/>
      <c r="BK27" s="98"/>
      <c r="BL27" s="97"/>
      <c r="BM27" s="97"/>
      <c r="BN27" s="97"/>
      <c r="BO27" s="97"/>
      <c r="BP27" s="97"/>
      <c r="BQ27" s="100"/>
      <c r="BR27" s="99"/>
      <c r="BS27" s="99"/>
      <c r="BT27" s="98"/>
      <c r="BU27" s="97"/>
      <c r="BV27" s="97"/>
    </row>
    <row r="28" spans="2:74" x14ac:dyDescent="0.25">
      <c r="B28" s="79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101"/>
      <c r="AR28" s="101"/>
      <c r="AS28" s="101"/>
      <c r="AT28" s="97"/>
      <c r="AU28" s="97"/>
      <c r="AV28" s="97"/>
      <c r="AW28" s="97"/>
      <c r="AX28" s="97"/>
      <c r="AY28" s="97"/>
      <c r="AZ28" s="97"/>
      <c r="BA28" s="97"/>
      <c r="BB28" s="97"/>
      <c r="BC28" s="97"/>
      <c r="BD28" s="97"/>
      <c r="BE28" s="97"/>
      <c r="BF28" s="97"/>
      <c r="BG28" s="97"/>
      <c r="BH28" s="100"/>
      <c r="BI28" s="99"/>
      <c r="BJ28" s="99"/>
      <c r="BK28" s="98"/>
      <c r="BL28" s="97"/>
      <c r="BM28" s="97"/>
      <c r="BN28" s="97"/>
      <c r="BO28" s="97"/>
      <c r="BP28" s="97"/>
      <c r="BQ28" s="100"/>
      <c r="BR28" s="99"/>
      <c r="BS28" s="99"/>
      <c r="BT28" s="98"/>
      <c r="BU28" s="97"/>
      <c r="BV28" s="97"/>
    </row>
    <row r="29" spans="2:74" x14ac:dyDescent="0.25">
      <c r="B29" s="79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101"/>
      <c r="AR29" s="101"/>
      <c r="AS29" s="101"/>
      <c r="AT29" s="97"/>
      <c r="AU29" s="97"/>
      <c r="AV29" s="97"/>
      <c r="AW29" s="97"/>
      <c r="AX29" s="97"/>
      <c r="AY29" s="97"/>
      <c r="AZ29" s="97"/>
      <c r="BA29" s="97"/>
      <c r="BB29" s="97"/>
      <c r="BC29" s="97"/>
      <c r="BD29" s="97"/>
      <c r="BE29" s="97"/>
      <c r="BF29" s="97"/>
      <c r="BG29" s="97"/>
      <c r="BH29" s="100"/>
      <c r="BI29" s="99"/>
      <c r="BJ29" s="99"/>
      <c r="BK29" s="98"/>
      <c r="BL29" s="97"/>
      <c r="BM29" s="97"/>
      <c r="BN29" s="97"/>
      <c r="BO29" s="97"/>
      <c r="BP29" s="97"/>
      <c r="BQ29" s="100"/>
      <c r="BR29" s="99"/>
      <c r="BS29" s="99"/>
      <c r="BT29" s="98"/>
      <c r="BU29" s="97"/>
      <c r="BV29" s="97"/>
    </row>
    <row r="30" spans="2:74" x14ac:dyDescent="0.25">
      <c r="B30" s="79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/>
      <c r="AP30" s="77"/>
      <c r="AQ30" s="101"/>
      <c r="AR30" s="101"/>
      <c r="AS30" s="101"/>
      <c r="AT30" s="97"/>
      <c r="AU30" s="97"/>
      <c r="AV30" s="97"/>
      <c r="AW30" s="97"/>
      <c r="AX30" s="97"/>
      <c r="AY30" s="97"/>
      <c r="AZ30" s="97"/>
      <c r="BA30" s="97"/>
      <c r="BB30" s="97"/>
      <c r="BC30" s="97"/>
      <c r="BD30" s="97"/>
      <c r="BE30" s="97"/>
      <c r="BF30" s="97"/>
      <c r="BG30" s="97"/>
      <c r="BH30" s="100"/>
      <c r="BI30" s="99"/>
      <c r="BJ30" s="99"/>
      <c r="BK30" s="98"/>
      <c r="BL30" s="97"/>
      <c r="BM30" s="97"/>
      <c r="BN30" s="97"/>
      <c r="BO30" s="97"/>
      <c r="BP30" s="97"/>
      <c r="BQ30" s="100"/>
      <c r="BR30" s="99"/>
      <c r="BS30" s="99"/>
      <c r="BT30" s="98"/>
      <c r="BU30" s="97"/>
      <c r="BV30" s="97"/>
    </row>
    <row r="31" spans="2:74" x14ac:dyDescent="0.25">
      <c r="B31" s="79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/>
      <c r="AP31" s="77"/>
      <c r="AQ31" s="101"/>
      <c r="AR31" s="101"/>
      <c r="AS31" s="101"/>
      <c r="AT31" s="97"/>
      <c r="AU31" s="97"/>
      <c r="AV31" s="97"/>
      <c r="AW31" s="97"/>
      <c r="AX31" s="97"/>
      <c r="AY31" s="97"/>
      <c r="AZ31" s="97"/>
      <c r="BA31" s="97"/>
      <c r="BB31" s="97"/>
      <c r="BC31" s="97"/>
      <c r="BD31" s="97"/>
      <c r="BE31" s="97"/>
      <c r="BF31" s="97"/>
      <c r="BG31" s="97"/>
      <c r="BH31" s="100"/>
      <c r="BI31" s="99"/>
      <c r="BJ31" s="99"/>
      <c r="BK31" s="98"/>
      <c r="BL31" s="97"/>
      <c r="BM31" s="97"/>
      <c r="BN31" s="97"/>
      <c r="BO31" s="97"/>
      <c r="BP31" s="97"/>
      <c r="BQ31" s="100"/>
      <c r="BR31" s="99"/>
      <c r="BS31" s="99"/>
      <c r="BT31" s="98"/>
      <c r="BU31" s="97"/>
      <c r="BV31" s="97"/>
    </row>
    <row r="32" spans="2:74" x14ac:dyDescent="0.25">
      <c r="B32" s="79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101"/>
      <c r="AR32" s="101"/>
      <c r="AS32" s="101"/>
      <c r="AT32" s="97"/>
      <c r="AU32" s="97"/>
      <c r="AV32" s="97"/>
      <c r="AW32" s="97"/>
      <c r="AX32" s="97"/>
      <c r="AY32" s="97"/>
      <c r="AZ32" s="97"/>
      <c r="BA32" s="97"/>
      <c r="BB32" s="97"/>
      <c r="BC32" s="97"/>
      <c r="BD32" s="97"/>
      <c r="BE32" s="97"/>
      <c r="BF32" s="97"/>
      <c r="BG32" s="97"/>
      <c r="BH32" s="100"/>
      <c r="BI32" s="99"/>
      <c r="BJ32" s="99"/>
      <c r="BK32" s="98"/>
      <c r="BL32" s="97"/>
      <c r="BM32" s="97"/>
      <c r="BN32" s="97"/>
      <c r="BO32" s="97"/>
      <c r="BP32" s="97"/>
      <c r="BQ32" s="100"/>
      <c r="BR32" s="99"/>
      <c r="BS32" s="99"/>
      <c r="BT32" s="98"/>
      <c r="BU32" s="97"/>
      <c r="BV32" s="97"/>
    </row>
    <row r="33" spans="2:74" x14ac:dyDescent="0.25">
      <c r="B33" s="79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101"/>
      <c r="AR33" s="101"/>
      <c r="AS33" s="101"/>
      <c r="AT33" s="97"/>
      <c r="AU33" s="97"/>
      <c r="AV33" s="97"/>
      <c r="AW33" s="97"/>
      <c r="AX33" s="97"/>
      <c r="AY33" s="97"/>
      <c r="AZ33" s="97"/>
      <c r="BA33" s="97"/>
      <c r="BB33" s="97"/>
      <c r="BC33" s="97"/>
      <c r="BD33" s="97"/>
      <c r="BE33" s="97"/>
      <c r="BF33" s="97"/>
      <c r="BG33" s="97"/>
      <c r="BH33" s="100"/>
      <c r="BI33" s="99"/>
      <c r="BJ33" s="99"/>
      <c r="BK33" s="98"/>
      <c r="BL33" s="97"/>
      <c r="BM33" s="97"/>
      <c r="BN33" s="97"/>
      <c r="BO33" s="97"/>
      <c r="BP33" s="97"/>
      <c r="BQ33" s="100"/>
      <c r="BR33" s="99"/>
      <c r="BS33" s="99"/>
      <c r="BT33" s="98"/>
      <c r="BU33" s="97"/>
      <c r="BV33" s="97"/>
    </row>
    <row r="34" spans="2:74" ht="15.75" thickBot="1" x14ac:dyDescent="0.3">
      <c r="B34" s="79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101"/>
      <c r="AR34" s="101"/>
      <c r="AS34" s="101"/>
      <c r="AT34" s="97"/>
      <c r="AU34" s="97"/>
      <c r="AV34" s="97"/>
      <c r="AW34" s="97"/>
      <c r="AX34" s="97"/>
      <c r="AY34" s="97"/>
      <c r="AZ34" s="97"/>
      <c r="BA34" s="97"/>
      <c r="BB34" s="97"/>
      <c r="BC34" s="97"/>
      <c r="BD34" s="97"/>
      <c r="BE34" s="97"/>
      <c r="BF34" s="97"/>
      <c r="BG34" s="97"/>
      <c r="BH34" s="104"/>
      <c r="BI34" s="103"/>
      <c r="BJ34" s="103"/>
      <c r="BK34" s="102"/>
      <c r="BL34" s="97"/>
      <c r="BM34" s="97"/>
      <c r="BN34" s="97"/>
      <c r="BO34" s="97"/>
      <c r="BP34" s="97"/>
      <c r="BQ34" s="104"/>
      <c r="BR34" s="103"/>
      <c r="BS34" s="103"/>
      <c r="BT34" s="102"/>
      <c r="BU34" s="97"/>
      <c r="BV34" s="97"/>
    </row>
    <row r="35" spans="2:74" x14ac:dyDescent="0.25">
      <c r="B35" s="79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/>
      <c r="AQ35" s="101"/>
      <c r="AR35" s="101"/>
      <c r="AS35" s="101"/>
      <c r="AT35" s="97"/>
      <c r="AU35" s="97"/>
      <c r="AV35" s="97"/>
      <c r="AW35" s="97"/>
      <c r="AX35" s="97"/>
      <c r="AY35" s="97"/>
      <c r="AZ35" s="97"/>
      <c r="BA35" s="97"/>
      <c r="BB35" s="97"/>
      <c r="BC35" s="97"/>
      <c r="BD35" s="97"/>
      <c r="BE35" s="97"/>
      <c r="BF35" s="97"/>
      <c r="BG35" s="97"/>
      <c r="BH35" s="100"/>
      <c r="BI35" s="99"/>
      <c r="BJ35" s="99"/>
      <c r="BK35" s="98"/>
      <c r="BL35" s="97"/>
      <c r="BM35" s="97"/>
      <c r="BN35" s="97"/>
      <c r="BO35" s="97"/>
      <c r="BP35" s="97"/>
      <c r="BQ35" s="100"/>
      <c r="BR35" s="99"/>
      <c r="BS35" s="99"/>
      <c r="BT35" s="98"/>
      <c r="BU35" s="97"/>
      <c r="BV35" s="97"/>
    </row>
    <row r="36" spans="2:74" x14ac:dyDescent="0.25">
      <c r="B36" s="79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/>
      <c r="AQ36" s="101"/>
      <c r="AR36" s="101"/>
      <c r="AS36" s="101"/>
      <c r="AT36" s="97"/>
      <c r="AU36" s="97"/>
      <c r="AV36" s="97"/>
      <c r="AW36" s="97"/>
      <c r="AX36" s="97"/>
      <c r="AY36" s="97"/>
      <c r="AZ36" s="97"/>
      <c r="BA36" s="97"/>
      <c r="BB36" s="97"/>
      <c r="BC36" s="97"/>
      <c r="BD36" s="97"/>
      <c r="BE36" s="97"/>
      <c r="BF36" s="97"/>
      <c r="BG36" s="97"/>
      <c r="BH36" s="100"/>
      <c r="BI36" s="99"/>
      <c r="BJ36" s="99"/>
      <c r="BK36" s="98"/>
      <c r="BL36" s="97"/>
      <c r="BM36" s="97"/>
      <c r="BN36" s="97"/>
      <c r="BO36" s="97"/>
      <c r="BP36" s="97"/>
      <c r="BQ36" s="100"/>
      <c r="BR36" s="99"/>
      <c r="BS36" s="99"/>
      <c r="BT36" s="98"/>
      <c r="BU36" s="97"/>
      <c r="BV36" s="97"/>
    </row>
    <row r="37" spans="2:74" x14ac:dyDescent="0.25">
      <c r="B37" s="79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  <c r="AP37" s="77"/>
      <c r="AQ37" s="101"/>
      <c r="AR37" s="101"/>
      <c r="AS37" s="101"/>
      <c r="AT37" s="97"/>
      <c r="AU37" s="97"/>
      <c r="AV37" s="97"/>
      <c r="AW37" s="97"/>
      <c r="AX37" s="97"/>
      <c r="AY37" s="97"/>
      <c r="AZ37" s="97"/>
      <c r="BA37" s="97"/>
      <c r="BB37" s="97"/>
      <c r="BC37" s="97"/>
      <c r="BD37" s="97"/>
      <c r="BE37" s="97"/>
      <c r="BF37" s="97"/>
      <c r="BG37" s="97"/>
      <c r="BH37" s="100"/>
      <c r="BI37" s="99"/>
      <c r="BJ37" s="99"/>
      <c r="BK37" s="98"/>
      <c r="BL37" s="97"/>
      <c r="BM37" s="97"/>
      <c r="BN37" s="97"/>
      <c r="BO37" s="97"/>
      <c r="BP37" s="97"/>
      <c r="BQ37" s="100"/>
      <c r="BR37" s="99"/>
      <c r="BS37" s="99"/>
      <c r="BT37" s="98"/>
      <c r="BU37" s="97"/>
      <c r="BV37" s="97"/>
    </row>
    <row r="38" spans="2:74" x14ac:dyDescent="0.25">
      <c r="B38" s="79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/>
      <c r="AP38" s="77"/>
      <c r="AQ38" s="101"/>
      <c r="AR38" s="101"/>
      <c r="AS38" s="101"/>
      <c r="AT38" s="97"/>
      <c r="AU38" s="97"/>
      <c r="AV38" s="97"/>
      <c r="AW38" s="97"/>
      <c r="AX38" s="97"/>
      <c r="AY38" s="97"/>
      <c r="AZ38" s="97"/>
      <c r="BA38" s="97"/>
      <c r="BB38" s="97"/>
      <c r="BC38" s="97"/>
      <c r="BD38" s="97"/>
      <c r="BE38" s="97"/>
      <c r="BF38" s="97"/>
      <c r="BG38" s="97"/>
      <c r="BH38" s="100"/>
      <c r="BI38" s="99"/>
      <c r="BJ38" s="99"/>
      <c r="BK38" s="98"/>
      <c r="BL38" s="97"/>
      <c r="BM38" s="97"/>
      <c r="BN38" s="97"/>
      <c r="BO38" s="97"/>
      <c r="BP38" s="97"/>
      <c r="BQ38" s="100"/>
      <c r="BR38" s="99"/>
      <c r="BS38" s="99"/>
      <c r="BT38" s="98"/>
      <c r="BU38" s="97"/>
      <c r="BV38" s="97"/>
    </row>
    <row r="39" spans="2:74" x14ac:dyDescent="0.25">
      <c r="B39" s="79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7"/>
      <c r="AJ39" s="77"/>
      <c r="AK39" s="77"/>
      <c r="AL39" s="77"/>
      <c r="AM39" s="77"/>
      <c r="AN39" s="77"/>
      <c r="AO39" s="77"/>
      <c r="AP39" s="77"/>
      <c r="AQ39" s="101"/>
      <c r="AR39" s="101"/>
      <c r="AS39" s="101"/>
      <c r="AT39" s="97"/>
      <c r="AU39" s="97"/>
      <c r="AV39" s="97"/>
      <c r="AW39" s="97"/>
      <c r="AX39" s="97"/>
      <c r="AY39" s="97"/>
      <c r="AZ39" s="97"/>
      <c r="BA39" s="97"/>
      <c r="BB39" s="97"/>
      <c r="BC39" s="97"/>
      <c r="BD39" s="97"/>
      <c r="BE39" s="97"/>
      <c r="BF39" s="97"/>
      <c r="BG39" s="97"/>
      <c r="BH39" s="100"/>
      <c r="BI39" s="99"/>
      <c r="BJ39" s="99"/>
      <c r="BK39" s="98"/>
      <c r="BL39" s="97"/>
      <c r="BM39" s="97"/>
      <c r="BN39" s="97"/>
      <c r="BO39" s="97"/>
      <c r="BP39" s="97"/>
      <c r="BQ39" s="100"/>
      <c r="BR39" s="99"/>
      <c r="BS39" s="99"/>
      <c r="BT39" s="98"/>
      <c r="BU39" s="97"/>
      <c r="BV39" s="97"/>
    </row>
    <row r="40" spans="2:74" x14ac:dyDescent="0.25">
      <c r="B40" s="79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77"/>
      <c r="AM40" s="77"/>
      <c r="AN40" s="77"/>
      <c r="AO40" s="77"/>
      <c r="AP40" s="77"/>
      <c r="AQ40" s="101"/>
      <c r="AR40" s="101"/>
      <c r="AS40" s="101"/>
      <c r="AT40" s="97"/>
      <c r="AU40" s="97"/>
      <c r="AV40" s="97"/>
      <c r="AW40" s="97"/>
      <c r="AX40" s="97"/>
      <c r="AY40" s="97"/>
      <c r="AZ40" s="97"/>
      <c r="BA40" s="97"/>
      <c r="BB40" s="97"/>
      <c r="BC40" s="97"/>
      <c r="BD40" s="97"/>
      <c r="BE40" s="97"/>
      <c r="BF40" s="97"/>
      <c r="BG40" s="97"/>
      <c r="BH40" s="100"/>
      <c r="BI40" s="99"/>
      <c r="BJ40" s="99"/>
      <c r="BK40" s="98"/>
      <c r="BL40" s="97"/>
      <c r="BM40" s="97"/>
      <c r="BN40" s="97"/>
      <c r="BO40" s="97"/>
      <c r="BP40" s="97"/>
      <c r="BQ40" s="100"/>
      <c r="BR40" s="99"/>
      <c r="BS40" s="99"/>
      <c r="BT40" s="98"/>
      <c r="BU40" s="97"/>
      <c r="BV40" s="97"/>
    </row>
    <row r="41" spans="2:74" x14ac:dyDescent="0.25">
      <c r="B41" s="79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  <c r="AO41" s="77"/>
      <c r="AP41" s="77"/>
      <c r="AQ41" s="101"/>
      <c r="AR41" s="101"/>
      <c r="AS41" s="101"/>
      <c r="AT41" s="97"/>
      <c r="AU41" s="97"/>
      <c r="AV41" s="97"/>
      <c r="AW41" s="97"/>
      <c r="AX41" s="97"/>
      <c r="AY41" s="97"/>
      <c r="AZ41" s="97"/>
      <c r="BA41" s="97"/>
      <c r="BB41" s="97"/>
      <c r="BC41" s="97"/>
      <c r="BD41" s="97"/>
      <c r="BE41" s="97"/>
      <c r="BF41" s="97"/>
      <c r="BG41" s="97"/>
      <c r="BH41" s="100"/>
      <c r="BI41" s="99"/>
      <c r="BJ41" s="99"/>
      <c r="BK41" s="98"/>
      <c r="BL41" s="97"/>
      <c r="BM41" s="97"/>
      <c r="BN41" s="97"/>
      <c r="BO41" s="97"/>
      <c r="BP41" s="97"/>
      <c r="BQ41" s="100"/>
      <c r="BR41" s="99"/>
      <c r="BS41" s="99"/>
      <c r="BT41" s="98"/>
      <c r="BU41" s="97"/>
      <c r="BV41" s="97"/>
    </row>
    <row r="42" spans="2:74" x14ac:dyDescent="0.25">
      <c r="B42" s="79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101"/>
      <c r="AR42" s="101"/>
      <c r="AS42" s="101"/>
      <c r="AT42" s="97"/>
      <c r="AU42" s="97"/>
      <c r="AV42" s="97"/>
      <c r="AW42" s="97"/>
      <c r="AX42" s="97"/>
      <c r="AY42" s="97"/>
      <c r="AZ42" s="97"/>
      <c r="BA42" s="97"/>
      <c r="BB42" s="97"/>
      <c r="BC42" s="97"/>
      <c r="BD42" s="97"/>
      <c r="BE42" s="97"/>
      <c r="BF42" s="97"/>
      <c r="BG42" s="97"/>
      <c r="BH42" s="100"/>
      <c r="BI42" s="99"/>
      <c r="BJ42" s="99"/>
      <c r="BK42" s="98"/>
      <c r="BL42" s="97"/>
      <c r="BM42" s="97"/>
      <c r="BN42" s="97"/>
      <c r="BO42" s="97"/>
      <c r="BP42" s="97"/>
      <c r="BQ42" s="100"/>
      <c r="BR42" s="99"/>
      <c r="BS42" s="99"/>
      <c r="BT42" s="98"/>
      <c r="BU42" s="97"/>
      <c r="BV42" s="97"/>
    </row>
    <row r="43" spans="2:74" x14ac:dyDescent="0.25">
      <c r="B43" s="79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  <c r="AO43" s="77"/>
      <c r="AP43" s="77"/>
      <c r="AQ43" s="101"/>
      <c r="AR43" s="101"/>
      <c r="AS43" s="101"/>
      <c r="AT43" s="97"/>
      <c r="AU43" s="97"/>
      <c r="AV43" s="97"/>
      <c r="AW43" s="97"/>
      <c r="AX43" s="97"/>
      <c r="AY43" s="97"/>
      <c r="AZ43" s="97"/>
      <c r="BA43" s="97"/>
      <c r="BB43" s="97"/>
      <c r="BC43" s="97"/>
      <c r="BD43" s="97"/>
      <c r="BE43" s="97"/>
      <c r="BF43" s="97"/>
      <c r="BG43" s="97"/>
      <c r="BH43" s="100"/>
      <c r="BI43" s="99"/>
      <c r="BJ43" s="99"/>
      <c r="BK43" s="98"/>
      <c r="BL43" s="97"/>
      <c r="BM43" s="97"/>
      <c r="BN43" s="97"/>
      <c r="BO43" s="97"/>
      <c r="BP43" s="97"/>
      <c r="BQ43" s="100"/>
      <c r="BR43" s="99"/>
      <c r="BS43" s="99"/>
      <c r="BT43" s="98"/>
      <c r="BU43" s="97"/>
      <c r="BV43" s="97"/>
    </row>
    <row r="44" spans="2:74" x14ac:dyDescent="0.25">
      <c r="B44" s="79"/>
      <c r="D44" s="77"/>
      <c r="E44" s="77"/>
      <c r="F44" s="77"/>
      <c r="G44" s="77"/>
      <c r="H44" s="77"/>
      <c r="I44" s="77"/>
      <c r="J44" s="77"/>
      <c r="K44" s="247"/>
      <c r="L44" s="77"/>
      <c r="M44" s="77"/>
      <c r="N44" s="15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  <c r="AO44" s="77"/>
      <c r="AP44" s="77"/>
      <c r="AQ44" s="101"/>
      <c r="AR44" s="101"/>
      <c r="AS44" s="101"/>
      <c r="AT44" s="97"/>
      <c r="AU44" s="97"/>
      <c r="AV44" s="97"/>
      <c r="AW44" s="97"/>
      <c r="AX44" s="97"/>
      <c r="AY44" s="97"/>
      <c r="AZ44" s="97"/>
      <c r="BA44" s="97"/>
      <c r="BB44" s="97"/>
      <c r="BC44" s="97"/>
      <c r="BD44" s="97"/>
      <c r="BE44" s="97"/>
      <c r="BF44" s="97"/>
      <c r="BG44" s="97"/>
      <c r="BH44" s="100"/>
      <c r="BI44" s="99"/>
      <c r="BJ44" s="99"/>
      <c r="BK44" s="98"/>
      <c r="BL44" s="97"/>
      <c r="BM44" s="97"/>
      <c r="BN44" s="97"/>
      <c r="BO44" s="97"/>
      <c r="BP44" s="97"/>
      <c r="BQ44" s="100"/>
      <c r="BR44" s="99"/>
      <c r="BS44" s="99"/>
      <c r="BT44" s="98"/>
      <c r="BU44" s="97"/>
      <c r="BV44" s="97"/>
    </row>
    <row r="45" spans="2:74" x14ac:dyDescent="0.25">
      <c r="B45" s="79"/>
      <c r="D45" s="77"/>
      <c r="E45" s="77"/>
      <c r="F45" s="77"/>
      <c r="G45" s="77"/>
      <c r="H45" s="77"/>
      <c r="I45" s="77"/>
      <c r="J45" s="77"/>
      <c r="K45" s="247"/>
      <c r="L45" s="77"/>
      <c r="M45" s="77"/>
      <c r="N45" s="15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101"/>
      <c r="AR45" s="101"/>
      <c r="AS45" s="101"/>
      <c r="AT45" s="97"/>
      <c r="AU45" s="97"/>
      <c r="AV45" s="97"/>
      <c r="AW45" s="97"/>
      <c r="AX45" s="97"/>
      <c r="AY45" s="97"/>
      <c r="AZ45" s="97"/>
      <c r="BA45" s="97"/>
      <c r="BB45" s="97"/>
      <c r="BC45" s="97"/>
      <c r="BD45" s="97"/>
      <c r="BE45" s="97"/>
      <c r="BF45" s="97"/>
      <c r="BG45" s="97"/>
      <c r="BH45" s="100"/>
      <c r="BI45" s="99"/>
      <c r="BJ45" s="99"/>
      <c r="BK45" s="98"/>
      <c r="BL45" s="97"/>
      <c r="BM45" s="97"/>
      <c r="BN45" s="97"/>
      <c r="BO45" s="97"/>
      <c r="BP45" s="97"/>
      <c r="BQ45" s="100"/>
      <c r="BR45" s="99"/>
      <c r="BS45" s="99"/>
      <c r="BT45" s="98"/>
      <c r="BU45" s="97"/>
      <c r="BV45" s="97"/>
    </row>
    <row r="46" spans="2:74" x14ac:dyDescent="0.25">
      <c r="B46" s="79"/>
      <c r="D46" s="77"/>
      <c r="E46" s="77"/>
      <c r="F46" s="77"/>
      <c r="G46" s="77"/>
      <c r="H46" s="77"/>
      <c r="I46" s="77"/>
      <c r="J46" s="77"/>
      <c r="K46" s="247"/>
      <c r="L46" s="77"/>
      <c r="M46" s="77"/>
      <c r="N46" s="15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  <c r="AO46" s="77"/>
      <c r="AP46" s="77"/>
      <c r="AQ46" s="101"/>
      <c r="AR46" s="101"/>
      <c r="AS46" s="101"/>
      <c r="AT46" s="97"/>
      <c r="AU46" s="97"/>
      <c r="AV46" s="97"/>
      <c r="AW46" s="97"/>
      <c r="AX46" s="97"/>
      <c r="AY46" s="97"/>
      <c r="AZ46" s="97"/>
      <c r="BA46" s="97"/>
      <c r="BB46" s="97"/>
      <c r="BC46" s="97"/>
      <c r="BD46" s="97"/>
      <c r="BE46" s="97"/>
      <c r="BF46" s="97"/>
      <c r="BG46" s="97"/>
      <c r="BH46" s="100"/>
      <c r="BI46" s="99"/>
      <c r="BJ46" s="99"/>
      <c r="BK46" s="98"/>
      <c r="BL46" s="97"/>
      <c r="BM46" s="97"/>
      <c r="BN46" s="97"/>
      <c r="BO46" s="97"/>
      <c r="BP46" s="97"/>
      <c r="BQ46" s="100"/>
      <c r="BR46" s="99"/>
      <c r="BS46" s="99"/>
      <c r="BT46" s="98"/>
      <c r="BU46" s="97"/>
      <c r="BV46" s="97"/>
    </row>
    <row r="47" spans="2:74" x14ac:dyDescent="0.25">
      <c r="B47" s="79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  <c r="AO47" s="77"/>
      <c r="AP47" s="77"/>
      <c r="AQ47" s="101"/>
      <c r="AR47" s="101"/>
      <c r="AS47" s="101"/>
      <c r="AT47" s="97"/>
      <c r="AU47" s="97"/>
      <c r="AV47" s="97"/>
      <c r="AW47" s="97"/>
      <c r="AX47" s="97"/>
      <c r="AY47" s="97"/>
      <c r="AZ47" s="97"/>
      <c r="BA47" s="97"/>
      <c r="BB47" s="97"/>
      <c r="BC47" s="97"/>
      <c r="BD47" s="97"/>
      <c r="BE47" s="97"/>
      <c r="BF47" s="97"/>
      <c r="BG47" s="97"/>
      <c r="BH47" s="100"/>
      <c r="BI47" s="99"/>
      <c r="BJ47" s="99"/>
      <c r="BK47" s="98"/>
      <c r="BL47" s="97"/>
      <c r="BM47" s="97"/>
      <c r="BN47" s="97"/>
      <c r="BO47" s="97"/>
      <c r="BP47" s="97"/>
      <c r="BQ47" s="100"/>
      <c r="BR47" s="99"/>
      <c r="BS47" s="99"/>
      <c r="BT47" s="98"/>
      <c r="BU47" s="97"/>
      <c r="BV47" s="97"/>
    </row>
    <row r="48" spans="2:74" x14ac:dyDescent="0.25">
      <c r="B48" s="79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  <c r="AO48" s="77"/>
      <c r="AP48" s="77"/>
      <c r="AQ48" s="101"/>
      <c r="AR48" s="101"/>
      <c r="AS48" s="101"/>
      <c r="AT48" s="97"/>
      <c r="AU48" s="97"/>
      <c r="AV48" s="97"/>
      <c r="AW48" s="97"/>
      <c r="AX48" s="97"/>
      <c r="AY48" s="97"/>
      <c r="AZ48" s="97"/>
      <c r="BA48" s="97"/>
      <c r="BB48" s="97"/>
      <c r="BC48" s="97"/>
      <c r="BD48" s="97"/>
      <c r="BE48" s="97"/>
      <c r="BF48" s="97"/>
      <c r="BG48" s="97"/>
      <c r="BH48" s="100"/>
      <c r="BI48" s="99"/>
      <c r="BJ48" s="99"/>
      <c r="BK48" s="98"/>
      <c r="BL48" s="97"/>
      <c r="BM48" s="97"/>
      <c r="BN48" s="97"/>
      <c r="BO48" s="97"/>
      <c r="BP48" s="97"/>
      <c r="BQ48" s="100"/>
      <c r="BR48" s="99"/>
      <c r="BS48" s="99"/>
      <c r="BT48" s="98"/>
      <c r="BU48" s="97"/>
      <c r="BV48" s="97"/>
    </row>
    <row r="49" spans="2:74" x14ac:dyDescent="0.25">
      <c r="B49" s="79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  <c r="AO49" s="77"/>
      <c r="AP49" s="77"/>
      <c r="AQ49" s="101"/>
      <c r="AR49" s="101"/>
      <c r="AS49" s="101"/>
      <c r="AT49" s="97"/>
      <c r="AU49" s="97"/>
      <c r="AV49" s="97"/>
      <c r="AW49" s="97"/>
      <c r="AX49" s="97"/>
      <c r="AY49" s="97"/>
      <c r="AZ49" s="97"/>
      <c r="BA49" s="97"/>
      <c r="BB49" s="97"/>
      <c r="BC49" s="97"/>
      <c r="BD49" s="97"/>
      <c r="BE49" s="97"/>
      <c r="BF49" s="97"/>
      <c r="BG49" s="97"/>
      <c r="BH49" s="100"/>
      <c r="BI49" s="99"/>
      <c r="BJ49" s="99"/>
      <c r="BK49" s="98"/>
      <c r="BL49" s="97"/>
      <c r="BM49" s="97"/>
      <c r="BN49" s="97"/>
      <c r="BO49" s="97"/>
      <c r="BP49" s="97"/>
      <c r="BQ49" s="100"/>
      <c r="BR49" s="99"/>
      <c r="BS49" s="99"/>
      <c r="BT49" s="98"/>
      <c r="BU49" s="97"/>
      <c r="BV49" s="97"/>
    </row>
    <row r="51" spans="2:74" x14ac:dyDescent="0.25">
      <c r="D51" s="72">
        <v>115</v>
      </c>
      <c r="I51" s="72">
        <v>661542.44246165594</v>
      </c>
      <c r="K51" s="72">
        <v>238046.21500999999</v>
      </c>
      <c r="L51" s="72">
        <v>883934375.68207502</v>
      </c>
      <c r="N51" s="72">
        <v>141987465.75650001</v>
      </c>
    </row>
    <row r="52" spans="2:74" x14ac:dyDescent="0.25">
      <c r="D52" s="72">
        <v>290</v>
      </c>
      <c r="K52" s="72" t="s">
        <v>286</v>
      </c>
      <c r="L52" s="72">
        <v>1336.1718295698151</v>
      </c>
      <c r="M52" s="72">
        <v>24</v>
      </c>
      <c r="N52" s="72">
        <v>214.63092409937073</v>
      </c>
      <c r="O52" s="72">
        <v>10</v>
      </c>
    </row>
    <row r="53" spans="2:74" x14ac:dyDescent="0.25">
      <c r="K53" s="72" t="s">
        <v>285</v>
      </c>
      <c r="L53" s="72">
        <v>55.673826232075633</v>
      </c>
      <c r="N53" s="72">
        <v>21.463092409937072</v>
      </c>
    </row>
    <row r="54" spans="2:74" x14ac:dyDescent="0.25">
      <c r="F54" s="206" t="s">
        <v>640</v>
      </c>
      <c r="G54" s="72" t="s">
        <v>492</v>
      </c>
      <c r="H54" s="206" t="s">
        <v>662</v>
      </c>
      <c r="I54" s="206" t="s">
        <v>663</v>
      </c>
      <c r="J54" s="206" t="s">
        <v>693</v>
      </c>
      <c r="K54" s="206" t="s">
        <v>696</v>
      </c>
      <c r="L54" s="206" t="s">
        <v>694</v>
      </c>
      <c r="M54" s="206" t="s">
        <v>692</v>
      </c>
      <c r="N54" s="206" t="s">
        <v>695</v>
      </c>
      <c r="AI54" s="206" t="s">
        <v>716</v>
      </c>
    </row>
    <row r="55" spans="2:74" x14ac:dyDescent="0.25">
      <c r="F55" s="72" t="s">
        <v>610</v>
      </c>
      <c r="G55" s="72" t="s">
        <v>610</v>
      </c>
      <c r="H55" s="206" t="s">
        <v>642</v>
      </c>
      <c r="I55" s="206" t="s">
        <v>610</v>
      </c>
      <c r="J55" s="206" t="s">
        <v>609</v>
      </c>
      <c r="K55" s="206" t="s">
        <v>697</v>
      </c>
      <c r="L55" s="206" t="s">
        <v>510</v>
      </c>
      <c r="M55" s="206" t="s">
        <v>510</v>
      </c>
      <c r="N55" s="206" t="s">
        <v>510</v>
      </c>
      <c r="AF55" s="72" t="s">
        <v>609</v>
      </c>
    </row>
    <row r="56" spans="2:74" x14ac:dyDescent="0.25">
      <c r="C56" s="72">
        <v>2016</v>
      </c>
      <c r="F56" s="164">
        <v>14.89988821</v>
      </c>
      <c r="G56" s="199">
        <v>4.7822565995349713</v>
      </c>
      <c r="H56" s="199">
        <v>2.0345427874412914</v>
      </c>
      <c r="I56" s="199">
        <v>0.24502895638804967</v>
      </c>
      <c r="J56" s="198">
        <v>9.4918344999999987E-2</v>
      </c>
      <c r="K56" s="164">
        <v>9.2464730660000008E-2</v>
      </c>
      <c r="L56" s="164">
        <v>294.67107333857541</v>
      </c>
      <c r="M56" s="164">
        <v>121.78890401</v>
      </c>
      <c r="N56" s="164">
        <v>55.337838929</v>
      </c>
      <c r="O56" s="164">
        <v>9.3685742092846933</v>
      </c>
      <c r="P56" s="164">
        <v>5.0410000000000003E-3</v>
      </c>
      <c r="Q56" s="164">
        <v>3.9100000000000002E-4</v>
      </c>
      <c r="R56" s="164">
        <v>0.57042136769230767</v>
      </c>
      <c r="S56" s="164">
        <v>1.0300000000000001E-3</v>
      </c>
      <c r="T56" s="164">
        <v>7.1000000000000005E-5</v>
      </c>
      <c r="U56" s="164">
        <v>0.16829482999999998</v>
      </c>
      <c r="V56" s="164">
        <v>3.6999999999999999E-4</v>
      </c>
      <c r="W56" s="164">
        <v>2.9E-5</v>
      </c>
      <c r="X56" s="164">
        <v>6.9873600000000008E-2</v>
      </c>
      <c r="Y56" s="164">
        <v>3.6999999999999999E-4</v>
      </c>
      <c r="Z56" s="164">
        <v>2.9E-5</v>
      </c>
      <c r="AA56" s="164">
        <v>9.1267840000000003E-2</v>
      </c>
      <c r="AB56" s="164">
        <v>3.6999999999999999E-4</v>
      </c>
      <c r="AC56" s="164">
        <v>2.9E-5</v>
      </c>
      <c r="AD56" s="164">
        <v>1.4840000000000001E-3</v>
      </c>
      <c r="AE56" s="164">
        <v>2.52E-4</v>
      </c>
      <c r="AF56" s="199">
        <v>0.59838104600000008</v>
      </c>
      <c r="AG56" s="164">
        <v>0.57836178000000005</v>
      </c>
      <c r="AH56" s="164">
        <v>1.2541599999999998E-3</v>
      </c>
      <c r="AI56" s="164">
        <v>8419.6087946999996</v>
      </c>
      <c r="AJ56" s="164">
        <v>18.837322799599999</v>
      </c>
      <c r="AK56" s="164">
        <v>431.11308847135507</v>
      </c>
      <c r="AL56" s="164">
        <v>253.14786141375856</v>
      </c>
      <c r="AM56" s="164">
        <v>13.988301287900001</v>
      </c>
      <c r="AN56" s="164">
        <v>35.767987687700007</v>
      </c>
      <c r="AO56" s="164">
        <v>0</v>
      </c>
      <c r="AP56" s="164">
        <v>341.81909512200002</v>
      </c>
      <c r="AQ56" s="164">
        <v>1.5432313324881675E-2</v>
      </c>
      <c r="AR56" s="164">
        <v>1.190439524642211E-2</v>
      </c>
      <c r="AS56" s="164">
        <v>3.7880000000000001E-3</v>
      </c>
      <c r="AY56" s="164">
        <v>10.268431846976998</v>
      </c>
      <c r="AZ56" s="164">
        <v>32895.729923610314</v>
      </c>
      <c r="BA56" s="164" t="e">
        <v>#DIV/0!</v>
      </c>
      <c r="BB56" s="164">
        <v>8.9225775773541408E-5</v>
      </c>
      <c r="BC56" s="164">
        <v>28609.311818564758</v>
      </c>
      <c r="BD56" s="164" t="e">
        <v>#DIV/0!</v>
      </c>
      <c r="BE56" s="164" t="e">
        <v>#DIV/0!</v>
      </c>
      <c r="BF56" s="164" t="e">
        <v>#DIV/0!</v>
      </c>
    </row>
    <row r="57" spans="2:74" x14ac:dyDescent="0.25">
      <c r="C57" s="72">
        <v>2017</v>
      </c>
      <c r="F57" s="164">
        <v>17.38819252</v>
      </c>
      <c r="G57" s="199">
        <v>5.2894039517668414</v>
      </c>
      <c r="H57" s="199">
        <v>2.5254938408969103</v>
      </c>
      <c r="I57" s="199">
        <v>0.21316526607360631</v>
      </c>
      <c r="J57" s="198">
        <v>9.7761948000000001E-2</v>
      </c>
      <c r="K57" s="164">
        <v>6.7744484349999995E-2</v>
      </c>
      <c r="L57" s="164">
        <v>290.81670549035715</v>
      </c>
      <c r="M57" s="164">
        <v>141.79698674000002</v>
      </c>
      <c r="N57" s="164">
        <v>40.413562827500002</v>
      </c>
      <c r="O57" s="164">
        <v>10.526653471753846</v>
      </c>
      <c r="P57" s="164">
        <v>5.4310000000000001E-3</v>
      </c>
      <c r="Q57" s="164">
        <v>4.2200000000000001E-4</v>
      </c>
      <c r="R57" s="164">
        <v>0.70083288384615383</v>
      </c>
      <c r="S57" s="164">
        <v>1.2899999999999999E-3</v>
      </c>
      <c r="T57" s="164">
        <v>8.8499999999999996E-5</v>
      </c>
      <c r="U57" s="164">
        <v>0.14983099999999999</v>
      </c>
      <c r="V57" s="164">
        <v>3.6999999999999999E-4</v>
      </c>
      <c r="W57" s="164">
        <v>2.9E-5</v>
      </c>
      <c r="X57" s="164">
        <v>7.3033000000000001E-2</v>
      </c>
      <c r="Y57" s="164">
        <v>3.6999999999999999E-4</v>
      </c>
      <c r="Z57" s="164">
        <v>2.9E-5</v>
      </c>
      <c r="AA57" s="164">
        <v>6.5700839999999996E-2</v>
      </c>
      <c r="AB57" s="164">
        <v>3.6999999999999999E-4</v>
      </c>
      <c r="AC57" s="164">
        <v>2.9E-5</v>
      </c>
      <c r="AD57" s="164">
        <v>1.707E-3</v>
      </c>
      <c r="AE57" s="164">
        <v>2.7999999999999998E-4</v>
      </c>
      <c r="AF57" s="199">
        <v>0.63613962999999996</v>
      </c>
      <c r="AG57" s="164">
        <v>0.74965329999999997</v>
      </c>
      <c r="AH57" s="164">
        <v>1.3491599999999999E-3</v>
      </c>
      <c r="AI57" s="164">
        <v>9084.605082600001</v>
      </c>
      <c r="AJ57" s="164">
        <v>18.69949321</v>
      </c>
      <c r="AK57" s="164">
        <v>464.5416492361295</v>
      </c>
      <c r="AL57" s="164">
        <v>303.25560797077014</v>
      </c>
      <c r="AM57" s="164">
        <v>20.584195899999997</v>
      </c>
      <c r="AN57" s="164">
        <v>43.813057411799988</v>
      </c>
      <c r="AO57" s="164">
        <v>0</v>
      </c>
      <c r="AP57" s="164">
        <v>383.18390354500002</v>
      </c>
      <c r="AQ57" s="164">
        <v>2.0464444760322477E-2</v>
      </c>
      <c r="AR57" s="164">
        <v>1.4232582494097947E-2</v>
      </c>
      <c r="AS57" s="164">
        <v>3.7880000000000001E-3</v>
      </c>
      <c r="AY57" s="164">
        <v>11.516051195600001</v>
      </c>
      <c r="AZ57" s="164">
        <v>36849.952325987193</v>
      </c>
      <c r="BA57" s="164">
        <v>4.471278797494762E-2</v>
      </c>
      <c r="BB57" s="164">
        <v>9.6076984341572085E-5</v>
      </c>
      <c r="BC57" s="164">
        <v>32042.732384416111</v>
      </c>
      <c r="BD57" s="164">
        <v>29670.346970457013</v>
      </c>
      <c r="BE57" s="164">
        <v>2.3920805378509324E-2</v>
      </c>
      <c r="BF57" s="164">
        <v>2.0493937508475999E-3</v>
      </c>
    </row>
    <row r="58" spans="2:74" x14ac:dyDescent="0.25">
      <c r="C58" s="72">
        <v>2018</v>
      </c>
      <c r="F58" s="164">
        <v>19.031677826999999</v>
      </c>
      <c r="G58" s="199">
        <v>5.783495668784866</v>
      </c>
      <c r="H58" s="199">
        <v>2.7590481300164167</v>
      </c>
      <c r="I58" s="199">
        <v>0.20334822</v>
      </c>
      <c r="J58" s="198">
        <v>9.1829870000000008E-2</v>
      </c>
      <c r="K58" s="164">
        <v>7.7837000000000003E-2</v>
      </c>
      <c r="L58" s="164">
        <v>298.44659685314247</v>
      </c>
      <c r="M58" s="164">
        <v>138.49573377999999</v>
      </c>
      <c r="N58" s="164">
        <v>46.236063999999999</v>
      </c>
      <c r="O58" s="164">
        <v>11.34461058139923</v>
      </c>
      <c r="P58" s="164">
        <v>5.4310000000000001E-3</v>
      </c>
      <c r="Q58" s="164">
        <v>4.2200000000000001E-4</v>
      </c>
      <c r="R58" s="164">
        <v>0.62499142923076911</v>
      </c>
      <c r="S58" s="164">
        <v>1.2899999999999999E-3</v>
      </c>
      <c r="T58" s="164">
        <v>8.8499999999999996E-5</v>
      </c>
      <c r="U58" s="164">
        <v>0.17811440000000001</v>
      </c>
      <c r="V58" s="164">
        <v>3.6999999999999999E-4</v>
      </c>
      <c r="W58" s="164">
        <v>2.9E-5</v>
      </c>
      <c r="X58" s="164">
        <v>0.33326401</v>
      </c>
      <c r="Y58" s="164">
        <v>3.6999999999999999E-4</v>
      </c>
      <c r="Z58" s="164">
        <v>2.9E-5</v>
      </c>
      <c r="AA58" s="164">
        <v>6.4295270000000002E-2</v>
      </c>
      <c r="AB58" s="164">
        <v>3.6999999999999999E-4</v>
      </c>
      <c r="AC58" s="164">
        <v>2.9E-5</v>
      </c>
      <c r="AD58" s="164">
        <v>1.7960000000000001E-3</v>
      </c>
      <c r="AE58" s="164">
        <v>2.7999999999999998E-4</v>
      </c>
      <c r="AF58" s="199">
        <v>0.70795636500000003</v>
      </c>
      <c r="AG58" s="164">
        <v>0.67518866300000002</v>
      </c>
      <c r="AH58" s="164">
        <v>1.3491599999999999E-3</v>
      </c>
      <c r="AI58" s="164">
        <v>8594.297106359998</v>
      </c>
      <c r="AJ58" s="164">
        <v>19.242580274799998</v>
      </c>
      <c r="AK58" s="164">
        <v>455.44799831372023</v>
      </c>
      <c r="AL58" s="164">
        <v>329.72939410428006</v>
      </c>
      <c r="AM58" s="164">
        <v>24.693241980699998</v>
      </c>
      <c r="AN58" s="164">
        <v>44.081574851000013</v>
      </c>
      <c r="AO58" s="164">
        <v>0</v>
      </c>
      <c r="AP58" s="164">
        <v>397.23224480499994</v>
      </c>
      <c r="AQ58" s="164">
        <v>1.9702619267276133E-2</v>
      </c>
      <c r="AR58" s="164">
        <v>1.8699337733547757E-2</v>
      </c>
      <c r="AS58" s="164">
        <v>3.7880000000000001E-3</v>
      </c>
      <c r="AY58" s="164">
        <v>12.54527569063</v>
      </c>
      <c r="AZ58" s="164">
        <v>40175.723731688209</v>
      </c>
      <c r="BA58" s="164">
        <v>4.4736586688289927E-2</v>
      </c>
      <c r="BB58" s="164">
        <v>9.6076984341572085E-5</v>
      </c>
      <c r="BC58" s="164">
        <v>34938.867933795831</v>
      </c>
      <c r="BD58" s="164">
        <v>32301.310611032066</v>
      </c>
      <c r="BE58" s="164">
        <v>2.3844946935447687E-2</v>
      </c>
      <c r="BF58" s="164">
        <v>1.7642765639766368E-3</v>
      </c>
    </row>
    <row r="59" spans="2:74" x14ac:dyDescent="0.25">
      <c r="G59" s="72">
        <v>6.804112551511607</v>
      </c>
      <c r="L59" s="246">
        <v>1467.6626963006731</v>
      </c>
      <c r="N59" s="246">
        <v>594.0113827614116</v>
      </c>
      <c r="AI59" s="164">
        <v>451.57853051544294</v>
      </c>
    </row>
    <row r="61" spans="2:74" x14ac:dyDescent="0.25">
      <c r="G61" s="72">
        <v>0.32095922681657296</v>
      </c>
    </row>
    <row r="62" spans="2:74" x14ac:dyDescent="0.25">
      <c r="G62" s="72">
        <v>0.30419515689643639</v>
      </c>
    </row>
    <row r="63" spans="2:74" x14ac:dyDescent="0.25">
      <c r="G63" s="72">
        <v>0.3038878506329008</v>
      </c>
    </row>
    <row r="65" spans="11:14" x14ac:dyDescent="0.25">
      <c r="K65" s="247">
        <v>20706</v>
      </c>
      <c r="N65" s="72">
        <v>12299364</v>
      </c>
    </row>
    <row r="66" spans="11:14" x14ac:dyDescent="0.25">
      <c r="K66" s="247">
        <v>28764</v>
      </c>
      <c r="N66" s="72">
        <v>17085816</v>
      </c>
    </row>
    <row r="67" spans="11:14" x14ac:dyDescent="0.25">
      <c r="K67" s="247">
        <v>33442</v>
      </c>
      <c r="N67" s="72">
        <v>19864548</v>
      </c>
    </row>
    <row r="69" spans="11:14" x14ac:dyDescent="0.25">
      <c r="K69" s="247">
        <v>53575</v>
      </c>
      <c r="N69" s="72">
        <v>31823550</v>
      </c>
    </row>
    <row r="70" spans="11:14" x14ac:dyDescent="0.25">
      <c r="K70" s="247">
        <v>28178</v>
      </c>
      <c r="N70" s="72">
        <v>16737732</v>
      </c>
    </row>
    <row r="71" spans="11:14" x14ac:dyDescent="0.25">
      <c r="K71" s="247">
        <v>35964</v>
      </c>
      <c r="N71" s="72">
        <v>21362616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06A6B-6A80-41BA-A636-FFFA78DBCA54}">
  <sheetPr>
    <tabColor theme="5"/>
  </sheetPr>
  <dimension ref="B1:AG32"/>
  <sheetViews>
    <sheetView zoomScaleNormal="100" workbookViewId="0">
      <pane xSplit="3" topLeftCell="D1" activePane="topRight" state="frozen"/>
      <selection pane="topRight" activeCell="A8" sqref="A8:XFD21"/>
    </sheetView>
  </sheetViews>
  <sheetFormatPr defaultRowHeight="15" x14ac:dyDescent="0.25"/>
  <cols>
    <col min="1" max="1" width="9.140625" style="72"/>
    <col min="2" max="2" width="12.28515625" style="72" customWidth="1"/>
    <col min="3" max="3" width="9.140625" style="72"/>
    <col min="4" max="11" width="17.28515625" style="72" customWidth="1"/>
    <col min="12" max="13" width="9.140625" style="72" customWidth="1"/>
    <col min="14" max="17" width="17.28515625" style="72" customWidth="1"/>
    <col min="18" max="16384" width="9.140625" style="72"/>
  </cols>
  <sheetData>
    <row r="1" spans="2:33" x14ac:dyDescent="0.25">
      <c r="D1" s="86"/>
      <c r="E1" s="72" t="s">
        <v>208</v>
      </c>
    </row>
    <row r="2" spans="2:33" x14ac:dyDescent="0.25">
      <c r="D2" s="85"/>
      <c r="E2" s="72" t="s">
        <v>207</v>
      </c>
    </row>
    <row r="3" spans="2:33" x14ac:dyDescent="0.25">
      <c r="D3" s="76"/>
      <c r="E3" s="72" t="s">
        <v>206</v>
      </c>
    </row>
    <row r="4" spans="2:33" x14ac:dyDescent="0.25">
      <c r="D4" s="75"/>
      <c r="E4" s="72" t="s">
        <v>205</v>
      </c>
    </row>
    <row r="5" spans="2:33" s="81" customFormat="1" ht="90" customHeight="1" x14ac:dyDescent="0.2">
      <c r="B5" s="81" t="s">
        <v>15</v>
      </c>
      <c r="D5" s="81" t="s">
        <v>204</v>
      </c>
      <c r="E5" s="81" t="s">
        <v>203</v>
      </c>
      <c r="F5" s="81" t="s">
        <v>202</v>
      </c>
      <c r="G5" s="81" t="s">
        <v>201</v>
      </c>
      <c r="H5" s="81" t="s">
        <v>200</v>
      </c>
      <c r="I5" s="81" t="s">
        <v>199</v>
      </c>
      <c r="J5" s="81" t="s">
        <v>198</v>
      </c>
      <c r="K5" s="81" t="s">
        <v>197</v>
      </c>
      <c r="L5" s="81" t="s">
        <v>196</v>
      </c>
      <c r="M5" s="81" t="s">
        <v>195</v>
      </c>
      <c r="N5" s="81" t="s">
        <v>194</v>
      </c>
      <c r="O5" s="81" t="s">
        <v>193</v>
      </c>
      <c r="P5" s="81" t="s">
        <v>192</v>
      </c>
      <c r="Q5" s="81" t="s">
        <v>191</v>
      </c>
      <c r="R5" s="81" t="s">
        <v>190</v>
      </c>
      <c r="S5" s="81" t="s">
        <v>189</v>
      </c>
      <c r="T5" s="81" t="s">
        <v>188</v>
      </c>
      <c r="U5" s="81" t="s">
        <v>187</v>
      </c>
      <c r="V5" s="81" t="s">
        <v>186</v>
      </c>
      <c r="W5" s="81" t="s">
        <v>185</v>
      </c>
      <c r="X5" s="81" t="s">
        <v>184</v>
      </c>
      <c r="Y5" s="81" t="s">
        <v>183</v>
      </c>
      <c r="Z5" s="81" t="s">
        <v>182</v>
      </c>
      <c r="AA5" s="81" t="s">
        <v>181</v>
      </c>
      <c r="AB5" s="81" t="s">
        <v>180</v>
      </c>
      <c r="AC5" s="81" t="s">
        <v>179</v>
      </c>
      <c r="AD5" s="81" t="s">
        <v>178</v>
      </c>
      <c r="AE5" s="81" t="s">
        <v>177</v>
      </c>
      <c r="AF5" s="81" t="s">
        <v>176</v>
      </c>
    </row>
    <row r="6" spans="2:33" x14ac:dyDescent="0.25">
      <c r="B6" s="72" t="s">
        <v>43</v>
      </c>
      <c r="D6" s="72" t="s">
        <v>118</v>
      </c>
      <c r="E6" s="72" t="s">
        <v>135</v>
      </c>
      <c r="F6" s="72" t="s">
        <v>118</v>
      </c>
      <c r="G6" s="72" t="s">
        <v>118</v>
      </c>
      <c r="H6" s="72" t="s">
        <v>118</v>
      </c>
      <c r="I6" s="72" t="s">
        <v>118</v>
      </c>
      <c r="J6" s="72" t="s">
        <v>118</v>
      </c>
      <c r="K6" s="72" t="s">
        <v>135</v>
      </c>
      <c r="L6" s="72" t="s">
        <v>175</v>
      </c>
      <c r="M6" s="72" t="s">
        <v>175</v>
      </c>
      <c r="N6" s="72" t="s">
        <v>174</v>
      </c>
      <c r="O6" s="72" t="s">
        <v>174</v>
      </c>
      <c r="P6" s="72" t="s">
        <v>173</v>
      </c>
      <c r="Q6" s="72" t="s">
        <v>173</v>
      </c>
      <c r="R6" s="72" t="s">
        <v>172</v>
      </c>
      <c r="S6" s="72" t="s">
        <v>171</v>
      </c>
      <c r="T6" s="72" t="s">
        <v>171</v>
      </c>
      <c r="U6" s="84" t="s">
        <v>170</v>
      </c>
      <c r="V6" s="84" t="s">
        <v>170</v>
      </c>
      <c r="W6" s="84" t="s">
        <v>170</v>
      </c>
      <c r="X6" s="84" t="s">
        <v>170</v>
      </c>
      <c r="Y6" s="84" t="s">
        <v>170</v>
      </c>
      <c r="Z6" s="72" t="s">
        <v>135</v>
      </c>
      <c r="AA6" s="72" t="s">
        <v>135</v>
      </c>
      <c r="AB6" s="72" t="s">
        <v>135</v>
      </c>
      <c r="AC6" s="72" t="s">
        <v>135</v>
      </c>
      <c r="AD6" s="72" t="s">
        <v>135</v>
      </c>
      <c r="AE6" s="72" t="s">
        <v>118</v>
      </c>
      <c r="AF6" s="72" t="s">
        <v>118</v>
      </c>
    </row>
    <row r="7" spans="2:33" ht="24.75" x14ac:dyDescent="0.25">
      <c r="B7" s="72" t="s">
        <v>169</v>
      </c>
      <c r="C7" s="72" t="s">
        <v>168</v>
      </c>
      <c r="D7" s="83" t="s">
        <v>167</v>
      </c>
      <c r="E7" s="80" t="s">
        <v>166</v>
      </c>
      <c r="F7" s="83" t="s">
        <v>165</v>
      </c>
      <c r="G7" s="83" t="s">
        <v>164</v>
      </c>
      <c r="H7" s="83" t="s">
        <v>163</v>
      </c>
      <c r="I7" s="83" t="s">
        <v>162</v>
      </c>
      <c r="J7" s="83" t="s">
        <v>161</v>
      </c>
      <c r="K7" s="82" t="s">
        <v>160</v>
      </c>
      <c r="L7" s="82" t="s">
        <v>159</v>
      </c>
      <c r="M7" s="82" t="s">
        <v>158</v>
      </c>
      <c r="N7" s="82" t="s">
        <v>157</v>
      </c>
      <c r="O7" s="82" t="s">
        <v>156</v>
      </c>
      <c r="P7" s="82" t="s">
        <v>155</v>
      </c>
      <c r="Q7" s="82" t="s">
        <v>154</v>
      </c>
      <c r="R7" s="80" t="s">
        <v>153</v>
      </c>
      <c r="S7" s="81" t="s">
        <v>152</v>
      </c>
      <c r="T7" s="80" t="s">
        <v>151</v>
      </c>
      <c r="U7" s="80" t="s">
        <v>150</v>
      </c>
      <c r="V7" s="80" t="s">
        <v>149</v>
      </c>
      <c r="W7" s="80" t="s">
        <v>148</v>
      </c>
      <c r="X7" s="80" t="s">
        <v>147</v>
      </c>
      <c r="Y7" s="80" t="s">
        <v>146</v>
      </c>
      <c r="Z7" s="80" t="s">
        <v>145</v>
      </c>
      <c r="AA7" s="80" t="s">
        <v>144</v>
      </c>
      <c r="AB7" s="80" t="s">
        <v>143</v>
      </c>
      <c r="AC7" s="80" t="s">
        <v>142</v>
      </c>
      <c r="AD7" s="80" t="s">
        <v>141</v>
      </c>
      <c r="AE7" s="80" t="s">
        <v>140</v>
      </c>
      <c r="AF7" s="80" t="s">
        <v>139</v>
      </c>
      <c r="AG7" s="80" t="s">
        <v>138</v>
      </c>
    </row>
    <row r="8" spans="2:33" x14ac:dyDescent="0.25">
      <c r="B8" s="79"/>
      <c r="D8" s="77"/>
      <c r="E8" s="77"/>
      <c r="F8" s="77"/>
      <c r="G8" s="77"/>
      <c r="H8" s="77"/>
      <c r="I8" s="77"/>
      <c r="J8" s="77"/>
      <c r="K8" s="78"/>
      <c r="L8" s="77"/>
      <c r="M8" s="77"/>
      <c r="N8" s="77"/>
      <c r="O8" s="77"/>
      <c r="P8" s="77"/>
      <c r="Q8" s="77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5"/>
      <c r="AF8" s="75"/>
      <c r="AG8" s="74"/>
    </row>
    <row r="9" spans="2:33" x14ac:dyDescent="0.25">
      <c r="D9" s="77"/>
      <c r="E9" s="77"/>
      <c r="F9" s="77"/>
      <c r="G9" s="77"/>
      <c r="H9" s="77"/>
      <c r="I9" s="77"/>
      <c r="J9" s="77"/>
      <c r="K9" s="78"/>
      <c r="L9" s="77"/>
      <c r="M9" s="77"/>
      <c r="N9" s="77"/>
      <c r="O9" s="77"/>
      <c r="P9" s="77"/>
      <c r="Q9" s="77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5"/>
      <c r="AF9" s="75"/>
      <c r="AG9" s="74"/>
    </row>
    <row r="10" spans="2:33" x14ac:dyDescent="0.25">
      <c r="B10" s="79"/>
      <c r="D10" s="77"/>
      <c r="E10" s="77"/>
      <c r="F10" s="77"/>
      <c r="G10" s="77"/>
      <c r="H10" s="77"/>
      <c r="I10" s="77"/>
      <c r="J10" s="77"/>
      <c r="K10" s="78"/>
      <c r="L10" s="77"/>
      <c r="M10" s="77"/>
      <c r="N10" s="77"/>
      <c r="O10" s="77"/>
      <c r="P10" s="77"/>
      <c r="Q10" s="77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5"/>
      <c r="AF10" s="75"/>
      <c r="AG10" s="74"/>
    </row>
    <row r="11" spans="2:33" x14ac:dyDescent="0.25">
      <c r="B11" s="79"/>
      <c r="D11" s="77"/>
      <c r="E11" s="77"/>
      <c r="F11" s="77"/>
      <c r="G11" s="77"/>
      <c r="H11" s="77"/>
      <c r="I11" s="77"/>
      <c r="J11" s="77"/>
      <c r="K11" s="78"/>
      <c r="L11" s="77"/>
      <c r="M11" s="77"/>
      <c r="N11" s="77"/>
      <c r="O11" s="77"/>
      <c r="P11" s="77"/>
      <c r="Q11" s="77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5"/>
      <c r="AF11" s="75"/>
      <c r="AG11" s="74"/>
    </row>
    <row r="12" spans="2:33" x14ac:dyDescent="0.25">
      <c r="B12" s="79"/>
      <c r="D12" s="77"/>
      <c r="E12" s="77"/>
      <c r="F12" s="77"/>
      <c r="G12" s="77"/>
      <c r="H12" s="77"/>
      <c r="I12" s="77"/>
      <c r="J12" s="77"/>
      <c r="K12" s="78"/>
      <c r="L12" s="77"/>
      <c r="M12" s="77"/>
      <c r="N12" s="77"/>
      <c r="O12" s="77"/>
      <c r="P12" s="77"/>
      <c r="Q12" s="77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5"/>
      <c r="AF12" s="75"/>
      <c r="AG12" s="74"/>
    </row>
    <row r="13" spans="2:33" x14ac:dyDescent="0.25">
      <c r="B13" s="79"/>
      <c r="D13" s="77"/>
      <c r="E13" s="77"/>
      <c r="F13" s="77"/>
      <c r="G13" s="77"/>
      <c r="H13" s="77"/>
      <c r="I13" s="77"/>
      <c r="J13" s="77"/>
      <c r="K13" s="78"/>
      <c r="L13" s="77"/>
      <c r="M13" s="77"/>
      <c r="N13" s="77"/>
      <c r="O13" s="77"/>
      <c r="P13" s="77"/>
      <c r="Q13" s="77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5"/>
      <c r="AF13" s="75"/>
      <c r="AG13" s="74"/>
    </row>
    <row r="14" spans="2:33" x14ac:dyDescent="0.25">
      <c r="B14" s="79"/>
      <c r="D14" s="77"/>
      <c r="E14" s="77"/>
      <c r="F14" s="77"/>
      <c r="G14" s="77"/>
      <c r="H14" s="77"/>
      <c r="I14" s="77"/>
      <c r="J14" s="77"/>
      <c r="K14" s="78"/>
      <c r="L14" s="77"/>
      <c r="M14" s="77"/>
      <c r="N14" s="77"/>
      <c r="O14" s="77"/>
      <c r="P14" s="77"/>
      <c r="Q14" s="77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5"/>
      <c r="AF14" s="75"/>
      <c r="AG14" s="74"/>
    </row>
    <row r="15" spans="2:33" x14ac:dyDescent="0.25">
      <c r="B15" s="79"/>
      <c r="D15" s="77"/>
      <c r="E15" s="77"/>
      <c r="F15" s="77"/>
      <c r="G15" s="77"/>
      <c r="H15" s="77"/>
      <c r="I15" s="77"/>
      <c r="J15" s="77"/>
      <c r="K15" s="78"/>
      <c r="L15" s="77"/>
      <c r="M15" s="77"/>
      <c r="N15" s="77"/>
      <c r="O15" s="77"/>
      <c r="P15" s="77"/>
      <c r="Q15" s="77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5"/>
      <c r="AF15" s="75"/>
      <c r="AG15" s="74"/>
    </row>
    <row r="16" spans="2:33" x14ac:dyDescent="0.25">
      <c r="B16" s="79"/>
      <c r="D16" s="77"/>
      <c r="E16" s="77"/>
      <c r="F16" s="77"/>
      <c r="G16" s="77"/>
      <c r="H16" s="77"/>
      <c r="I16" s="77"/>
      <c r="J16" s="77"/>
      <c r="K16" s="78"/>
      <c r="L16" s="77"/>
      <c r="M16" s="77"/>
      <c r="N16" s="77"/>
      <c r="O16" s="77"/>
      <c r="P16" s="77"/>
      <c r="Q16" s="77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5"/>
      <c r="AF16" s="75"/>
      <c r="AG16" s="74"/>
    </row>
    <row r="17" spans="2:33" x14ac:dyDescent="0.25">
      <c r="B17" s="79"/>
      <c r="D17" s="77"/>
      <c r="E17" s="77"/>
      <c r="F17" s="77"/>
      <c r="G17" s="77"/>
      <c r="H17" s="77"/>
      <c r="I17" s="77"/>
      <c r="J17" s="77"/>
      <c r="K17" s="78"/>
      <c r="L17" s="77"/>
      <c r="M17" s="77"/>
      <c r="N17" s="77"/>
      <c r="O17" s="77"/>
      <c r="P17" s="77"/>
      <c r="Q17" s="77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5"/>
      <c r="AF17" s="75"/>
      <c r="AG17" s="74"/>
    </row>
    <row r="18" spans="2:33" x14ac:dyDescent="0.25">
      <c r="B18" s="79"/>
      <c r="D18" s="77"/>
      <c r="E18" s="77"/>
      <c r="F18" s="77"/>
      <c r="G18" s="77"/>
      <c r="H18" s="77"/>
      <c r="I18" s="77"/>
      <c r="J18" s="77"/>
      <c r="K18" s="78"/>
      <c r="L18" s="77"/>
      <c r="M18" s="77"/>
      <c r="N18" s="77"/>
      <c r="O18" s="77"/>
      <c r="P18" s="77"/>
      <c r="Q18" s="77"/>
      <c r="R18" s="76"/>
      <c r="S18" s="76"/>
      <c r="T18" s="76"/>
      <c r="U18" s="76"/>
      <c r="V18" s="76"/>
      <c r="W18" s="76"/>
      <c r="X18" s="73"/>
      <c r="Y18" s="73"/>
      <c r="Z18" s="76"/>
      <c r="AA18" s="76"/>
      <c r="AB18" s="76"/>
      <c r="AC18" s="76"/>
      <c r="AD18" s="76"/>
      <c r="AE18" s="75"/>
      <c r="AF18" s="75"/>
      <c r="AG18" s="74"/>
    </row>
    <row r="19" spans="2:33" x14ac:dyDescent="0.25">
      <c r="B19" s="79"/>
      <c r="D19" s="77"/>
      <c r="E19" s="77"/>
      <c r="F19" s="77"/>
      <c r="G19" s="77"/>
      <c r="H19" s="77"/>
      <c r="I19" s="77"/>
      <c r="J19" s="77"/>
      <c r="K19" s="78"/>
      <c r="L19" s="77"/>
      <c r="M19" s="77"/>
      <c r="N19" s="77"/>
      <c r="O19" s="77"/>
      <c r="P19" s="77"/>
      <c r="Q19" s="77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5"/>
      <c r="AF19" s="75"/>
      <c r="AG19" s="74"/>
    </row>
    <row r="20" spans="2:33" x14ac:dyDescent="0.25">
      <c r="B20" s="79"/>
      <c r="D20" s="77"/>
      <c r="E20" s="77"/>
      <c r="F20" s="77"/>
      <c r="G20" s="77"/>
      <c r="H20" s="77"/>
      <c r="I20" s="77"/>
      <c r="J20" s="77"/>
      <c r="K20" s="78"/>
      <c r="L20" s="77"/>
      <c r="M20" s="77"/>
      <c r="N20" s="77"/>
      <c r="O20" s="77"/>
      <c r="P20" s="77"/>
      <c r="Q20" s="77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5"/>
      <c r="AF20" s="75"/>
      <c r="AG20" s="74"/>
    </row>
    <row r="21" spans="2:33" x14ac:dyDescent="0.25">
      <c r="B21" s="79"/>
      <c r="D21" s="77"/>
      <c r="E21" s="77"/>
      <c r="F21" s="77"/>
      <c r="G21" s="77"/>
      <c r="H21" s="77"/>
      <c r="I21" s="77"/>
      <c r="J21" s="77"/>
      <c r="K21" s="78"/>
      <c r="L21" s="77"/>
      <c r="M21" s="77"/>
      <c r="N21" s="77"/>
      <c r="O21" s="77"/>
      <c r="P21" s="77"/>
      <c r="Q21" s="77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5"/>
      <c r="AF21" s="75"/>
      <c r="AG21" s="74"/>
    </row>
    <row r="23" spans="2:33" x14ac:dyDescent="0.25">
      <c r="D23" s="72">
        <v>100</v>
      </c>
      <c r="E23" s="72">
        <v>231.875</v>
      </c>
      <c r="F23" s="72">
        <v>72.714285714285708</v>
      </c>
      <c r="G23" s="72">
        <v>70</v>
      </c>
      <c r="H23" s="72">
        <v>70.166666666666671</v>
      </c>
      <c r="I23" s="72">
        <v>67.5</v>
      </c>
      <c r="J23" s="72">
        <v>60</v>
      </c>
      <c r="K23" s="72">
        <v>129.05000000000001</v>
      </c>
      <c r="L23" s="72">
        <v>688.26666666666665</v>
      </c>
      <c r="X23" s="73"/>
      <c r="Y23" s="72" t="s">
        <v>137</v>
      </c>
      <c r="AG23" s="72">
        <v>231.875</v>
      </c>
    </row>
    <row r="24" spans="2:33" x14ac:dyDescent="0.25">
      <c r="K24" s="72">
        <v>15</v>
      </c>
      <c r="L24" s="72">
        <v>80</v>
      </c>
    </row>
    <row r="27" spans="2:33" x14ac:dyDescent="0.25">
      <c r="K27" s="72">
        <v>140</v>
      </c>
      <c r="L27" s="72">
        <v>746.66666666666663</v>
      </c>
    </row>
    <row r="28" spans="2:33" x14ac:dyDescent="0.25">
      <c r="K28" s="72">
        <v>15</v>
      </c>
      <c r="L28" s="72">
        <v>80</v>
      </c>
    </row>
    <row r="31" spans="2:33" x14ac:dyDescent="0.25">
      <c r="K31" s="72">
        <v>140</v>
      </c>
      <c r="L31" s="72">
        <v>886.66666666666663</v>
      </c>
    </row>
    <row r="32" spans="2:33" x14ac:dyDescent="0.25">
      <c r="K32" s="72">
        <v>15</v>
      </c>
      <c r="L32" s="72">
        <v>95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F4825-ADD2-43B8-9F72-3A7F2B25231C}">
  <sheetPr>
    <tabColor theme="5"/>
  </sheetPr>
  <dimension ref="B1:AY54"/>
  <sheetViews>
    <sheetView zoomScale="85" zoomScaleNormal="85" workbookViewId="0">
      <pane xSplit="3" topLeftCell="D1" activePane="topRight" state="frozen"/>
      <selection pane="topRight" activeCell="A8" sqref="A8:XFD49"/>
    </sheetView>
  </sheetViews>
  <sheetFormatPr defaultRowHeight="15" x14ac:dyDescent="0.25"/>
  <cols>
    <col min="1" max="1" width="9.140625" style="72" customWidth="1"/>
    <col min="2" max="2" width="11.42578125" style="72" customWidth="1"/>
    <col min="3" max="3" width="9.140625" style="72" customWidth="1"/>
    <col min="4" max="4" width="19.140625" style="72" customWidth="1"/>
    <col min="5" max="23" width="9.140625" style="72"/>
    <col min="24" max="24" width="10.140625" style="72" customWidth="1"/>
    <col min="25" max="25" width="10.85546875" style="72" customWidth="1"/>
    <col min="26" max="26" width="9.140625" style="72"/>
    <col min="27" max="27" width="9.5703125" style="72" customWidth="1"/>
    <col min="28" max="28" width="9.140625" style="72"/>
    <col min="29" max="29" width="10.85546875" style="72" customWidth="1"/>
    <col min="30" max="30" width="9.140625" style="72"/>
    <col min="31" max="31" width="10.85546875" style="72" customWidth="1"/>
    <col min="32" max="32" width="9.140625" style="72"/>
    <col min="33" max="33" width="10.85546875" style="72" customWidth="1"/>
    <col min="34" max="34" width="9.140625" style="72"/>
    <col min="35" max="39" width="12.28515625" style="72" customWidth="1"/>
    <col min="40" max="40" width="12.5703125" style="72" customWidth="1"/>
    <col min="41" max="41" width="12.85546875" style="72" customWidth="1"/>
    <col min="42" max="42" width="12.5703125" style="72" customWidth="1"/>
    <col min="43" max="43" width="12.85546875" style="72" customWidth="1"/>
    <col min="44" max="16384" width="9.140625" style="72"/>
  </cols>
  <sheetData>
    <row r="1" spans="2:51" x14ac:dyDescent="0.25">
      <c r="D1" s="86"/>
      <c r="E1" s="72" t="s">
        <v>208</v>
      </c>
    </row>
    <row r="2" spans="2:51" x14ac:dyDescent="0.25">
      <c r="D2" s="85"/>
      <c r="E2" s="72" t="s">
        <v>207</v>
      </c>
    </row>
    <row r="3" spans="2:51" x14ac:dyDescent="0.25">
      <c r="D3" s="76"/>
      <c r="E3" s="72" t="s">
        <v>206</v>
      </c>
    </row>
    <row r="4" spans="2:51" x14ac:dyDescent="0.25">
      <c r="D4" s="75"/>
      <c r="E4" s="72" t="s">
        <v>205</v>
      </c>
    </row>
    <row r="5" spans="2:51" ht="72.75" x14ac:dyDescent="0.25">
      <c r="D5" s="81" t="s">
        <v>284</v>
      </c>
      <c r="E5" s="81" t="s">
        <v>283</v>
      </c>
      <c r="F5" s="81" t="s">
        <v>282</v>
      </c>
      <c r="G5" s="81" t="s">
        <v>269</v>
      </c>
      <c r="H5" s="81" t="s">
        <v>281</v>
      </c>
      <c r="I5" s="81" t="s">
        <v>280</v>
      </c>
      <c r="J5" s="81" t="s">
        <v>279</v>
      </c>
      <c r="K5" s="81" t="s">
        <v>269</v>
      </c>
      <c r="L5" s="81" t="s">
        <v>278</v>
      </c>
      <c r="M5" s="81" t="s">
        <v>277</v>
      </c>
      <c r="N5" s="81" t="s">
        <v>276</v>
      </c>
      <c r="O5" s="81" t="s">
        <v>269</v>
      </c>
      <c r="P5" s="81" t="s">
        <v>275</v>
      </c>
      <c r="Q5" s="81" t="s">
        <v>274</v>
      </c>
      <c r="R5" s="81" t="s">
        <v>273</v>
      </c>
      <c r="S5" s="81" t="s">
        <v>269</v>
      </c>
      <c r="T5" s="81" t="s">
        <v>272</v>
      </c>
      <c r="U5" s="81" t="s">
        <v>271</v>
      </c>
      <c r="V5" s="81" t="s">
        <v>270</v>
      </c>
      <c r="W5" s="81" t="s">
        <v>269</v>
      </c>
      <c r="X5" s="81" t="s">
        <v>268</v>
      </c>
      <c r="Y5" s="81" t="s">
        <v>267</v>
      </c>
      <c r="Z5" s="81" t="s">
        <v>262</v>
      </c>
      <c r="AA5" s="81" t="s">
        <v>266</v>
      </c>
      <c r="AB5" s="81" t="s">
        <v>262</v>
      </c>
      <c r="AC5" s="81" t="s">
        <v>265</v>
      </c>
      <c r="AD5" s="81" t="s">
        <v>262</v>
      </c>
      <c r="AE5" s="81" t="s">
        <v>264</v>
      </c>
      <c r="AF5" s="81" t="s">
        <v>262</v>
      </c>
      <c r="AG5" s="81" t="s">
        <v>263</v>
      </c>
      <c r="AH5" s="81" t="s">
        <v>262</v>
      </c>
      <c r="AI5" s="81" t="s">
        <v>202</v>
      </c>
      <c r="AJ5" s="81" t="s">
        <v>201</v>
      </c>
      <c r="AK5" s="81" t="s">
        <v>200</v>
      </c>
      <c r="AL5" s="81" t="s">
        <v>199</v>
      </c>
      <c r="AM5" s="81" t="s">
        <v>198</v>
      </c>
      <c r="AN5" s="81" t="s">
        <v>261</v>
      </c>
      <c r="AO5" s="81" t="s">
        <v>260</v>
      </c>
      <c r="AP5" s="81" t="s">
        <v>259</v>
      </c>
      <c r="AQ5" s="81" t="s">
        <v>258</v>
      </c>
      <c r="AR5" s="81" t="s">
        <v>257</v>
      </c>
      <c r="AS5" s="81" t="s">
        <v>256</v>
      </c>
      <c r="AT5" s="81" t="s">
        <v>255</v>
      </c>
      <c r="AU5" s="81"/>
      <c r="AV5" s="81"/>
      <c r="AW5" s="81"/>
      <c r="AX5" s="81"/>
      <c r="AY5" s="81" t="s">
        <v>203</v>
      </c>
    </row>
    <row r="6" spans="2:51" x14ac:dyDescent="0.25">
      <c r="D6" s="72" t="s">
        <v>174</v>
      </c>
      <c r="E6" s="72" t="s">
        <v>253</v>
      </c>
      <c r="F6" s="72" t="s">
        <v>173</v>
      </c>
      <c r="G6" s="72" t="s">
        <v>254</v>
      </c>
      <c r="H6" s="72" t="s">
        <v>174</v>
      </c>
      <c r="I6" s="72" t="s">
        <v>253</v>
      </c>
      <c r="J6" s="72" t="s">
        <v>173</v>
      </c>
      <c r="L6" s="72" t="s">
        <v>174</v>
      </c>
      <c r="M6" s="72" t="s">
        <v>253</v>
      </c>
      <c r="N6" s="72" t="s">
        <v>173</v>
      </c>
      <c r="P6" s="72" t="s">
        <v>174</v>
      </c>
      <c r="Q6" s="72" t="s">
        <v>253</v>
      </c>
      <c r="R6" s="72" t="s">
        <v>173</v>
      </c>
      <c r="T6" s="72" t="s">
        <v>174</v>
      </c>
      <c r="U6" s="72" t="s">
        <v>253</v>
      </c>
      <c r="V6" s="72" t="s">
        <v>173</v>
      </c>
      <c r="X6" s="72" t="s">
        <v>118</v>
      </c>
      <c r="Y6" s="72" t="s">
        <v>252</v>
      </c>
      <c r="AA6" s="72" t="s">
        <v>252</v>
      </c>
      <c r="AC6" s="72" t="s">
        <v>252</v>
      </c>
      <c r="AE6" s="72" t="s">
        <v>252</v>
      </c>
      <c r="AG6" s="72" t="s">
        <v>252</v>
      </c>
      <c r="AI6" s="72" t="s">
        <v>118</v>
      </c>
      <c r="AJ6" s="72" t="s">
        <v>118</v>
      </c>
      <c r="AK6" s="72" t="s">
        <v>118</v>
      </c>
      <c r="AL6" s="72" t="s">
        <v>118</v>
      </c>
      <c r="AM6" s="72" t="s">
        <v>118</v>
      </c>
      <c r="AN6" s="72" t="s">
        <v>252</v>
      </c>
      <c r="AP6" s="72" t="s">
        <v>252</v>
      </c>
      <c r="AR6" s="72" t="s">
        <v>174</v>
      </c>
      <c r="AS6" s="72" t="s">
        <v>135</v>
      </c>
      <c r="AT6" s="72" t="s">
        <v>251</v>
      </c>
      <c r="AY6" s="72" t="s">
        <v>135</v>
      </c>
    </row>
    <row r="7" spans="2:51" x14ac:dyDescent="0.25">
      <c r="B7" s="96" t="s">
        <v>169</v>
      </c>
      <c r="C7" s="96" t="s">
        <v>168</v>
      </c>
      <c r="D7" s="72" t="s">
        <v>250</v>
      </c>
      <c r="E7" s="72" t="s">
        <v>249</v>
      </c>
      <c r="F7" s="72" t="s">
        <v>248</v>
      </c>
      <c r="G7" s="72" t="s">
        <v>247</v>
      </c>
      <c r="H7" s="72" t="s">
        <v>246</v>
      </c>
      <c r="I7" s="72" t="s">
        <v>245</v>
      </c>
      <c r="J7" s="72" t="s">
        <v>244</v>
      </c>
      <c r="K7" s="72" t="s">
        <v>243</v>
      </c>
      <c r="L7" s="72" t="s">
        <v>242</v>
      </c>
      <c r="M7" s="72" t="s">
        <v>241</v>
      </c>
      <c r="N7" s="72" t="s">
        <v>240</v>
      </c>
      <c r="O7" s="72" t="s">
        <v>239</v>
      </c>
      <c r="P7" s="72" t="s">
        <v>238</v>
      </c>
      <c r="Q7" s="72" t="s">
        <v>237</v>
      </c>
      <c r="R7" s="72" t="s">
        <v>236</v>
      </c>
      <c r="S7" s="72" t="s">
        <v>235</v>
      </c>
      <c r="T7" s="72" t="s">
        <v>234</v>
      </c>
      <c r="U7" s="72" t="s">
        <v>233</v>
      </c>
      <c r="V7" s="72" t="s">
        <v>232</v>
      </c>
      <c r="W7" s="72" t="s">
        <v>231</v>
      </c>
      <c r="X7" s="83" t="s">
        <v>230</v>
      </c>
      <c r="Y7" s="72" t="s">
        <v>229</v>
      </c>
      <c r="Z7" s="72" t="s">
        <v>228</v>
      </c>
      <c r="AA7" s="72" t="s">
        <v>227</v>
      </c>
      <c r="AB7" s="72" t="s">
        <v>226</v>
      </c>
      <c r="AC7" s="72" t="s">
        <v>225</v>
      </c>
      <c r="AD7" s="72" t="s">
        <v>224</v>
      </c>
      <c r="AE7" s="72" t="s">
        <v>223</v>
      </c>
      <c r="AF7" s="72" t="s">
        <v>222</v>
      </c>
      <c r="AG7" s="72" t="s">
        <v>221</v>
      </c>
      <c r="AH7" s="72" t="s">
        <v>220</v>
      </c>
      <c r="AI7" s="83" t="s">
        <v>165</v>
      </c>
      <c r="AJ7" s="83" t="s">
        <v>164</v>
      </c>
      <c r="AK7" s="83" t="s">
        <v>163</v>
      </c>
      <c r="AL7" s="83" t="s">
        <v>162</v>
      </c>
      <c r="AM7" s="83" t="s">
        <v>161</v>
      </c>
      <c r="AN7" s="82" t="s">
        <v>219</v>
      </c>
      <c r="AO7" s="82" t="s">
        <v>218</v>
      </c>
      <c r="AP7" s="82" t="s">
        <v>217</v>
      </c>
      <c r="AQ7" s="82" t="s">
        <v>216</v>
      </c>
      <c r="AR7" s="80" t="s">
        <v>215</v>
      </c>
      <c r="AS7" s="80" t="s">
        <v>214</v>
      </c>
      <c r="AT7" s="80" t="s">
        <v>213</v>
      </c>
      <c r="AU7" s="80" t="s">
        <v>212</v>
      </c>
      <c r="AV7" s="80" t="s">
        <v>211</v>
      </c>
      <c r="AW7" s="80" t="s">
        <v>210</v>
      </c>
      <c r="AX7" s="80" t="s">
        <v>209</v>
      </c>
      <c r="AY7" s="80" t="s">
        <v>166</v>
      </c>
    </row>
    <row r="8" spans="2:51" x14ac:dyDescent="0.25">
      <c r="B8" s="90"/>
      <c r="C8" s="89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88"/>
      <c r="AF8" s="88"/>
      <c r="AG8" s="88"/>
      <c r="AH8" s="88"/>
      <c r="AI8" s="77"/>
      <c r="AJ8" s="77"/>
      <c r="AK8" s="77"/>
      <c r="AL8" s="88"/>
      <c r="AM8" s="88"/>
      <c r="AN8" s="88"/>
      <c r="AO8" s="88"/>
      <c r="AP8" s="88"/>
      <c r="AQ8" s="88"/>
      <c r="AR8" s="87"/>
      <c r="AS8" s="87"/>
      <c r="AT8" s="76"/>
      <c r="AU8" s="76"/>
      <c r="AV8" s="76"/>
      <c r="AW8" s="76"/>
      <c r="AX8" s="76"/>
      <c r="AY8" s="76"/>
    </row>
    <row r="9" spans="2:51" x14ac:dyDescent="0.25">
      <c r="B9" s="90"/>
      <c r="C9" s="89"/>
      <c r="D9" s="77"/>
      <c r="E9" s="77"/>
      <c r="F9" s="77"/>
      <c r="G9" s="88"/>
      <c r="H9" s="77"/>
      <c r="I9" s="77"/>
      <c r="J9" s="77"/>
      <c r="K9" s="88"/>
      <c r="L9" s="77"/>
      <c r="M9" s="77"/>
      <c r="N9" s="77"/>
      <c r="O9" s="88"/>
      <c r="P9" s="94"/>
      <c r="Q9" s="94"/>
      <c r="R9" s="94"/>
      <c r="S9" s="94"/>
      <c r="T9" s="94"/>
      <c r="U9" s="94"/>
      <c r="V9" s="94"/>
      <c r="W9" s="94"/>
      <c r="X9" s="77"/>
      <c r="Y9" s="77"/>
      <c r="Z9" s="88"/>
      <c r="AA9" s="77"/>
      <c r="AB9" s="88"/>
      <c r="AC9" s="77"/>
      <c r="AD9" s="88"/>
      <c r="AE9" s="88"/>
      <c r="AF9" s="88"/>
      <c r="AG9" s="88"/>
      <c r="AH9" s="88"/>
      <c r="AI9" s="77"/>
      <c r="AJ9" s="77"/>
      <c r="AK9" s="77"/>
      <c r="AL9" s="88"/>
      <c r="AM9" s="88"/>
      <c r="AN9" s="88"/>
      <c r="AO9" s="88"/>
      <c r="AP9" s="88"/>
      <c r="AQ9" s="88"/>
      <c r="AR9" s="87"/>
      <c r="AS9" s="87"/>
      <c r="AT9" s="76"/>
      <c r="AU9" s="76"/>
      <c r="AV9" s="76"/>
      <c r="AW9" s="76"/>
      <c r="AX9" s="76"/>
      <c r="AY9" s="76"/>
    </row>
    <row r="10" spans="2:51" x14ac:dyDescent="0.25">
      <c r="B10" s="90"/>
      <c r="C10" s="89"/>
      <c r="D10" s="77"/>
      <c r="E10" s="77"/>
      <c r="F10" s="77"/>
      <c r="G10" s="88"/>
      <c r="H10" s="77"/>
      <c r="I10" s="77"/>
      <c r="J10" s="77"/>
      <c r="K10" s="88"/>
      <c r="L10" s="77"/>
      <c r="M10" s="77"/>
      <c r="N10" s="77"/>
      <c r="O10" s="88"/>
      <c r="P10" s="94"/>
      <c r="Q10" s="94"/>
      <c r="R10" s="94"/>
      <c r="S10" s="94"/>
      <c r="T10" s="94"/>
      <c r="U10" s="94"/>
      <c r="V10" s="94"/>
      <c r="W10" s="94"/>
      <c r="X10" s="77"/>
      <c r="Y10" s="77"/>
      <c r="Z10" s="88"/>
      <c r="AA10" s="77"/>
      <c r="AB10" s="88"/>
      <c r="AC10" s="77"/>
      <c r="AD10" s="88"/>
      <c r="AE10" s="88"/>
      <c r="AF10" s="88"/>
      <c r="AG10" s="88"/>
      <c r="AH10" s="88"/>
      <c r="AI10" s="77"/>
      <c r="AJ10" s="77"/>
      <c r="AK10" s="77"/>
      <c r="AL10" s="88"/>
      <c r="AM10" s="88"/>
      <c r="AN10" s="88"/>
      <c r="AO10" s="88"/>
      <c r="AP10" s="88"/>
      <c r="AQ10" s="88"/>
      <c r="AR10" s="87"/>
      <c r="AS10" s="87"/>
      <c r="AT10" s="76"/>
      <c r="AU10" s="76"/>
      <c r="AV10" s="76"/>
      <c r="AW10" s="76"/>
      <c r="AX10" s="76"/>
      <c r="AY10" s="76"/>
    </row>
    <row r="11" spans="2:51" x14ac:dyDescent="0.25">
      <c r="B11" s="89"/>
      <c r="C11" s="89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88"/>
      <c r="Q11" s="88"/>
      <c r="R11" s="88"/>
      <c r="S11" s="88"/>
      <c r="T11" s="88"/>
      <c r="U11" s="88"/>
      <c r="V11" s="88"/>
      <c r="W11" s="88"/>
      <c r="X11" s="77"/>
      <c r="Y11" s="77"/>
      <c r="Z11" s="77"/>
      <c r="AA11" s="77"/>
      <c r="AB11" s="77"/>
      <c r="AC11" s="77"/>
      <c r="AD11" s="77"/>
      <c r="AE11" s="77"/>
      <c r="AF11" s="77"/>
      <c r="AG11" s="88"/>
      <c r="AH11" s="88"/>
      <c r="AI11" s="77"/>
      <c r="AJ11" s="77"/>
      <c r="AK11" s="77"/>
      <c r="AL11" s="77"/>
      <c r="AM11" s="88"/>
      <c r="AN11" s="88"/>
      <c r="AO11" s="88"/>
      <c r="AP11" s="88"/>
      <c r="AQ11" s="88"/>
      <c r="AR11" s="95"/>
      <c r="AS11" s="95"/>
      <c r="AT11" s="76"/>
      <c r="AU11" s="76"/>
      <c r="AV11" s="76"/>
      <c r="AW11" s="76"/>
      <c r="AX11" s="76"/>
      <c r="AY11" s="76"/>
    </row>
    <row r="12" spans="2:51" x14ac:dyDescent="0.25">
      <c r="B12" s="90"/>
      <c r="C12" s="89"/>
      <c r="D12" s="77"/>
      <c r="E12" s="77"/>
      <c r="F12" s="77"/>
      <c r="G12" s="88"/>
      <c r="H12" s="77"/>
      <c r="I12" s="77"/>
      <c r="J12" s="77"/>
      <c r="K12" s="88"/>
      <c r="L12" s="77"/>
      <c r="M12" s="77"/>
      <c r="N12" s="77"/>
      <c r="O12" s="88"/>
      <c r="P12" s="88"/>
      <c r="Q12" s="88"/>
      <c r="R12" s="88"/>
      <c r="S12" s="88"/>
      <c r="T12" s="88"/>
      <c r="U12" s="88"/>
      <c r="V12" s="88"/>
      <c r="W12" s="88"/>
      <c r="X12" s="77"/>
      <c r="Y12" s="77"/>
      <c r="Z12" s="88"/>
      <c r="AA12" s="77"/>
      <c r="AB12" s="88"/>
      <c r="AC12" s="77"/>
      <c r="AD12" s="88"/>
      <c r="AE12" s="77"/>
      <c r="AF12" s="88"/>
      <c r="AG12" s="88"/>
      <c r="AH12" s="88"/>
      <c r="AI12" s="77"/>
      <c r="AJ12" s="77"/>
      <c r="AK12" s="77"/>
      <c r="AL12" s="77"/>
      <c r="AM12" s="88"/>
      <c r="AN12" s="88"/>
      <c r="AO12" s="88"/>
      <c r="AP12" s="88"/>
      <c r="AQ12" s="88"/>
      <c r="AR12" s="87"/>
      <c r="AS12" s="87"/>
      <c r="AT12" s="76"/>
      <c r="AU12" s="76"/>
      <c r="AV12" s="76"/>
      <c r="AW12" s="76"/>
      <c r="AX12" s="76"/>
      <c r="AY12" s="76"/>
    </row>
    <row r="13" spans="2:51" x14ac:dyDescent="0.25">
      <c r="B13" s="90"/>
      <c r="C13" s="89"/>
      <c r="D13" s="77"/>
      <c r="E13" s="77"/>
      <c r="F13" s="77"/>
      <c r="G13" s="88"/>
      <c r="H13" s="77"/>
      <c r="I13" s="77"/>
      <c r="J13" s="77"/>
      <c r="K13" s="88"/>
      <c r="L13" s="77"/>
      <c r="M13" s="77"/>
      <c r="N13" s="77"/>
      <c r="O13" s="88"/>
      <c r="P13" s="88"/>
      <c r="Q13" s="88"/>
      <c r="R13" s="88"/>
      <c r="S13" s="88"/>
      <c r="T13" s="88"/>
      <c r="U13" s="88"/>
      <c r="V13" s="88"/>
      <c r="W13" s="88"/>
      <c r="X13" s="77"/>
      <c r="Y13" s="77"/>
      <c r="Z13" s="88"/>
      <c r="AA13" s="77"/>
      <c r="AB13" s="88"/>
      <c r="AC13" s="77"/>
      <c r="AD13" s="88"/>
      <c r="AE13" s="77"/>
      <c r="AF13" s="88"/>
      <c r="AG13" s="88"/>
      <c r="AH13" s="88"/>
      <c r="AI13" s="77"/>
      <c r="AJ13" s="77"/>
      <c r="AK13" s="77"/>
      <c r="AL13" s="77"/>
      <c r="AM13" s="88"/>
      <c r="AN13" s="88"/>
      <c r="AO13" s="88"/>
      <c r="AP13" s="88"/>
      <c r="AQ13" s="88"/>
      <c r="AR13" s="87"/>
      <c r="AS13" s="87"/>
      <c r="AT13" s="76"/>
      <c r="AU13" s="76"/>
      <c r="AV13" s="76"/>
      <c r="AW13" s="76"/>
      <c r="AX13" s="76"/>
      <c r="AY13" s="76"/>
    </row>
    <row r="14" spans="2:51" x14ac:dyDescent="0.25">
      <c r="B14" s="90"/>
      <c r="C14" s="89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88"/>
      <c r="Q14" s="88"/>
      <c r="R14" s="88"/>
      <c r="S14" s="88"/>
      <c r="T14" s="88"/>
      <c r="U14" s="88"/>
      <c r="V14" s="88"/>
      <c r="W14" s="88"/>
      <c r="X14" s="77"/>
      <c r="Y14" s="77"/>
      <c r="Z14" s="77"/>
      <c r="AA14" s="77"/>
      <c r="AB14" s="77"/>
      <c r="AC14" s="77"/>
      <c r="AD14" s="77"/>
      <c r="AE14" s="88"/>
      <c r="AF14" s="88"/>
      <c r="AG14" s="88"/>
      <c r="AH14" s="88"/>
      <c r="AI14" s="77"/>
      <c r="AJ14" s="77"/>
      <c r="AK14" s="77"/>
      <c r="AL14" s="88"/>
      <c r="AM14" s="88"/>
      <c r="AN14" s="88"/>
      <c r="AO14" s="88"/>
      <c r="AP14" s="88"/>
      <c r="AQ14" s="88"/>
      <c r="AR14" s="87"/>
      <c r="AS14" s="87"/>
      <c r="AT14" s="76"/>
      <c r="AU14" s="76"/>
      <c r="AV14" s="76"/>
      <c r="AW14" s="76"/>
      <c r="AX14" s="76"/>
      <c r="AY14" s="76"/>
    </row>
    <row r="15" spans="2:51" x14ac:dyDescent="0.25">
      <c r="B15" s="90"/>
      <c r="C15" s="89"/>
      <c r="D15" s="77"/>
      <c r="E15" s="77"/>
      <c r="F15" s="77"/>
      <c r="G15" s="88"/>
      <c r="H15" s="77"/>
      <c r="I15" s="77"/>
      <c r="J15" s="77"/>
      <c r="K15" s="88"/>
      <c r="L15" s="77"/>
      <c r="M15" s="77"/>
      <c r="N15" s="77"/>
      <c r="O15" s="88"/>
      <c r="P15" s="88"/>
      <c r="Q15" s="88"/>
      <c r="R15" s="88"/>
      <c r="S15" s="88"/>
      <c r="T15" s="88"/>
      <c r="U15" s="88"/>
      <c r="V15" s="88"/>
      <c r="W15" s="88"/>
      <c r="X15" s="77"/>
      <c r="Y15" s="77"/>
      <c r="Z15" s="88"/>
      <c r="AA15" s="77"/>
      <c r="AB15" s="88"/>
      <c r="AC15" s="77"/>
      <c r="AD15" s="88"/>
      <c r="AE15" s="88"/>
      <c r="AF15" s="88"/>
      <c r="AG15" s="88"/>
      <c r="AH15" s="88"/>
      <c r="AI15" s="77"/>
      <c r="AJ15" s="77"/>
      <c r="AK15" s="77"/>
      <c r="AL15" s="88"/>
      <c r="AM15" s="88"/>
      <c r="AN15" s="88"/>
      <c r="AO15" s="88"/>
      <c r="AP15" s="88"/>
      <c r="AQ15" s="88"/>
      <c r="AR15" s="87"/>
      <c r="AS15" s="87"/>
      <c r="AT15" s="76"/>
      <c r="AU15" s="76"/>
      <c r="AV15" s="76"/>
      <c r="AW15" s="76"/>
      <c r="AX15" s="76"/>
      <c r="AY15" s="76"/>
    </row>
    <row r="16" spans="2:51" x14ac:dyDescent="0.25">
      <c r="B16" s="90"/>
      <c r="C16" s="89"/>
      <c r="D16" s="77"/>
      <c r="E16" s="77"/>
      <c r="F16" s="77"/>
      <c r="G16" s="88"/>
      <c r="H16" s="77"/>
      <c r="I16" s="77"/>
      <c r="J16" s="77"/>
      <c r="K16" s="88"/>
      <c r="L16" s="77"/>
      <c r="M16" s="77"/>
      <c r="N16" s="77"/>
      <c r="O16" s="88"/>
      <c r="P16" s="88"/>
      <c r="Q16" s="88"/>
      <c r="R16" s="88"/>
      <c r="S16" s="88"/>
      <c r="T16" s="88"/>
      <c r="U16" s="88"/>
      <c r="V16" s="88"/>
      <c r="W16" s="88"/>
      <c r="X16" s="77"/>
      <c r="Y16" s="77"/>
      <c r="Z16" s="88"/>
      <c r="AA16" s="77"/>
      <c r="AB16" s="88"/>
      <c r="AC16" s="77"/>
      <c r="AD16" s="88"/>
      <c r="AE16" s="88"/>
      <c r="AF16" s="88"/>
      <c r="AG16" s="88"/>
      <c r="AH16" s="88"/>
      <c r="AI16" s="77"/>
      <c r="AJ16" s="77"/>
      <c r="AK16" s="77"/>
      <c r="AL16" s="88"/>
      <c r="AM16" s="88"/>
      <c r="AN16" s="88"/>
      <c r="AO16" s="88"/>
      <c r="AP16" s="88"/>
      <c r="AQ16" s="88"/>
      <c r="AR16" s="87"/>
      <c r="AS16" s="87"/>
      <c r="AT16" s="76"/>
      <c r="AU16" s="76"/>
      <c r="AV16" s="76"/>
      <c r="AW16" s="76"/>
      <c r="AX16" s="76"/>
      <c r="AY16" s="76"/>
    </row>
    <row r="17" spans="2:51" x14ac:dyDescent="0.25">
      <c r="B17" s="90"/>
      <c r="C17" s="89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88"/>
      <c r="AF17" s="88"/>
      <c r="AG17" s="88"/>
      <c r="AH17" s="88"/>
      <c r="AI17" s="77"/>
      <c r="AJ17" s="77"/>
      <c r="AK17" s="77"/>
      <c r="AL17" s="88"/>
      <c r="AM17" s="88"/>
      <c r="AN17" s="77"/>
      <c r="AO17" s="77"/>
      <c r="AP17" s="88"/>
      <c r="AQ17" s="88"/>
      <c r="AR17" s="87"/>
      <c r="AS17" s="87"/>
      <c r="AT17" s="76"/>
      <c r="AU17" s="76"/>
      <c r="AV17" s="76"/>
      <c r="AW17" s="76"/>
      <c r="AX17" s="76"/>
      <c r="AY17" s="76"/>
    </row>
    <row r="18" spans="2:51" x14ac:dyDescent="0.25">
      <c r="B18" s="90"/>
      <c r="C18" s="89"/>
      <c r="D18" s="77"/>
      <c r="E18" s="77"/>
      <c r="F18" s="77"/>
      <c r="G18" s="88"/>
      <c r="H18" s="77"/>
      <c r="I18" s="77"/>
      <c r="J18" s="77"/>
      <c r="K18" s="88"/>
      <c r="L18" s="77"/>
      <c r="M18" s="77"/>
      <c r="N18" s="77"/>
      <c r="O18" s="88"/>
      <c r="P18" s="77"/>
      <c r="Q18" s="77"/>
      <c r="R18" s="77"/>
      <c r="S18" s="88"/>
      <c r="T18" s="77"/>
      <c r="U18" s="77"/>
      <c r="V18" s="77"/>
      <c r="W18" s="88"/>
      <c r="X18" s="77"/>
      <c r="Y18" s="77"/>
      <c r="Z18" s="88"/>
      <c r="AA18" s="77"/>
      <c r="AB18" s="88"/>
      <c r="AC18" s="77"/>
      <c r="AD18" s="88"/>
      <c r="AE18" s="88"/>
      <c r="AF18" s="88"/>
      <c r="AG18" s="88"/>
      <c r="AH18" s="88"/>
      <c r="AI18" s="77"/>
      <c r="AJ18" s="77"/>
      <c r="AK18" s="77"/>
      <c r="AL18" s="88"/>
      <c r="AM18" s="88"/>
      <c r="AN18" s="88"/>
      <c r="AO18" s="88"/>
      <c r="AP18" s="88"/>
      <c r="AQ18" s="88"/>
      <c r="AR18" s="87"/>
      <c r="AS18" s="87"/>
      <c r="AT18" s="76"/>
      <c r="AU18" s="76"/>
      <c r="AV18" s="76"/>
      <c r="AW18" s="76"/>
      <c r="AX18" s="76"/>
      <c r="AY18" s="76"/>
    </row>
    <row r="19" spans="2:51" x14ac:dyDescent="0.25">
      <c r="B19" s="90"/>
      <c r="C19" s="89"/>
      <c r="D19" s="77"/>
      <c r="E19" s="77"/>
      <c r="F19" s="77"/>
      <c r="G19" s="88"/>
      <c r="H19" s="77"/>
      <c r="I19" s="77"/>
      <c r="J19" s="77"/>
      <c r="K19" s="88"/>
      <c r="L19" s="77"/>
      <c r="M19" s="77"/>
      <c r="N19" s="77"/>
      <c r="O19" s="88"/>
      <c r="P19" s="77"/>
      <c r="Q19" s="77"/>
      <c r="R19" s="77"/>
      <c r="S19" s="88"/>
      <c r="T19" s="77"/>
      <c r="U19" s="77"/>
      <c r="V19" s="77"/>
      <c r="W19" s="88"/>
      <c r="X19" s="77"/>
      <c r="Y19" s="77"/>
      <c r="Z19" s="88"/>
      <c r="AA19" s="77"/>
      <c r="AB19" s="88"/>
      <c r="AC19" s="77"/>
      <c r="AD19" s="88"/>
      <c r="AE19" s="88"/>
      <c r="AF19" s="88"/>
      <c r="AG19" s="88"/>
      <c r="AH19" s="88"/>
      <c r="AI19" s="77"/>
      <c r="AJ19" s="77"/>
      <c r="AK19" s="77"/>
      <c r="AL19" s="88"/>
      <c r="AM19" s="88"/>
      <c r="AN19" s="88"/>
      <c r="AO19" s="88"/>
      <c r="AP19" s="88"/>
      <c r="AQ19" s="88"/>
      <c r="AR19" s="87"/>
      <c r="AS19" s="87"/>
      <c r="AT19" s="76"/>
      <c r="AU19" s="76"/>
      <c r="AV19" s="76"/>
      <c r="AW19" s="76"/>
      <c r="AX19" s="76"/>
      <c r="AY19" s="76"/>
    </row>
    <row r="20" spans="2:51" x14ac:dyDescent="0.25">
      <c r="B20" s="90"/>
      <c r="C20" s="89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88"/>
      <c r="Q20" s="88"/>
      <c r="R20" s="88"/>
      <c r="S20" s="88"/>
      <c r="T20" s="88"/>
      <c r="U20" s="88"/>
      <c r="V20" s="88"/>
      <c r="W20" s="88"/>
      <c r="X20" s="77"/>
      <c r="Y20" s="77"/>
      <c r="Z20" s="77"/>
      <c r="AA20" s="77"/>
      <c r="AB20" s="77"/>
      <c r="AC20" s="77"/>
      <c r="AD20" s="77"/>
      <c r="AE20" s="88"/>
      <c r="AF20" s="88"/>
      <c r="AG20" s="88"/>
      <c r="AH20" s="88"/>
      <c r="AI20" s="77"/>
      <c r="AJ20" s="77"/>
      <c r="AK20" s="77"/>
      <c r="AL20" s="88"/>
      <c r="AM20" s="88"/>
      <c r="AN20" s="88"/>
      <c r="AO20" s="88"/>
      <c r="AP20" s="88"/>
      <c r="AQ20" s="88"/>
      <c r="AR20" s="87"/>
      <c r="AS20" s="87"/>
      <c r="AT20" s="76"/>
      <c r="AU20" s="76"/>
      <c r="AV20" s="76"/>
      <c r="AW20" s="76"/>
      <c r="AX20" s="76"/>
      <c r="AY20" s="76"/>
    </row>
    <row r="21" spans="2:51" x14ac:dyDescent="0.25">
      <c r="B21" s="90"/>
      <c r="C21" s="89"/>
      <c r="D21" s="77"/>
      <c r="E21" s="77"/>
      <c r="F21" s="77"/>
      <c r="G21" s="88"/>
      <c r="H21" s="77"/>
      <c r="I21" s="77"/>
      <c r="J21" s="77"/>
      <c r="K21" s="88"/>
      <c r="L21" s="77"/>
      <c r="M21" s="77"/>
      <c r="N21" s="77"/>
      <c r="O21" s="88"/>
      <c r="P21" s="88"/>
      <c r="Q21" s="88"/>
      <c r="R21" s="88"/>
      <c r="S21" s="88"/>
      <c r="T21" s="88"/>
      <c r="U21" s="88"/>
      <c r="V21" s="88"/>
      <c r="W21" s="88"/>
      <c r="X21" s="77"/>
      <c r="Y21" s="77"/>
      <c r="Z21" s="88"/>
      <c r="AA21" s="77"/>
      <c r="AB21" s="88"/>
      <c r="AC21" s="77"/>
      <c r="AD21" s="88"/>
      <c r="AE21" s="88"/>
      <c r="AF21" s="88"/>
      <c r="AG21" s="88"/>
      <c r="AH21" s="88"/>
      <c r="AI21" s="77"/>
      <c r="AJ21" s="77"/>
      <c r="AK21" s="77"/>
      <c r="AL21" s="88"/>
      <c r="AM21" s="88"/>
      <c r="AN21" s="88"/>
      <c r="AO21" s="88"/>
      <c r="AP21" s="88"/>
      <c r="AQ21" s="88"/>
      <c r="AR21" s="87"/>
      <c r="AS21" s="87"/>
      <c r="AT21" s="76"/>
      <c r="AU21" s="76"/>
      <c r="AV21" s="76"/>
      <c r="AW21" s="76"/>
      <c r="AX21" s="76"/>
      <c r="AY21" s="76"/>
    </row>
    <row r="22" spans="2:51" x14ac:dyDescent="0.25">
      <c r="B22" s="90"/>
      <c r="C22" s="89"/>
      <c r="D22" s="77"/>
      <c r="E22" s="77"/>
      <c r="F22" s="77"/>
      <c r="G22" s="88"/>
      <c r="H22" s="77"/>
      <c r="I22" s="77"/>
      <c r="J22" s="77"/>
      <c r="K22" s="88"/>
      <c r="L22" s="77"/>
      <c r="M22" s="77"/>
      <c r="N22" s="77"/>
      <c r="O22" s="88"/>
      <c r="P22" s="88"/>
      <c r="Q22" s="88"/>
      <c r="R22" s="88"/>
      <c r="S22" s="88"/>
      <c r="T22" s="88"/>
      <c r="U22" s="88"/>
      <c r="V22" s="88"/>
      <c r="W22" s="88"/>
      <c r="X22" s="77"/>
      <c r="Y22" s="77"/>
      <c r="Z22" s="88"/>
      <c r="AA22" s="77"/>
      <c r="AB22" s="88"/>
      <c r="AC22" s="77"/>
      <c r="AD22" s="88"/>
      <c r="AE22" s="88"/>
      <c r="AF22" s="88"/>
      <c r="AG22" s="88"/>
      <c r="AH22" s="88"/>
      <c r="AI22" s="77"/>
      <c r="AJ22" s="77"/>
      <c r="AK22" s="77"/>
      <c r="AL22" s="88"/>
      <c r="AM22" s="88"/>
      <c r="AN22" s="88"/>
      <c r="AO22" s="88"/>
      <c r="AP22" s="88"/>
      <c r="AQ22" s="88"/>
      <c r="AR22" s="87"/>
      <c r="AS22" s="87"/>
      <c r="AT22" s="76"/>
      <c r="AU22" s="76"/>
      <c r="AV22" s="76"/>
      <c r="AW22" s="76"/>
      <c r="AX22" s="76"/>
      <c r="AY22" s="76"/>
    </row>
    <row r="23" spans="2:51" x14ac:dyDescent="0.25">
      <c r="B23" s="90"/>
      <c r="C23" s="89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88"/>
      <c r="Q23" s="88"/>
      <c r="R23" s="88"/>
      <c r="S23" s="88"/>
      <c r="T23" s="88"/>
      <c r="U23" s="88"/>
      <c r="V23" s="88"/>
      <c r="W23" s="88"/>
      <c r="X23" s="77"/>
      <c r="Y23" s="77"/>
      <c r="Z23" s="77"/>
      <c r="AA23" s="77"/>
      <c r="AB23" s="77"/>
      <c r="AC23" s="88"/>
      <c r="AD23" s="88"/>
      <c r="AE23" s="88"/>
      <c r="AF23" s="88"/>
      <c r="AG23" s="88"/>
      <c r="AH23" s="88"/>
      <c r="AI23" s="77"/>
      <c r="AJ23" s="77"/>
      <c r="AK23" s="88"/>
      <c r="AL23" s="88"/>
      <c r="AM23" s="88"/>
      <c r="AN23" s="77"/>
      <c r="AO23" s="77"/>
      <c r="AP23" s="77"/>
      <c r="AQ23" s="77"/>
      <c r="AR23" s="87"/>
      <c r="AS23" s="87"/>
      <c r="AT23" s="76"/>
      <c r="AU23" s="76"/>
      <c r="AV23" s="76"/>
      <c r="AW23" s="76"/>
      <c r="AX23" s="76"/>
      <c r="AY23" s="76"/>
    </row>
    <row r="24" spans="2:51" x14ac:dyDescent="0.25">
      <c r="B24" s="90"/>
      <c r="C24" s="89"/>
      <c r="D24" s="77"/>
      <c r="E24" s="77"/>
      <c r="F24" s="77"/>
      <c r="G24" s="88"/>
      <c r="H24" s="77"/>
      <c r="I24" s="77"/>
      <c r="J24" s="77"/>
      <c r="K24" s="88"/>
      <c r="L24" s="77"/>
      <c r="M24" s="77"/>
      <c r="N24" s="77"/>
      <c r="O24" s="88"/>
      <c r="P24" s="88"/>
      <c r="Q24" s="88"/>
      <c r="R24" s="88"/>
      <c r="S24" s="88"/>
      <c r="T24" s="88"/>
      <c r="U24" s="88"/>
      <c r="V24" s="88"/>
      <c r="W24" s="88"/>
      <c r="X24" s="77"/>
      <c r="Y24" s="77"/>
      <c r="Z24" s="88"/>
      <c r="AA24" s="77"/>
      <c r="AB24" s="88"/>
      <c r="AC24" s="88"/>
      <c r="AD24" s="88"/>
      <c r="AE24" s="88"/>
      <c r="AF24" s="88"/>
      <c r="AG24" s="88"/>
      <c r="AH24" s="88"/>
      <c r="AI24" s="77"/>
      <c r="AJ24" s="77"/>
      <c r="AK24" s="88"/>
      <c r="AL24" s="88"/>
      <c r="AM24" s="88"/>
      <c r="AN24" s="88"/>
      <c r="AO24" s="88"/>
      <c r="AP24" s="88"/>
      <c r="AQ24" s="88"/>
      <c r="AR24" s="87"/>
      <c r="AS24" s="87"/>
      <c r="AT24" s="76"/>
      <c r="AU24" s="76"/>
      <c r="AV24" s="76"/>
      <c r="AW24" s="76"/>
      <c r="AX24" s="76"/>
      <c r="AY24" s="76"/>
    </row>
    <row r="25" spans="2:51" x14ac:dyDescent="0.25">
      <c r="B25" s="90"/>
      <c r="C25" s="89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77"/>
      <c r="Q25" s="77"/>
      <c r="R25" s="77"/>
      <c r="S25" s="88"/>
      <c r="T25" s="88"/>
      <c r="U25" s="88"/>
      <c r="V25" s="88"/>
      <c r="W25" s="88"/>
      <c r="X25" s="77"/>
      <c r="Y25" s="94"/>
      <c r="Z25" s="94"/>
      <c r="AA25" s="94"/>
      <c r="AB25" s="94"/>
      <c r="AC25" s="77"/>
      <c r="AD25" s="88"/>
      <c r="AE25" s="88"/>
      <c r="AF25" s="88"/>
      <c r="AG25" s="88"/>
      <c r="AH25" s="88"/>
      <c r="AI25" s="94"/>
      <c r="AJ25" s="94"/>
      <c r="AK25" s="77"/>
      <c r="AL25" s="88"/>
      <c r="AM25" s="88"/>
      <c r="AN25" s="88"/>
      <c r="AO25" s="88"/>
      <c r="AP25" s="88"/>
      <c r="AQ25" s="88"/>
      <c r="AR25" s="87"/>
      <c r="AS25" s="87"/>
      <c r="AT25" s="76"/>
      <c r="AU25" s="76"/>
      <c r="AV25" s="76"/>
      <c r="AW25" s="76"/>
      <c r="AX25" s="76"/>
      <c r="AY25" s="76"/>
    </row>
    <row r="26" spans="2:51" x14ac:dyDescent="0.25">
      <c r="B26" s="90"/>
      <c r="C26" s="89"/>
      <c r="D26" s="77"/>
      <c r="E26" s="77"/>
      <c r="F26" s="77"/>
      <c r="G26" s="77"/>
      <c r="H26" s="77"/>
      <c r="I26" s="77"/>
      <c r="J26" s="77"/>
      <c r="K26" s="77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77"/>
      <c r="Y26" s="77"/>
      <c r="Z26" s="77"/>
      <c r="AA26" s="77"/>
      <c r="AB26" s="77"/>
      <c r="AC26" s="88"/>
      <c r="AD26" s="88"/>
      <c r="AE26" s="88"/>
      <c r="AF26" s="88"/>
      <c r="AG26" s="88"/>
      <c r="AH26" s="88"/>
      <c r="AI26" s="77"/>
      <c r="AJ26" s="77"/>
      <c r="AK26" s="88"/>
      <c r="AL26" s="88"/>
      <c r="AM26" s="88"/>
      <c r="AN26" s="77"/>
      <c r="AO26" s="77"/>
      <c r="AP26" s="88"/>
      <c r="AQ26" s="88"/>
      <c r="AR26" s="87"/>
      <c r="AS26" s="87"/>
      <c r="AT26" s="76"/>
      <c r="AU26" s="76"/>
      <c r="AV26" s="76"/>
      <c r="AW26" s="76"/>
      <c r="AX26" s="76"/>
      <c r="AY26" s="76"/>
    </row>
    <row r="27" spans="2:51" x14ac:dyDescent="0.25">
      <c r="B27" s="90"/>
      <c r="C27" s="89"/>
      <c r="D27" s="77"/>
      <c r="E27" s="77"/>
      <c r="F27" s="77"/>
      <c r="G27" s="88"/>
      <c r="H27" s="77"/>
      <c r="I27" s="77"/>
      <c r="J27" s="77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77"/>
      <c r="Y27" s="77"/>
      <c r="Z27" s="88"/>
      <c r="AA27" s="77"/>
      <c r="AB27" s="88"/>
      <c r="AC27" s="88"/>
      <c r="AD27" s="88"/>
      <c r="AE27" s="88"/>
      <c r="AF27" s="88"/>
      <c r="AG27" s="88"/>
      <c r="AH27" s="88"/>
      <c r="AI27" s="77"/>
      <c r="AJ27" s="77"/>
      <c r="AK27" s="88"/>
      <c r="AL27" s="88"/>
      <c r="AM27" s="88"/>
      <c r="AN27" s="88"/>
      <c r="AO27" s="88"/>
      <c r="AP27" s="88"/>
      <c r="AQ27" s="88"/>
      <c r="AR27" s="87"/>
      <c r="AS27" s="87"/>
      <c r="AT27" s="76"/>
      <c r="AU27" s="76"/>
      <c r="AV27" s="76"/>
      <c r="AW27" s="76"/>
      <c r="AX27" s="76"/>
      <c r="AY27" s="76"/>
    </row>
    <row r="28" spans="2:51" x14ac:dyDescent="0.25">
      <c r="B28" s="90"/>
      <c r="C28" s="89"/>
      <c r="D28" s="77"/>
      <c r="E28" s="77"/>
      <c r="F28" s="77"/>
      <c r="G28" s="88"/>
      <c r="H28" s="77"/>
      <c r="I28" s="77"/>
      <c r="J28" s="77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77"/>
      <c r="Y28" s="77"/>
      <c r="Z28" s="88"/>
      <c r="AA28" s="77"/>
      <c r="AB28" s="88"/>
      <c r="AC28" s="88"/>
      <c r="AD28" s="88"/>
      <c r="AE28" s="88"/>
      <c r="AF28" s="88"/>
      <c r="AG28" s="88"/>
      <c r="AH28" s="88"/>
      <c r="AI28" s="77"/>
      <c r="AJ28" s="77"/>
      <c r="AK28" s="88"/>
      <c r="AL28" s="88"/>
      <c r="AM28" s="88"/>
      <c r="AN28" s="88"/>
      <c r="AO28" s="88"/>
      <c r="AP28" s="88"/>
      <c r="AQ28" s="88"/>
      <c r="AR28" s="87"/>
      <c r="AS28" s="87"/>
      <c r="AT28" s="76"/>
      <c r="AU28" s="76"/>
      <c r="AV28" s="76"/>
      <c r="AW28" s="76"/>
      <c r="AX28" s="76"/>
      <c r="AY28" s="76"/>
    </row>
    <row r="29" spans="2:51" x14ac:dyDescent="0.25">
      <c r="B29" s="90"/>
      <c r="C29" s="89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88"/>
      <c r="Q29" s="88"/>
      <c r="R29" s="88"/>
      <c r="S29" s="88"/>
      <c r="T29" s="88"/>
      <c r="U29" s="88"/>
      <c r="V29" s="88"/>
      <c r="W29" s="88"/>
      <c r="X29" s="77"/>
      <c r="Y29" s="77"/>
      <c r="Z29" s="77"/>
      <c r="AA29" s="77"/>
      <c r="AB29" s="77"/>
      <c r="AC29" s="77"/>
      <c r="AD29" s="77"/>
      <c r="AE29" s="88"/>
      <c r="AF29" s="88"/>
      <c r="AG29" s="88"/>
      <c r="AH29" s="88"/>
      <c r="AI29" s="77"/>
      <c r="AJ29" s="77"/>
      <c r="AK29" s="77"/>
      <c r="AL29" s="88"/>
      <c r="AM29" s="88"/>
      <c r="AN29" s="77"/>
      <c r="AO29" s="77"/>
      <c r="AP29" s="77"/>
      <c r="AQ29" s="77"/>
      <c r="AR29" s="87"/>
      <c r="AS29" s="87"/>
      <c r="AT29" s="76"/>
      <c r="AU29" s="76"/>
      <c r="AV29" s="76"/>
      <c r="AW29" s="76"/>
      <c r="AX29" s="76"/>
      <c r="AY29" s="76"/>
    </row>
    <row r="30" spans="2:51" x14ac:dyDescent="0.25">
      <c r="B30" s="90"/>
      <c r="C30" s="89"/>
      <c r="D30" s="77"/>
      <c r="E30" s="77"/>
      <c r="F30" s="77"/>
      <c r="G30" s="88"/>
      <c r="H30" s="77"/>
      <c r="I30" s="77"/>
      <c r="J30" s="77"/>
      <c r="K30" s="88"/>
      <c r="L30" s="77"/>
      <c r="M30" s="77"/>
      <c r="N30" s="77"/>
      <c r="O30" s="88"/>
      <c r="P30" s="88"/>
      <c r="Q30" s="88"/>
      <c r="R30" s="88"/>
      <c r="S30" s="88"/>
      <c r="T30" s="88"/>
      <c r="U30" s="88"/>
      <c r="V30" s="88"/>
      <c r="W30" s="88"/>
      <c r="X30" s="77"/>
      <c r="Y30" s="77"/>
      <c r="Z30" s="88"/>
      <c r="AA30" s="77"/>
      <c r="AB30" s="88"/>
      <c r="AC30" s="77"/>
      <c r="AD30" s="88"/>
      <c r="AE30" s="88"/>
      <c r="AF30" s="88"/>
      <c r="AG30" s="88"/>
      <c r="AH30" s="88"/>
      <c r="AI30" s="77"/>
      <c r="AJ30" s="77"/>
      <c r="AK30" s="77"/>
      <c r="AL30" s="88"/>
      <c r="AM30" s="88"/>
      <c r="AN30" s="88"/>
      <c r="AO30" s="88"/>
      <c r="AP30" s="88"/>
      <c r="AQ30" s="88"/>
      <c r="AR30" s="87"/>
      <c r="AS30" s="87"/>
      <c r="AT30" s="76"/>
      <c r="AU30" s="76"/>
      <c r="AV30" s="76"/>
      <c r="AW30" s="76"/>
      <c r="AX30" s="76"/>
      <c r="AY30" s="76"/>
    </row>
    <row r="31" spans="2:51" x14ac:dyDescent="0.25">
      <c r="B31" s="90"/>
      <c r="C31" s="89"/>
      <c r="D31" s="77"/>
      <c r="E31" s="77"/>
      <c r="F31" s="77"/>
      <c r="G31" s="88"/>
      <c r="H31" s="77"/>
      <c r="I31" s="77"/>
      <c r="J31" s="77"/>
      <c r="K31" s="88"/>
      <c r="L31" s="77"/>
      <c r="M31" s="77"/>
      <c r="N31" s="77"/>
      <c r="O31" s="88"/>
      <c r="P31" s="88"/>
      <c r="Q31" s="88"/>
      <c r="R31" s="88"/>
      <c r="S31" s="88"/>
      <c r="T31" s="88"/>
      <c r="U31" s="88"/>
      <c r="V31" s="88"/>
      <c r="W31" s="88"/>
      <c r="X31" s="77"/>
      <c r="Y31" s="77"/>
      <c r="Z31" s="88"/>
      <c r="AA31" s="77"/>
      <c r="AB31" s="88"/>
      <c r="AC31" s="77"/>
      <c r="AD31" s="88"/>
      <c r="AE31" s="88"/>
      <c r="AF31" s="88"/>
      <c r="AG31" s="88"/>
      <c r="AH31" s="88"/>
      <c r="AI31" s="77"/>
      <c r="AJ31" s="77"/>
      <c r="AK31" s="77"/>
      <c r="AL31" s="88"/>
      <c r="AM31" s="88"/>
      <c r="AN31" s="88"/>
      <c r="AO31" s="88"/>
      <c r="AP31" s="88"/>
      <c r="AQ31" s="88"/>
      <c r="AR31" s="87"/>
      <c r="AS31" s="87"/>
      <c r="AT31" s="76"/>
      <c r="AU31" s="76"/>
      <c r="AV31" s="76"/>
      <c r="AW31" s="76"/>
      <c r="AX31" s="76"/>
      <c r="AY31" s="76"/>
    </row>
    <row r="32" spans="2:51" x14ac:dyDescent="0.25">
      <c r="B32" s="90"/>
      <c r="C32" s="89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88"/>
      <c r="AF32" s="88"/>
      <c r="AG32" s="88"/>
      <c r="AH32" s="88"/>
      <c r="AI32" s="77"/>
      <c r="AJ32" s="77"/>
      <c r="AK32" s="77"/>
      <c r="AL32" s="88"/>
      <c r="AM32" s="88"/>
      <c r="AN32" s="77"/>
      <c r="AO32" s="77"/>
      <c r="AP32" s="88"/>
      <c r="AQ32" s="88"/>
      <c r="AR32" s="87"/>
      <c r="AS32" s="87"/>
      <c r="AT32" s="76"/>
      <c r="AU32" s="76"/>
      <c r="AV32" s="76"/>
      <c r="AW32" s="76"/>
      <c r="AX32" s="76"/>
      <c r="AY32" s="76"/>
    </row>
    <row r="33" spans="2:51" x14ac:dyDescent="0.25">
      <c r="B33" s="90"/>
      <c r="C33" s="89"/>
      <c r="D33" s="77"/>
      <c r="E33" s="77"/>
      <c r="F33" s="77"/>
      <c r="G33" s="88"/>
      <c r="H33" s="77"/>
      <c r="I33" s="77"/>
      <c r="J33" s="77"/>
      <c r="K33" s="88"/>
      <c r="L33" s="77"/>
      <c r="M33" s="77"/>
      <c r="N33" s="77"/>
      <c r="O33" s="88"/>
      <c r="P33" s="77"/>
      <c r="Q33" s="77"/>
      <c r="R33" s="77"/>
      <c r="S33" s="88"/>
      <c r="T33" s="77"/>
      <c r="U33" s="77"/>
      <c r="V33" s="77"/>
      <c r="W33" s="88"/>
      <c r="X33" s="77"/>
      <c r="Y33" s="77"/>
      <c r="Z33" s="88"/>
      <c r="AA33" s="77"/>
      <c r="AB33" s="88"/>
      <c r="AC33" s="77"/>
      <c r="AD33" s="88"/>
      <c r="AE33" s="88"/>
      <c r="AF33" s="88"/>
      <c r="AG33" s="88"/>
      <c r="AH33" s="88"/>
      <c r="AI33" s="77"/>
      <c r="AJ33" s="77"/>
      <c r="AK33" s="77"/>
      <c r="AL33" s="88"/>
      <c r="AM33" s="88"/>
      <c r="AN33" s="88"/>
      <c r="AO33" s="88"/>
      <c r="AP33" s="88"/>
      <c r="AQ33" s="88"/>
      <c r="AR33" s="87"/>
      <c r="AS33" s="87"/>
      <c r="AT33" s="76"/>
      <c r="AU33" s="76"/>
      <c r="AV33" s="76"/>
      <c r="AW33" s="76"/>
      <c r="AX33" s="76"/>
      <c r="AY33" s="76"/>
    </row>
    <row r="34" spans="2:51" x14ac:dyDescent="0.25">
      <c r="B34" s="93"/>
      <c r="C34" s="89"/>
      <c r="D34" s="77"/>
      <c r="E34" s="77"/>
      <c r="F34" s="77"/>
      <c r="G34" s="88"/>
      <c r="H34" s="77"/>
      <c r="I34" s="77"/>
      <c r="J34" s="77"/>
      <c r="K34" s="88"/>
      <c r="L34" s="77"/>
      <c r="M34" s="77"/>
      <c r="N34" s="77"/>
      <c r="O34" s="88"/>
      <c r="P34" s="77"/>
      <c r="Q34" s="77"/>
      <c r="R34" s="77"/>
      <c r="S34" s="88"/>
      <c r="T34" s="77"/>
      <c r="U34" s="77"/>
      <c r="V34" s="77"/>
      <c r="W34" s="88"/>
      <c r="X34" s="77"/>
      <c r="Y34" s="77"/>
      <c r="Z34" s="88"/>
      <c r="AA34" s="77"/>
      <c r="AB34" s="88"/>
      <c r="AC34" s="77"/>
      <c r="AD34" s="88"/>
      <c r="AE34" s="88"/>
      <c r="AF34" s="88"/>
      <c r="AG34" s="88"/>
      <c r="AH34" s="88"/>
      <c r="AI34" s="77"/>
      <c r="AJ34" s="77"/>
      <c r="AK34" s="77"/>
      <c r="AL34" s="88"/>
      <c r="AM34" s="88"/>
      <c r="AN34" s="88"/>
      <c r="AO34" s="88"/>
      <c r="AP34" s="88"/>
      <c r="AQ34" s="88"/>
      <c r="AR34" s="92"/>
      <c r="AS34" s="92"/>
      <c r="AT34" s="76"/>
      <c r="AU34" s="76"/>
      <c r="AV34" s="76"/>
      <c r="AW34" s="76"/>
      <c r="AX34" s="76"/>
      <c r="AY34" s="76"/>
    </row>
    <row r="35" spans="2:51" x14ac:dyDescent="0.25">
      <c r="B35" s="90"/>
      <c r="C35" s="89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88"/>
      <c r="Q35" s="88"/>
      <c r="R35" s="88"/>
      <c r="S35" s="88"/>
      <c r="T35" s="88"/>
      <c r="U35" s="88"/>
      <c r="V35" s="88"/>
      <c r="W35" s="88"/>
      <c r="X35" s="77"/>
      <c r="Y35" s="77"/>
      <c r="Z35" s="77"/>
      <c r="AA35" s="77"/>
      <c r="AB35" s="77"/>
      <c r="AC35" s="88"/>
      <c r="AD35" s="88"/>
      <c r="AE35" s="88"/>
      <c r="AF35" s="88"/>
      <c r="AG35" s="88"/>
      <c r="AH35" s="88"/>
      <c r="AI35" s="77"/>
      <c r="AJ35" s="77"/>
      <c r="AK35" s="88"/>
      <c r="AL35" s="88"/>
      <c r="AM35" s="88"/>
      <c r="AN35" s="77"/>
      <c r="AO35" s="77"/>
      <c r="AP35" s="88"/>
      <c r="AQ35" s="88"/>
      <c r="AR35" s="87"/>
      <c r="AS35" s="87"/>
      <c r="AT35" s="76"/>
      <c r="AU35" s="76"/>
      <c r="AV35" s="76"/>
      <c r="AW35" s="76"/>
      <c r="AX35" s="76"/>
      <c r="AY35" s="76"/>
    </row>
    <row r="36" spans="2:51" x14ac:dyDescent="0.25">
      <c r="B36" s="90"/>
      <c r="C36" s="89"/>
      <c r="D36" s="77"/>
      <c r="E36" s="77"/>
      <c r="F36" s="77"/>
      <c r="G36" s="88"/>
      <c r="H36" s="77"/>
      <c r="I36" s="77"/>
      <c r="J36" s="77"/>
      <c r="K36" s="88"/>
      <c r="L36" s="77"/>
      <c r="M36" s="77"/>
      <c r="N36" s="77"/>
      <c r="O36" s="88"/>
      <c r="P36" s="88"/>
      <c r="Q36" s="88"/>
      <c r="R36" s="88"/>
      <c r="S36" s="88"/>
      <c r="T36" s="88"/>
      <c r="U36" s="88"/>
      <c r="V36" s="88"/>
      <c r="W36" s="88"/>
      <c r="X36" s="77"/>
      <c r="Y36" s="77"/>
      <c r="Z36" s="88"/>
      <c r="AA36" s="77"/>
      <c r="AB36" s="88"/>
      <c r="AC36" s="88"/>
      <c r="AD36" s="88"/>
      <c r="AE36" s="88"/>
      <c r="AF36" s="88"/>
      <c r="AG36" s="88"/>
      <c r="AH36" s="88"/>
      <c r="AI36" s="77"/>
      <c r="AJ36" s="77"/>
      <c r="AK36" s="88"/>
      <c r="AL36" s="88"/>
      <c r="AM36" s="88"/>
      <c r="AN36" s="88"/>
      <c r="AO36" s="88"/>
      <c r="AP36" s="88"/>
      <c r="AQ36" s="88"/>
      <c r="AR36" s="87"/>
      <c r="AS36" s="87"/>
      <c r="AT36" s="76"/>
      <c r="AU36" s="76"/>
      <c r="AV36" s="76"/>
      <c r="AW36" s="76"/>
      <c r="AX36" s="76"/>
      <c r="AY36" s="76"/>
    </row>
    <row r="37" spans="2:51" x14ac:dyDescent="0.25">
      <c r="B37" s="90"/>
      <c r="C37" s="89"/>
      <c r="D37" s="77"/>
      <c r="E37" s="77"/>
      <c r="F37" s="77"/>
      <c r="G37" s="88"/>
      <c r="H37" s="77"/>
      <c r="I37" s="77"/>
      <c r="J37" s="77"/>
      <c r="K37" s="88"/>
      <c r="L37" s="77"/>
      <c r="M37" s="77"/>
      <c r="N37" s="77"/>
      <c r="O37" s="88"/>
      <c r="P37" s="88"/>
      <c r="Q37" s="88"/>
      <c r="R37" s="88"/>
      <c r="S37" s="88"/>
      <c r="T37" s="88"/>
      <c r="U37" s="88"/>
      <c r="V37" s="88"/>
      <c r="W37" s="88"/>
      <c r="X37" s="77"/>
      <c r="Y37" s="77"/>
      <c r="Z37" s="88"/>
      <c r="AA37" s="77"/>
      <c r="AB37" s="88"/>
      <c r="AC37" s="88"/>
      <c r="AD37" s="88"/>
      <c r="AE37" s="88"/>
      <c r="AF37" s="88"/>
      <c r="AG37" s="88"/>
      <c r="AH37" s="88"/>
      <c r="AI37" s="77"/>
      <c r="AJ37" s="77"/>
      <c r="AK37" s="88"/>
      <c r="AL37" s="88"/>
      <c r="AM37" s="88"/>
      <c r="AN37" s="88"/>
      <c r="AO37" s="88"/>
      <c r="AP37" s="88"/>
      <c r="AQ37" s="88"/>
      <c r="AR37" s="87"/>
      <c r="AS37" s="87"/>
      <c r="AT37" s="76"/>
      <c r="AU37" s="76"/>
      <c r="AV37" s="76"/>
      <c r="AW37" s="76"/>
      <c r="AX37" s="76"/>
      <c r="AY37" s="76"/>
    </row>
    <row r="38" spans="2:51" x14ac:dyDescent="0.25">
      <c r="B38" s="90"/>
      <c r="C38" s="89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88"/>
      <c r="U38" s="88"/>
      <c r="V38" s="88"/>
      <c r="W38" s="88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/>
      <c r="AP38" s="88"/>
      <c r="AQ38" s="88"/>
      <c r="AR38" s="87"/>
      <c r="AS38" s="87"/>
      <c r="AT38" s="76"/>
      <c r="AU38" s="76"/>
      <c r="AV38" s="76"/>
      <c r="AW38" s="73"/>
      <c r="AX38" s="73"/>
      <c r="AY38" s="76"/>
    </row>
    <row r="39" spans="2:51" x14ac:dyDescent="0.25">
      <c r="B39" s="90"/>
      <c r="C39" s="89"/>
      <c r="D39" s="77"/>
      <c r="E39" s="77"/>
      <c r="F39" s="77"/>
      <c r="G39" s="88"/>
      <c r="H39" s="77"/>
      <c r="I39" s="77"/>
      <c r="J39" s="77"/>
      <c r="K39" s="88"/>
      <c r="L39" s="77"/>
      <c r="M39" s="77"/>
      <c r="N39" s="77"/>
      <c r="O39" s="88"/>
      <c r="P39" s="77"/>
      <c r="Q39" s="77"/>
      <c r="R39" s="77"/>
      <c r="S39" s="88"/>
      <c r="T39" s="88"/>
      <c r="U39" s="88"/>
      <c r="V39" s="88"/>
      <c r="W39" s="88"/>
      <c r="X39" s="77"/>
      <c r="Y39" s="77"/>
      <c r="Z39" s="88"/>
      <c r="AA39" s="77"/>
      <c r="AB39" s="88"/>
      <c r="AC39" s="77"/>
      <c r="AD39" s="88"/>
      <c r="AE39" s="77"/>
      <c r="AF39" s="88"/>
      <c r="AG39" s="77"/>
      <c r="AH39" s="88"/>
      <c r="AI39" s="77"/>
      <c r="AJ39" s="77"/>
      <c r="AK39" s="77"/>
      <c r="AL39" s="77"/>
      <c r="AM39" s="77"/>
      <c r="AN39" s="88"/>
      <c r="AO39" s="88"/>
      <c r="AP39" s="88"/>
      <c r="AQ39" s="88"/>
      <c r="AR39" s="87"/>
      <c r="AS39" s="87"/>
      <c r="AT39" s="76"/>
      <c r="AU39" s="76"/>
      <c r="AV39" s="76"/>
      <c r="AW39" s="73"/>
      <c r="AX39" s="73"/>
      <c r="AY39" s="76"/>
    </row>
    <row r="40" spans="2:51" x14ac:dyDescent="0.25">
      <c r="B40" s="90"/>
      <c r="C40" s="89"/>
      <c r="D40" s="77"/>
      <c r="E40" s="77"/>
      <c r="F40" s="77"/>
      <c r="G40" s="88"/>
      <c r="H40" s="77"/>
      <c r="I40" s="77"/>
      <c r="J40" s="77"/>
      <c r="K40" s="88"/>
      <c r="L40" s="77"/>
      <c r="M40" s="77"/>
      <c r="N40" s="77"/>
      <c r="O40" s="88"/>
      <c r="P40" s="77"/>
      <c r="Q40" s="77"/>
      <c r="R40" s="77"/>
      <c r="S40" s="88"/>
      <c r="T40" s="88"/>
      <c r="U40" s="88"/>
      <c r="V40" s="88"/>
      <c r="W40" s="88"/>
      <c r="X40" s="77"/>
      <c r="Y40" s="77"/>
      <c r="Z40" s="88"/>
      <c r="AA40" s="77"/>
      <c r="AB40" s="88"/>
      <c r="AC40" s="77"/>
      <c r="AD40" s="88"/>
      <c r="AE40" s="77"/>
      <c r="AF40" s="88"/>
      <c r="AG40" s="77"/>
      <c r="AH40" s="88"/>
      <c r="AI40" s="77"/>
      <c r="AJ40" s="77"/>
      <c r="AK40" s="77"/>
      <c r="AL40" s="77"/>
      <c r="AM40" s="77"/>
      <c r="AN40" s="88"/>
      <c r="AO40" s="88"/>
      <c r="AP40" s="88"/>
      <c r="AQ40" s="88"/>
      <c r="AR40" s="87"/>
      <c r="AS40" s="87"/>
      <c r="AT40" s="76"/>
      <c r="AU40" s="76"/>
      <c r="AV40" s="76"/>
      <c r="AW40" s="73"/>
      <c r="AX40" s="73"/>
      <c r="AY40" s="76"/>
    </row>
    <row r="41" spans="2:51" x14ac:dyDescent="0.25">
      <c r="B41" s="90"/>
      <c r="C41" s="89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88"/>
      <c r="Q41" s="88"/>
      <c r="R41" s="88"/>
      <c r="S41" s="88"/>
      <c r="T41" s="88"/>
      <c r="U41" s="88"/>
      <c r="V41" s="88"/>
      <c r="W41" s="88"/>
      <c r="X41" s="77"/>
      <c r="Y41" s="77"/>
      <c r="Z41" s="77"/>
      <c r="AA41" s="77"/>
      <c r="AB41" s="77"/>
      <c r="AC41" s="88"/>
      <c r="AD41" s="88"/>
      <c r="AE41" s="88"/>
      <c r="AF41" s="88"/>
      <c r="AG41" s="88"/>
      <c r="AH41" s="88"/>
      <c r="AI41" s="77"/>
      <c r="AJ41" s="77"/>
      <c r="AK41" s="88"/>
      <c r="AL41" s="88"/>
      <c r="AM41" s="88"/>
      <c r="AN41" s="88"/>
      <c r="AO41" s="88"/>
      <c r="AP41" s="88"/>
      <c r="AQ41" s="88"/>
      <c r="AR41" s="87"/>
      <c r="AS41" s="87"/>
      <c r="AT41" s="76"/>
      <c r="AU41" s="76"/>
      <c r="AV41" s="76"/>
      <c r="AW41" s="76"/>
      <c r="AX41" s="76"/>
      <c r="AY41" s="76"/>
    </row>
    <row r="42" spans="2:51" x14ac:dyDescent="0.25">
      <c r="B42" s="90"/>
      <c r="C42" s="89"/>
      <c r="D42" s="77"/>
      <c r="E42" s="77"/>
      <c r="F42" s="77"/>
      <c r="G42" s="88"/>
      <c r="H42" s="77"/>
      <c r="I42" s="77"/>
      <c r="J42" s="77"/>
      <c r="K42" s="88"/>
      <c r="L42" s="77"/>
      <c r="M42" s="77"/>
      <c r="N42" s="77"/>
      <c r="O42" s="88"/>
      <c r="P42" s="88"/>
      <c r="Q42" s="88"/>
      <c r="R42" s="88"/>
      <c r="S42" s="88"/>
      <c r="T42" s="88"/>
      <c r="U42" s="88"/>
      <c r="V42" s="88"/>
      <c r="W42" s="88"/>
      <c r="X42" s="77"/>
      <c r="Y42" s="77"/>
      <c r="Z42" s="88"/>
      <c r="AA42" s="77"/>
      <c r="AB42" s="88"/>
      <c r="AC42" s="88"/>
      <c r="AD42" s="88"/>
      <c r="AE42" s="88"/>
      <c r="AF42" s="88"/>
      <c r="AG42" s="88"/>
      <c r="AH42" s="88"/>
      <c r="AI42" s="77"/>
      <c r="AJ42" s="77"/>
      <c r="AK42" s="88"/>
      <c r="AL42" s="88"/>
      <c r="AM42" s="88"/>
      <c r="AN42" s="88"/>
      <c r="AO42" s="88"/>
      <c r="AP42" s="88"/>
      <c r="AQ42" s="88"/>
      <c r="AR42" s="87"/>
      <c r="AS42" s="87"/>
      <c r="AT42" s="76"/>
      <c r="AU42" s="76"/>
      <c r="AV42" s="76"/>
      <c r="AW42" s="76"/>
      <c r="AX42" s="76"/>
      <c r="AY42" s="76"/>
    </row>
    <row r="43" spans="2:51" x14ac:dyDescent="0.25">
      <c r="B43" s="90"/>
      <c r="C43" s="89"/>
      <c r="D43" s="77"/>
      <c r="E43" s="77"/>
      <c r="F43" s="77"/>
      <c r="G43" s="88"/>
      <c r="H43" s="77"/>
      <c r="I43" s="77"/>
      <c r="J43" s="77"/>
      <c r="K43" s="88"/>
      <c r="L43" s="77"/>
      <c r="M43" s="77"/>
      <c r="N43" s="77"/>
      <c r="O43" s="88"/>
      <c r="P43" s="88"/>
      <c r="Q43" s="88"/>
      <c r="R43" s="88"/>
      <c r="S43" s="88"/>
      <c r="T43" s="88"/>
      <c r="U43" s="88"/>
      <c r="V43" s="88"/>
      <c r="W43" s="88"/>
      <c r="X43" s="77"/>
      <c r="Y43" s="77"/>
      <c r="Z43" s="88"/>
      <c r="AA43" s="77"/>
      <c r="AB43" s="88"/>
      <c r="AC43" s="88"/>
      <c r="AD43" s="88"/>
      <c r="AE43" s="88"/>
      <c r="AF43" s="88"/>
      <c r="AG43" s="88"/>
      <c r="AH43" s="88"/>
      <c r="AI43" s="77"/>
      <c r="AJ43" s="77"/>
      <c r="AK43" s="88"/>
      <c r="AL43" s="88"/>
      <c r="AM43" s="88"/>
      <c r="AN43" s="88"/>
      <c r="AO43" s="88"/>
      <c r="AP43" s="88"/>
      <c r="AQ43" s="88"/>
      <c r="AR43" s="87"/>
      <c r="AS43" s="87"/>
      <c r="AT43" s="76"/>
      <c r="AU43" s="76"/>
      <c r="AV43" s="76"/>
      <c r="AW43" s="76"/>
      <c r="AX43" s="76"/>
      <c r="AY43" s="76"/>
    </row>
    <row r="44" spans="2:51" x14ac:dyDescent="0.25">
      <c r="B44" s="90"/>
      <c r="C44" s="89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88"/>
      <c r="Q44" s="88"/>
      <c r="R44" s="88"/>
      <c r="S44" s="88"/>
      <c r="T44" s="88"/>
      <c r="U44" s="88"/>
      <c r="V44" s="88"/>
      <c r="W44" s="88"/>
      <c r="X44" s="77"/>
      <c r="Y44" s="77"/>
      <c r="Z44" s="77"/>
      <c r="AA44" s="77"/>
      <c r="AB44" s="77"/>
      <c r="AC44" s="91"/>
      <c r="AD44" s="91"/>
      <c r="AE44" s="91"/>
      <c r="AF44" s="91"/>
      <c r="AG44" s="91"/>
      <c r="AH44" s="91"/>
      <c r="AI44" s="77"/>
      <c r="AJ44" s="77"/>
      <c r="AK44" s="88"/>
      <c r="AL44" s="88"/>
      <c r="AM44" s="88"/>
      <c r="AN44" s="88"/>
      <c r="AO44" s="88"/>
      <c r="AP44" s="88"/>
      <c r="AQ44" s="88"/>
      <c r="AR44" s="87"/>
      <c r="AS44" s="87"/>
      <c r="AT44" s="76"/>
      <c r="AU44" s="76"/>
      <c r="AV44" s="76"/>
      <c r="AW44" s="76"/>
      <c r="AX44" s="76"/>
      <c r="AY44" s="76"/>
    </row>
    <row r="45" spans="2:51" x14ac:dyDescent="0.25">
      <c r="B45" s="90"/>
      <c r="C45" s="89"/>
      <c r="D45" s="77"/>
      <c r="E45" s="77"/>
      <c r="F45" s="77"/>
      <c r="G45" s="88"/>
      <c r="H45" s="77"/>
      <c r="I45" s="77"/>
      <c r="J45" s="77"/>
      <c r="K45" s="88"/>
      <c r="L45" s="77"/>
      <c r="M45" s="77"/>
      <c r="N45" s="77"/>
      <c r="O45" s="88"/>
      <c r="P45" s="88"/>
      <c r="Q45" s="88"/>
      <c r="R45" s="88"/>
      <c r="S45" s="88"/>
      <c r="T45" s="88"/>
      <c r="U45" s="88"/>
      <c r="V45" s="88"/>
      <c r="W45" s="88"/>
      <c r="X45" s="77"/>
      <c r="Y45" s="77"/>
      <c r="Z45" s="88"/>
      <c r="AA45" s="77"/>
      <c r="AB45" s="88"/>
      <c r="AC45" s="88"/>
      <c r="AD45" s="88"/>
      <c r="AE45" s="88"/>
      <c r="AF45" s="88"/>
      <c r="AG45" s="88"/>
      <c r="AH45" s="88"/>
      <c r="AI45" s="77"/>
      <c r="AJ45" s="77"/>
      <c r="AK45" s="88"/>
      <c r="AL45" s="88"/>
      <c r="AM45" s="88"/>
      <c r="AN45" s="88"/>
      <c r="AO45" s="88"/>
      <c r="AP45" s="88"/>
      <c r="AQ45" s="88"/>
      <c r="AR45" s="87"/>
      <c r="AS45" s="87"/>
      <c r="AT45" s="76"/>
      <c r="AU45" s="76"/>
      <c r="AV45" s="76"/>
      <c r="AW45" s="76"/>
      <c r="AX45" s="76"/>
      <c r="AY45" s="76"/>
    </row>
    <row r="46" spans="2:51" x14ac:dyDescent="0.25">
      <c r="B46" s="90"/>
      <c r="C46" s="89"/>
      <c r="D46" s="77"/>
      <c r="E46" s="77"/>
      <c r="F46" s="77"/>
      <c r="G46" s="88"/>
      <c r="H46" s="77"/>
      <c r="I46" s="77"/>
      <c r="J46" s="77"/>
      <c r="K46" s="88"/>
      <c r="L46" s="77"/>
      <c r="M46" s="77"/>
      <c r="N46" s="77"/>
      <c r="O46" s="88"/>
      <c r="P46" s="88"/>
      <c r="Q46" s="88"/>
      <c r="R46" s="88"/>
      <c r="S46" s="88"/>
      <c r="T46" s="88"/>
      <c r="U46" s="88"/>
      <c r="V46" s="88"/>
      <c r="W46" s="88"/>
      <c r="X46" s="77"/>
      <c r="Y46" s="77"/>
      <c r="Z46" s="88"/>
      <c r="AA46" s="77"/>
      <c r="AB46" s="88"/>
      <c r="AC46" s="88"/>
      <c r="AD46" s="88"/>
      <c r="AE46" s="88"/>
      <c r="AF46" s="88"/>
      <c r="AG46" s="88"/>
      <c r="AH46" s="88"/>
      <c r="AI46" s="77"/>
      <c r="AJ46" s="77"/>
      <c r="AK46" s="88"/>
      <c r="AL46" s="88"/>
      <c r="AM46" s="88"/>
      <c r="AN46" s="88"/>
      <c r="AO46" s="88"/>
      <c r="AP46" s="88"/>
      <c r="AQ46" s="88"/>
      <c r="AR46" s="87"/>
      <c r="AS46" s="87"/>
      <c r="AT46" s="76"/>
      <c r="AU46" s="76"/>
      <c r="AV46" s="76"/>
      <c r="AW46" s="76"/>
      <c r="AX46" s="76"/>
      <c r="AY46" s="76"/>
    </row>
    <row r="47" spans="2:51" x14ac:dyDescent="0.25">
      <c r="B47" s="90"/>
      <c r="C47" s="89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88"/>
      <c r="AF47" s="88"/>
      <c r="AG47" s="88"/>
      <c r="AH47" s="88"/>
      <c r="AI47" s="77"/>
      <c r="AJ47" s="77"/>
      <c r="AK47" s="77"/>
      <c r="AL47" s="88"/>
      <c r="AM47" s="88"/>
      <c r="AN47" s="88"/>
      <c r="AO47" s="88"/>
      <c r="AP47" s="88"/>
      <c r="AQ47" s="88"/>
      <c r="AR47" s="87"/>
      <c r="AS47" s="87"/>
      <c r="AT47" s="76"/>
      <c r="AU47" s="76"/>
      <c r="AV47" s="76"/>
      <c r="AW47" s="76"/>
      <c r="AX47" s="76"/>
      <c r="AY47" s="76"/>
    </row>
    <row r="48" spans="2:51" x14ac:dyDescent="0.25">
      <c r="B48" s="90"/>
      <c r="C48" s="89"/>
      <c r="D48" s="77"/>
      <c r="E48" s="77"/>
      <c r="F48" s="77"/>
      <c r="G48" s="88"/>
      <c r="H48" s="77"/>
      <c r="I48" s="77"/>
      <c r="J48" s="77"/>
      <c r="K48" s="88"/>
      <c r="L48" s="77"/>
      <c r="M48" s="77"/>
      <c r="N48" s="77"/>
      <c r="O48" s="88"/>
      <c r="P48" s="77"/>
      <c r="Q48" s="77"/>
      <c r="R48" s="77"/>
      <c r="S48" s="88"/>
      <c r="T48" s="77"/>
      <c r="U48" s="77"/>
      <c r="V48" s="77"/>
      <c r="W48" s="88"/>
      <c r="X48" s="77"/>
      <c r="Y48" s="77"/>
      <c r="Z48" s="88"/>
      <c r="AA48" s="77"/>
      <c r="AB48" s="88"/>
      <c r="AC48" s="77"/>
      <c r="AD48" s="88"/>
      <c r="AE48" s="88"/>
      <c r="AF48" s="88"/>
      <c r="AG48" s="88"/>
      <c r="AH48" s="88"/>
      <c r="AI48" s="77"/>
      <c r="AJ48" s="77"/>
      <c r="AK48" s="77"/>
      <c r="AL48" s="88"/>
      <c r="AM48" s="88"/>
      <c r="AN48" s="88"/>
      <c r="AO48" s="88"/>
      <c r="AP48" s="88"/>
      <c r="AQ48" s="88"/>
      <c r="AR48" s="87"/>
      <c r="AS48" s="87"/>
      <c r="AT48" s="76"/>
      <c r="AU48" s="76"/>
      <c r="AV48" s="76"/>
      <c r="AW48" s="76"/>
      <c r="AX48" s="76"/>
      <c r="AY48" s="76"/>
    </row>
    <row r="49" spans="2:51" x14ac:dyDescent="0.25">
      <c r="B49" s="90"/>
      <c r="C49" s="89"/>
      <c r="D49" s="77"/>
      <c r="E49" s="77"/>
      <c r="F49" s="77"/>
      <c r="G49" s="88"/>
      <c r="H49" s="77"/>
      <c r="I49" s="77"/>
      <c r="J49" s="77"/>
      <c r="K49" s="88"/>
      <c r="L49" s="77"/>
      <c r="M49" s="77"/>
      <c r="N49" s="77"/>
      <c r="O49" s="88"/>
      <c r="P49" s="77"/>
      <c r="Q49" s="77"/>
      <c r="R49" s="77"/>
      <c r="S49" s="88"/>
      <c r="T49" s="77"/>
      <c r="U49" s="77"/>
      <c r="V49" s="77"/>
      <c r="W49" s="88"/>
      <c r="X49" s="77"/>
      <c r="Y49" s="77"/>
      <c r="Z49" s="88"/>
      <c r="AA49" s="77"/>
      <c r="AB49" s="88"/>
      <c r="AC49" s="77"/>
      <c r="AD49" s="88"/>
      <c r="AE49" s="88"/>
      <c r="AF49" s="88"/>
      <c r="AG49" s="88"/>
      <c r="AH49" s="88"/>
      <c r="AI49" s="77"/>
      <c r="AJ49" s="77"/>
      <c r="AK49" s="77"/>
      <c r="AL49" s="88"/>
      <c r="AM49" s="88"/>
      <c r="AN49" s="88"/>
      <c r="AO49" s="88"/>
      <c r="AP49" s="88"/>
      <c r="AQ49" s="88"/>
      <c r="AR49" s="87"/>
      <c r="AS49" s="87"/>
      <c r="AT49" s="76"/>
      <c r="AU49" s="76"/>
      <c r="AV49" s="76"/>
      <c r="AW49" s="76"/>
      <c r="AX49" s="76"/>
      <c r="AY49" s="76"/>
    </row>
    <row r="51" spans="2:51" x14ac:dyDescent="0.25">
      <c r="W51" s="285" t="s">
        <v>779</v>
      </c>
      <c r="Y51" s="254" t="s">
        <v>779</v>
      </c>
      <c r="AW51" s="73"/>
      <c r="AX51" s="72" t="s">
        <v>137</v>
      </c>
    </row>
    <row r="52" spans="2:51" x14ac:dyDescent="0.25">
      <c r="C52" s="72">
        <v>2019</v>
      </c>
      <c r="V52" s="285" t="s">
        <v>828</v>
      </c>
      <c r="W52" s="72">
        <v>0.236875</v>
      </c>
      <c r="Y52" s="72">
        <v>9.7449999999999995E-2</v>
      </c>
      <c r="AA52" s="72">
        <v>7.3874999999999996E-2</v>
      </c>
      <c r="AC52" s="72">
        <v>5.4149999999999997E-2</v>
      </c>
      <c r="AE52" s="72">
        <v>8.8999999999999999E-3</v>
      </c>
      <c r="AG52" s="72">
        <v>2.5000000000000001E-3</v>
      </c>
    </row>
    <row r="53" spans="2:51" x14ac:dyDescent="0.25">
      <c r="C53" s="72">
        <v>2025</v>
      </c>
      <c r="W53" s="72">
        <v>0.236875</v>
      </c>
      <c r="Y53" s="72">
        <v>9.7449999999999995E-2</v>
      </c>
      <c r="AA53" s="72">
        <v>7.3874999999999996E-2</v>
      </c>
      <c r="AC53" s="72">
        <v>5.4149999999999997E-2</v>
      </c>
      <c r="AE53" s="72">
        <v>8.8999999999999999E-3</v>
      </c>
      <c r="AG53" s="72">
        <v>2.5000000000000001E-3</v>
      </c>
    </row>
    <row r="54" spans="2:51" x14ac:dyDescent="0.25">
      <c r="C54" s="72">
        <v>2030</v>
      </c>
      <c r="W54" s="72">
        <v>0.26087500000000002</v>
      </c>
      <c r="Y54" s="72">
        <v>8.745E-2</v>
      </c>
      <c r="AA54" s="72">
        <v>6.7875000000000005E-2</v>
      </c>
      <c r="AC54" s="72">
        <v>9.4149999999999998E-2</v>
      </c>
      <c r="AE54" s="72">
        <v>8.8999999999999999E-3</v>
      </c>
      <c r="AG54" s="72">
        <v>2.5000000000000001E-3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6EB8D-DC73-460D-A7A3-FF6AEE96BEEF}">
  <sheetPr codeName="Sheet26">
    <tabColor theme="5"/>
  </sheetPr>
  <dimension ref="B2:F8"/>
  <sheetViews>
    <sheetView zoomScale="85" zoomScaleNormal="85" workbookViewId="0">
      <selection activeCell="F4" sqref="F4"/>
    </sheetView>
  </sheetViews>
  <sheetFormatPr defaultRowHeight="15" x14ac:dyDescent="0.25"/>
  <cols>
    <col min="1" max="1" width="9.140625" style="72"/>
    <col min="2" max="2" width="34.85546875" style="72" customWidth="1"/>
    <col min="3" max="16384" width="9.140625" style="72"/>
  </cols>
  <sheetData>
    <row r="2" spans="2:6" x14ac:dyDescent="0.25">
      <c r="B2" s="79" t="s">
        <v>443</v>
      </c>
      <c r="C2" s="79" t="s">
        <v>442</v>
      </c>
      <c r="D2" s="79" t="s">
        <v>21</v>
      </c>
    </row>
    <row r="3" spans="2:6" x14ac:dyDescent="0.25">
      <c r="B3" s="72" t="s">
        <v>441</v>
      </c>
      <c r="C3" s="72" t="s">
        <v>171</v>
      </c>
      <c r="D3" s="72">
        <v>417.43648581623171</v>
      </c>
      <c r="E3" s="285" t="s">
        <v>656</v>
      </c>
      <c r="F3" s="72">
        <v>2.7</v>
      </c>
    </row>
    <row r="4" spans="2:6" x14ac:dyDescent="0.25">
      <c r="B4" s="72" t="s">
        <v>440</v>
      </c>
      <c r="C4" s="72" t="s">
        <v>439</v>
      </c>
      <c r="D4" s="72">
        <v>3600</v>
      </c>
    </row>
    <row r="5" spans="2:6" x14ac:dyDescent="0.25">
      <c r="B5" s="72" t="s">
        <v>438</v>
      </c>
      <c r="C5" s="72" t="s">
        <v>437</v>
      </c>
      <c r="D5" s="72">
        <v>3.6</v>
      </c>
    </row>
    <row r="6" spans="2:6" x14ac:dyDescent="0.25">
      <c r="B6" s="72" t="s">
        <v>436</v>
      </c>
      <c r="C6" s="285" t="s">
        <v>171</v>
      </c>
      <c r="D6" s="72">
        <v>26500</v>
      </c>
      <c r="E6" s="285" t="s">
        <v>656</v>
      </c>
      <c r="F6" s="72">
        <f>D6*1000000/(1000000000000000/1000000)</f>
        <v>26.5</v>
      </c>
    </row>
    <row r="7" spans="2:6" x14ac:dyDescent="0.25">
      <c r="B7" s="72" t="s">
        <v>435</v>
      </c>
      <c r="C7" s="285" t="s">
        <v>171</v>
      </c>
      <c r="D7" s="72">
        <f>D8*1.2</f>
        <v>9000</v>
      </c>
    </row>
    <row r="8" spans="2:6" x14ac:dyDescent="0.25">
      <c r="B8" s="72" t="s">
        <v>434</v>
      </c>
      <c r="C8" s="285" t="s">
        <v>171</v>
      </c>
      <c r="D8" s="72">
        <v>7500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556C-6BC4-4E7C-9E4C-F3FCCDAB6180}">
  <sheetPr>
    <tabColor theme="5"/>
  </sheetPr>
  <dimension ref="A3:Z59"/>
  <sheetViews>
    <sheetView zoomScale="70" zoomScaleNormal="70" workbookViewId="0">
      <selection activeCell="J24" sqref="J24"/>
    </sheetView>
  </sheetViews>
  <sheetFormatPr defaultRowHeight="14.25" x14ac:dyDescent="0.2"/>
  <cols>
    <col min="1" max="1" width="9.140625" style="165"/>
    <col min="2" max="2" width="13.7109375" style="165" customWidth="1"/>
    <col min="3" max="3" width="13.140625" style="165" bestFit="1" customWidth="1"/>
    <col min="4" max="4" width="15.85546875" style="165" bestFit="1" customWidth="1"/>
    <col min="5" max="5" width="15.7109375" style="165" customWidth="1"/>
    <col min="6" max="6" width="12.85546875" style="165" bestFit="1" customWidth="1"/>
    <col min="7" max="7" width="9.140625" style="165"/>
    <col min="8" max="8" width="15.42578125" style="165" bestFit="1" customWidth="1"/>
    <col min="9" max="9" width="14" style="165" customWidth="1"/>
    <col min="10" max="10" width="31.42578125" style="165" customWidth="1"/>
    <col min="11" max="11" width="20.140625" style="165" bestFit="1" customWidth="1"/>
    <col min="12" max="12" width="27.140625" style="165" customWidth="1"/>
    <col min="13" max="13" width="21.5703125" style="165" customWidth="1"/>
    <col min="14" max="14" width="9.140625" style="165"/>
    <col min="15" max="15" width="21.7109375" style="165" bestFit="1" customWidth="1"/>
    <col min="16" max="16" width="20.28515625" style="165" bestFit="1" customWidth="1"/>
    <col min="17" max="17" width="19.7109375" style="165" bestFit="1" customWidth="1"/>
    <col min="18" max="18" width="9.140625" style="165"/>
    <col min="19" max="19" width="13.42578125" style="165" bestFit="1" customWidth="1"/>
    <col min="20" max="20" width="27.85546875" style="165" bestFit="1" customWidth="1"/>
    <col min="21" max="21" width="31.42578125" style="165" bestFit="1" customWidth="1"/>
    <col min="22" max="22" width="44.5703125" style="165" bestFit="1" customWidth="1"/>
    <col min="23" max="23" width="25" style="165" bestFit="1" customWidth="1"/>
    <col min="24" max="24" width="30.7109375" style="165" bestFit="1" customWidth="1"/>
    <col min="25" max="25" width="32.85546875" style="165" bestFit="1" customWidth="1"/>
    <col min="26" max="26" width="55.85546875" style="165" bestFit="1" customWidth="1"/>
    <col min="27" max="16384" width="9.140625" style="165"/>
  </cols>
  <sheetData>
    <row r="3" spans="1:26" ht="15" x14ac:dyDescent="0.25">
      <c r="S3" s="72"/>
      <c r="T3" s="72"/>
      <c r="U3" s="72"/>
      <c r="V3" s="72"/>
      <c r="W3" s="72"/>
      <c r="X3" s="72"/>
      <c r="Y3" s="197" t="s">
        <v>584</v>
      </c>
      <c r="Z3" s="196"/>
    </row>
    <row r="4" spans="1:26" ht="15" x14ac:dyDescent="0.25">
      <c r="S4" s="195"/>
      <c r="T4" s="190"/>
      <c r="U4" s="190"/>
      <c r="V4" s="190"/>
      <c r="W4" s="188" t="s">
        <v>583</v>
      </c>
      <c r="X4" s="188" t="s">
        <v>582</v>
      </c>
      <c r="Y4" s="188" t="s">
        <v>581</v>
      </c>
      <c r="Z4" s="188" t="s">
        <v>580</v>
      </c>
    </row>
    <row r="5" spans="1:26" ht="29.65" customHeight="1" x14ac:dyDescent="0.25">
      <c r="B5" s="193" t="s">
        <v>579</v>
      </c>
      <c r="C5" s="194" t="s">
        <v>578</v>
      </c>
      <c r="D5" s="194" t="s">
        <v>577</v>
      </c>
      <c r="E5" s="193" t="s">
        <v>576</v>
      </c>
      <c r="F5" s="193" t="s">
        <v>575</v>
      </c>
      <c r="I5" s="192"/>
      <c r="J5" s="192" t="s">
        <v>574</v>
      </c>
      <c r="K5" s="192" t="s">
        <v>573</v>
      </c>
      <c r="L5" s="191" t="s">
        <v>572</v>
      </c>
      <c r="M5" s="191" t="s">
        <v>571</v>
      </c>
      <c r="O5" s="165" t="s">
        <v>570</v>
      </c>
      <c r="P5" s="165" t="s">
        <v>569</v>
      </c>
      <c r="Q5" s="165" t="s">
        <v>119</v>
      </c>
      <c r="S5" s="190" t="s">
        <v>568</v>
      </c>
      <c r="T5" s="189" t="s">
        <v>567</v>
      </c>
      <c r="U5" s="189" t="s">
        <v>566</v>
      </c>
      <c r="V5" s="189" t="s">
        <v>565</v>
      </c>
      <c r="W5" s="188"/>
      <c r="X5" s="188"/>
      <c r="Y5" s="188"/>
      <c r="Z5" s="188"/>
    </row>
    <row r="6" spans="1:26" ht="15" x14ac:dyDescent="0.25">
      <c r="A6" s="165" t="s">
        <v>564</v>
      </c>
      <c r="B6" s="173">
        <v>428822</v>
      </c>
      <c r="C6" s="182">
        <v>2721562</v>
      </c>
      <c r="D6" s="181">
        <v>1231442</v>
      </c>
      <c r="E6" s="180">
        <v>5130500</v>
      </c>
      <c r="F6" s="173">
        <v>1490120</v>
      </c>
      <c r="H6" s="179">
        <f t="shared" ref="H6:H24" si="0">D6+F6</f>
        <v>2721562</v>
      </c>
      <c r="I6" s="178">
        <f t="shared" ref="I6:I24" si="1">H6-C6</f>
        <v>0</v>
      </c>
      <c r="J6" s="177">
        <v>2564.27</v>
      </c>
      <c r="K6" s="176">
        <v>1249.73</v>
      </c>
      <c r="L6" s="175">
        <f t="shared" ref="L6:L24" si="2">J6-K6</f>
        <v>1314.54</v>
      </c>
      <c r="M6" s="174">
        <f t="shared" ref="M6:M24" si="3">L6/J6</f>
        <v>0.51263712479575085</v>
      </c>
      <c r="O6" s="167">
        <f t="shared" ref="O6:O24" si="4">J6*D6</f>
        <v>3157749777.3400002</v>
      </c>
      <c r="P6" s="167">
        <f t="shared" ref="P6:P24" si="5">F6*K6</f>
        <v>1862247667.6000001</v>
      </c>
      <c r="Q6" s="173">
        <f t="shared" ref="Q6:Q24" si="6">SUM(O6:P6)</f>
        <v>5019997444.9400005</v>
      </c>
      <c r="S6" s="126" t="s">
        <v>563</v>
      </c>
      <c r="T6" s="187" t="s">
        <v>562</v>
      </c>
      <c r="U6" s="187" t="s">
        <v>562</v>
      </c>
      <c r="V6" s="187" t="s">
        <v>561</v>
      </c>
      <c r="W6" s="186" t="s">
        <v>560</v>
      </c>
      <c r="X6" s="186" t="s">
        <v>560</v>
      </c>
      <c r="Y6" s="186" t="s">
        <v>560</v>
      </c>
      <c r="Z6" s="186" t="s">
        <v>560</v>
      </c>
    </row>
    <row r="7" spans="1:26" ht="15" x14ac:dyDescent="0.25">
      <c r="A7" s="165" t="s">
        <v>559</v>
      </c>
      <c r="B7" s="173">
        <v>431771</v>
      </c>
      <c r="C7" s="182">
        <v>2403243</v>
      </c>
      <c r="D7" s="181">
        <v>1239651</v>
      </c>
      <c r="E7" s="180">
        <v>5550200</v>
      </c>
      <c r="F7" s="173">
        <v>1163592</v>
      </c>
      <c r="H7" s="179">
        <f t="shared" si="0"/>
        <v>2403243</v>
      </c>
      <c r="I7" s="178">
        <f t="shared" si="1"/>
        <v>0</v>
      </c>
      <c r="J7" s="177">
        <v>2723.89</v>
      </c>
      <c r="K7" s="176">
        <v>1738.48</v>
      </c>
      <c r="L7" s="175">
        <f t="shared" si="2"/>
        <v>985.40999999999985</v>
      </c>
      <c r="M7" s="174">
        <f t="shared" si="3"/>
        <v>0.36176571006905561</v>
      </c>
      <c r="O7" s="167">
        <f t="shared" si="4"/>
        <v>3376672962.3899999</v>
      </c>
      <c r="P7" s="167">
        <f t="shared" si="5"/>
        <v>2022881420.1600001</v>
      </c>
      <c r="Q7" s="173">
        <f t="shared" si="6"/>
        <v>5399554382.5500002</v>
      </c>
      <c r="S7" s="126" t="s">
        <v>558</v>
      </c>
      <c r="T7" s="185">
        <v>431771</v>
      </c>
      <c r="U7" s="172">
        <v>325704</v>
      </c>
      <c r="V7" s="172">
        <f t="shared" ref="V7:V24" si="7">W7/U7</f>
        <v>64.956331515732074</v>
      </c>
      <c r="W7" s="183">
        <v>21156537</v>
      </c>
      <c r="X7" s="183">
        <v>2403243</v>
      </c>
      <c r="Y7" s="170"/>
      <c r="Z7" s="170"/>
    </row>
    <row r="8" spans="1:26" ht="15" x14ac:dyDescent="0.25">
      <c r="A8" s="165" t="s">
        <v>557</v>
      </c>
      <c r="B8" s="173">
        <v>430106</v>
      </c>
      <c r="C8" s="182">
        <v>2754619</v>
      </c>
      <c r="D8" s="181">
        <v>1278720</v>
      </c>
      <c r="E8" s="180">
        <v>6436112.148</v>
      </c>
      <c r="F8" s="173">
        <v>1475899</v>
      </c>
      <c r="H8" s="179">
        <f t="shared" si="0"/>
        <v>2754619</v>
      </c>
      <c r="I8" s="178">
        <f t="shared" si="1"/>
        <v>0</v>
      </c>
      <c r="J8" s="177">
        <v>3031.13</v>
      </c>
      <c r="K8" s="176">
        <v>1620.55</v>
      </c>
      <c r="L8" s="175">
        <f t="shared" si="2"/>
        <v>1410.5800000000002</v>
      </c>
      <c r="M8" s="174">
        <f t="shared" si="3"/>
        <v>0.46536440205467933</v>
      </c>
      <c r="O8" s="167">
        <f t="shared" si="4"/>
        <v>3875966553.5999999</v>
      </c>
      <c r="P8" s="167">
        <f t="shared" si="5"/>
        <v>2391768124.4499998</v>
      </c>
      <c r="Q8" s="173">
        <f t="shared" si="6"/>
        <v>6267734678.0499992</v>
      </c>
      <c r="S8" s="126" t="s">
        <v>556</v>
      </c>
      <c r="T8" s="184">
        <v>430106</v>
      </c>
      <c r="U8" s="172">
        <v>321234</v>
      </c>
      <c r="V8" s="172">
        <f t="shared" si="7"/>
        <v>71.637977300036738</v>
      </c>
      <c r="W8" s="183">
        <v>23012554</v>
      </c>
      <c r="X8" s="183">
        <v>2754619</v>
      </c>
      <c r="Y8" s="170"/>
      <c r="Z8" s="170"/>
    </row>
    <row r="9" spans="1:26" ht="15" x14ac:dyDescent="0.25">
      <c r="A9" s="165" t="s">
        <v>555</v>
      </c>
      <c r="B9" s="173">
        <v>426861</v>
      </c>
      <c r="C9" s="182">
        <v>2412031</v>
      </c>
      <c r="D9" s="181">
        <v>1356400</v>
      </c>
      <c r="E9" s="180">
        <v>5630972.4079999998</v>
      </c>
      <c r="F9" s="173">
        <v>1055631</v>
      </c>
      <c r="H9" s="179">
        <f t="shared" si="0"/>
        <v>2412031</v>
      </c>
      <c r="I9" s="178">
        <f t="shared" si="1"/>
        <v>0</v>
      </c>
      <c r="J9" s="177">
        <v>3065.9</v>
      </c>
      <c r="K9" s="176">
        <v>1251.8499999999999</v>
      </c>
      <c r="L9" s="175">
        <f t="shared" si="2"/>
        <v>1814.0500000000002</v>
      </c>
      <c r="M9" s="174">
        <f t="shared" si="3"/>
        <v>0.59168596496950332</v>
      </c>
      <c r="O9" s="167">
        <f t="shared" si="4"/>
        <v>4158586760</v>
      </c>
      <c r="P9" s="167">
        <f t="shared" si="5"/>
        <v>1321491667.3499999</v>
      </c>
      <c r="Q9" s="173">
        <f t="shared" si="6"/>
        <v>5480078427.3500004</v>
      </c>
      <c r="S9" s="126" t="s">
        <v>554</v>
      </c>
      <c r="T9" s="184">
        <v>426861</v>
      </c>
      <c r="U9" s="172">
        <v>325956</v>
      </c>
      <c r="V9" s="172">
        <f t="shared" si="7"/>
        <v>62.643218716636603</v>
      </c>
      <c r="W9" s="183">
        <v>20418933</v>
      </c>
      <c r="X9" s="183">
        <v>2412031</v>
      </c>
      <c r="Y9" s="170"/>
      <c r="Z9" s="170"/>
    </row>
    <row r="10" spans="1:26" ht="15" x14ac:dyDescent="0.25">
      <c r="A10" s="165" t="s">
        <v>553</v>
      </c>
      <c r="B10" s="173">
        <v>424907</v>
      </c>
      <c r="C10" s="182">
        <v>2226869</v>
      </c>
      <c r="D10" s="181">
        <v>1210416</v>
      </c>
      <c r="E10" s="180">
        <v>5009574.7429999998</v>
      </c>
      <c r="F10" s="173">
        <v>1016453</v>
      </c>
      <c r="H10" s="179">
        <f t="shared" si="0"/>
        <v>2226869</v>
      </c>
      <c r="I10" s="178">
        <f t="shared" si="1"/>
        <v>0</v>
      </c>
      <c r="J10" s="177">
        <v>2951.35</v>
      </c>
      <c r="K10" s="176">
        <v>1251.58</v>
      </c>
      <c r="L10" s="175">
        <f t="shared" si="2"/>
        <v>1699.77</v>
      </c>
      <c r="M10" s="174">
        <f t="shared" si="3"/>
        <v>0.57592965930845208</v>
      </c>
      <c r="O10" s="167">
        <f t="shared" si="4"/>
        <v>3572361261.5999999</v>
      </c>
      <c r="P10" s="167">
        <f t="shared" si="5"/>
        <v>1272172245.74</v>
      </c>
      <c r="Q10" s="173">
        <f t="shared" si="6"/>
        <v>4844533507.3400002</v>
      </c>
      <c r="S10" s="126" t="s">
        <v>552</v>
      </c>
      <c r="T10" s="184">
        <v>424907</v>
      </c>
      <c r="U10" s="172">
        <v>316010</v>
      </c>
      <c r="V10" s="172">
        <f t="shared" si="7"/>
        <v>60.424543527103573</v>
      </c>
      <c r="W10" s="183">
        <v>19094760</v>
      </c>
      <c r="X10" s="183">
        <v>2226869</v>
      </c>
      <c r="Y10" s="170"/>
      <c r="Z10" s="170"/>
    </row>
    <row r="11" spans="1:26" ht="15" x14ac:dyDescent="0.25">
      <c r="A11" s="165" t="s">
        <v>551</v>
      </c>
      <c r="B11" s="173">
        <v>423960</v>
      </c>
      <c r="C11" s="182">
        <v>2500504</v>
      </c>
      <c r="D11" s="181">
        <v>1261808</v>
      </c>
      <c r="E11" s="180">
        <v>5927400</v>
      </c>
      <c r="F11" s="173">
        <v>1238696</v>
      </c>
      <c r="H11" s="179">
        <f t="shared" si="0"/>
        <v>2500504</v>
      </c>
      <c r="I11" s="178">
        <f t="shared" si="1"/>
        <v>0</v>
      </c>
      <c r="J11" s="177">
        <v>3004.93</v>
      </c>
      <c r="K11" s="176">
        <v>1569.78</v>
      </c>
      <c r="L11" s="175">
        <f t="shared" si="2"/>
        <v>1435.1499999999999</v>
      </c>
      <c r="M11" s="174">
        <f t="shared" si="3"/>
        <v>0.47759847983147691</v>
      </c>
      <c r="O11" s="167">
        <f t="shared" si="4"/>
        <v>3791644713.4399996</v>
      </c>
      <c r="P11" s="167">
        <f t="shared" si="5"/>
        <v>1944480206.8799999</v>
      </c>
      <c r="Q11" s="173">
        <f t="shared" si="6"/>
        <v>5736124920.3199997</v>
      </c>
      <c r="S11" s="126" t="s">
        <v>550</v>
      </c>
      <c r="T11" s="184">
        <v>423906</v>
      </c>
      <c r="U11" s="172">
        <v>318856</v>
      </c>
      <c r="V11" s="172">
        <f t="shared" si="7"/>
        <v>66.024368366911716</v>
      </c>
      <c r="W11" s="183">
        <v>21052266</v>
      </c>
      <c r="X11" s="183">
        <v>2507203</v>
      </c>
      <c r="Y11" s="170">
        <v>1261808</v>
      </c>
      <c r="Z11" s="170">
        <v>1238696</v>
      </c>
    </row>
    <row r="12" spans="1:26" ht="15" x14ac:dyDescent="0.25">
      <c r="A12" s="165" t="s">
        <v>549</v>
      </c>
      <c r="B12" s="173">
        <v>419463</v>
      </c>
      <c r="C12" s="182">
        <v>2226853</v>
      </c>
      <c r="D12" s="181">
        <v>1340524</v>
      </c>
      <c r="E12" s="180">
        <v>6543000</v>
      </c>
      <c r="F12" s="173">
        <v>886329</v>
      </c>
      <c r="H12" s="179">
        <f t="shared" si="0"/>
        <v>2226853</v>
      </c>
      <c r="I12" s="178">
        <f t="shared" si="1"/>
        <v>0</v>
      </c>
      <c r="J12" s="177">
        <v>3243.1</v>
      </c>
      <c r="K12" s="176">
        <v>2259.56</v>
      </c>
      <c r="L12" s="175">
        <f t="shared" si="2"/>
        <v>983.54</v>
      </c>
      <c r="M12" s="174">
        <f t="shared" si="3"/>
        <v>0.30327156116061793</v>
      </c>
      <c r="O12" s="167">
        <f t="shared" si="4"/>
        <v>4347453384.3999996</v>
      </c>
      <c r="P12" s="167">
        <f t="shared" si="5"/>
        <v>2002713555.24</v>
      </c>
      <c r="Q12" s="173">
        <f t="shared" si="6"/>
        <v>6350166939.6399994</v>
      </c>
      <c r="S12" s="126" t="s">
        <v>548</v>
      </c>
      <c r="T12" s="184">
        <v>419463</v>
      </c>
      <c r="U12" s="172">
        <v>305600</v>
      </c>
      <c r="V12" s="172">
        <f t="shared" si="7"/>
        <v>66.356685209424086</v>
      </c>
      <c r="W12" s="183">
        <v>20278603</v>
      </c>
      <c r="X12" s="183">
        <v>2235287</v>
      </c>
      <c r="Y12" s="170">
        <v>1340524</v>
      </c>
      <c r="Z12" s="170">
        <v>886329</v>
      </c>
    </row>
    <row r="13" spans="1:26" ht="15" x14ac:dyDescent="0.25">
      <c r="A13" s="165" t="s">
        <v>547</v>
      </c>
      <c r="B13" s="173">
        <v>412979</v>
      </c>
      <c r="C13" s="182">
        <v>2273499</v>
      </c>
      <c r="D13" s="181">
        <v>1399657</v>
      </c>
      <c r="E13" s="180">
        <v>6658000</v>
      </c>
      <c r="F13" s="173">
        <v>873842</v>
      </c>
      <c r="H13" s="179">
        <f t="shared" si="0"/>
        <v>2273499</v>
      </c>
      <c r="I13" s="178">
        <f t="shared" si="1"/>
        <v>0</v>
      </c>
      <c r="J13" s="177">
        <v>3458.2</v>
      </c>
      <c r="K13" s="176">
        <v>1837.35</v>
      </c>
      <c r="L13" s="175">
        <f t="shared" si="2"/>
        <v>1620.85</v>
      </c>
      <c r="M13" s="174">
        <f t="shared" si="3"/>
        <v>0.46869758834075531</v>
      </c>
      <c r="O13" s="167">
        <f t="shared" si="4"/>
        <v>4840293837.3999996</v>
      </c>
      <c r="P13" s="167">
        <f t="shared" si="5"/>
        <v>1605553598.6999998</v>
      </c>
      <c r="Q13" s="173">
        <f t="shared" si="6"/>
        <v>6445847436.0999994</v>
      </c>
      <c r="S13" s="126" t="s">
        <v>546</v>
      </c>
      <c r="T13" s="184">
        <v>412979</v>
      </c>
      <c r="U13" s="172">
        <v>307380</v>
      </c>
      <c r="V13" s="172">
        <f t="shared" si="7"/>
        <v>64.167857375235869</v>
      </c>
      <c r="W13" s="183">
        <v>19723916</v>
      </c>
      <c r="X13" s="183">
        <v>2281765</v>
      </c>
      <c r="Y13" s="170">
        <v>1399657</v>
      </c>
      <c r="Z13" s="170">
        <v>873842</v>
      </c>
    </row>
    <row r="14" spans="1:26" ht="15" x14ac:dyDescent="0.25">
      <c r="A14" s="165" t="s">
        <v>545</v>
      </c>
      <c r="B14" s="173">
        <v>388655</v>
      </c>
      <c r="C14" s="182">
        <v>2260244</v>
      </c>
      <c r="D14" s="181">
        <v>1438587</v>
      </c>
      <c r="E14" s="180">
        <v>7815400</v>
      </c>
      <c r="F14" s="173">
        <v>821657</v>
      </c>
      <c r="H14" s="179">
        <f t="shared" si="0"/>
        <v>2260244</v>
      </c>
      <c r="I14" s="178">
        <f t="shared" si="1"/>
        <v>0</v>
      </c>
      <c r="J14" s="177">
        <v>3858.09</v>
      </c>
      <c r="K14" s="176">
        <v>2477.7800000000002</v>
      </c>
      <c r="L14" s="175">
        <f t="shared" si="2"/>
        <v>1380.31</v>
      </c>
      <c r="M14" s="174">
        <f t="shared" si="3"/>
        <v>0.35777029566443497</v>
      </c>
      <c r="O14" s="167">
        <f t="shared" si="4"/>
        <v>5550198118.8299999</v>
      </c>
      <c r="P14" s="167">
        <f t="shared" si="5"/>
        <v>2035885281.4600003</v>
      </c>
      <c r="Q14" s="173">
        <f t="shared" si="6"/>
        <v>7586083400.29</v>
      </c>
      <c r="S14" s="126" t="s">
        <v>544</v>
      </c>
      <c r="T14" s="184">
        <v>388655</v>
      </c>
      <c r="U14" s="172">
        <v>287380</v>
      </c>
      <c r="V14" s="172">
        <f t="shared" si="7"/>
        <v>67.003284849328409</v>
      </c>
      <c r="W14" s="183">
        <v>19255404</v>
      </c>
      <c r="X14" s="183">
        <v>2269087</v>
      </c>
      <c r="Y14" s="170">
        <v>1438587</v>
      </c>
      <c r="Z14" s="170">
        <v>821657</v>
      </c>
    </row>
    <row r="15" spans="1:26" ht="15" x14ac:dyDescent="0.25">
      <c r="A15" s="165" t="s">
        <v>543</v>
      </c>
      <c r="B15" s="173">
        <v>381838</v>
      </c>
      <c r="C15" s="182">
        <v>2178450</v>
      </c>
      <c r="D15" s="181">
        <v>1412273</v>
      </c>
      <c r="E15" s="180">
        <v>8538700</v>
      </c>
      <c r="F15" s="173">
        <v>766177</v>
      </c>
      <c r="H15" s="179">
        <f t="shared" si="0"/>
        <v>2178450</v>
      </c>
      <c r="I15" s="178">
        <f t="shared" si="1"/>
        <v>0</v>
      </c>
      <c r="J15" s="177">
        <v>4186.8</v>
      </c>
      <c r="K15" s="176">
        <v>3070.29</v>
      </c>
      <c r="L15" s="175">
        <f t="shared" si="2"/>
        <v>1116.5100000000002</v>
      </c>
      <c r="M15" s="174">
        <f t="shared" si="3"/>
        <v>0.26667383204356554</v>
      </c>
      <c r="O15" s="167">
        <f t="shared" si="4"/>
        <v>5912904596.4000006</v>
      </c>
      <c r="P15" s="167">
        <f t="shared" si="5"/>
        <v>2352385581.3299999</v>
      </c>
      <c r="Q15" s="173">
        <f t="shared" si="6"/>
        <v>8265290177.7300005</v>
      </c>
      <c r="S15" s="126" t="s">
        <v>542</v>
      </c>
      <c r="T15" s="184">
        <v>381838</v>
      </c>
      <c r="U15" s="172">
        <v>278133</v>
      </c>
      <c r="V15" s="172">
        <f t="shared" si="7"/>
        <v>67.072548025584879</v>
      </c>
      <c r="W15" s="183">
        <v>18655089</v>
      </c>
      <c r="X15" s="183">
        <v>2187542</v>
      </c>
      <c r="Y15" s="170">
        <v>1412273</v>
      </c>
      <c r="Z15" s="170">
        <v>766177</v>
      </c>
    </row>
    <row r="16" spans="1:26" ht="15" x14ac:dyDescent="0.25">
      <c r="A16" s="165" t="s">
        <v>541</v>
      </c>
      <c r="B16" s="173">
        <v>375590</v>
      </c>
      <c r="C16" s="182">
        <v>1961336</v>
      </c>
      <c r="D16" s="181">
        <v>1583457</v>
      </c>
      <c r="E16" s="180">
        <v>8547500</v>
      </c>
      <c r="F16" s="173">
        <v>377879</v>
      </c>
      <c r="H16" s="179">
        <f t="shared" si="0"/>
        <v>1961336</v>
      </c>
      <c r="I16" s="178">
        <f t="shared" si="1"/>
        <v>0</v>
      </c>
      <c r="J16" s="177">
        <v>4533.9399999999996</v>
      </c>
      <c r="K16" s="176">
        <v>3272.36</v>
      </c>
      <c r="L16" s="175">
        <f t="shared" si="2"/>
        <v>1261.5799999999995</v>
      </c>
      <c r="M16" s="174">
        <f t="shared" si="3"/>
        <v>0.27825246915486301</v>
      </c>
      <c r="O16" s="167">
        <f t="shared" si="4"/>
        <v>7179299030.579999</v>
      </c>
      <c r="P16" s="167">
        <f t="shared" si="5"/>
        <v>1236556124.4400001</v>
      </c>
      <c r="Q16" s="173">
        <f t="shared" si="6"/>
        <v>8415855155.0199986</v>
      </c>
      <c r="S16" s="126" t="s">
        <v>540</v>
      </c>
      <c r="T16" s="184">
        <v>375590</v>
      </c>
      <c r="U16" s="172">
        <v>271080</v>
      </c>
      <c r="V16" s="172">
        <f t="shared" si="7"/>
        <v>59.080894938763464</v>
      </c>
      <c r="W16" s="183">
        <v>16015649</v>
      </c>
      <c r="X16" s="183">
        <v>1919116</v>
      </c>
      <c r="Y16" s="170">
        <v>1583457</v>
      </c>
      <c r="Z16" s="170">
        <v>377779</v>
      </c>
    </row>
    <row r="17" spans="1:26" ht="15" x14ac:dyDescent="0.25">
      <c r="A17" s="165" t="s">
        <v>539</v>
      </c>
      <c r="B17" s="173">
        <v>367301</v>
      </c>
      <c r="C17" s="182">
        <v>1822488</v>
      </c>
      <c r="D17" s="181">
        <v>1685312</v>
      </c>
      <c r="E17" s="180">
        <v>9546700</v>
      </c>
      <c r="F17" s="173">
        <v>137176</v>
      </c>
      <c r="H17" s="179">
        <f t="shared" si="0"/>
        <v>1822488</v>
      </c>
      <c r="I17" s="178">
        <f t="shared" si="1"/>
        <v>0</v>
      </c>
      <c r="J17" s="177">
        <v>5124</v>
      </c>
      <c r="K17" s="176">
        <v>4368.3900000000003</v>
      </c>
      <c r="L17" s="175">
        <f t="shared" si="2"/>
        <v>755.60999999999967</v>
      </c>
      <c r="M17" s="174">
        <f t="shared" si="3"/>
        <v>0.14746487119437932</v>
      </c>
      <c r="O17" s="167">
        <f t="shared" si="4"/>
        <v>8635538688</v>
      </c>
      <c r="P17" s="167">
        <f t="shared" si="5"/>
        <v>599238266.63999999</v>
      </c>
      <c r="Q17" s="173">
        <f t="shared" si="6"/>
        <v>9234776954.6399994</v>
      </c>
      <c r="S17" s="126" t="s">
        <v>538</v>
      </c>
      <c r="T17" s="184">
        <v>367301</v>
      </c>
      <c r="U17" s="172">
        <v>252804</v>
      </c>
      <c r="V17" s="172">
        <f t="shared" si="7"/>
        <v>66.455740415499761</v>
      </c>
      <c r="W17" s="183">
        <v>16800277</v>
      </c>
      <c r="X17" s="183">
        <v>1832438</v>
      </c>
      <c r="Y17" s="170">
        <v>1685312</v>
      </c>
      <c r="Z17" s="170">
        <v>137176</v>
      </c>
    </row>
    <row r="18" spans="1:26" ht="15" x14ac:dyDescent="0.25">
      <c r="A18" s="165" t="s">
        <v>537</v>
      </c>
      <c r="B18" s="173">
        <v>379870</v>
      </c>
      <c r="C18" s="182">
        <v>1951515</v>
      </c>
      <c r="D18" s="181">
        <v>1701731</v>
      </c>
      <c r="E18" s="180">
        <v>10856700</v>
      </c>
      <c r="F18" s="173">
        <v>249785</v>
      </c>
      <c r="H18" s="179">
        <f t="shared" si="0"/>
        <v>1951516</v>
      </c>
      <c r="I18" s="178">
        <f t="shared" si="1"/>
        <v>1</v>
      </c>
      <c r="J18" s="177">
        <v>5485.35</v>
      </c>
      <c r="K18" s="176">
        <v>4696.2299999999996</v>
      </c>
      <c r="L18" s="175">
        <f t="shared" si="2"/>
        <v>789.1200000000008</v>
      </c>
      <c r="M18" s="174">
        <f t="shared" si="3"/>
        <v>0.14385955317345306</v>
      </c>
      <c r="O18" s="167">
        <f t="shared" si="4"/>
        <v>9334590140.8500004</v>
      </c>
      <c r="P18" s="167">
        <f t="shared" si="5"/>
        <v>1173047810.55</v>
      </c>
      <c r="Q18" s="173">
        <f t="shared" si="6"/>
        <v>10507637951.4</v>
      </c>
      <c r="S18" s="126" t="s">
        <v>536</v>
      </c>
      <c r="T18" s="184">
        <v>379870</v>
      </c>
      <c r="U18" s="172">
        <v>257095</v>
      </c>
      <c r="V18" s="172">
        <f t="shared" si="7"/>
        <v>67.204807561407264</v>
      </c>
      <c r="W18" s="183">
        <v>17278020</v>
      </c>
      <c r="X18" s="183">
        <v>1961031</v>
      </c>
      <c r="Y18" s="170">
        <v>1701731</v>
      </c>
      <c r="Z18" s="170">
        <v>249785</v>
      </c>
    </row>
    <row r="19" spans="1:26" ht="15" x14ac:dyDescent="0.25">
      <c r="A19" s="165" t="s">
        <v>535</v>
      </c>
      <c r="B19" s="173">
        <v>378922</v>
      </c>
      <c r="C19" s="182">
        <v>2343650</v>
      </c>
      <c r="D19" s="181">
        <v>1543264</v>
      </c>
      <c r="E19" s="180">
        <v>12724800</v>
      </c>
      <c r="F19" s="173">
        <v>800386</v>
      </c>
      <c r="H19" s="179">
        <f t="shared" si="0"/>
        <v>2343650</v>
      </c>
      <c r="I19" s="178">
        <f t="shared" si="1"/>
        <v>0</v>
      </c>
      <c r="J19" s="177">
        <v>5750.18</v>
      </c>
      <c r="K19" s="176">
        <v>4271.43</v>
      </c>
      <c r="L19" s="175">
        <f t="shared" si="2"/>
        <v>1478.75</v>
      </c>
      <c r="M19" s="174">
        <f t="shared" si="3"/>
        <v>0.25716586263386537</v>
      </c>
      <c r="O19" s="167">
        <f t="shared" si="4"/>
        <v>8874045787.5200005</v>
      </c>
      <c r="P19" s="167">
        <f t="shared" si="5"/>
        <v>3418792771.98</v>
      </c>
      <c r="Q19" s="173">
        <f t="shared" si="6"/>
        <v>12292838559.5</v>
      </c>
      <c r="S19" s="126" t="s">
        <v>534</v>
      </c>
      <c r="T19" s="184">
        <v>378922</v>
      </c>
      <c r="U19" s="172">
        <v>265939</v>
      </c>
      <c r="V19" s="172">
        <f t="shared" si="7"/>
        <v>75.329188272498584</v>
      </c>
      <c r="W19" s="183">
        <v>20032969</v>
      </c>
      <c r="X19" s="183">
        <v>2352878</v>
      </c>
      <c r="Y19" s="170">
        <v>1543264</v>
      </c>
      <c r="Z19" s="170">
        <v>800386</v>
      </c>
    </row>
    <row r="20" spans="1:26" ht="15" x14ac:dyDescent="0.25">
      <c r="A20" s="165" t="s">
        <v>533</v>
      </c>
      <c r="B20" s="173">
        <v>370141</v>
      </c>
      <c r="C20" s="182">
        <v>2107673</v>
      </c>
      <c r="D20" s="181">
        <v>1649056</v>
      </c>
      <c r="E20" s="180">
        <v>12704900</v>
      </c>
      <c r="F20" s="173">
        <v>458617</v>
      </c>
      <c r="H20" s="179">
        <f t="shared" si="0"/>
        <v>2107673</v>
      </c>
      <c r="I20" s="178">
        <f t="shared" si="1"/>
        <v>0</v>
      </c>
      <c r="J20" s="177">
        <v>6199.97</v>
      </c>
      <c r="K20" s="176">
        <v>4393.71</v>
      </c>
      <c r="L20" s="175">
        <f t="shared" si="2"/>
        <v>1806.2600000000002</v>
      </c>
      <c r="M20" s="174">
        <f t="shared" si="3"/>
        <v>0.29133366774355363</v>
      </c>
      <c r="O20" s="167">
        <f t="shared" si="4"/>
        <v>10224097728.32</v>
      </c>
      <c r="P20" s="167">
        <f t="shared" si="5"/>
        <v>2015030099.0699999</v>
      </c>
      <c r="Q20" s="173">
        <f t="shared" si="6"/>
        <v>12239127827.389999</v>
      </c>
      <c r="S20" s="126" t="s">
        <v>532</v>
      </c>
      <c r="T20" s="184">
        <v>370141</v>
      </c>
      <c r="U20" s="172">
        <v>272930</v>
      </c>
      <c r="V20" s="172">
        <f t="shared" si="7"/>
        <v>65.055277910086829</v>
      </c>
      <c r="W20" s="183">
        <v>17755537</v>
      </c>
      <c r="X20" s="183">
        <v>2118232</v>
      </c>
      <c r="Y20" s="170">
        <v>1649056</v>
      </c>
      <c r="Z20" s="170">
        <v>458617</v>
      </c>
    </row>
    <row r="21" spans="1:26" ht="15" x14ac:dyDescent="0.25">
      <c r="A21" s="165" t="s">
        <v>531</v>
      </c>
      <c r="B21" s="173">
        <v>362147</v>
      </c>
      <c r="C21" s="182">
        <v>1620330</v>
      </c>
      <c r="D21" s="181">
        <v>1573504</v>
      </c>
      <c r="E21" s="180">
        <v>11628404.404000001</v>
      </c>
      <c r="F21" s="173">
        <v>46826</v>
      </c>
      <c r="H21" s="179">
        <f t="shared" si="0"/>
        <v>1620330</v>
      </c>
      <c r="I21" s="178">
        <f t="shared" si="1"/>
        <v>0</v>
      </c>
      <c r="J21" s="177">
        <v>6862.86</v>
      </c>
      <c r="K21" s="176">
        <v>8108.03</v>
      </c>
      <c r="L21" s="175">
        <f t="shared" si="2"/>
        <v>-1245.17</v>
      </c>
      <c r="M21" s="174">
        <f t="shared" si="3"/>
        <v>-0.18143601938550402</v>
      </c>
      <c r="O21" s="167">
        <f t="shared" si="4"/>
        <v>10798737661.439999</v>
      </c>
      <c r="P21" s="167">
        <f t="shared" si="5"/>
        <v>379666612.77999997</v>
      </c>
      <c r="Q21" s="173">
        <f t="shared" si="6"/>
        <v>11178404274.219999</v>
      </c>
      <c r="S21" s="126" t="s">
        <v>530</v>
      </c>
      <c r="T21" s="171">
        <v>362147</v>
      </c>
      <c r="U21" s="171">
        <v>245363</v>
      </c>
      <c r="V21" s="172">
        <f t="shared" si="7"/>
        <v>60.569038526591214</v>
      </c>
      <c r="W21" s="171">
        <v>14861401</v>
      </c>
      <c r="X21" s="171">
        <v>1627395</v>
      </c>
      <c r="Y21" s="170">
        <v>1573504</v>
      </c>
      <c r="Z21" s="170">
        <v>46826</v>
      </c>
    </row>
    <row r="22" spans="1:26" ht="15" x14ac:dyDescent="0.25">
      <c r="A22" s="165" t="s">
        <v>529</v>
      </c>
      <c r="B22" s="173">
        <v>362054</v>
      </c>
      <c r="C22" s="182">
        <v>1539739</v>
      </c>
      <c r="D22" s="181">
        <v>1534741</v>
      </c>
      <c r="E22" s="180">
        <v>13842081.876181101</v>
      </c>
      <c r="F22" s="173">
        <v>4998</v>
      </c>
      <c r="H22" s="179">
        <f t="shared" si="0"/>
        <v>1539739</v>
      </c>
      <c r="I22" s="178">
        <f t="shared" si="1"/>
        <v>0</v>
      </c>
      <c r="J22" s="177">
        <v>8668.34</v>
      </c>
      <c r="K22" s="176">
        <v>3504.8</v>
      </c>
      <c r="L22" s="175">
        <f t="shared" si="2"/>
        <v>5163.54</v>
      </c>
      <c r="M22" s="174">
        <f t="shared" si="3"/>
        <v>0.59567806523509692</v>
      </c>
      <c r="O22" s="167">
        <f t="shared" si="4"/>
        <v>13303656799.940001</v>
      </c>
      <c r="P22" s="167">
        <f t="shared" si="5"/>
        <v>17516990.400000002</v>
      </c>
      <c r="Q22" s="173">
        <f t="shared" si="6"/>
        <v>13321173790.34</v>
      </c>
      <c r="S22" s="126" t="s">
        <v>528</v>
      </c>
      <c r="T22" s="171">
        <v>362054</v>
      </c>
      <c r="U22" s="171">
        <v>255769</v>
      </c>
      <c r="V22" s="172">
        <f t="shared" si="7"/>
        <v>58.938377989513974</v>
      </c>
      <c r="W22" s="171">
        <v>15074610</v>
      </c>
      <c r="X22" s="171">
        <v>1553229</v>
      </c>
      <c r="Y22" s="170">
        <v>1534741</v>
      </c>
      <c r="Z22" s="170">
        <v>4998</v>
      </c>
    </row>
    <row r="23" spans="1:26" ht="15" x14ac:dyDescent="0.25">
      <c r="A23" s="165" t="s">
        <v>527</v>
      </c>
      <c r="B23" s="173">
        <v>361210</v>
      </c>
      <c r="C23" s="182">
        <v>1985715</v>
      </c>
      <c r="D23" s="181">
        <v>1190281</v>
      </c>
      <c r="E23" s="180">
        <v>14270086.464</v>
      </c>
      <c r="F23" s="173">
        <v>795434</v>
      </c>
      <c r="H23" s="179">
        <f t="shared" si="0"/>
        <v>1985715</v>
      </c>
      <c r="I23" s="178">
        <f t="shared" si="1"/>
        <v>0</v>
      </c>
      <c r="J23" s="177">
        <v>8339.42</v>
      </c>
      <c r="K23" s="176">
        <v>4701.8999999999996</v>
      </c>
      <c r="L23" s="175">
        <f t="shared" si="2"/>
        <v>3637.5200000000004</v>
      </c>
      <c r="M23" s="174">
        <f t="shared" si="3"/>
        <v>0.43618381134419426</v>
      </c>
      <c r="O23" s="167">
        <f t="shared" si="4"/>
        <v>9926253177.0200005</v>
      </c>
      <c r="P23" s="167">
        <f t="shared" si="5"/>
        <v>3740051124.5999999</v>
      </c>
      <c r="Q23" s="173">
        <f t="shared" si="6"/>
        <v>13666304301.620001</v>
      </c>
      <c r="S23" s="126" t="s">
        <v>526</v>
      </c>
      <c r="T23" s="171">
        <v>361210</v>
      </c>
      <c r="U23" s="171">
        <v>252049</v>
      </c>
      <c r="V23" s="172">
        <f t="shared" si="7"/>
        <v>68.987288186027314</v>
      </c>
      <c r="W23" s="171">
        <v>17388177</v>
      </c>
      <c r="X23" s="171">
        <v>2169660</v>
      </c>
      <c r="Y23" s="170">
        <v>1190281</v>
      </c>
      <c r="Z23" s="170">
        <v>795434</v>
      </c>
    </row>
    <row r="24" spans="1:26" ht="15" x14ac:dyDescent="0.25">
      <c r="A24" s="165" t="s">
        <v>525</v>
      </c>
      <c r="B24" s="173">
        <v>359155</v>
      </c>
      <c r="C24" s="173">
        <v>2183821</v>
      </c>
      <c r="D24" s="167">
        <v>1140990</v>
      </c>
      <c r="E24" s="180">
        <v>14700817.296</v>
      </c>
      <c r="F24" s="173">
        <v>1042831</v>
      </c>
      <c r="H24" s="179">
        <f t="shared" si="0"/>
        <v>2183821</v>
      </c>
      <c r="I24" s="178">
        <f t="shared" si="1"/>
        <v>0</v>
      </c>
      <c r="J24" s="177">
        <v>8565.99</v>
      </c>
      <c r="K24" s="176">
        <v>4016.85</v>
      </c>
      <c r="L24" s="175">
        <f t="shared" si="2"/>
        <v>4549.1399999999994</v>
      </c>
      <c r="M24" s="174">
        <f t="shared" si="3"/>
        <v>0.53106996389208949</v>
      </c>
      <c r="O24" s="167">
        <f t="shared" si="4"/>
        <v>9773708930.1000004</v>
      </c>
      <c r="P24" s="167">
        <f t="shared" si="5"/>
        <v>4188895702.3499999</v>
      </c>
      <c r="Q24" s="173">
        <f t="shared" si="6"/>
        <v>13962604632.450001</v>
      </c>
      <c r="S24" s="126" t="s">
        <v>524</v>
      </c>
      <c r="T24" s="171">
        <v>359155</v>
      </c>
      <c r="U24" s="171">
        <v>253945</v>
      </c>
      <c r="V24" s="172">
        <f t="shared" si="7"/>
        <v>74.944133572230214</v>
      </c>
      <c r="W24" s="171">
        <v>19031688</v>
      </c>
      <c r="X24" s="171">
        <v>2190661</v>
      </c>
      <c r="Y24" s="170">
        <v>1140990</v>
      </c>
      <c r="Z24" s="170">
        <v>1042831</v>
      </c>
    </row>
    <row r="25" spans="1:26" ht="15" x14ac:dyDescent="0.25">
      <c r="J25" s="165" t="s">
        <v>831</v>
      </c>
      <c r="K25" s="293">
        <f>AVERAGE(K23:K24)</f>
        <v>4359.375</v>
      </c>
    </row>
    <row r="26" spans="1:26" x14ac:dyDescent="0.2">
      <c r="J26" s="165" t="s">
        <v>523</v>
      </c>
    </row>
    <row r="27" spans="1:26" x14ac:dyDescent="0.2">
      <c r="J27" s="165" t="s">
        <v>522</v>
      </c>
    </row>
    <row r="28" spans="1:26" x14ac:dyDescent="0.2">
      <c r="J28" s="165" t="s">
        <v>521</v>
      </c>
    </row>
    <row r="29" spans="1:26" x14ac:dyDescent="0.2">
      <c r="J29" s="165" t="s">
        <v>520</v>
      </c>
    </row>
    <row r="30" spans="1:26" x14ac:dyDescent="0.2">
      <c r="H30" s="169">
        <f>J6/C6*1000*1000</f>
        <v>942.2052483096104</v>
      </c>
    </row>
    <row r="31" spans="1:26" x14ac:dyDescent="0.2">
      <c r="J31" s="372">
        <f>J24/EB_Exist!G30</f>
        <v>518.87543340626439</v>
      </c>
      <c r="K31" s="372">
        <f>K24/EB_Exist!G30</f>
        <v>243.31627572270722</v>
      </c>
    </row>
    <row r="37" spans="10:13" x14ac:dyDescent="0.2">
      <c r="J37" s="168" t="s">
        <v>519</v>
      </c>
      <c r="K37" s="165" t="s">
        <v>518</v>
      </c>
      <c r="L37" s="165">
        <f>475/(20/10^6)</f>
        <v>23749999.999999996</v>
      </c>
      <c r="M37" s="166">
        <f>L37/10^6</f>
        <v>23.749999999999996</v>
      </c>
    </row>
    <row r="38" spans="10:13" x14ac:dyDescent="0.2">
      <c r="J38" s="168" t="s">
        <v>517</v>
      </c>
      <c r="K38" s="165" t="s">
        <v>516</v>
      </c>
      <c r="L38" s="167">
        <f>70*14/(5.113/10^6)</f>
        <v>191668296.49911985</v>
      </c>
      <c r="M38" s="166">
        <f>L38/10^6</f>
        <v>191.66829649911986</v>
      </c>
    </row>
    <row r="43" spans="10:13" x14ac:dyDescent="0.2">
      <c r="J43" s="165">
        <f>2.21/100</f>
        <v>2.2099999999999998E-2</v>
      </c>
    </row>
    <row r="44" spans="10:13" x14ac:dyDescent="0.2">
      <c r="J44" s="165">
        <f>J43*1000*1000</f>
        <v>22099.999999999996</v>
      </c>
    </row>
    <row r="58" spans="2:3" x14ac:dyDescent="0.2">
      <c r="B58" s="165" t="s">
        <v>841</v>
      </c>
      <c r="C58" s="165">
        <v>0.13</v>
      </c>
    </row>
    <row r="59" spans="2:3" x14ac:dyDescent="0.2">
      <c r="B59" s="165" t="s">
        <v>842</v>
      </c>
      <c r="C59" s="165">
        <f>C58*14*2.2</f>
        <v>4.0040000000000004</v>
      </c>
    </row>
  </sheetData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15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0" r:id="rId4" name="cmdSpecifySets">
          <controlPr defaultSize="0" autoLine="0" r:id="rId5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4" name="cmdSpecifySets"/>
      </mc:Fallback>
    </mc:AlternateContent>
    <mc:AlternateContent xmlns:mc="http://schemas.openxmlformats.org/markup-compatibility/2006">
      <mc:Choice Requires="x14">
        <control shapeId="63489" r:id="rId6" name="cmdCheckRegion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6" name="cmdCheckRegionsSheet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3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4" name="cmdCommUnit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1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8" name="cmdSpecifySets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4"/>
  </sheetPr>
  <dimension ref="A1:F37"/>
  <sheetViews>
    <sheetView tabSelected="1" zoomScaleNormal="100" workbookViewId="0">
      <pane ySplit="7" topLeftCell="A8" activePane="bottomLeft" state="frozen"/>
      <selection pane="bottomLeft" activeCell="J10" sqref="J10:J33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11" t="str">
        <f ca="1">IF(INDEX(Index!$E$6:$E$38,MATCH(A2,Index!$D$6:$D$38,0))=1,LEFT(A2,SEARCH("_",A2)-1),"")</f>
        <v>Commodities</v>
      </c>
      <c r="B1" s="19" t="s">
        <v>585</v>
      </c>
    </row>
    <row r="2" spans="1:6" ht="12.75" x14ac:dyDescent="0.2">
      <c r="A2" t="str">
        <f ca="1">MID(CELL("filename",A2),FIND("]",CELL("filename",A2))+1,255)</f>
        <v>Commodities_BASE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x14ac:dyDescent="0.2">
      <c r="B8" s="27" t="s">
        <v>597</v>
      </c>
      <c r="C8" s="19" t="s">
        <v>598</v>
      </c>
      <c r="D8" s="19" t="s">
        <v>117</v>
      </c>
      <c r="E8" s="31" t="s">
        <v>122</v>
      </c>
      <c r="F8" s="21"/>
    </row>
    <row r="9" spans="1:6" s="18" customFormat="1" ht="12.75" x14ac:dyDescent="0.2">
      <c r="A9" s="47" t="s">
        <v>115</v>
      </c>
      <c r="B9" s="53"/>
      <c r="C9" s="53"/>
      <c r="D9" s="53"/>
    </row>
    <row r="10" spans="1:6" s="18" customFormat="1" ht="12.75" x14ac:dyDescent="0.2">
      <c r="A10" s="48"/>
      <c r="B10" s="48" t="str">
        <f>RES!E2</f>
        <v>INDCOA</v>
      </c>
      <c r="C10" s="48" t="str">
        <f>RES!E3</f>
        <v>Industry Coal</v>
      </c>
      <c r="D10" s="54" t="s">
        <v>117</v>
      </c>
      <c r="E10" s="31" t="s">
        <v>122</v>
      </c>
    </row>
    <row r="11" spans="1:6" s="18" customFormat="1" ht="12.75" x14ac:dyDescent="0.2">
      <c r="A11" s="48"/>
      <c r="B11" s="48" t="str">
        <f>RES!F2</f>
        <v>BSC</v>
      </c>
      <c r="C11" s="48" t="str">
        <f>RES!F3</f>
        <v>Cane-into factory</v>
      </c>
      <c r="D11" s="54" t="s">
        <v>117</v>
      </c>
      <c r="E11" s="31" t="s">
        <v>586</v>
      </c>
    </row>
    <row r="12" spans="1:6" s="18" customFormat="1" ht="12.75" x14ac:dyDescent="0.2">
      <c r="A12" s="48"/>
      <c r="B12" s="48" t="str">
        <f>RES!G2</f>
        <v>BCL</v>
      </c>
      <c r="C12" s="48" t="str">
        <f>RES!G3</f>
        <v>Recoverable leaves</v>
      </c>
      <c r="D12" s="54" t="s">
        <v>117</v>
      </c>
      <c r="E12" s="31" t="s">
        <v>586</v>
      </c>
    </row>
    <row r="13" spans="1:6" s="18" customFormat="1" ht="12.75" x14ac:dyDescent="0.2">
      <c r="A13" s="48"/>
      <c r="B13" s="48" t="str">
        <f>RES!H2</f>
        <v>BIW</v>
      </c>
      <c r="C13" s="48" t="str">
        <f>RES!H3</f>
        <v>Biomass Woodchips</v>
      </c>
      <c r="D13" s="54" t="s">
        <v>117</v>
      </c>
      <c r="E13" s="31" t="s">
        <v>586</v>
      </c>
    </row>
    <row r="14" spans="1:6" s="18" customFormat="1" ht="12.75" x14ac:dyDescent="0.2">
      <c r="A14" s="48"/>
      <c r="B14" s="48" t="str">
        <f>RES!I2</f>
        <v>PWRGAS</v>
      </c>
      <c r="C14" s="48" t="str">
        <f>RES!I3</f>
        <v>Natural Gas</v>
      </c>
      <c r="D14" s="54" t="s">
        <v>117</v>
      </c>
      <c r="E14" s="31" t="s">
        <v>122</v>
      </c>
    </row>
    <row r="15" spans="1:6" s="18" customFormat="1" ht="12.75" x14ac:dyDescent="0.2">
      <c r="A15" s="48"/>
      <c r="B15" s="48" t="str">
        <f>RES!J2</f>
        <v>PWRCLE</v>
      </c>
      <c r="C15" s="48" t="str">
        <f>RES!J3</f>
        <v>Eskom Coal</v>
      </c>
      <c r="D15" s="54" t="s">
        <v>117</v>
      </c>
      <c r="E15" s="31" t="s">
        <v>122</v>
      </c>
    </row>
    <row r="16" spans="1:6" s="18" customFormat="1" ht="12.75" x14ac:dyDescent="0.2">
      <c r="A16" s="48"/>
      <c r="B16" s="48" t="str">
        <f>RES!Q2</f>
        <v>ISIBIB</v>
      </c>
      <c r="C16" s="48" t="str">
        <f>RES!Q3</f>
        <v>Bagasse</v>
      </c>
      <c r="D16" s="54" t="s">
        <v>117</v>
      </c>
      <c r="E16" s="31" t="s">
        <v>586</v>
      </c>
    </row>
    <row r="17" spans="1:5" s="18" customFormat="1" ht="12.75" x14ac:dyDescent="0.2">
      <c r="A17" s="48"/>
      <c r="B17" s="48" t="str">
        <f>RES!R2</f>
        <v>BCS</v>
      </c>
      <c r="C17" s="48" t="str">
        <f>RES!R3</f>
        <v>Cane Syrup (A-Mollasses)</v>
      </c>
      <c r="D17" s="54" t="s">
        <v>117</v>
      </c>
      <c r="E17" s="31" t="s">
        <v>586</v>
      </c>
    </row>
    <row r="18" spans="1:5" s="18" customFormat="1" ht="12.75" x14ac:dyDescent="0.2">
      <c r="A18" s="48"/>
      <c r="B18" s="48" t="str">
        <f>RES!S2</f>
        <v>ISIBIG</v>
      </c>
      <c r="C18" s="48" t="str">
        <f>RES!S3</f>
        <v>Sugar Industry Biogas</v>
      </c>
      <c r="D18" s="54" t="s">
        <v>117</v>
      </c>
      <c r="E18" s="31" t="s">
        <v>586</v>
      </c>
    </row>
    <row r="19" spans="1:5" s="18" customFormat="1" ht="12.75" x14ac:dyDescent="0.2">
      <c r="A19" s="48"/>
      <c r="B19" s="48" t="str">
        <f>RES!T2</f>
        <v>ISIELC</v>
      </c>
      <c r="C19" s="48" t="str">
        <f>RES!T3</f>
        <v>Sugar Industry Electricity</v>
      </c>
      <c r="D19" s="54" t="s">
        <v>117</v>
      </c>
      <c r="E19" s="31" t="s">
        <v>120</v>
      </c>
    </row>
    <row r="20" spans="1:5" s="18" customFormat="1" ht="12.75" x14ac:dyDescent="0.2">
      <c r="A20" s="48"/>
      <c r="B20" s="48" t="str">
        <f>RES!U2</f>
        <v>ELCC</v>
      </c>
      <c r="C20" s="48" t="str">
        <f>RES!U3</f>
        <v>Electricity Bulk</v>
      </c>
      <c r="D20" s="54" t="s">
        <v>117</v>
      </c>
      <c r="E20" s="31" t="s">
        <v>120</v>
      </c>
    </row>
    <row r="21" spans="1:5" s="18" customFormat="1" ht="12.75" x14ac:dyDescent="0.2">
      <c r="A21" s="48"/>
      <c r="B21" s="48" t="str">
        <f>RES!V2</f>
        <v>ISIHET</v>
      </c>
      <c r="C21" s="48" t="str">
        <f>RES!V3</f>
        <v>Steam From CHP</v>
      </c>
      <c r="D21" s="54" t="s">
        <v>117</v>
      </c>
      <c r="E21" s="31" t="s">
        <v>121</v>
      </c>
    </row>
    <row r="22" spans="1:5" s="18" customFormat="1" ht="12.75" x14ac:dyDescent="0.2">
      <c r="A22" s="48"/>
      <c r="B22" s="48" t="str">
        <f>RES!W2</f>
        <v>ISIBML</v>
      </c>
      <c r="C22" s="48" t="str">
        <f>RES!W3</f>
        <v>C-Molasses</v>
      </c>
      <c r="D22" s="54" t="s">
        <v>117</v>
      </c>
      <c r="E22" s="31" t="s">
        <v>123</v>
      </c>
    </row>
    <row r="23" spans="1:5" s="18" customFormat="1" ht="12.75" x14ac:dyDescent="0.2">
      <c r="A23" s="48"/>
      <c r="B23" s="48" t="str">
        <f>RES!X2</f>
        <v>ISIBFC</v>
      </c>
      <c r="C23" s="48" t="str">
        <f>RES!X3</f>
        <v>Filter Cake</v>
      </c>
      <c r="D23" s="54" t="s">
        <v>117</v>
      </c>
      <c r="E23" s="31" t="s">
        <v>123</v>
      </c>
    </row>
    <row r="24" spans="1:5" s="18" customFormat="1" ht="12.75" x14ac:dyDescent="0.2">
      <c r="A24" s="48"/>
      <c r="B24" s="48" t="str">
        <f>RES!AC2</f>
        <v>ISISUG</v>
      </c>
      <c r="C24" s="48" t="str">
        <f>RES!AC3</f>
        <v>Sugar</v>
      </c>
      <c r="D24" s="54" t="s">
        <v>117</v>
      </c>
      <c r="E24" s="31" t="s">
        <v>123</v>
      </c>
    </row>
    <row r="25" spans="1:5" s="18" customFormat="1" ht="12.75" x14ac:dyDescent="0.2">
      <c r="A25" s="48"/>
      <c r="B25" s="48" t="str">
        <f>RES!AD2</f>
        <v>BIE</v>
      </c>
      <c r="C25" s="48" t="str">
        <f>RES!AD3</f>
        <v>Ethanol</v>
      </c>
      <c r="D25" s="54" t="s">
        <v>117</v>
      </c>
      <c r="E25" s="31" t="s">
        <v>123</v>
      </c>
    </row>
    <row r="26" spans="1:5" s="18" customFormat="1" ht="12.75" x14ac:dyDescent="0.2">
      <c r="A26" s="48"/>
      <c r="B26" s="48" t="str">
        <f>RES!AE2</f>
        <v>ELC</v>
      </c>
      <c r="C26" s="48" t="str">
        <f>RES!AE3</f>
        <v>Electricity</v>
      </c>
      <c r="D26" s="54" t="s">
        <v>117</v>
      </c>
      <c r="E26" s="31" t="s">
        <v>120</v>
      </c>
    </row>
    <row r="27" spans="1:5" s="18" customFormat="1" ht="12.75" x14ac:dyDescent="0.2">
      <c r="A27" s="48"/>
      <c r="B27" s="48" t="str">
        <f>RES!AJ2</f>
        <v>SUG</v>
      </c>
      <c r="C27" s="48" t="str">
        <f>RES!AJ3</f>
        <v>Sugar Exports</v>
      </c>
      <c r="D27" s="54" t="s">
        <v>621</v>
      </c>
      <c r="E27" s="31" t="s">
        <v>123</v>
      </c>
    </row>
    <row r="28" spans="1:5" s="18" customFormat="1" ht="12.75" x14ac:dyDescent="0.2">
      <c r="B28" s="48" t="str">
        <f>RES!AK2</f>
        <v>TRABIE</v>
      </c>
      <c r="C28" s="48" t="str">
        <f>RES!AK3</f>
        <v>Ethanol to market</v>
      </c>
      <c r="D28" s="54" t="s">
        <v>117</v>
      </c>
      <c r="E28" s="31" t="s">
        <v>123</v>
      </c>
    </row>
    <row r="29" spans="1:5" s="18" customFormat="1" ht="12.75" x14ac:dyDescent="0.2">
      <c r="B29" s="48" t="str">
        <f>RES!AL2</f>
        <v>BIB</v>
      </c>
      <c r="C29" s="48" t="str">
        <f>RES!AL3</f>
        <v>Bagasse Sales to Other sectors</v>
      </c>
      <c r="D29" s="54" t="s">
        <v>117</v>
      </c>
      <c r="E29" s="31" t="s">
        <v>123</v>
      </c>
    </row>
    <row r="30" spans="1:5" s="18" customFormat="1" ht="12.75" x14ac:dyDescent="0.2">
      <c r="B30" s="48" t="str">
        <f>RES!AM2</f>
        <v>SUGDEM</v>
      </c>
      <c r="C30" s="48" t="str">
        <f>RES!AM3</f>
        <v>Sugar Demand Domestic Market</v>
      </c>
      <c r="D30" s="54" t="s">
        <v>621</v>
      </c>
      <c r="E30" s="31" t="s">
        <v>588</v>
      </c>
    </row>
    <row r="31" spans="1:5" s="18" customFormat="1" ht="12.75" x14ac:dyDescent="0.2">
      <c r="B31" s="48" t="str">
        <f>RES!AN2</f>
        <v>ELCDEM</v>
      </c>
      <c r="C31" s="48" t="str">
        <f>RES!AN3</f>
        <v>Electricity Demand</v>
      </c>
      <c r="D31" s="54" t="s">
        <v>117</v>
      </c>
      <c r="E31" s="31" t="s">
        <v>587</v>
      </c>
    </row>
    <row r="32" spans="1:5" s="18" customFormat="1" ht="12.75" x14ac:dyDescent="0.2">
      <c r="B32" s="48" t="str">
        <f>RES!AO2</f>
        <v>BIG</v>
      </c>
      <c r="C32" s="48" t="str">
        <f>RES!AO3</f>
        <v>Biogas Sold to Market</v>
      </c>
      <c r="D32" s="54" t="s">
        <v>117</v>
      </c>
      <c r="E32" s="31" t="s">
        <v>123</v>
      </c>
    </row>
    <row r="33" spans="1:5" s="18" customFormat="1" ht="12.75" x14ac:dyDescent="0.2">
      <c r="B33" s="48" t="str">
        <f>RES!AP2</f>
        <v>BIM</v>
      </c>
      <c r="C33" s="48" t="str">
        <f>RES!AP3</f>
        <v>C-Molasses sold to market</v>
      </c>
      <c r="D33" s="54" t="s">
        <v>117</v>
      </c>
      <c r="E33" s="31" t="s">
        <v>123</v>
      </c>
    </row>
    <row r="34" spans="1:5" ht="12.75" x14ac:dyDescent="0.2">
      <c r="A34" s="55" t="s">
        <v>116</v>
      </c>
      <c r="B34" s="48"/>
      <c r="C34" s="48"/>
      <c r="D34" s="54"/>
    </row>
    <row r="35" spans="1:5" ht="12.75" x14ac:dyDescent="0.2">
      <c r="A35" s="48"/>
      <c r="B35" s="48" t="s">
        <v>603</v>
      </c>
      <c r="C35" s="48" t="s">
        <v>604</v>
      </c>
      <c r="D35" s="54" t="s">
        <v>124</v>
      </c>
      <c r="E35" s="31" t="s">
        <v>125</v>
      </c>
    </row>
    <row r="36" spans="1:5" ht="12.75" x14ac:dyDescent="0.2">
      <c r="A36" s="48"/>
      <c r="B36" s="48" t="s">
        <v>605</v>
      </c>
      <c r="C36" s="48" t="s">
        <v>606</v>
      </c>
      <c r="D36" s="54" t="s">
        <v>124</v>
      </c>
      <c r="E36" s="31" t="s">
        <v>125</v>
      </c>
    </row>
    <row r="37" spans="1:5" ht="12.75" x14ac:dyDescent="0.2">
      <c r="A37" s="48"/>
      <c r="B37" s="48" t="s">
        <v>607</v>
      </c>
      <c r="C37" s="48" t="s">
        <v>608</v>
      </c>
      <c r="D37" s="54" t="s">
        <v>124</v>
      </c>
      <c r="E37" s="31" t="s">
        <v>125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5953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125953" r:id="rId4" name="cmdSpecifySets"/>
      </mc:Fallback>
    </mc:AlternateContent>
    <mc:AlternateContent xmlns:mc="http://schemas.openxmlformats.org/markup-compatibility/2006">
      <mc:Choice Requires="x14">
        <control shapeId="125954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25954" r:id="rId6" name="cmdCheckCommoditiesSheet"/>
      </mc:Fallback>
    </mc:AlternateContent>
    <mc:AlternateContent xmlns:mc="http://schemas.openxmlformats.org/markup-compatibility/2006">
      <mc:Choice Requires="x14">
        <control shapeId="125955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25955" r:id="rId8" name="cmdCommUnit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4" name="cmdSpecifySe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9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8" name="cmdProcUnits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9" r:id="rId4" name="cmdConstraintUnit">
          <controlPr defaultSize="0" autoLine="0" r:id="rId5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4" name="cmdConstraintUnit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7" r:id="rId8" name="cmdConstraintSets">
          <controlPr defaultSize="0" autoLine="0" autoPict="0" r:id="rId9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8" name="cmdConstraintSets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>
      <pane xSplit="4" ySplit="7" topLeftCell="E8" activePane="bottomRight" state="frozen"/>
      <selection pane="topRight" activeCell="E1" sqref="E1"/>
      <selection pane="bottomLeft" activeCell="A8" sqref="A8"/>
      <selection pane="bottomRight"/>
    </sheetView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8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4" name="cmdAddParamQualifier2"/>
      </mc:Fallback>
    </mc:AlternateContent>
    <mc:AlternateContent xmlns:mc="http://schemas.openxmlformats.org/markup-compatibility/2006">
      <mc:Choice Requires="x14">
        <control shapeId="90113" r:id="rId6" name="cmdAddParameter">
          <controlPr defaultSize="0" autoLine="0" r:id="rId7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6" name="cmdAddParameter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5" r:id="rId10" name="cmdAddParamQualifier1">
          <controlPr defaultSize="0" autoLine="0" r:id="rId11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10" name="cmdAddParamQualifier1"/>
      </mc:Fallback>
    </mc:AlternateContent>
    <mc:AlternateContent xmlns:mc="http://schemas.openxmlformats.org/markup-compatibility/2006">
      <mc:Choice Requires="x14">
        <control shapeId="90116" r:id="rId12" name="cmdCheckCommDataSheet">
          <controlPr defaultSize="0" autoLine="0" r:id="rId13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12" name="cmdCheckCommDataSheet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4"/>
  </sheetPr>
  <dimension ref="A1:F12"/>
  <sheetViews>
    <sheetView zoomScaleNormal="10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F1" sqref="F1"/>
    </sheetView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6" x14ac:dyDescent="0.2">
      <c r="A1" s="11" t="str">
        <f ca="1">IF(INDEX(Index!$E$6:$E$38,MATCH(A2,Index!$D$6:$D$38,0))=1,LEFT(A2,SEARCH("_",A2)-1),"")</f>
        <v>CommData</v>
      </c>
      <c r="B1" s="19" t="str">
        <f>Commodities_BASE!B1</f>
        <v>REGION1</v>
      </c>
      <c r="F1" s="12" t="s">
        <v>1002</v>
      </c>
    </row>
    <row r="2" spans="1:6" ht="12.75" x14ac:dyDescent="0.2">
      <c r="A2" t="str">
        <f ca="1">MID(CELL("filename",A2),FIND("]",CELL("filename",A2))+1,255)</f>
        <v>CommData_BASE</v>
      </c>
    </row>
    <row r="3" spans="1:6" ht="15" customHeight="1" x14ac:dyDescent="0.2"/>
    <row r="4" spans="1:6" ht="20.25" customHeight="1" x14ac:dyDescent="0.2">
      <c r="E4" s="26" t="s">
        <v>622</v>
      </c>
      <c r="F4" s="26" t="s">
        <v>622</v>
      </c>
    </row>
    <row r="5" spans="1:6" ht="19.5" customHeight="1" x14ac:dyDescent="0.2">
      <c r="E5" s="71"/>
    </row>
    <row r="6" spans="1:6" ht="19.5" customHeight="1" x14ac:dyDescent="0.2">
      <c r="E6" s="71"/>
    </row>
    <row r="7" spans="1:6" x14ac:dyDescent="0.2">
      <c r="B7" s="11" t="s">
        <v>40</v>
      </c>
      <c r="C7" s="11" t="s">
        <v>41</v>
      </c>
      <c r="D7" s="11" t="s">
        <v>43</v>
      </c>
      <c r="E7" s="12">
        <v>2018</v>
      </c>
      <c r="F7" s="12">
        <v>2023</v>
      </c>
    </row>
    <row r="8" spans="1:6" s="53" customFormat="1" ht="15" x14ac:dyDescent="0.25">
      <c r="B8" s="50" t="str">
        <f>Commodities_BASE!B30</f>
        <v>SUGDEM</v>
      </c>
      <c r="C8" s="50" t="str">
        <f>RES!AI5</f>
        <v>Sugar to Local Market</v>
      </c>
      <c r="D8" s="50" t="str">
        <f>Commodities_BASE!D28</f>
        <v>PJ</v>
      </c>
      <c r="E8" s="205">
        <f>SugarPrices!D24/1000000</f>
        <v>1.1409899999999999</v>
      </c>
      <c r="F8" s="350">
        <v>1.6</v>
      </c>
    </row>
    <row r="9" spans="1:6" s="53" customFormat="1" x14ac:dyDescent="0.2">
      <c r="B9" s="50" t="str">
        <f>Commodities_BASE!B31</f>
        <v>ELCDEM</v>
      </c>
      <c r="C9" s="50" t="str">
        <f>RES!AI86</f>
        <v>Electricity Demand</v>
      </c>
      <c r="D9" s="50" t="str">
        <f>Commodities_BASE!D29</f>
        <v>PJ</v>
      </c>
      <c r="E9" s="53">
        <v>0</v>
      </c>
      <c r="F9" s="53">
        <v>0</v>
      </c>
    </row>
    <row r="10" spans="1:6" s="53" customFormat="1" x14ac:dyDescent="0.2">
      <c r="B10" s="50"/>
    </row>
    <row r="11" spans="1:6" s="53" customFormat="1" x14ac:dyDescent="0.2"/>
    <row r="12" spans="1:6" s="53" customFormat="1" x14ac:dyDescent="0.2"/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6977" r:id="rId4" name="cmdAddParameter">
          <controlPr defaultSize="0" autoLine="0" r:id="rId5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126977" r:id="rId4" name="cmdAddParameter"/>
      </mc:Fallback>
    </mc:AlternateContent>
    <mc:AlternateContent xmlns:mc="http://schemas.openxmlformats.org/markup-compatibility/2006">
      <mc:Choice Requires="x14">
        <control shapeId="126978" r:id="rId6" name="cmdCommNameAndDesc">
          <controlPr defaultSize="0" autoLine="0" r:id="rId7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126978" r:id="rId6" name="cmdCommNameAndDesc"/>
      </mc:Fallback>
    </mc:AlternateContent>
    <mc:AlternateContent xmlns:mc="http://schemas.openxmlformats.org/markup-compatibility/2006">
      <mc:Choice Requires="x14">
        <control shapeId="126979" r:id="rId8" name="cmdAddParamQualifier1">
          <controlPr defaultSize="0" autoLine="0" r:id="rId9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126979" r:id="rId8" name="cmdAddParamQualifier1"/>
      </mc:Fallback>
    </mc:AlternateContent>
    <mc:AlternateContent xmlns:mc="http://schemas.openxmlformats.org/markup-compatibility/2006">
      <mc:Choice Requires="x14">
        <control shapeId="126980" r:id="rId10" name="cmdCheckCommDataSheet">
          <controlPr defaultSize="0" autoLine="0" r:id="rId11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126980" r:id="rId10" name="cmdCheckCommDataSheet"/>
      </mc:Fallback>
    </mc:AlternateContent>
    <mc:AlternateContent xmlns:mc="http://schemas.openxmlformats.org/markup-compatibility/2006">
      <mc:Choice Requires="x14">
        <control shapeId="126981" r:id="rId12" name="cmdAddParamQualifier2">
          <controlPr defaultSize="0" autoLine="0" r:id="rId13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126981" r:id="rId12" name="cmdAddParamQualifier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8">
    <tabColor theme="4"/>
  </sheetPr>
  <dimension ref="A1:J61"/>
  <sheetViews>
    <sheetView zoomScaleNormal="100" workbookViewId="0">
      <pane ySplit="7" topLeftCell="A8" activePane="bottomLeft" state="frozen"/>
      <selection pane="bottomLeft" activeCell="C21" sqref="C21"/>
    </sheetView>
  </sheetViews>
  <sheetFormatPr defaultColWidth="9.140625" defaultRowHeight="11.25" x14ac:dyDescent="0.2"/>
  <cols>
    <col min="1" max="1" width="13.5703125" style="12" customWidth="1"/>
    <col min="2" max="2" width="16.140625" style="12" customWidth="1"/>
    <col min="3" max="3" width="45.425781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10" x14ac:dyDescent="0.2">
      <c r="A1" s="11" t="str">
        <f ca="1">IF(INDEX(Index!$E$6:$E$38,MATCH(A2,Index!$D$6:$D$38,0))=1,LEFT(A2,SEARCH("_",A2)-1),"")</f>
        <v>Processes</v>
      </c>
      <c r="B1" s="19" t="str">
        <f>Commodities_BASE!B1</f>
        <v>REGION1</v>
      </c>
    </row>
    <row r="2" spans="1:10" ht="12.75" x14ac:dyDescent="0.2">
      <c r="A2" t="str">
        <f ca="1">MID(CELL("filename",A2),FIND("]",CELL("filename",A2))+1,255)</f>
        <v>Processes_BASE</v>
      </c>
    </row>
    <row r="4" spans="1:10" ht="18" customHeight="1" x14ac:dyDescent="0.2"/>
    <row r="7" spans="1:10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10" s="53" customFormat="1" ht="12" x14ac:dyDescent="0.2">
      <c r="A8" s="58" t="s">
        <v>614</v>
      </c>
      <c r="B8" s="19"/>
      <c r="C8" s="19"/>
    </row>
    <row r="9" spans="1:10" s="53" customFormat="1" x14ac:dyDescent="0.2">
      <c r="A9" s="50"/>
      <c r="B9" s="50" t="s">
        <v>613</v>
      </c>
      <c r="C9" s="50" t="s">
        <v>617</v>
      </c>
      <c r="D9" s="29" t="s">
        <v>126</v>
      </c>
      <c r="E9" s="31" t="s">
        <v>618</v>
      </c>
      <c r="G9" s="30"/>
      <c r="H9" s="30"/>
      <c r="I9" s="29"/>
      <c r="J9" s="29"/>
    </row>
    <row r="10" spans="1:10" s="53" customFormat="1" x14ac:dyDescent="0.2">
      <c r="A10" s="50"/>
      <c r="B10" s="50" t="s">
        <v>615</v>
      </c>
      <c r="C10" s="50" t="s">
        <v>616</v>
      </c>
      <c r="D10" s="29" t="s">
        <v>126</v>
      </c>
      <c r="E10" s="31" t="s">
        <v>623</v>
      </c>
      <c r="G10" s="30"/>
      <c r="H10" s="30"/>
      <c r="I10" s="29"/>
      <c r="J10" s="29"/>
    </row>
    <row r="11" spans="1:10" s="53" customFormat="1" ht="12" x14ac:dyDescent="0.2">
      <c r="A11" s="58" t="s">
        <v>624</v>
      </c>
      <c r="B11" s="50"/>
      <c r="C11" s="50"/>
      <c r="D11" s="29"/>
      <c r="E11" s="29"/>
      <c r="G11" s="30"/>
      <c r="H11" s="30"/>
      <c r="I11" s="29"/>
      <c r="J11" s="29"/>
    </row>
    <row r="12" spans="1:10" s="53" customFormat="1" x14ac:dyDescent="0.2">
      <c r="A12" s="50"/>
      <c r="B12" s="50" t="str">
        <f>RES!AI6</f>
        <v>ISISUGDEM</v>
      </c>
      <c r="C12" s="50" t="str">
        <f>RES!AI5</f>
        <v>Sugar to Local Market</v>
      </c>
      <c r="D12" s="29" t="s">
        <v>625</v>
      </c>
      <c r="E12" s="31" t="s">
        <v>627</v>
      </c>
      <c r="G12" s="30"/>
      <c r="H12" s="30"/>
      <c r="I12" s="29"/>
      <c r="J12" s="29"/>
    </row>
    <row r="13" spans="1:10" s="53" customFormat="1" x14ac:dyDescent="0.2">
      <c r="A13" s="50"/>
      <c r="B13" s="50" t="str">
        <f>RES!AI87</f>
        <v>EELCDEM</v>
      </c>
      <c r="C13" s="50" t="str">
        <f>RES!AI86</f>
        <v>Electricity Demand</v>
      </c>
      <c r="D13" s="29" t="s">
        <v>626</v>
      </c>
      <c r="E13" s="31" t="s">
        <v>628</v>
      </c>
      <c r="G13" s="30"/>
      <c r="H13" s="30"/>
      <c r="I13" s="29"/>
      <c r="J13" s="29"/>
    </row>
    <row r="14" spans="1:10" s="53" customFormat="1" ht="12" x14ac:dyDescent="0.2">
      <c r="A14" s="58" t="s">
        <v>687</v>
      </c>
    </row>
    <row r="15" spans="1:10" s="53" customFormat="1" x14ac:dyDescent="0.2">
      <c r="B15" s="53" t="str">
        <f>EB_Exist!H29</f>
        <v>PEXSUG</v>
      </c>
      <c r="C15" s="53" t="str">
        <f>EB_Exist!I29</f>
        <v>Sugar to Export Market</v>
      </c>
      <c r="D15" s="29" t="s">
        <v>625</v>
      </c>
      <c r="E15" s="69" t="s">
        <v>618</v>
      </c>
    </row>
    <row r="16" spans="1:10" s="53" customFormat="1" x14ac:dyDescent="0.2">
      <c r="B16" s="53" t="str">
        <f>EB_Exist!H23</f>
        <v>XISIELCEXP</v>
      </c>
      <c r="C16" s="53" t="str">
        <f>EB_Exist!I23</f>
        <v>Export to Grid from Sugar</v>
      </c>
      <c r="D16" s="69" t="s">
        <v>626</v>
      </c>
      <c r="E16" s="69" t="s">
        <v>689</v>
      </c>
    </row>
    <row r="17" spans="1:5" s="53" customFormat="1" x14ac:dyDescent="0.2">
      <c r="B17" s="53" t="str">
        <f>EB_Exist!C21</f>
        <v>XISIELC</v>
      </c>
      <c r="C17" s="53" t="str">
        <f>EB_Exist!D21</f>
        <v>Electricity from Eskom</v>
      </c>
      <c r="D17" s="69" t="s">
        <v>626</v>
      </c>
      <c r="E17" s="69" t="s">
        <v>690</v>
      </c>
    </row>
    <row r="18" spans="1:5" s="53" customFormat="1" x14ac:dyDescent="0.2">
      <c r="B18" s="53" t="str">
        <f>EB_Exist!H14</f>
        <v>XINDBIB</v>
      </c>
      <c r="C18" s="53" t="str">
        <f>EB_Exist!I14</f>
        <v>Bagasse to Local Market</v>
      </c>
      <c r="D18" s="53" t="str">
        <f>D15</f>
        <v>mt,mt/a</v>
      </c>
      <c r="E18" s="53" t="str">
        <f>E15</f>
        <v>PRC,PRE,ANNUAL</v>
      </c>
    </row>
    <row r="19" spans="1:5" s="53" customFormat="1" x14ac:dyDescent="0.2">
      <c r="B19" s="53" t="str">
        <f>EB_Exist!H25</f>
        <v>XINDBIM</v>
      </c>
      <c r="C19" s="53" t="str">
        <f>EB_Exist!I25</f>
        <v>Molasses to Local Market</v>
      </c>
      <c r="D19" s="53" t="str">
        <f>D18</f>
        <v>mt,mt/a</v>
      </c>
      <c r="E19" s="53" t="str">
        <f>E18</f>
        <v>PRC,PRE,ANNUAL</v>
      </c>
    </row>
    <row r="20" spans="1:5" s="53" customFormat="1" x14ac:dyDescent="0.2">
      <c r="B20" s="53" t="str">
        <f>RES!AI68</f>
        <v>XISIBIGEXP</v>
      </c>
      <c r="C20" s="53" t="str">
        <f>RES!AI67</f>
        <v>Biomethane to Local Market</v>
      </c>
      <c r="D20" s="29" t="s">
        <v>126</v>
      </c>
      <c r="E20" s="31" t="s">
        <v>618</v>
      </c>
    </row>
    <row r="21" spans="1:5" s="53" customFormat="1" x14ac:dyDescent="0.2">
      <c r="B21" s="53" t="str">
        <f>RES!AI12</f>
        <v>XTRAOGS</v>
      </c>
      <c r="C21" s="53" t="str">
        <f>RES!AI11</f>
        <v>Ethanol to Local Market</v>
      </c>
      <c r="D21" s="29" t="s">
        <v>126</v>
      </c>
      <c r="E21" s="31" t="s">
        <v>618</v>
      </c>
    </row>
    <row r="22" spans="1:5" s="53" customFormat="1" ht="12" x14ac:dyDescent="0.2">
      <c r="A22" s="58" t="s">
        <v>685</v>
      </c>
      <c r="B22" s="50"/>
      <c r="C22" s="50"/>
      <c r="D22" s="29"/>
      <c r="E22" s="29"/>
    </row>
    <row r="23" spans="1:5" s="53" customFormat="1" x14ac:dyDescent="0.2">
      <c r="A23" s="50"/>
      <c r="B23" s="50" t="str">
        <f>EB_Exist!C4</f>
        <v>XINDCOA</v>
      </c>
      <c r="C23" s="50" t="str">
        <f>EB_Exist!D4</f>
        <v>Industry Coal Supply</v>
      </c>
      <c r="D23" s="29" t="s">
        <v>126</v>
      </c>
      <c r="E23" s="31" t="s">
        <v>623</v>
      </c>
    </row>
    <row r="24" spans="1:5" s="53" customFormat="1" ht="12" x14ac:dyDescent="0.2">
      <c r="A24" s="58"/>
      <c r="B24" s="53" t="str">
        <f>EB_Exist!C6</f>
        <v>XBIW</v>
      </c>
      <c r="C24" s="53" t="str">
        <f>EB_Exist!D6</f>
        <v>Biomass Woodchip Supply</v>
      </c>
      <c r="D24" s="29" t="s">
        <v>126</v>
      </c>
      <c r="E24" s="31" t="s">
        <v>623</v>
      </c>
    </row>
    <row r="25" spans="1:5" s="53" customFormat="1" ht="12" x14ac:dyDescent="0.2">
      <c r="A25" s="58"/>
      <c r="B25" s="53" t="str">
        <f>EB_Exist!C10</f>
        <v>XBCL</v>
      </c>
      <c r="C25" s="53" t="str">
        <f>EB_Exist!D10</f>
        <v>Recoverable Leaves Supply</v>
      </c>
      <c r="D25" s="29" t="s">
        <v>126</v>
      </c>
      <c r="E25" s="31" t="s">
        <v>623</v>
      </c>
    </row>
    <row r="26" spans="1:5" s="53" customFormat="1" x14ac:dyDescent="0.2">
      <c r="A26" s="50"/>
      <c r="B26" s="50" t="str">
        <f>EB_Exist!C8</f>
        <v>XBSC</v>
      </c>
      <c r="C26" s="50" t="str">
        <f>EB_Exist!D8</f>
        <v>Cane_Into Factory Supply</v>
      </c>
      <c r="D26" s="29" t="s">
        <v>625</v>
      </c>
      <c r="E26" s="31" t="s">
        <v>691</v>
      </c>
    </row>
    <row r="27" spans="1:5" s="53" customFormat="1" ht="12" x14ac:dyDescent="0.2">
      <c r="A27" s="58" t="s">
        <v>686</v>
      </c>
      <c r="B27" s="50"/>
      <c r="C27" s="50"/>
      <c r="D27" s="29"/>
      <c r="E27" s="29"/>
    </row>
    <row r="28" spans="1:5" s="53" customFormat="1" x14ac:dyDescent="0.2">
      <c r="A28" s="50"/>
      <c r="B28" s="50" t="str">
        <f>EB_Exist!C12</f>
        <v>ISIMIL</v>
      </c>
      <c r="C28" s="50" t="str">
        <f>EB_Exist!D12</f>
        <v>Existing Milling Plant</v>
      </c>
      <c r="D28" s="29" t="s">
        <v>625</v>
      </c>
      <c r="E28" s="31" t="s">
        <v>719</v>
      </c>
    </row>
    <row r="29" spans="1:5" s="53" customFormat="1" x14ac:dyDescent="0.2">
      <c r="A29" s="50"/>
      <c r="B29" s="50" t="str">
        <f>EB_Exist!C17</f>
        <v>ISICHPEX</v>
      </c>
      <c r="C29" s="50" t="str">
        <f>EB_Exist!D17</f>
        <v>Existing CHP Plant</v>
      </c>
      <c r="D29" s="29" t="s">
        <v>626</v>
      </c>
      <c r="E29" s="31" t="s">
        <v>720</v>
      </c>
    </row>
    <row r="30" spans="1:5" s="53" customFormat="1" x14ac:dyDescent="0.2">
      <c r="A30" s="50"/>
      <c r="B30" s="50" t="str">
        <f>EB_Exist!C25</f>
        <v>UBSCSUG</v>
      </c>
      <c r="C30" s="50" t="str">
        <f>EB_Exist!D25</f>
        <v>B and C Stages</v>
      </c>
      <c r="D30" s="29" t="s">
        <v>126</v>
      </c>
      <c r="E30" s="31" t="s">
        <v>719</v>
      </c>
    </row>
    <row r="31" spans="1:5" s="53" customFormat="1" x14ac:dyDescent="0.2">
      <c r="A31" s="50"/>
      <c r="B31" s="50"/>
      <c r="C31" s="50"/>
      <c r="D31" s="29"/>
      <c r="E31" s="29"/>
    </row>
    <row r="32" spans="1:5" s="53" customFormat="1" x14ac:dyDescent="0.2">
      <c r="A32" s="50"/>
      <c r="B32" s="50"/>
      <c r="C32" s="50"/>
      <c r="D32" s="29"/>
      <c r="E32" s="29"/>
    </row>
    <row r="33" spans="1:10" s="53" customFormat="1" ht="12" x14ac:dyDescent="0.2">
      <c r="A33" s="59"/>
      <c r="B33" s="59"/>
      <c r="C33" s="59"/>
      <c r="D33" s="59"/>
      <c r="E33" s="29"/>
    </row>
    <row r="34" spans="1:10" s="53" customFormat="1" ht="12" x14ac:dyDescent="0.2">
      <c r="A34" s="59"/>
      <c r="B34" s="59"/>
      <c r="C34" s="59"/>
      <c r="D34" s="59"/>
      <c r="E34" s="58"/>
    </row>
    <row r="35" spans="1:10" s="53" customFormat="1" ht="12" x14ac:dyDescent="0.2">
      <c r="A35" s="59"/>
      <c r="B35" s="50"/>
      <c r="C35" s="50"/>
      <c r="D35" s="29"/>
      <c r="E35" s="29"/>
    </row>
    <row r="36" spans="1:10" s="53" customFormat="1" ht="12" x14ac:dyDescent="0.2">
      <c r="A36" s="59"/>
      <c r="B36" s="50"/>
      <c r="C36" s="50"/>
      <c r="D36" s="29"/>
      <c r="E36" s="29"/>
    </row>
    <row r="37" spans="1:10" s="53" customFormat="1" ht="12" x14ac:dyDescent="0.2">
      <c r="A37" s="59"/>
      <c r="B37" s="50"/>
      <c r="C37" s="50"/>
      <c r="D37" s="29"/>
      <c r="E37" s="29"/>
    </row>
    <row r="38" spans="1:10" s="53" customFormat="1" ht="12" x14ac:dyDescent="0.2">
      <c r="A38" s="59"/>
      <c r="B38" s="50"/>
      <c r="C38" s="50"/>
      <c r="D38" s="29"/>
      <c r="E38" s="29"/>
    </row>
    <row r="39" spans="1:10" s="53" customFormat="1" ht="12" x14ac:dyDescent="0.2">
      <c r="A39" s="59"/>
      <c r="B39" s="50"/>
      <c r="C39" s="50"/>
      <c r="D39" s="29"/>
      <c r="E39" s="29"/>
    </row>
    <row r="40" spans="1:10" s="53" customFormat="1" ht="12" x14ac:dyDescent="0.2">
      <c r="A40" s="59"/>
      <c r="B40" s="59"/>
      <c r="C40" s="59"/>
      <c r="D40" s="12"/>
      <c r="E40" s="12"/>
    </row>
    <row r="41" spans="1:10" s="53" customFormat="1" ht="12" x14ac:dyDescent="0.2">
      <c r="A41" s="59"/>
      <c r="B41" s="50"/>
      <c r="C41" s="50"/>
      <c r="D41" s="29"/>
      <c r="E41" s="29"/>
    </row>
    <row r="42" spans="1:10" s="53" customFormat="1" ht="12" x14ac:dyDescent="0.2">
      <c r="A42" s="59"/>
      <c r="B42" s="50"/>
      <c r="C42" s="50"/>
      <c r="D42" s="29"/>
      <c r="E42" s="29"/>
    </row>
    <row r="43" spans="1:10" s="53" customFormat="1" ht="12" x14ac:dyDescent="0.2">
      <c r="A43" s="59"/>
      <c r="B43" s="50"/>
      <c r="C43" s="50"/>
      <c r="D43" s="29"/>
      <c r="E43" s="29"/>
    </row>
    <row r="44" spans="1:10" s="53" customFormat="1" ht="12" x14ac:dyDescent="0.2">
      <c r="A44" s="59"/>
      <c r="B44" s="50"/>
      <c r="C44" s="50"/>
      <c r="D44" s="29"/>
      <c r="E44" s="29"/>
    </row>
    <row r="45" spans="1:10" s="53" customFormat="1" ht="12.75" x14ac:dyDescent="0.2">
      <c r="A45" s="59"/>
      <c r="B45" s="18"/>
      <c r="C45" s="18"/>
      <c r="D45" s="18"/>
      <c r="E45" s="18"/>
      <c r="G45" s="52"/>
      <c r="H45" s="52"/>
      <c r="I45" s="19"/>
      <c r="J45" s="19"/>
    </row>
    <row r="46" spans="1:10" s="53" customFormat="1" x14ac:dyDescent="0.2">
      <c r="A46" s="60"/>
      <c r="B46" s="22"/>
      <c r="C46" s="22"/>
      <c r="D46" s="29"/>
      <c r="E46" s="29"/>
      <c r="F46" s="19"/>
      <c r="G46" s="48"/>
      <c r="H46" s="48"/>
      <c r="I46" s="29"/>
      <c r="J46" s="29"/>
    </row>
    <row r="47" spans="1:10" s="53" customFormat="1" x14ac:dyDescent="0.2">
      <c r="A47" s="60"/>
      <c r="B47" s="22"/>
      <c r="C47" s="22"/>
      <c r="D47" s="29"/>
      <c r="E47" s="29"/>
      <c r="F47" s="19"/>
      <c r="G47" s="48"/>
      <c r="H47" s="48"/>
      <c r="I47" s="29"/>
      <c r="J47" s="29"/>
    </row>
    <row r="48" spans="1:10" s="53" customFormat="1" x14ac:dyDescent="0.2">
      <c r="A48" s="60"/>
      <c r="B48" s="22"/>
      <c r="C48" s="22"/>
      <c r="D48" s="29"/>
      <c r="E48" s="29"/>
      <c r="F48" s="19"/>
      <c r="G48" s="48"/>
      <c r="H48" s="48"/>
      <c r="I48" s="29"/>
      <c r="J48" s="29"/>
    </row>
    <row r="49" spans="1:10" s="53" customFormat="1" x14ac:dyDescent="0.2">
      <c r="A49" s="60"/>
      <c r="B49" s="22"/>
      <c r="C49" s="22"/>
      <c r="D49" s="29"/>
      <c r="E49" s="29"/>
      <c r="F49" s="19"/>
      <c r="G49" s="48"/>
      <c r="H49" s="48"/>
      <c r="I49" s="29"/>
      <c r="J49" s="29"/>
    </row>
    <row r="50" spans="1:10" s="53" customFormat="1" x14ac:dyDescent="0.2">
      <c r="A50" s="19"/>
      <c r="B50" s="22"/>
      <c r="C50" s="22"/>
      <c r="D50" s="29"/>
      <c r="E50" s="29"/>
      <c r="F50" s="19"/>
      <c r="G50" s="48"/>
      <c r="H50" s="48"/>
      <c r="I50" s="29"/>
      <c r="J50" s="29"/>
    </row>
    <row r="51" spans="1:10" s="53" customFormat="1" ht="12" customHeight="1" x14ac:dyDescent="0.2">
      <c r="A51" s="60"/>
      <c r="B51" s="22"/>
      <c r="C51" s="22"/>
      <c r="D51" s="29"/>
      <c r="E51" s="29"/>
      <c r="G51" s="51"/>
      <c r="H51" s="51"/>
      <c r="I51" s="19"/>
      <c r="J51" s="19"/>
    </row>
    <row r="52" spans="1:10" s="53" customFormat="1" x14ac:dyDescent="0.2">
      <c r="A52" s="60"/>
      <c r="B52" s="22"/>
      <c r="C52" s="22"/>
      <c r="D52" s="29"/>
      <c r="E52" s="29"/>
    </row>
    <row r="53" spans="1:10" s="53" customFormat="1" x14ac:dyDescent="0.2">
      <c r="A53" s="60"/>
      <c r="B53" s="22"/>
      <c r="C53" s="22"/>
      <c r="D53" s="29"/>
      <c r="E53" s="29"/>
      <c r="F53" s="56"/>
      <c r="G53" s="48"/>
      <c r="H53" s="48"/>
      <c r="I53" s="29"/>
      <c r="J53" s="29"/>
    </row>
    <row r="54" spans="1:10" s="53" customFormat="1" x14ac:dyDescent="0.2">
      <c r="A54" s="60"/>
      <c r="B54" s="22"/>
      <c r="C54" s="22"/>
      <c r="D54" s="29"/>
      <c r="E54" s="29"/>
      <c r="F54" s="56"/>
      <c r="G54" s="48"/>
      <c r="H54" s="48"/>
      <c r="I54" s="29"/>
      <c r="J54" s="29"/>
    </row>
    <row r="55" spans="1:10" s="53" customFormat="1" x14ac:dyDescent="0.2">
      <c r="A55" s="60"/>
      <c r="B55" s="22"/>
      <c r="C55" s="22"/>
      <c r="D55" s="29"/>
      <c r="E55" s="29"/>
      <c r="F55" s="56"/>
      <c r="G55" s="48"/>
      <c r="H55" s="48"/>
      <c r="I55" s="29"/>
      <c r="J55" s="29"/>
    </row>
    <row r="56" spans="1:10" s="53" customFormat="1" ht="11.45" customHeight="1" x14ac:dyDescent="0.2">
      <c r="A56" s="60"/>
      <c r="B56" s="22"/>
      <c r="C56" s="22"/>
      <c r="D56" s="29"/>
      <c r="E56" s="29"/>
      <c r="F56" s="19"/>
      <c r="G56" s="18"/>
      <c r="H56" s="18"/>
      <c r="I56" s="18"/>
      <c r="J56" s="18"/>
    </row>
    <row r="57" spans="1:10" s="53" customFormat="1" x14ac:dyDescent="0.2">
      <c r="A57" s="60"/>
      <c r="B57" s="22"/>
      <c r="C57" s="22"/>
      <c r="D57" s="29"/>
      <c r="E57" s="29"/>
    </row>
    <row r="58" spans="1:10" s="53" customFormat="1" x14ac:dyDescent="0.2">
      <c r="A58" s="60"/>
      <c r="B58" s="22"/>
      <c r="C58" s="22"/>
      <c r="D58" s="29"/>
      <c r="E58" s="29"/>
      <c r="F58" s="19"/>
      <c r="G58" s="48"/>
      <c r="H58" s="48"/>
      <c r="I58" s="29"/>
      <c r="J58" s="29"/>
    </row>
    <row r="59" spans="1:10" s="53" customFormat="1" x14ac:dyDescent="0.2">
      <c r="A59" s="60"/>
      <c r="B59" s="22"/>
      <c r="C59" s="22"/>
      <c r="D59" s="29"/>
      <c r="E59" s="29"/>
      <c r="F59" s="56"/>
      <c r="G59" s="48"/>
      <c r="H59" s="48"/>
      <c r="I59" s="29"/>
      <c r="J59" s="29"/>
    </row>
    <row r="60" spans="1:10" x14ac:dyDescent="0.2">
      <c r="A60" s="60"/>
      <c r="B60" s="22"/>
      <c r="C60" s="22"/>
      <c r="D60" s="29"/>
      <c r="E60" s="29"/>
    </row>
    <row r="61" spans="1:10" x14ac:dyDescent="0.2">
      <c r="A61" s="60"/>
      <c r="B61" s="22"/>
      <c r="C61" s="22"/>
      <c r="D61" s="29"/>
      <c r="E61" s="29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8001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128001" r:id="rId4" name="cmdSpecifySets"/>
      </mc:Fallback>
    </mc:AlternateContent>
    <mc:AlternateContent xmlns:mc="http://schemas.openxmlformats.org/markup-compatibility/2006">
      <mc:Choice Requires="x14">
        <control shapeId="128002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28002" r:id="rId6" name="cmdCheckTechnologiesSheet"/>
      </mc:Fallback>
    </mc:AlternateContent>
    <mc:AlternateContent xmlns:mc="http://schemas.openxmlformats.org/markup-compatibility/2006">
      <mc:Choice Requires="x14">
        <control shapeId="128003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128003" r:id="rId8" name="cmdProcUnits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>
      <pane xSplit="7" ySplit="7" topLeftCell="H8" activePane="bottomRight" state="frozen"/>
      <selection pane="topRight" activeCell="J1" sqref="J1"/>
      <selection pane="bottomLeft" activeCell="A8" sqref="A8"/>
      <selection pane="bottomRight"/>
    </sheetView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4" name="cmdAddParamQualifier2"/>
      </mc:Fallback>
    </mc:AlternateContent>
    <mc:AlternateContent xmlns:mc="http://schemas.openxmlformats.org/markup-compatibility/2006">
      <mc:Choice Requires="x14">
        <control shapeId="113670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6" name="cmdCheckTechDataSheet"/>
      </mc:Fallback>
    </mc:AlternateContent>
    <mc:AlternateContent xmlns:mc="http://schemas.openxmlformats.org/markup-compatibility/2006">
      <mc:Choice Requires="x14">
        <control shapeId="113669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8" name="cmdAddParamQualifier1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7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12" name="cmdCommOUT"/>
      </mc:Fallback>
    </mc:AlternateContent>
    <mc:AlternateContent xmlns:mc="http://schemas.openxmlformats.org/markup-compatibility/2006">
      <mc:Choice Requires="x14">
        <control shapeId="113666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14" name="cmdCommIN"/>
      </mc:Fallback>
    </mc:AlternateContent>
    <mc:AlternateContent xmlns:mc="http://schemas.openxmlformats.org/markup-compatibility/2006">
      <mc:Choice Requires="x14">
        <control shapeId="113665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16" name="cmdTechNameAndDesc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4"/>
  </sheetPr>
  <dimension ref="A1:J31"/>
  <sheetViews>
    <sheetView zoomScaleNormal="100" workbookViewId="0">
      <pane xSplit="7" ySplit="7" topLeftCell="H8" activePane="bottomRight" state="frozen"/>
      <selection pane="topRight" activeCell="J1" sqref="J1"/>
      <selection pane="bottomLeft" activeCell="A8" sqref="A8"/>
      <selection pane="bottomRight" sqref="A1:A2"/>
    </sheetView>
  </sheetViews>
  <sheetFormatPr defaultColWidth="9.140625" defaultRowHeight="11.25" customHeight="1" x14ac:dyDescent="0.2"/>
  <cols>
    <col min="1" max="1" width="12.28515625" style="12" customWidth="1"/>
    <col min="2" max="2" width="15.28515625" style="12" customWidth="1"/>
    <col min="3" max="3" width="36.140625" style="12" customWidth="1"/>
    <col min="4" max="4" width="8.5703125" style="12" customWidth="1"/>
    <col min="5" max="5" width="12.2851562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10" ht="11.25" customHeight="1" x14ac:dyDescent="0.2">
      <c r="A1" s="11" t="str">
        <f ca="1">IF(INDEX(Index!$E$6:$E$38,MATCH(A2,Index!$D$6:$D$38,0))=1,LEFT(A2,SEARCH("_",A2)-1),"")</f>
        <v>ProcData</v>
      </c>
      <c r="B1" s="19" t="str">
        <f>Commodities_BASE!B1</f>
        <v>REGION1</v>
      </c>
      <c r="H1" s="53"/>
    </row>
    <row r="2" spans="1:10" ht="11.25" customHeight="1" x14ac:dyDescent="0.2">
      <c r="A2" t="str">
        <f ca="1">MID(CELL("filename",A2),FIND("]",CELL("filename",A2))+1,255)</f>
        <v>ProcData_Basic</v>
      </c>
      <c r="H2" s="50"/>
    </row>
    <row r="3" spans="1:10" ht="21.75" customHeight="1" x14ac:dyDescent="0.2">
      <c r="A3" s="22"/>
      <c r="H3" s="50"/>
    </row>
    <row r="4" spans="1:10" ht="17.25" customHeight="1" x14ac:dyDescent="0.2">
      <c r="A4" s="22"/>
      <c r="E4" s="46"/>
      <c r="F4" s="46"/>
      <c r="G4" s="46"/>
      <c r="H4" s="69" t="s">
        <v>129</v>
      </c>
      <c r="I4" s="69" t="s">
        <v>128</v>
      </c>
      <c r="J4" s="26" t="s">
        <v>619</v>
      </c>
    </row>
    <row r="5" spans="1:10" ht="16.5" customHeight="1" x14ac:dyDescent="0.2">
      <c r="A5" s="22"/>
      <c r="H5" s="69" t="s">
        <v>27</v>
      </c>
      <c r="J5" s="26" t="str">
        <f>F9</f>
        <v>ZZZ</v>
      </c>
    </row>
    <row r="6" spans="1:10" ht="17.25" customHeight="1" x14ac:dyDescent="0.2">
      <c r="A6" s="22"/>
      <c r="H6" s="69" t="s">
        <v>130</v>
      </c>
      <c r="J6" s="71"/>
    </row>
    <row r="7" spans="1:10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  <c r="H7" s="49"/>
      <c r="J7" s="26" t="s">
        <v>44</v>
      </c>
    </row>
    <row r="8" spans="1:10" s="45" customFormat="1" ht="16.5" customHeight="1" x14ac:dyDescent="0.2">
      <c r="A8" s="58" t="str">
        <f>Processes_BASE!A8</f>
        <v>* Backstop For Fuel Production</v>
      </c>
      <c r="B8" s="61"/>
      <c r="C8" s="61"/>
      <c r="D8" s="15"/>
      <c r="E8" s="61"/>
      <c r="F8" s="61"/>
      <c r="G8" s="15"/>
      <c r="H8" s="49"/>
    </row>
    <row r="9" spans="1:10" s="53" customFormat="1" ht="11.25" customHeight="1" x14ac:dyDescent="0.2">
      <c r="A9" s="50"/>
      <c r="B9" s="50" t="str">
        <f>Processes_BASE!B10</f>
        <v>MNZZZ</v>
      </c>
      <c r="C9" s="50" t="str">
        <f>Processes_BASE!C10</f>
        <v>Backstop for whole system</v>
      </c>
      <c r="D9" s="53" t="str">
        <f>Processes_BASE!D10</f>
        <v>PJ,PJa</v>
      </c>
      <c r="F9" s="53" t="str">
        <f>Commodities_BASE!B8</f>
        <v>ZZZ</v>
      </c>
      <c r="G9" s="64"/>
      <c r="H9" s="65"/>
      <c r="I9" s="53">
        <v>9999</v>
      </c>
    </row>
    <row r="10" spans="1:10" s="53" customFormat="1" ht="11.25" customHeight="1" x14ac:dyDescent="0.2">
      <c r="A10" s="50"/>
      <c r="B10" s="50" t="str">
        <f>Processes_BASE!B9</f>
        <v>ZZBKNRG</v>
      </c>
      <c r="C10" s="53" t="str">
        <f>Processes_BASE!C9</f>
        <v>Backstop for all commodities</v>
      </c>
      <c r="D10" s="53" t="str">
        <f>Processes_BASE!D9</f>
        <v>PJ,PJa</v>
      </c>
      <c r="E10" s="53" t="s">
        <v>597</v>
      </c>
      <c r="G10" s="64" t="s">
        <v>136</v>
      </c>
      <c r="J10" s="53">
        <v>1</v>
      </c>
    </row>
    <row r="11" spans="1:10" s="53" customFormat="1" ht="11.25" customHeight="1" x14ac:dyDescent="0.2">
      <c r="A11" s="50"/>
      <c r="B11" s="50" t="str">
        <f>B10</f>
        <v>ZZBKNRG</v>
      </c>
      <c r="C11" s="53" t="str">
        <f>C10</f>
        <v>Backstop for all commodities</v>
      </c>
      <c r="D11" s="53" t="str">
        <f>Processes_BASE!D10</f>
        <v>PJ,PJa</v>
      </c>
      <c r="F11" s="63" t="str">
        <f>Commodities_BASE!B10</f>
        <v>INDCOA</v>
      </c>
      <c r="G11" s="64"/>
      <c r="H11" s="65">
        <v>1</v>
      </c>
    </row>
    <row r="12" spans="1:10" s="53" customFormat="1" ht="11.25" customHeight="1" x14ac:dyDescent="0.2">
      <c r="A12" s="50"/>
      <c r="B12" s="50"/>
      <c r="F12" s="63" t="str">
        <f>Commodities_BASE!B11</f>
        <v>BSC</v>
      </c>
      <c r="G12" s="64"/>
      <c r="H12" s="65"/>
    </row>
    <row r="13" spans="1:10" s="53" customFormat="1" ht="11.25" customHeight="1" x14ac:dyDescent="0.2">
      <c r="A13" s="50"/>
      <c r="B13" s="50"/>
      <c r="F13" s="63" t="str">
        <f>Commodities_BASE!B12</f>
        <v>BCL</v>
      </c>
      <c r="G13" s="64"/>
      <c r="H13" s="65"/>
    </row>
    <row r="14" spans="1:10" s="53" customFormat="1" ht="11.25" customHeight="1" x14ac:dyDescent="0.2">
      <c r="A14" s="50"/>
      <c r="B14" s="50"/>
      <c r="F14" s="63" t="str">
        <f>Commodities_BASE!B13</f>
        <v>BIW</v>
      </c>
      <c r="G14" s="64"/>
      <c r="H14" s="65"/>
    </row>
    <row r="15" spans="1:10" s="53" customFormat="1" ht="11.25" customHeight="1" x14ac:dyDescent="0.2">
      <c r="A15" s="66"/>
      <c r="B15" s="66"/>
      <c r="C15" s="67"/>
      <c r="D15" s="67"/>
      <c r="E15" s="66"/>
      <c r="F15" s="63" t="str">
        <f>Commodities_BASE!B14</f>
        <v>PWRGAS</v>
      </c>
      <c r="G15" s="64"/>
      <c r="H15" s="65"/>
    </row>
    <row r="16" spans="1:10" ht="11.25" customHeight="1" x14ac:dyDescent="0.2">
      <c r="F16" s="63" t="str">
        <f>Commodities_BASE!B15</f>
        <v>PWRCLE</v>
      </c>
    </row>
    <row r="17" spans="6:6" ht="11.25" customHeight="1" x14ac:dyDescent="0.2">
      <c r="F17" s="63" t="str">
        <f>Commodities_BASE!B16</f>
        <v>ISIBIB</v>
      </c>
    </row>
    <row r="18" spans="6:6" ht="11.25" customHeight="1" x14ac:dyDescent="0.2">
      <c r="F18" s="63" t="str">
        <f>Commodities_BASE!B17</f>
        <v>BCS</v>
      </c>
    </row>
    <row r="19" spans="6:6" ht="11.25" customHeight="1" x14ac:dyDescent="0.2">
      <c r="F19" s="63" t="str">
        <f>Commodities_BASE!B18</f>
        <v>ISIBIG</v>
      </c>
    </row>
    <row r="20" spans="6:6" ht="11.25" customHeight="1" x14ac:dyDescent="0.2">
      <c r="F20" s="63" t="str">
        <f>Commodities_BASE!B19</f>
        <v>ISIELC</v>
      </c>
    </row>
    <row r="21" spans="6:6" ht="11.25" customHeight="1" x14ac:dyDescent="0.2">
      <c r="F21" s="63" t="str">
        <f>Commodities_BASE!B20</f>
        <v>ELCC</v>
      </c>
    </row>
    <row r="22" spans="6:6" ht="11.25" customHeight="1" x14ac:dyDescent="0.2">
      <c r="F22" s="63" t="str">
        <f>Commodities_BASE!B21</f>
        <v>ISIHET</v>
      </c>
    </row>
    <row r="23" spans="6:6" ht="11.25" customHeight="1" x14ac:dyDescent="0.2">
      <c r="F23" s="63" t="str">
        <f>Commodities_BASE!B22</f>
        <v>ISIBML</v>
      </c>
    </row>
    <row r="24" spans="6:6" ht="11.25" customHeight="1" x14ac:dyDescent="0.2">
      <c r="F24" s="63" t="str">
        <f>Commodities_BASE!B24</f>
        <v>ISISUG</v>
      </c>
    </row>
    <row r="25" spans="6:6" ht="11.25" customHeight="1" x14ac:dyDescent="0.2">
      <c r="F25" s="63" t="str">
        <f>Commodities_BASE!B25</f>
        <v>BIE</v>
      </c>
    </row>
    <row r="26" spans="6:6" ht="11.25" customHeight="1" x14ac:dyDescent="0.2">
      <c r="F26" s="63" t="str">
        <f>Commodities_BASE!B26</f>
        <v>ELC</v>
      </c>
    </row>
    <row r="27" spans="6:6" ht="11.25" customHeight="1" x14ac:dyDescent="0.2">
      <c r="F27" s="63" t="str">
        <f>Commodities_BASE!B27</f>
        <v>SUG</v>
      </c>
    </row>
    <row r="28" spans="6:6" ht="11.25" customHeight="1" x14ac:dyDescent="0.2">
      <c r="F28" s="63" t="str">
        <f>Commodities_BASE!B28</f>
        <v>TRABIE</v>
      </c>
    </row>
    <row r="29" spans="6:6" ht="11.25" customHeight="1" x14ac:dyDescent="0.2">
      <c r="F29" s="63" t="str">
        <f>Commodities_BASE!B29</f>
        <v>BIB</v>
      </c>
    </row>
    <row r="30" spans="6:6" ht="11.25" customHeight="1" x14ac:dyDescent="0.2">
      <c r="F30" s="63"/>
    </row>
    <row r="31" spans="6:6" ht="11.25" customHeight="1" x14ac:dyDescent="0.2">
      <c r="F31" s="63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9025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129025" r:id="rId4" name="cmdTechNameAndDesc"/>
      </mc:Fallback>
    </mc:AlternateContent>
    <mc:AlternateContent xmlns:mc="http://schemas.openxmlformats.org/markup-compatibility/2006">
      <mc:Choice Requires="x14">
        <control shapeId="129026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29026" r:id="rId6" name="cmdCommIN"/>
      </mc:Fallback>
    </mc:AlternateContent>
    <mc:AlternateContent xmlns:mc="http://schemas.openxmlformats.org/markup-compatibility/2006">
      <mc:Choice Requires="x14">
        <control shapeId="129027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29027" r:id="rId8" name="cmdCommOUT"/>
      </mc:Fallback>
    </mc:AlternateContent>
    <mc:AlternateContent xmlns:mc="http://schemas.openxmlformats.org/markup-compatibility/2006">
      <mc:Choice Requires="x14">
        <control shapeId="12902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29028" r:id="rId10" name="cmdAddParameter"/>
      </mc:Fallback>
    </mc:AlternateContent>
    <mc:AlternateContent xmlns:mc="http://schemas.openxmlformats.org/markup-compatibility/2006">
      <mc:Choice Requires="x14">
        <control shapeId="129029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190500</xdr:rowOff>
              </to>
            </anchor>
          </controlPr>
        </control>
      </mc:Choice>
      <mc:Fallback>
        <control shapeId="129029" r:id="rId12" name="cmdAddParamQualifier1"/>
      </mc:Fallback>
    </mc:AlternateContent>
    <mc:AlternateContent xmlns:mc="http://schemas.openxmlformats.org/markup-compatibility/2006">
      <mc:Choice Requires="x14">
        <control shapeId="129030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129030" r:id="rId14" name="cmdCheckTechDataSheet"/>
      </mc:Fallback>
    </mc:AlternateContent>
    <mc:AlternateContent xmlns:mc="http://schemas.openxmlformats.org/markup-compatibility/2006">
      <mc:Choice Requires="x14">
        <control shapeId="129031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129031" r:id="rId16" name="cmdAddParamQualifier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>
    <tabColor theme="4"/>
  </sheetPr>
  <dimension ref="A1:H29"/>
  <sheetViews>
    <sheetView zoomScaleNormal="100" workbookViewId="0">
      <pane xSplit="7" ySplit="7" topLeftCell="H8" activePane="bottomRight" state="frozen"/>
      <selection pane="topRight" activeCell="J1" sqref="J1"/>
      <selection pane="bottomLeft" activeCell="A8" sqref="A8"/>
      <selection pane="bottomRight" activeCell="H7" sqref="H7"/>
    </sheetView>
  </sheetViews>
  <sheetFormatPr defaultColWidth="9.140625" defaultRowHeight="11.25" customHeight="1" x14ac:dyDescent="0.2"/>
  <cols>
    <col min="1" max="1" width="12.28515625" style="12" customWidth="1"/>
    <col min="2" max="2" width="18.5703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8" ht="11.25" customHeight="1" x14ac:dyDescent="0.2">
      <c r="A1" s="11" t="str">
        <f ca="1">IF(INDEX(Index!$E$6:$E$38,MATCH(A2,Index!$D$6:$D$38,0))=1,LEFT(A2,SEARCH("_",A2)-1),"")</f>
        <v>ProcData</v>
      </c>
      <c r="B1" s="19" t="str">
        <f>Commodities_BASE!B1</f>
        <v>REGION1</v>
      </c>
      <c r="H1" s="53"/>
    </row>
    <row r="2" spans="1:8" ht="11.25" customHeight="1" x14ac:dyDescent="0.2">
      <c r="A2" t="str">
        <f ca="1">MID(CELL("filename",A2),FIND("]",CELL("filename",A2))+1,255)</f>
        <v>ProcData_Demands</v>
      </c>
      <c r="H2" s="50"/>
    </row>
    <row r="3" spans="1:8" ht="21.75" customHeight="1" x14ac:dyDescent="0.2">
      <c r="A3" s="22"/>
      <c r="H3" s="50"/>
    </row>
    <row r="4" spans="1:8" ht="17.25" customHeight="1" x14ac:dyDescent="0.2">
      <c r="A4" s="22"/>
      <c r="E4" s="46"/>
      <c r="F4" s="46"/>
      <c r="G4" s="46"/>
      <c r="H4" s="69" t="s">
        <v>129</v>
      </c>
    </row>
    <row r="5" spans="1:8" ht="16.5" customHeight="1" x14ac:dyDescent="0.2">
      <c r="A5" s="22"/>
      <c r="H5" s="69" t="s">
        <v>27</v>
      </c>
    </row>
    <row r="6" spans="1:8" ht="17.25" customHeight="1" x14ac:dyDescent="0.2">
      <c r="A6" s="22"/>
      <c r="H6" s="69" t="s">
        <v>130</v>
      </c>
    </row>
    <row r="7" spans="1:8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  <c r="H7" s="49"/>
    </row>
    <row r="8" spans="1:8" s="53" customFormat="1" ht="11.25" customHeight="1" x14ac:dyDescent="0.2">
      <c r="A8" s="66"/>
      <c r="B8" s="50" t="str">
        <f>Processes_BASE!B12</f>
        <v>ISISUGDEM</v>
      </c>
      <c r="C8" s="50" t="str">
        <f>Processes_BASE!C12</f>
        <v>Sugar to Local Market</v>
      </c>
      <c r="D8" s="50" t="str">
        <f>Processes_BASE!D12</f>
        <v>mt,mt/a</v>
      </c>
      <c r="E8" s="50" t="str">
        <f>RES!AC2</f>
        <v>ISISUG</v>
      </c>
      <c r="F8" s="53" t="str">
        <f>RES!AM2</f>
        <v>SUGDEM</v>
      </c>
      <c r="G8" s="64"/>
      <c r="H8" s="68">
        <f>1/EB_Exist!G30</f>
        <v>6.0573901371150839E-2</v>
      </c>
    </row>
    <row r="9" spans="1:8" s="53" customFormat="1" ht="11.25" customHeight="1" x14ac:dyDescent="0.2">
      <c r="A9" s="66"/>
      <c r="B9" s="50" t="str">
        <f>Processes_BASE!B13</f>
        <v>EELCDEM</v>
      </c>
      <c r="C9" s="50" t="str">
        <f>Processes_BASE!C13</f>
        <v>Electricity Demand</v>
      </c>
      <c r="D9" s="50" t="str">
        <f>Processes_BASE!D13</f>
        <v>PJ,GW</v>
      </c>
      <c r="E9" s="50" t="str">
        <f>RES!AE2</f>
        <v>ELC</v>
      </c>
      <c r="F9" s="53" t="str">
        <f>RES!AN2</f>
        <v>ELCDEM</v>
      </c>
      <c r="G9" s="64"/>
      <c r="H9" s="68">
        <v>1</v>
      </c>
    </row>
    <row r="10" spans="1:8" s="53" customFormat="1" ht="11.25" customHeight="1" x14ac:dyDescent="0.2">
      <c r="A10" s="66"/>
      <c r="B10" s="66"/>
      <c r="C10" s="66"/>
      <c r="D10" s="66"/>
      <c r="E10" s="66"/>
      <c r="G10" s="64"/>
      <c r="H10" s="68"/>
    </row>
    <row r="11" spans="1:8" s="53" customFormat="1" ht="11.25" customHeight="1" x14ac:dyDescent="0.2">
      <c r="A11" s="50"/>
      <c r="B11" s="50"/>
      <c r="G11" s="64"/>
      <c r="H11" s="50"/>
    </row>
    <row r="12" spans="1:8" s="53" customFormat="1" ht="11.25" customHeight="1" x14ac:dyDescent="0.2">
      <c r="A12" s="70"/>
      <c r="G12" s="64"/>
      <c r="H12" s="50"/>
    </row>
    <row r="13" spans="1:8" s="53" customFormat="1" ht="11.25" customHeight="1" x14ac:dyDescent="0.2">
      <c r="A13" s="70"/>
      <c r="G13" s="64"/>
      <c r="H13" s="50"/>
    </row>
    <row r="14" spans="1:8" s="53" customFormat="1" ht="11.25" customHeight="1" x14ac:dyDescent="0.2">
      <c r="A14" s="50"/>
      <c r="B14" s="50"/>
      <c r="G14" s="64"/>
      <c r="H14" s="50"/>
    </row>
    <row r="15" spans="1:8" s="53" customFormat="1" ht="11.25" customHeight="1" x14ac:dyDescent="0.2">
      <c r="A15" s="70"/>
      <c r="G15" s="64"/>
      <c r="H15" s="50"/>
    </row>
    <row r="16" spans="1:8" s="53" customFormat="1" ht="11.25" customHeight="1" x14ac:dyDescent="0.2">
      <c r="A16" s="70"/>
      <c r="G16" s="64"/>
      <c r="H16" s="50"/>
    </row>
    <row r="17" spans="1:8" s="53" customFormat="1" ht="11.25" customHeight="1" x14ac:dyDescent="0.2">
      <c r="A17" s="50"/>
      <c r="B17" s="50"/>
      <c r="G17" s="64"/>
      <c r="H17" s="50"/>
    </row>
    <row r="18" spans="1:8" s="53" customFormat="1" ht="11.25" customHeight="1" x14ac:dyDescent="0.2">
      <c r="A18" s="70"/>
      <c r="G18" s="64"/>
      <c r="H18" s="50"/>
    </row>
    <row r="19" spans="1:8" s="53" customFormat="1" ht="11.25" customHeight="1" x14ac:dyDescent="0.2">
      <c r="A19" s="70"/>
      <c r="G19" s="64"/>
      <c r="H19" s="50"/>
    </row>
    <row r="20" spans="1:8" s="53" customFormat="1" ht="11.25" customHeight="1" x14ac:dyDescent="0.2">
      <c r="A20" s="50"/>
      <c r="B20" s="50"/>
      <c r="G20" s="64"/>
      <c r="H20" s="50"/>
    </row>
    <row r="21" spans="1:8" s="53" customFormat="1" ht="11.25" customHeight="1" x14ac:dyDescent="0.2">
      <c r="A21" s="70"/>
      <c r="G21" s="64"/>
      <c r="H21" s="50"/>
    </row>
    <row r="22" spans="1:8" s="53" customFormat="1" ht="11.25" customHeight="1" x14ac:dyDescent="0.2">
      <c r="A22" s="70"/>
      <c r="G22" s="64"/>
      <c r="H22" s="50"/>
    </row>
    <row r="23" spans="1:8" s="53" customFormat="1" ht="11.25" customHeight="1" x14ac:dyDescent="0.2">
      <c r="A23" s="50"/>
      <c r="B23" s="50"/>
      <c r="G23" s="64"/>
      <c r="H23" s="50"/>
    </row>
    <row r="24" spans="1:8" s="53" customFormat="1" ht="11.25" customHeight="1" x14ac:dyDescent="0.2">
      <c r="A24" s="70"/>
      <c r="G24" s="64"/>
      <c r="H24" s="50"/>
    </row>
    <row r="25" spans="1:8" s="53" customFormat="1" ht="11.25" customHeight="1" x14ac:dyDescent="0.2">
      <c r="A25" s="70"/>
      <c r="G25" s="64"/>
      <c r="H25" s="50"/>
    </row>
    <row r="26" spans="1:8" s="53" customFormat="1" ht="11.25" customHeight="1" x14ac:dyDescent="0.2">
      <c r="A26" s="50"/>
      <c r="B26" s="50"/>
      <c r="G26" s="64"/>
      <c r="H26" s="50"/>
    </row>
    <row r="27" spans="1:8" s="53" customFormat="1" ht="11.25" customHeight="1" x14ac:dyDescent="0.2">
      <c r="A27" s="70"/>
      <c r="G27" s="64"/>
      <c r="H27" s="50"/>
    </row>
    <row r="28" spans="1:8" s="53" customFormat="1" ht="11.25" customHeight="1" x14ac:dyDescent="0.2">
      <c r="A28" s="70"/>
      <c r="G28" s="64"/>
      <c r="H28" s="50"/>
    </row>
    <row r="29" spans="1:8" s="53" customFormat="1" ht="11.25" customHeight="1" x14ac:dyDescent="0.2">
      <c r="A29" s="50"/>
      <c r="B29" s="50"/>
      <c r="G29" s="64"/>
      <c r="H29" s="50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0049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628650</xdr:colOff>
                <xdr:row>2</xdr:row>
                <xdr:rowOff>209550</xdr:rowOff>
              </to>
            </anchor>
          </controlPr>
        </control>
      </mc:Choice>
      <mc:Fallback>
        <control shapeId="130049" r:id="rId4" name="cmdTechNameAndDesc"/>
      </mc:Fallback>
    </mc:AlternateContent>
    <mc:AlternateContent xmlns:mc="http://schemas.openxmlformats.org/markup-compatibility/2006">
      <mc:Choice Requires="x14">
        <control shapeId="130050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30050" r:id="rId6" name="cmdCommIN"/>
      </mc:Fallback>
    </mc:AlternateContent>
    <mc:AlternateContent xmlns:mc="http://schemas.openxmlformats.org/markup-compatibility/2006">
      <mc:Choice Requires="x14">
        <control shapeId="130051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30051" r:id="rId8" name="cmdCommOUT"/>
      </mc:Fallback>
    </mc:AlternateContent>
    <mc:AlternateContent xmlns:mc="http://schemas.openxmlformats.org/markup-compatibility/2006">
      <mc:Choice Requires="x14">
        <control shapeId="130052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30052" r:id="rId10" name="cmdAddParameter"/>
      </mc:Fallback>
    </mc:AlternateContent>
    <mc:AlternateContent xmlns:mc="http://schemas.openxmlformats.org/markup-compatibility/2006">
      <mc:Choice Requires="x14">
        <control shapeId="130053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190500</xdr:rowOff>
              </to>
            </anchor>
          </controlPr>
        </control>
      </mc:Choice>
      <mc:Fallback>
        <control shapeId="130053" r:id="rId12" name="cmdAddParamQualifier1"/>
      </mc:Fallback>
    </mc:AlternateContent>
    <mc:AlternateContent xmlns:mc="http://schemas.openxmlformats.org/markup-compatibility/2006">
      <mc:Choice Requires="x14">
        <control shapeId="130054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130054" r:id="rId14" name="cmdCheckTechDataSheet"/>
      </mc:Fallback>
    </mc:AlternateContent>
    <mc:AlternateContent xmlns:mc="http://schemas.openxmlformats.org/markup-compatibility/2006">
      <mc:Choice Requires="x14">
        <control shapeId="130055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130055" r:id="rId16" name="cmdAddParamQualifier2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33998-AFE1-4F5F-AF53-7FFFEBFFCA3C}">
  <sheetPr codeName="Sheet30">
    <tabColor theme="4"/>
  </sheetPr>
  <dimension ref="A1:AJ37"/>
  <sheetViews>
    <sheetView zoomScale="80" zoomScaleNormal="80" workbookViewId="0">
      <pane xSplit="7" ySplit="7" topLeftCell="K8" activePane="bottomRight" state="frozen"/>
      <selection pane="topRight" activeCell="J1" sqref="J1"/>
      <selection pane="bottomLeft" activeCell="A8" sqref="A8"/>
      <selection pane="bottomRight" activeCell="P13" sqref="P13"/>
    </sheetView>
  </sheetViews>
  <sheetFormatPr defaultColWidth="9.140625" defaultRowHeight="11.25" customHeight="1" x14ac:dyDescent="0.2"/>
  <cols>
    <col min="1" max="1" width="12.28515625" style="12" customWidth="1"/>
    <col min="2" max="2" width="15.28515625" style="12" customWidth="1"/>
    <col min="3" max="3" width="36.140625" style="12" customWidth="1"/>
    <col min="4" max="4" width="8.5703125" style="12" customWidth="1"/>
    <col min="5" max="5" width="12.28515625" style="12" customWidth="1"/>
    <col min="6" max="6" width="10.140625" style="12" customWidth="1"/>
    <col min="7" max="7" width="6.85546875" style="45" customWidth="1"/>
    <col min="8" max="27" width="9.140625" style="12"/>
    <col min="28" max="28" width="7.85546875" style="12" customWidth="1"/>
    <col min="29" max="29" width="7.5703125" style="12" customWidth="1"/>
    <col min="30" max="36" width="7.85546875" style="12" customWidth="1"/>
    <col min="37" max="16384" width="9.140625" style="12"/>
  </cols>
  <sheetData>
    <row r="1" spans="1:36" ht="11.25" customHeight="1" x14ac:dyDescent="0.2">
      <c r="A1" s="11" t="str">
        <f ca="1">IF(INDEX(Index!$E$6:$E$38,MATCH(A2,Index!$D$6:$D$38,0))=1,LEFT(A2,SEARCH("_",A2)-1),"")</f>
        <v>ProcData</v>
      </c>
      <c r="B1" s="19" t="str">
        <f>Commodities_BASE!B1</f>
        <v>REGION1</v>
      </c>
      <c r="H1" s="53"/>
    </row>
    <row r="2" spans="1:36" ht="11.25" customHeight="1" x14ac:dyDescent="0.2">
      <c r="A2" t="str">
        <f ca="1">MID(CELL("filename",A2),FIND("]",CELL("filename",A2))+1,255)</f>
        <v>ProcData_Exist</v>
      </c>
      <c r="H2" s="50"/>
      <c r="I2" s="53" t="s">
        <v>804</v>
      </c>
      <c r="J2" s="53" t="s">
        <v>804</v>
      </c>
      <c r="K2" s="53" t="s">
        <v>804</v>
      </c>
      <c r="L2" s="53" t="s">
        <v>804</v>
      </c>
      <c r="M2" s="53"/>
      <c r="N2" s="53"/>
      <c r="O2" s="53"/>
      <c r="P2" s="248">
        <f>P12*H12</f>
        <v>0</v>
      </c>
    </row>
    <row r="3" spans="1:36" ht="34.5" customHeight="1" x14ac:dyDescent="0.2">
      <c r="A3" s="22"/>
      <c r="H3" s="275" t="s">
        <v>774</v>
      </c>
      <c r="I3" s="275" t="s">
        <v>753</v>
      </c>
      <c r="J3" s="275" t="s">
        <v>753</v>
      </c>
      <c r="K3" s="275" t="s">
        <v>753</v>
      </c>
      <c r="L3" s="275" t="s">
        <v>753</v>
      </c>
      <c r="M3" s="275" t="s">
        <v>865</v>
      </c>
      <c r="N3" s="275" t="s">
        <v>865</v>
      </c>
      <c r="O3" s="275" t="s">
        <v>833</v>
      </c>
      <c r="P3" s="275" t="s">
        <v>773</v>
      </c>
      <c r="Q3" s="275" t="s">
        <v>776</v>
      </c>
      <c r="R3" s="275" t="s">
        <v>772</v>
      </c>
      <c r="S3" s="12" t="s">
        <v>771</v>
      </c>
      <c r="T3" s="12" t="s">
        <v>771</v>
      </c>
      <c r="U3" s="275" t="s">
        <v>835</v>
      </c>
      <c r="V3" s="275" t="s">
        <v>836</v>
      </c>
      <c r="W3" s="12" t="s">
        <v>769</v>
      </c>
      <c r="Y3" s="12" t="s">
        <v>768</v>
      </c>
      <c r="Z3" s="252" t="s">
        <v>722</v>
      </c>
      <c r="AA3" s="252" t="s">
        <v>681</v>
      </c>
      <c r="AB3" s="12" t="s">
        <v>770</v>
      </c>
    </row>
    <row r="4" spans="1:36" ht="21.75" customHeight="1" x14ac:dyDescent="0.2">
      <c r="A4" s="22"/>
      <c r="E4" s="46"/>
      <c r="F4" s="46"/>
      <c r="G4" s="46"/>
      <c r="H4" s="69" t="s">
        <v>129</v>
      </c>
      <c r="I4" s="69" t="s">
        <v>775</v>
      </c>
      <c r="J4" s="69" t="s">
        <v>775</v>
      </c>
      <c r="K4" s="69" t="s">
        <v>775</v>
      </c>
      <c r="L4" s="69" t="s">
        <v>775</v>
      </c>
      <c r="M4" s="251" t="s">
        <v>866</v>
      </c>
      <c r="N4" s="251" t="s">
        <v>866</v>
      </c>
      <c r="O4" s="251" t="s">
        <v>834</v>
      </c>
      <c r="P4" s="69" t="s">
        <v>128</v>
      </c>
      <c r="Q4" s="69" t="s">
        <v>777</v>
      </c>
      <c r="R4" s="69" t="s">
        <v>127</v>
      </c>
      <c r="S4" s="251" t="s">
        <v>717</v>
      </c>
      <c r="T4" s="251" t="s">
        <v>717</v>
      </c>
      <c r="U4" s="251" t="s">
        <v>726</v>
      </c>
      <c r="V4" s="251" t="s">
        <v>726</v>
      </c>
      <c r="W4" s="26" t="s">
        <v>619</v>
      </c>
      <c r="X4" s="26" t="s">
        <v>619</v>
      </c>
      <c r="Y4" s="69" t="s">
        <v>132</v>
      </c>
      <c r="Z4" s="251" t="s">
        <v>131</v>
      </c>
      <c r="AA4" s="251" t="s">
        <v>131</v>
      </c>
      <c r="AB4" s="251" t="s">
        <v>723</v>
      </c>
      <c r="AC4" s="251" t="s">
        <v>723</v>
      </c>
      <c r="AD4" s="251" t="s">
        <v>723</v>
      </c>
      <c r="AE4" s="251" t="s">
        <v>723</v>
      </c>
      <c r="AF4" s="251" t="s">
        <v>723</v>
      </c>
      <c r="AG4" s="251" t="s">
        <v>723</v>
      </c>
      <c r="AH4" s="251" t="s">
        <v>723</v>
      </c>
      <c r="AI4" s="251" t="s">
        <v>723</v>
      </c>
      <c r="AJ4" s="251" t="s">
        <v>723</v>
      </c>
    </row>
    <row r="5" spans="1:36" ht="16.5" customHeight="1" x14ac:dyDescent="0.2">
      <c r="A5" s="22"/>
      <c r="H5" s="69" t="s">
        <v>27</v>
      </c>
      <c r="I5" s="69"/>
      <c r="J5" s="69"/>
      <c r="K5" s="69"/>
      <c r="L5" s="69"/>
      <c r="M5" s="69"/>
      <c r="N5" s="69"/>
      <c r="O5" s="69" t="s">
        <v>130</v>
      </c>
      <c r="R5" s="57"/>
      <c r="S5" s="12" t="s">
        <v>130</v>
      </c>
      <c r="T5" s="12" t="s">
        <v>130</v>
      </c>
      <c r="U5" s="12" t="s">
        <v>130</v>
      </c>
      <c r="V5" s="12" t="s">
        <v>130</v>
      </c>
      <c r="W5" s="26" t="str">
        <f>E22</f>
        <v>BSC</v>
      </c>
      <c r="X5" s="26" t="str">
        <f>F31</f>
        <v>ISISUG</v>
      </c>
      <c r="Z5" s="57"/>
      <c r="AA5" s="57"/>
      <c r="AB5" s="12" t="str">
        <f>F26</f>
        <v>ISIBIB</v>
      </c>
      <c r="AC5" s="12" t="str">
        <f>F25</f>
        <v>BCS</v>
      </c>
      <c r="AD5" s="12" t="str">
        <f>E24</f>
        <v>ISIELC</v>
      </c>
      <c r="AE5" s="12" t="str">
        <f>E23</f>
        <v>ISIHET</v>
      </c>
      <c r="AF5" s="12" t="str">
        <f>F32</f>
        <v>ISIBML</v>
      </c>
      <c r="AG5" s="12" t="str">
        <f>F33</f>
        <v>ISIBFC</v>
      </c>
      <c r="AH5" s="12" t="str">
        <f>E34</f>
        <v>BCS</v>
      </c>
      <c r="AI5" s="12" t="str">
        <f>E35</f>
        <v>ISIHET</v>
      </c>
      <c r="AJ5" s="12" t="str">
        <f>E36</f>
        <v>ISIELC</v>
      </c>
    </row>
    <row r="6" spans="1:36" ht="17.25" customHeight="1" x14ac:dyDescent="0.2">
      <c r="A6" s="22"/>
      <c r="H6" s="69" t="s">
        <v>130</v>
      </c>
      <c r="I6" s="69"/>
      <c r="J6" s="69"/>
      <c r="K6" s="69"/>
      <c r="L6" s="69"/>
      <c r="R6" s="57"/>
      <c r="Z6" s="57"/>
      <c r="AA6" s="57"/>
    </row>
    <row r="7" spans="1:36" ht="21.75" customHeight="1" x14ac:dyDescent="0.2">
      <c r="A7" s="22"/>
      <c r="B7" s="11" t="s">
        <v>56</v>
      </c>
      <c r="C7" s="11" t="s">
        <v>57</v>
      </c>
      <c r="D7" s="15" t="s">
        <v>93</v>
      </c>
      <c r="E7" s="287" t="s">
        <v>80</v>
      </c>
      <c r="F7" s="287" t="s">
        <v>81</v>
      </c>
      <c r="G7" s="15" t="s">
        <v>94</v>
      </c>
      <c r="H7" s="49"/>
      <c r="I7" s="49">
        <v>2018</v>
      </c>
      <c r="J7" s="49">
        <v>2024</v>
      </c>
      <c r="K7" s="49">
        <v>2025</v>
      </c>
      <c r="L7" s="49">
        <v>2040</v>
      </c>
      <c r="M7" s="49"/>
      <c r="N7" s="49">
        <v>0</v>
      </c>
      <c r="O7" s="49"/>
      <c r="R7" s="62" t="s">
        <v>44</v>
      </c>
      <c r="S7" s="45">
        <v>0</v>
      </c>
      <c r="U7" s="45">
        <v>0</v>
      </c>
      <c r="W7" s="62" t="s">
        <v>44</v>
      </c>
      <c r="X7" s="62" t="s">
        <v>44</v>
      </c>
      <c r="Z7" s="49">
        <v>0</v>
      </c>
      <c r="AA7" s="49"/>
    </row>
    <row r="8" spans="1:36" s="45" customFormat="1" ht="16.5" customHeight="1" x14ac:dyDescent="0.2">
      <c r="A8" s="58" t="str">
        <f>Processes_BASE!A14</f>
        <v>* Trade Technologies</v>
      </c>
      <c r="B8" s="61"/>
      <c r="C8" s="61"/>
      <c r="D8" s="15"/>
      <c r="E8" s="287"/>
      <c r="F8" s="287"/>
      <c r="G8" s="15"/>
      <c r="H8" s="49"/>
      <c r="I8" s="49"/>
      <c r="J8" s="49"/>
      <c r="K8" s="49"/>
      <c r="L8" s="49"/>
      <c r="M8" s="49"/>
      <c r="N8" s="49"/>
      <c r="O8" s="49"/>
    </row>
    <row r="9" spans="1:36" s="53" customFormat="1" ht="11.25" customHeight="1" x14ac:dyDescent="0.2">
      <c r="A9" s="50"/>
      <c r="B9" s="50" t="str">
        <f>Processes_BASE!B15</f>
        <v>PEXSUG</v>
      </c>
      <c r="C9" s="50" t="str">
        <f>Processes_BASE!C15</f>
        <v>Sugar to Export Market</v>
      </c>
      <c r="D9" s="50" t="str">
        <f>Processes_BASE!D15</f>
        <v>mt,mt/a</v>
      </c>
      <c r="E9" s="288" t="str">
        <f>RES!AC2</f>
        <v>ISISUG</v>
      </c>
      <c r="F9" s="288" t="str">
        <f>RES!AJ2</f>
        <v>SUG</v>
      </c>
      <c r="G9" s="64"/>
      <c r="H9" s="68">
        <f>1/EB_Exist!G30</f>
        <v>6.0573901371150839E-2</v>
      </c>
      <c r="I9" s="68"/>
      <c r="J9" s="68"/>
      <c r="K9" s="68"/>
      <c r="L9" s="68"/>
      <c r="M9" s="68"/>
      <c r="N9" s="68"/>
      <c r="O9" s="68"/>
      <c r="P9" s="53">
        <f>-SugarPrices!K24</f>
        <v>-4016.85</v>
      </c>
      <c r="R9" s="53">
        <v>1</v>
      </c>
      <c r="S9" s="243"/>
      <c r="T9" s="243">
        <f>EB_Exist!F31</f>
        <v>1.0428310000000001</v>
      </c>
      <c r="U9" s="243"/>
      <c r="V9" s="243"/>
    </row>
    <row r="10" spans="1:36" s="53" customFormat="1" ht="11.25" customHeight="1" x14ac:dyDescent="0.2">
      <c r="A10" s="50"/>
      <c r="B10" s="50" t="str">
        <f>Processes_BASE!B16</f>
        <v>XISIELCEXP</v>
      </c>
      <c r="C10" s="50" t="str">
        <f>Processes_BASE!C16</f>
        <v>Export to Grid from Sugar</v>
      </c>
      <c r="D10" s="50" t="str">
        <f>Processes_BASE!D16</f>
        <v>PJ,GW</v>
      </c>
      <c r="E10" s="288" t="str">
        <f>RES!T2</f>
        <v>ISIELC</v>
      </c>
      <c r="F10" s="288" t="str">
        <f>RES!U2</f>
        <v>ELCC</v>
      </c>
      <c r="G10" s="64"/>
      <c r="H10" s="53">
        <v>1</v>
      </c>
      <c r="P10" s="245">
        <f>-1000/3.6</f>
        <v>-277.77777777777777</v>
      </c>
      <c r="Q10" s="245"/>
      <c r="R10" s="53">
        <v>31.536000000000001</v>
      </c>
      <c r="S10" s="244"/>
      <c r="T10" s="244">
        <f>EB_Exist!K24</f>
        <v>0.44855125919999955</v>
      </c>
      <c r="U10" s="244"/>
      <c r="V10" s="244"/>
    </row>
    <row r="11" spans="1:36" s="53" customFormat="1" ht="11.25" customHeight="1" x14ac:dyDescent="0.25">
      <c r="A11" s="50"/>
      <c r="B11" s="50" t="str">
        <f>Processes_BASE!B17</f>
        <v>XISIELC</v>
      </c>
      <c r="C11" s="50" t="str">
        <f>Processes_BASE!C17</f>
        <v>Electricity from Eskom</v>
      </c>
      <c r="D11" s="50" t="str">
        <f>Processes_BASE!D17</f>
        <v>PJ,GW</v>
      </c>
      <c r="E11" s="289"/>
      <c r="F11" s="288" t="str">
        <f>E10</f>
        <v>ISIELC</v>
      </c>
      <c r="G11" s="64"/>
      <c r="H11" s="65">
        <v>1</v>
      </c>
      <c r="I11" s="65"/>
      <c r="J11" s="65"/>
      <c r="K11" s="65"/>
      <c r="L11" s="65"/>
      <c r="M11" s="65"/>
      <c r="N11" s="65"/>
      <c r="O11" s="65"/>
      <c r="P11" s="243">
        <f>'Cost of generation'!M58/('Cost of generation'!J58*3.6)</f>
        <v>418.93816424994515</v>
      </c>
      <c r="Q11" s="243"/>
      <c r="R11" s="53">
        <v>31.536000000000001</v>
      </c>
      <c r="U11" s="294">
        <v>3</v>
      </c>
      <c r="V11" s="243">
        <f>EB_Exist!F22</f>
        <v>0.33058753200000002</v>
      </c>
    </row>
    <row r="12" spans="1:36" s="53" customFormat="1" ht="11.25" customHeight="1" x14ac:dyDescent="0.2">
      <c r="B12" s="50" t="str">
        <f>Processes_BASE!B18</f>
        <v>XINDBIB</v>
      </c>
      <c r="C12" s="50" t="str">
        <f>Processes_BASE!C18</f>
        <v>Bagasse to Local Market</v>
      </c>
      <c r="D12" s="50" t="str">
        <f>Processes_BASE!D18</f>
        <v>mt,mt/a</v>
      </c>
      <c r="E12" s="288" t="str">
        <f>RES!Q2</f>
        <v>ISIBIB</v>
      </c>
      <c r="F12" s="288" t="str">
        <f>RES!AL2</f>
        <v>BIB</v>
      </c>
      <c r="H12" s="276">
        <f>EB_Exist!K14/EB_Exist!K15</f>
        <v>0.13900669706465119</v>
      </c>
      <c r="I12" s="276"/>
      <c r="J12" s="276"/>
      <c r="K12" s="276"/>
      <c r="L12" s="276"/>
      <c r="M12" s="276"/>
      <c r="N12" s="276"/>
      <c r="O12" s="276"/>
      <c r="P12" s="243">
        <v>0</v>
      </c>
      <c r="Q12" s="243"/>
      <c r="R12" s="53">
        <v>1</v>
      </c>
      <c r="U12" s="294">
        <v>3</v>
      </c>
      <c r="V12" s="243">
        <f>EB_Exist!K14</f>
        <v>0.44128071952828574</v>
      </c>
    </row>
    <row r="13" spans="1:36" s="53" customFormat="1" ht="11.25" customHeight="1" x14ac:dyDescent="0.2">
      <c r="B13" s="50" t="str">
        <f>Processes_BASE!B19</f>
        <v>XINDBIM</v>
      </c>
      <c r="C13" s="50" t="str">
        <f>Processes_BASE!C19</f>
        <v>Molasses to Local Market</v>
      </c>
      <c r="D13" s="50" t="str">
        <f>Processes_BASE!D19</f>
        <v>mt,mt/a</v>
      </c>
      <c r="E13" s="288" t="str">
        <f>RES!W2</f>
        <v>ISIBML</v>
      </c>
      <c r="F13" s="288" t="str">
        <f>RES!AP2</f>
        <v>BIM</v>
      </c>
      <c r="H13" s="276">
        <f>1/EB_Exist!G26</f>
        <v>0.13498391032692675</v>
      </c>
      <c r="I13" s="276"/>
      <c r="J13" s="276"/>
      <c r="K13" s="276"/>
      <c r="L13" s="276"/>
      <c r="M13" s="276"/>
      <c r="N13" s="276"/>
      <c r="O13" s="276"/>
      <c r="P13" s="243">
        <f>-Costs_Exist!C54</f>
        <v>-889.52380952380952</v>
      </c>
      <c r="Q13" s="243"/>
      <c r="R13" s="53">
        <v>1</v>
      </c>
      <c r="U13" s="294"/>
      <c r="V13" s="243"/>
    </row>
    <row r="14" spans="1:36" s="53" customFormat="1" ht="11.25" customHeight="1" x14ac:dyDescent="0.2">
      <c r="B14" s="50" t="str">
        <f>Processes_BASE!B20</f>
        <v>XISIBIGEXP</v>
      </c>
      <c r="C14" s="50" t="str">
        <f>Processes_BASE!C20</f>
        <v>Biomethane to Local Market</v>
      </c>
      <c r="D14" s="50" t="str">
        <f>Processes_BASE!D20</f>
        <v>PJ,PJa</v>
      </c>
      <c r="E14" s="288" t="str">
        <f>RES!S2</f>
        <v>ISIBIG</v>
      </c>
      <c r="F14" s="288" t="str">
        <f>RES!AO2</f>
        <v>BIG</v>
      </c>
      <c r="H14" s="276">
        <v>1</v>
      </c>
      <c r="I14" s="276"/>
      <c r="J14" s="276"/>
      <c r="K14" s="276"/>
      <c r="L14" s="276"/>
      <c r="M14" s="276"/>
      <c r="N14" s="276"/>
      <c r="O14" s="276"/>
      <c r="P14" s="243">
        <f>-[2]Biogas!C11</f>
        <v>-158.88</v>
      </c>
      <c r="Q14" s="243"/>
      <c r="R14" s="53">
        <v>1</v>
      </c>
      <c r="U14" s="294"/>
      <c r="V14" s="243"/>
    </row>
    <row r="15" spans="1:36" s="53" customFormat="1" ht="11.25" customHeight="1" x14ac:dyDescent="0.2">
      <c r="B15" s="50" t="str">
        <f>Processes_BASE!B21</f>
        <v>XTRAOGS</v>
      </c>
      <c r="C15" s="50" t="str">
        <f>Processes_BASE!C21</f>
        <v>Ethanol to Local Market</v>
      </c>
      <c r="D15" s="50" t="str">
        <f>Processes_BASE!D21</f>
        <v>PJ,PJa</v>
      </c>
      <c r="E15" s="288" t="str">
        <f>RES!AD2</f>
        <v>BIE</v>
      </c>
      <c r="F15" s="288" t="str">
        <f>RES!AK2</f>
        <v>TRABIE</v>
      </c>
      <c r="H15" s="276">
        <v>1</v>
      </c>
      <c r="I15" s="276"/>
      <c r="J15" s="276"/>
      <c r="K15" s="276"/>
      <c r="L15" s="276"/>
      <c r="M15" s="276"/>
      <c r="N15" s="276"/>
      <c r="O15" s="276"/>
      <c r="P15" s="243">
        <f>-'Basic Fuel Price'!E17</f>
        <v>-211.16081871345025</v>
      </c>
      <c r="Q15" s="243"/>
      <c r="R15" s="53">
        <v>1</v>
      </c>
      <c r="U15" s="294"/>
      <c r="V15" s="243"/>
    </row>
    <row r="16" spans="1:36" s="53" customFormat="1" ht="11.25" customHeight="1" x14ac:dyDescent="0.2">
      <c r="A16" s="58" t="str">
        <f>Processes_BASE!A22</f>
        <v>* Fuel Supply Technologies</v>
      </c>
      <c r="B16" s="50"/>
      <c r="E16" s="288"/>
      <c r="F16" s="288"/>
      <c r="G16" s="64"/>
      <c r="H16" s="277"/>
      <c r="I16" s="277"/>
      <c r="J16" s="277"/>
      <c r="K16" s="277"/>
      <c r="L16" s="277"/>
      <c r="M16" s="277"/>
      <c r="N16" s="277"/>
      <c r="O16" s="277"/>
    </row>
    <row r="17" spans="1:33" s="53" customFormat="1" ht="11.25" customHeight="1" x14ac:dyDescent="0.2">
      <c r="A17" s="50"/>
      <c r="B17" s="50" t="str">
        <f>Processes_BASE!B23</f>
        <v>XINDCOA</v>
      </c>
      <c r="C17" s="50" t="str">
        <f>Processes_BASE!C23</f>
        <v>Industry Coal Supply</v>
      </c>
      <c r="D17" s="50" t="str">
        <f>Processes_BASE!D23</f>
        <v>PJ,PJa</v>
      </c>
      <c r="E17" s="288"/>
      <c r="F17" s="288" t="str">
        <f>RES!E2</f>
        <v>INDCOA</v>
      </c>
      <c r="G17" s="64"/>
      <c r="H17" s="277"/>
      <c r="I17" s="277"/>
      <c r="J17" s="277"/>
      <c r="K17" s="277"/>
      <c r="L17" s="277"/>
      <c r="M17" s="277"/>
      <c r="N17" s="277"/>
      <c r="O17" s="277"/>
      <c r="P17" s="243">
        <f>'Cost of generation'!L58/EB_Exist!F5</f>
        <v>55.383497973610311</v>
      </c>
      <c r="Q17" s="243"/>
      <c r="R17" s="53">
        <v>1</v>
      </c>
      <c r="S17" s="294">
        <v>3</v>
      </c>
      <c r="T17" s="243">
        <f>EB_Exist!F5</f>
        <v>5.3887278299999997</v>
      </c>
    </row>
    <row r="18" spans="1:33" s="53" customFormat="1" ht="11.25" customHeight="1" x14ac:dyDescent="0.2">
      <c r="A18" s="50"/>
      <c r="B18" s="50" t="str">
        <f>Processes_BASE!B24</f>
        <v>XBIW</v>
      </c>
      <c r="C18" s="50" t="str">
        <f>Processes_BASE!C24</f>
        <v>Biomass Woodchip Supply</v>
      </c>
      <c r="D18" s="50" t="str">
        <f>Processes_BASE!D24</f>
        <v>PJ,PJa</v>
      </c>
      <c r="E18" s="288"/>
      <c r="F18" s="288" t="str">
        <f>RES!H2</f>
        <v>BIW</v>
      </c>
      <c r="G18" s="64"/>
      <c r="H18" s="277"/>
      <c r="I18" s="277"/>
      <c r="J18" s="277"/>
      <c r="K18" s="277"/>
      <c r="L18" s="277"/>
      <c r="M18" s="277"/>
      <c r="N18" s="277"/>
      <c r="O18" s="277"/>
      <c r="P18" s="243">
        <f>'Cost of generation'!N58/EB_Exist!F7</f>
        <v>47.183748763697203</v>
      </c>
      <c r="Q18" s="243"/>
      <c r="R18" s="53">
        <v>1</v>
      </c>
      <c r="S18" s="294">
        <v>3</v>
      </c>
      <c r="T18" s="243">
        <f>EB_Exist!F7</f>
        <v>0.97991501759550004</v>
      </c>
    </row>
    <row r="19" spans="1:33" ht="11.25" customHeight="1" x14ac:dyDescent="0.2">
      <c r="A19" s="66"/>
      <c r="B19" s="50" t="str">
        <f>Processes_BASE!B26</f>
        <v>XBSC</v>
      </c>
      <c r="C19" s="50" t="str">
        <f>Processes_BASE!C26</f>
        <v>Cane_Into Factory Supply</v>
      </c>
      <c r="D19" s="50" t="str">
        <f>Processes_BASE!D26</f>
        <v>mt,mt/a</v>
      </c>
      <c r="E19" s="290"/>
      <c r="F19" s="288" t="str">
        <f>RES!F2</f>
        <v>BSC</v>
      </c>
      <c r="G19" s="64"/>
      <c r="H19" s="277"/>
      <c r="I19" s="277"/>
      <c r="J19" s="277"/>
      <c r="K19" s="277"/>
      <c r="L19" s="277"/>
      <c r="M19" s="277"/>
      <c r="N19" s="277"/>
      <c r="O19" s="277"/>
      <c r="P19" s="243">
        <f>'Cost of generation'!AI58/EB_Exist!F8</f>
        <v>451.57853051544294</v>
      </c>
      <c r="R19" s="53">
        <v>1</v>
      </c>
      <c r="S19" s="295">
        <v>3</v>
      </c>
      <c r="T19" s="248">
        <f>EB_Exist!F8</f>
        <v>19.031677826999999</v>
      </c>
      <c r="U19" s="248"/>
      <c r="V19" s="248"/>
    </row>
    <row r="20" spans="1:33" ht="11.25" customHeight="1" x14ac:dyDescent="0.2">
      <c r="A20" s="66"/>
      <c r="B20" s="50" t="str">
        <f>RES!C16</f>
        <v>XBCL</v>
      </c>
      <c r="C20" s="50" t="str">
        <f>RES!C15</f>
        <v>Recoverable Leaves Supply</v>
      </c>
      <c r="D20" s="50" t="s">
        <v>126</v>
      </c>
      <c r="E20" s="290"/>
      <c r="F20" s="288" t="str">
        <f>RES!G2</f>
        <v>BCL</v>
      </c>
      <c r="G20" s="64"/>
      <c r="H20" s="277"/>
      <c r="I20" s="277"/>
      <c r="J20" s="277"/>
      <c r="K20" s="277"/>
      <c r="L20" s="277"/>
      <c r="M20" s="277"/>
      <c r="N20" s="277"/>
      <c r="O20" s="277"/>
      <c r="P20" s="243">
        <f>'[1]Condensing Turbine'!C41</f>
        <v>59.21052631578948</v>
      </c>
      <c r="Q20" s="243"/>
      <c r="R20" s="53">
        <v>1</v>
      </c>
      <c r="S20" s="295">
        <v>3</v>
      </c>
      <c r="T20" s="248">
        <f>EB_Exist!F11</f>
        <v>10.440323579033159</v>
      </c>
      <c r="U20" s="248"/>
      <c r="V20" s="248"/>
    </row>
    <row r="21" spans="1:33" ht="11.25" customHeight="1" x14ac:dyDescent="0.2">
      <c r="A21" s="58" t="str">
        <f>Processes_BASE!A27</f>
        <v>* Conversion technologies</v>
      </c>
      <c r="B21" s="50"/>
      <c r="E21" s="291"/>
      <c r="F21" s="288"/>
      <c r="H21" s="278"/>
      <c r="I21" s="278"/>
      <c r="J21" s="278"/>
      <c r="K21" s="278"/>
      <c r="L21" s="278"/>
      <c r="M21" s="278"/>
      <c r="N21" s="278"/>
      <c r="O21" s="278"/>
    </row>
    <row r="22" spans="1:33" s="45" customFormat="1" ht="11.25" customHeight="1" x14ac:dyDescent="0.2">
      <c r="A22" s="12"/>
      <c r="B22" s="50" t="str">
        <f>Processes_BASE!B28</f>
        <v>ISIMIL</v>
      </c>
      <c r="C22" s="50" t="str">
        <f>Processes_BASE!C28</f>
        <v>Existing Milling Plant</v>
      </c>
      <c r="D22" s="50" t="str">
        <f>Processes_BASE!D28</f>
        <v>mt,mt/a</v>
      </c>
      <c r="E22" s="291" t="str">
        <f>RES!F2</f>
        <v>BSC</v>
      </c>
      <c r="F22" s="291"/>
      <c r="G22" s="45" t="s">
        <v>136</v>
      </c>
      <c r="H22" s="278"/>
      <c r="I22" s="278">
        <f>Costs_Exist!C13</f>
        <v>25.754999999999999</v>
      </c>
      <c r="J22" s="278">
        <f>I22</f>
        <v>25.754999999999999</v>
      </c>
      <c r="K22" s="278">
        <f>I22</f>
        <v>25.754999999999999</v>
      </c>
      <c r="L22" s="278">
        <f>J22</f>
        <v>25.754999999999999</v>
      </c>
      <c r="M22" s="278"/>
      <c r="N22" s="278"/>
      <c r="O22" s="278"/>
      <c r="P22" s="12"/>
      <c r="Q22" s="248">
        <f>Costs_Exist!C16</f>
        <v>103.75202872249319</v>
      </c>
      <c r="R22" s="12">
        <v>1</v>
      </c>
      <c r="S22" s="12"/>
      <c r="T22" s="12"/>
      <c r="U22" s="12"/>
      <c r="V22" s="12"/>
      <c r="W22" s="12">
        <v>1</v>
      </c>
      <c r="X22" s="12"/>
      <c r="Y22" s="12"/>
      <c r="Z22" s="12"/>
      <c r="AA22" s="12"/>
      <c r="AC22" s="12"/>
    </row>
    <row r="23" spans="1:33" s="45" customFormat="1" ht="11.25" customHeight="1" x14ac:dyDescent="0.2">
      <c r="A23" s="12"/>
      <c r="E23" s="291" t="str">
        <f>RES!V2</f>
        <v>ISIHET</v>
      </c>
      <c r="F23" s="291"/>
      <c r="H23" s="278"/>
      <c r="I23" s="278"/>
      <c r="J23" s="278"/>
      <c r="K23" s="278"/>
      <c r="L23" s="278"/>
      <c r="M23" s="278"/>
      <c r="N23" s="278"/>
      <c r="O23" s="278"/>
      <c r="P23" s="12"/>
      <c r="Q23" s="12"/>
      <c r="S23" s="12"/>
      <c r="T23" s="12"/>
      <c r="U23" s="12"/>
      <c r="V23" s="12"/>
      <c r="AE23" s="45">
        <f>EB_Exist!F61/EB_Exist!F60</f>
        <v>1.4905521753114885</v>
      </c>
    </row>
    <row r="24" spans="1:33" s="45" customFormat="1" ht="11.25" customHeight="1" x14ac:dyDescent="0.2">
      <c r="A24" s="12"/>
      <c r="E24" s="288" t="str">
        <f>F28</f>
        <v>ISIELC</v>
      </c>
      <c r="H24" s="278"/>
      <c r="I24" s="278"/>
      <c r="J24" s="278"/>
      <c r="K24" s="278"/>
      <c r="L24" s="278"/>
      <c r="M24" s="278"/>
      <c r="N24" s="278"/>
      <c r="O24" s="278"/>
      <c r="P24" s="12"/>
      <c r="Q24" s="12"/>
      <c r="S24" s="12"/>
      <c r="T24" s="12"/>
      <c r="U24" s="12"/>
      <c r="V24" s="12"/>
      <c r="AD24" s="45">
        <f>EB_Exist!F62/EB_Exist!F60</f>
        <v>0.11092138018007917</v>
      </c>
    </row>
    <row r="25" spans="1:33" s="45" customFormat="1" ht="11.25" customHeight="1" x14ac:dyDescent="0.2">
      <c r="A25" s="12"/>
      <c r="B25" s="50"/>
      <c r="C25" s="50"/>
      <c r="D25" s="50"/>
      <c r="E25" s="291"/>
      <c r="F25" s="288" t="str">
        <f>RES!R2</f>
        <v>BCS</v>
      </c>
      <c r="H25" s="278"/>
      <c r="I25" s="278"/>
      <c r="J25" s="278"/>
      <c r="K25" s="278"/>
      <c r="L25" s="278"/>
      <c r="M25" s="278"/>
      <c r="N25" s="278"/>
      <c r="O25" s="278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C25" s="12">
        <f>EB_Exist!K61/EB_Exist!F60</f>
        <v>2.4804351182518998</v>
      </c>
    </row>
    <row r="26" spans="1:33" s="45" customFormat="1" ht="11.25" customHeight="1" x14ac:dyDescent="0.2">
      <c r="A26" s="12"/>
      <c r="B26" s="12"/>
      <c r="C26" s="12"/>
      <c r="D26" s="12"/>
      <c r="E26" s="291"/>
      <c r="F26" s="288" t="str">
        <f>RES!Q2</f>
        <v>ISIBIB</v>
      </c>
      <c r="H26" s="278"/>
      <c r="I26" s="278"/>
      <c r="J26" s="278"/>
      <c r="K26" s="278"/>
      <c r="L26" s="278"/>
      <c r="M26" s="278"/>
      <c r="N26" s="278"/>
      <c r="O26" s="278"/>
      <c r="P26" s="12"/>
      <c r="Q26" s="12"/>
      <c r="R26" s="12"/>
      <c r="S26" s="12"/>
      <c r="T26" s="12"/>
      <c r="U26" s="12"/>
      <c r="V26" s="12"/>
      <c r="AB26" s="45">
        <f>EB_Exist!K60/EB_Exist!F60</f>
        <v>2.1861382008923238</v>
      </c>
    </row>
    <row r="27" spans="1:33" s="45" customFormat="1" ht="11.25" customHeight="1" x14ac:dyDescent="0.2">
      <c r="A27" s="12"/>
      <c r="E27" s="291"/>
      <c r="F27" s="291"/>
      <c r="H27" s="279"/>
      <c r="I27" s="279"/>
      <c r="J27" s="279"/>
      <c r="K27" s="279"/>
      <c r="L27" s="279"/>
      <c r="M27" s="279"/>
      <c r="N27" s="279"/>
      <c r="O27" s="279"/>
      <c r="S27" s="12"/>
      <c r="T27" s="12"/>
      <c r="U27" s="12"/>
      <c r="V27" s="12"/>
    </row>
    <row r="28" spans="1:33" s="45" customFormat="1" ht="11.25" customHeight="1" x14ac:dyDescent="0.2">
      <c r="A28" s="12"/>
      <c r="B28" s="50" t="str">
        <f>Processes_BASE!B29</f>
        <v>ISICHPEX</v>
      </c>
      <c r="C28" s="50" t="str">
        <f>Processes_BASE!C29</f>
        <v>Existing CHP Plant</v>
      </c>
      <c r="D28" s="50" t="str">
        <f>Processes_BASE!D29</f>
        <v>PJ,GW</v>
      </c>
      <c r="E28" s="291" t="str">
        <f>RES!E2</f>
        <v>INDCOA</v>
      </c>
      <c r="F28" s="288" t="str">
        <f>RES!T2</f>
        <v>ISIELC</v>
      </c>
      <c r="H28" s="278">
        <f>EB_Exist!F53</f>
        <v>5.6889360553774838E-2</v>
      </c>
      <c r="I28" s="278">
        <f>Costs_Exist!C23</f>
        <v>0.236875</v>
      </c>
      <c r="J28" s="278">
        <f>I28</f>
        <v>0.236875</v>
      </c>
      <c r="K28" s="278">
        <v>0</v>
      </c>
      <c r="L28" s="278">
        <v>0</v>
      </c>
      <c r="M28" s="297">
        <f>J28*1.001</f>
        <v>0.23711187499999997</v>
      </c>
      <c r="N28" s="295">
        <v>3</v>
      </c>
      <c r="O28" s="278">
        <f>EB_Exist!F51</f>
        <v>0.34117967976289443</v>
      </c>
      <c r="P28" s="12"/>
      <c r="Q28" s="12">
        <f>Costs_Exist!C25</f>
        <v>3605.0752897084967</v>
      </c>
      <c r="R28" s="12">
        <v>31.562999999999999</v>
      </c>
      <c r="S28" s="12"/>
      <c r="T28" s="12"/>
      <c r="U28" s="12"/>
      <c r="V28" s="12"/>
      <c r="Y28" s="45">
        <v>0</v>
      </c>
      <c r="Z28" s="45">
        <v>3</v>
      </c>
      <c r="AA28" s="253">
        <f>EB_Exist!F54</f>
        <v>12.912468513852028</v>
      </c>
    </row>
    <row r="29" spans="1:33" s="45" customFormat="1" ht="11.25" customHeight="1" x14ac:dyDescent="0.2">
      <c r="A29" s="12"/>
      <c r="B29" s="12"/>
      <c r="C29" s="12"/>
      <c r="D29" s="12"/>
      <c r="E29" s="291" t="str">
        <f>RES!H2</f>
        <v>BIW</v>
      </c>
      <c r="F29" s="288" t="str">
        <f>RES!V2</f>
        <v>ISIHET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S29" s="12"/>
      <c r="T29" s="12"/>
      <c r="U29" s="12"/>
      <c r="V29" s="12"/>
    </row>
    <row r="30" spans="1:33" s="45" customFormat="1" ht="11.25" customHeight="1" x14ac:dyDescent="0.2">
      <c r="A30" s="12"/>
      <c r="B30" s="12"/>
      <c r="C30" s="12"/>
      <c r="D30" s="12"/>
      <c r="E30" s="291" t="str">
        <f>RES!Q2</f>
        <v>ISIBIB</v>
      </c>
      <c r="F30" s="288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</row>
    <row r="31" spans="1:33" s="45" customFormat="1" ht="11.25" customHeight="1" x14ac:dyDescent="0.2">
      <c r="A31" s="12"/>
      <c r="B31" s="50" t="str">
        <f>Processes_BASE!B30</f>
        <v>UBSCSUG</v>
      </c>
      <c r="C31" s="50" t="str">
        <f>Processes_BASE!C30</f>
        <v>B and C Stages</v>
      </c>
      <c r="D31" s="50" t="str">
        <f>Processes_BASE!D30</f>
        <v>PJ,PJa</v>
      </c>
      <c r="E31" s="291"/>
      <c r="F31" s="288" t="str">
        <f>RES!AC2</f>
        <v>ISISUG</v>
      </c>
      <c r="H31" s="12"/>
      <c r="I31" s="248">
        <f>Costs_Exist!C41</f>
        <v>49.724385119999994</v>
      </c>
      <c r="J31" s="248">
        <f>I31</f>
        <v>49.724385119999994</v>
      </c>
      <c r="K31" s="248">
        <f>I31</f>
        <v>49.724385119999994</v>
      </c>
      <c r="L31" s="248">
        <f>J31</f>
        <v>49.724385119999994</v>
      </c>
      <c r="M31" s="12"/>
      <c r="N31" s="12"/>
      <c r="O31" s="12"/>
      <c r="P31" s="12"/>
      <c r="Q31" s="248">
        <f>Costs_Exist!C50</f>
        <v>4.632746161262542</v>
      </c>
      <c r="R31" s="12">
        <v>1</v>
      </c>
      <c r="S31" s="12"/>
      <c r="T31" s="12"/>
      <c r="U31" s="12"/>
      <c r="V31" s="12"/>
      <c r="X31" s="45">
        <v>1</v>
      </c>
    </row>
    <row r="32" spans="1:33" s="45" customFormat="1" ht="11.25" customHeight="1" x14ac:dyDescent="0.2">
      <c r="A32" s="12"/>
      <c r="B32" s="12"/>
      <c r="C32" s="12"/>
      <c r="D32" s="12"/>
      <c r="E32" s="291"/>
      <c r="F32" s="288" t="str">
        <f>RES!W2</f>
        <v>ISIBML</v>
      </c>
      <c r="P32" s="12"/>
      <c r="Q32" s="12"/>
      <c r="R32" s="12"/>
      <c r="S32" s="12"/>
      <c r="T32" s="12"/>
      <c r="U32" s="12"/>
      <c r="V32" s="12"/>
      <c r="AF32" s="12">
        <f>EB_Exist!K68/EB_Exist!K67</f>
        <v>0.17597823500185439</v>
      </c>
      <c r="AG32" s="12"/>
    </row>
    <row r="33" spans="1:36" s="45" customFormat="1" ht="11.25" customHeight="1" x14ac:dyDescent="0.2">
      <c r="A33" s="12"/>
      <c r="B33" s="12"/>
      <c r="C33" s="12"/>
      <c r="D33" s="12"/>
      <c r="E33" s="291"/>
      <c r="F33" s="288" t="str">
        <f>RES!X2</f>
        <v>ISIBFC</v>
      </c>
      <c r="P33" s="12"/>
      <c r="Q33" s="12"/>
      <c r="R33" s="12"/>
      <c r="S33" s="12"/>
      <c r="T33" s="12"/>
      <c r="U33" s="12"/>
      <c r="V33" s="12"/>
      <c r="AF33" s="12"/>
      <c r="AG33" s="12">
        <f>EB_Exist!K69/EB_Exist!K67</f>
        <v>1.8197502773331004E-2</v>
      </c>
    </row>
    <row r="34" spans="1:36" s="45" customFormat="1" ht="11.25" customHeight="1" x14ac:dyDescent="0.2">
      <c r="A34" s="12"/>
      <c r="B34" s="12"/>
      <c r="C34" s="12"/>
      <c r="D34" s="12"/>
      <c r="E34" s="291" t="str">
        <f>RES!R2</f>
        <v>BCS</v>
      </c>
      <c r="F34" s="291"/>
      <c r="P34" s="12"/>
      <c r="Q34" s="12"/>
      <c r="R34" s="12"/>
      <c r="S34" s="12"/>
      <c r="T34" s="12"/>
      <c r="U34" s="12"/>
      <c r="V34" s="12"/>
      <c r="AH34" s="12">
        <f>EB_Exist!F67/EB_Exist!K67</f>
        <v>1.3094033777750274</v>
      </c>
    </row>
    <row r="35" spans="1:36" s="45" customFormat="1" ht="11.25" customHeight="1" x14ac:dyDescent="0.2">
      <c r="A35" s="12"/>
      <c r="B35" s="12"/>
      <c r="C35" s="12"/>
      <c r="D35" s="12"/>
      <c r="E35" s="291" t="str">
        <f>RES!V2</f>
        <v>ISIHET</v>
      </c>
      <c r="F35" s="288"/>
      <c r="P35" s="12"/>
      <c r="Q35" s="12"/>
      <c r="R35" s="12"/>
      <c r="S35" s="12"/>
      <c r="T35" s="12"/>
      <c r="U35" s="12"/>
      <c r="V35" s="12"/>
      <c r="AI35" s="12">
        <f>EB_Exist!F68/EB_Exist!K67</f>
        <v>0.1259719385029496</v>
      </c>
    </row>
    <row r="36" spans="1:36" s="45" customFormat="1" ht="11.25" customHeight="1" x14ac:dyDescent="0.2">
      <c r="A36" s="12"/>
      <c r="B36" s="12"/>
      <c r="C36" s="12"/>
      <c r="D36" s="12"/>
      <c r="E36" s="291" t="str">
        <f>RES!T2</f>
        <v>ISIELC</v>
      </c>
      <c r="F36" s="288"/>
      <c r="P36" s="12"/>
      <c r="Q36" s="12"/>
      <c r="R36" s="12"/>
      <c r="S36" s="12"/>
      <c r="T36" s="12"/>
      <c r="U36" s="12"/>
      <c r="V36" s="12"/>
      <c r="AJ36" s="12">
        <f>EB_Exist!F69/EB_Exist!K67</f>
        <v>8.8665718330541866E-3</v>
      </c>
    </row>
    <row r="37" spans="1:36" s="45" customFormat="1" ht="11.25" customHeight="1" x14ac:dyDescent="0.2">
      <c r="A37" s="12"/>
      <c r="B37" s="12"/>
      <c r="C37" s="12"/>
      <c r="D37" s="12"/>
      <c r="E37" s="12"/>
      <c r="F37" s="63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7703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157703" r:id="rId4" name="cmdAddParamQualifier2"/>
      </mc:Fallback>
    </mc:AlternateContent>
    <mc:AlternateContent xmlns:mc="http://schemas.openxmlformats.org/markup-compatibility/2006">
      <mc:Choice Requires="x14">
        <control shapeId="157702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157702" r:id="rId6" name="cmdCheckTechDataSheet"/>
      </mc:Fallback>
    </mc:AlternateContent>
    <mc:AlternateContent xmlns:mc="http://schemas.openxmlformats.org/markup-compatibility/2006">
      <mc:Choice Requires="x14">
        <control shapeId="157701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157701" r:id="rId8" name="cmdAddParamQualifier1"/>
      </mc:Fallback>
    </mc:AlternateContent>
    <mc:AlternateContent xmlns:mc="http://schemas.openxmlformats.org/markup-compatibility/2006">
      <mc:Choice Requires="x14">
        <control shapeId="157700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157700" r:id="rId10" name="cmdAddParameter"/>
      </mc:Fallback>
    </mc:AlternateContent>
    <mc:AlternateContent xmlns:mc="http://schemas.openxmlformats.org/markup-compatibility/2006">
      <mc:Choice Requires="x14">
        <control shapeId="157699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9" r:id="rId12" name="cmdCommOUT"/>
      </mc:Fallback>
    </mc:AlternateContent>
    <mc:AlternateContent xmlns:mc="http://schemas.openxmlformats.org/markup-compatibility/2006">
      <mc:Choice Requires="x14">
        <control shapeId="157698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8" r:id="rId14" name="cmdCommIN"/>
      </mc:Fallback>
    </mc:AlternateContent>
    <mc:AlternateContent xmlns:mc="http://schemas.openxmlformats.org/markup-compatibility/2006">
      <mc:Choice Requires="x14">
        <control shapeId="157697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157697" r:id="rId16" name="cmdTechNameAndDesc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2F4AC-F355-4F95-80C4-A37AF1138991}">
  <sheetPr>
    <tabColor theme="9"/>
  </sheetPr>
  <dimension ref="A1:K33"/>
  <sheetViews>
    <sheetView workbookViewId="0">
      <selection activeCell="E34" sqref="E34"/>
    </sheetView>
  </sheetViews>
  <sheetFormatPr defaultRowHeight="12.75" x14ac:dyDescent="0.2"/>
  <sheetData>
    <row r="1" spans="2:11" x14ac:dyDescent="0.2">
      <c r="C1" s="280" t="s">
        <v>857</v>
      </c>
    </row>
    <row r="2" spans="2:11" x14ac:dyDescent="0.2">
      <c r="D2" s="203" t="s">
        <v>855</v>
      </c>
      <c r="E2" s="203" t="s">
        <v>856</v>
      </c>
      <c r="F2" s="203" t="s">
        <v>885</v>
      </c>
    </row>
    <row r="3" spans="2:11" x14ac:dyDescent="0.2">
      <c r="C3" s="203" t="s">
        <v>844</v>
      </c>
      <c r="D3">
        <v>524.47</v>
      </c>
      <c r="E3">
        <v>536.47</v>
      </c>
      <c r="F3">
        <v>635.63</v>
      </c>
      <c r="G3">
        <v>639.03</v>
      </c>
      <c r="H3">
        <v>651.12800000000004</v>
      </c>
      <c r="I3">
        <v>731.96299999999997</v>
      </c>
      <c r="J3">
        <v>14.1778</v>
      </c>
      <c r="K3">
        <v>57.08</v>
      </c>
    </row>
    <row r="4" spans="2:11" x14ac:dyDescent="0.2">
      <c r="C4" t="s">
        <v>845</v>
      </c>
      <c r="D4">
        <v>531.47</v>
      </c>
      <c r="E4">
        <v>543.47</v>
      </c>
      <c r="F4">
        <v>636.63</v>
      </c>
      <c r="G4">
        <v>641.03</v>
      </c>
      <c r="H4">
        <v>646.12800000000004</v>
      </c>
      <c r="I4">
        <v>723.93700000000001</v>
      </c>
      <c r="J4">
        <v>13.9476</v>
      </c>
      <c r="K4">
        <v>59.06</v>
      </c>
    </row>
    <row r="5" spans="2:11" x14ac:dyDescent="0.2">
      <c r="C5" t="s">
        <v>846</v>
      </c>
      <c r="D5">
        <v>605.47</v>
      </c>
      <c r="E5">
        <v>617.47</v>
      </c>
      <c r="F5">
        <v>727.63</v>
      </c>
      <c r="G5">
        <v>734.03</v>
      </c>
      <c r="H5">
        <v>722.12800000000004</v>
      </c>
      <c r="I5">
        <v>800.053</v>
      </c>
      <c r="J5">
        <v>13.803800000000001</v>
      </c>
      <c r="K5">
        <v>64.03</v>
      </c>
    </row>
    <row r="6" spans="2:11" x14ac:dyDescent="0.2">
      <c r="C6" t="s">
        <v>847</v>
      </c>
      <c r="D6">
        <v>714.17</v>
      </c>
      <c r="E6">
        <v>723.17</v>
      </c>
      <c r="F6">
        <v>783.63</v>
      </c>
      <c r="G6">
        <v>791.03</v>
      </c>
      <c r="H6">
        <v>778.12800000000004</v>
      </c>
      <c r="I6">
        <v>929.50699999999995</v>
      </c>
      <c r="J6">
        <v>14.3871</v>
      </c>
      <c r="K6">
        <v>66.03</v>
      </c>
    </row>
    <row r="7" spans="2:11" x14ac:dyDescent="0.2">
      <c r="C7" t="s">
        <v>848</v>
      </c>
      <c r="D7">
        <v>768.17</v>
      </c>
      <c r="E7">
        <v>777.17</v>
      </c>
      <c r="F7">
        <v>784.63</v>
      </c>
      <c r="G7">
        <v>791.03</v>
      </c>
      <c r="H7">
        <v>781.12800000000004</v>
      </c>
      <c r="I7">
        <v>993.10799999999995</v>
      </c>
      <c r="J7">
        <v>14.1401</v>
      </c>
      <c r="K7">
        <v>71.150000000000006</v>
      </c>
    </row>
    <row r="8" spans="2:11" x14ac:dyDescent="0.2">
      <c r="C8" t="s">
        <v>849</v>
      </c>
      <c r="D8">
        <v>755.01</v>
      </c>
      <c r="E8">
        <v>764.01</v>
      </c>
      <c r="F8">
        <v>794.63</v>
      </c>
      <c r="G8">
        <v>801.03</v>
      </c>
      <c r="H8">
        <v>789.12800000000004</v>
      </c>
      <c r="I8">
        <v>897.149</v>
      </c>
      <c r="J8">
        <v>14.412699999999999</v>
      </c>
      <c r="K8">
        <v>71.290000000000006</v>
      </c>
    </row>
    <row r="9" spans="2:11" x14ac:dyDescent="0.2">
      <c r="C9" t="s">
        <v>850</v>
      </c>
      <c r="D9">
        <v>667.79</v>
      </c>
      <c r="E9">
        <v>677.79</v>
      </c>
      <c r="F9">
        <v>728.63</v>
      </c>
      <c r="G9">
        <v>734.03</v>
      </c>
      <c r="H9">
        <v>732.12800000000004</v>
      </c>
      <c r="I9">
        <v>886.74400000000003</v>
      </c>
      <c r="J9">
        <v>14.6227</v>
      </c>
      <c r="K9">
        <v>63.87</v>
      </c>
    </row>
    <row r="10" spans="2:11" x14ac:dyDescent="0.2">
      <c r="C10" t="s">
        <v>851</v>
      </c>
      <c r="D10">
        <v>683.17</v>
      </c>
      <c r="E10">
        <v>693.17</v>
      </c>
      <c r="F10">
        <v>719.63</v>
      </c>
      <c r="G10">
        <v>724.03</v>
      </c>
      <c r="H10">
        <v>730.12800000000004</v>
      </c>
      <c r="I10">
        <v>910.59699999999998</v>
      </c>
      <c r="J10">
        <v>14.0709</v>
      </c>
      <c r="K10">
        <v>64.040000000000006</v>
      </c>
    </row>
    <row r="11" spans="2:11" x14ac:dyDescent="0.2">
      <c r="C11" t="s">
        <v>852</v>
      </c>
      <c r="D11">
        <v>694.17</v>
      </c>
      <c r="E11">
        <v>704.17</v>
      </c>
      <c r="F11">
        <v>745.63</v>
      </c>
      <c r="G11">
        <v>750.03</v>
      </c>
      <c r="H11">
        <v>754.12800000000004</v>
      </c>
      <c r="I11">
        <v>898.45500000000004</v>
      </c>
      <c r="J11">
        <v>15.1729</v>
      </c>
      <c r="K11">
        <v>58.97</v>
      </c>
    </row>
    <row r="12" spans="2:11" x14ac:dyDescent="0.2">
      <c r="C12" t="s">
        <v>853</v>
      </c>
      <c r="D12">
        <v>690.17</v>
      </c>
      <c r="E12">
        <v>722.17</v>
      </c>
      <c r="F12">
        <v>770.63</v>
      </c>
      <c r="G12">
        <v>775.03</v>
      </c>
      <c r="H12">
        <v>779.12800000000004</v>
      </c>
      <c r="I12">
        <v>911.07500000000005</v>
      </c>
      <c r="J12">
        <v>14.8432</v>
      </c>
      <c r="K12">
        <v>62.88</v>
      </c>
    </row>
    <row r="13" spans="2:11" x14ac:dyDescent="0.2">
      <c r="C13" t="s">
        <v>854</v>
      </c>
      <c r="D13">
        <v>677.17</v>
      </c>
      <c r="E13">
        <v>709.17</v>
      </c>
      <c r="F13">
        <v>754.63</v>
      </c>
      <c r="G13">
        <v>761.03</v>
      </c>
      <c r="H13">
        <v>756.12800000000004</v>
      </c>
      <c r="I13">
        <v>888.59100000000001</v>
      </c>
      <c r="J13">
        <v>14.9293</v>
      </c>
      <c r="K13">
        <v>59.72</v>
      </c>
    </row>
    <row r="14" spans="2:11" x14ac:dyDescent="0.2">
      <c r="D14" s="300">
        <v>43770</v>
      </c>
      <c r="E14" s="203" t="s">
        <v>884</v>
      </c>
    </row>
    <row r="15" spans="2:11" x14ac:dyDescent="0.2">
      <c r="B15" s="203" t="s">
        <v>858</v>
      </c>
      <c r="C15" s="203" t="s">
        <v>859</v>
      </c>
      <c r="D15">
        <f>AVERAGE(D12)</f>
        <v>690.17</v>
      </c>
      <c r="E15">
        <f>AVERAGE(E12)</f>
        <v>722.17</v>
      </c>
      <c r="F15">
        <f>AVERAGE(F13)</f>
        <v>754.63</v>
      </c>
      <c r="G15">
        <f>AVERAGE(G13)</f>
        <v>761.03</v>
      </c>
    </row>
    <row r="16" spans="2:11" x14ac:dyDescent="0.2">
      <c r="B16" s="203" t="s">
        <v>641</v>
      </c>
      <c r="C16" s="203" t="s">
        <v>860</v>
      </c>
      <c r="D16">
        <v>34.200000000000003</v>
      </c>
      <c r="E16">
        <v>34.200000000000003</v>
      </c>
      <c r="F16">
        <f>E16</f>
        <v>34.200000000000003</v>
      </c>
      <c r="G16">
        <v>38</v>
      </c>
    </row>
    <row r="17" spans="1:9" x14ac:dyDescent="0.2">
      <c r="B17" s="203" t="s">
        <v>861</v>
      </c>
      <c r="C17" s="203" t="s">
        <v>285</v>
      </c>
      <c r="D17" s="272">
        <f>D15/100/D16*1000</f>
        <v>201.80409356725144</v>
      </c>
      <c r="E17" s="272">
        <f>E15/100/E16*1000</f>
        <v>211.16081871345025</v>
      </c>
      <c r="F17" s="272">
        <f>F15/100/F16*1000</f>
        <v>220.65204678362571</v>
      </c>
      <c r="G17" s="272">
        <f>G15/100/G16*1000</f>
        <v>200.27105263157893</v>
      </c>
      <c r="I17" s="272">
        <f>220*2.2/200</f>
        <v>2.4200000000000004</v>
      </c>
    </row>
    <row r="18" spans="1:9" x14ac:dyDescent="0.2">
      <c r="F18" s="203" t="s">
        <v>883</v>
      </c>
    </row>
    <row r="19" spans="1:9" x14ac:dyDescent="0.2">
      <c r="A19" s="203" t="s">
        <v>882</v>
      </c>
      <c r="C19" s="203" t="s">
        <v>859</v>
      </c>
      <c r="D19">
        <v>1608</v>
      </c>
      <c r="E19">
        <v>1621</v>
      </c>
      <c r="F19">
        <f>F20/1000*D16*100</f>
        <v>1641.6000000000001</v>
      </c>
    </row>
    <row r="20" spans="1:9" x14ac:dyDescent="0.2">
      <c r="C20" s="203" t="s">
        <v>285</v>
      </c>
      <c r="D20">
        <f>D19/100/D16*1000</f>
        <v>470.17543859649112</v>
      </c>
      <c r="E20">
        <f>E19/100/E16*1000</f>
        <v>473.9766081871345</v>
      </c>
      <c r="F20">
        <v>480</v>
      </c>
      <c r="G20">
        <f>F20/E17</f>
        <v>2.2731489815417425</v>
      </c>
    </row>
    <row r="21" spans="1:9" x14ac:dyDescent="0.2">
      <c r="C21" s="203" t="s">
        <v>860</v>
      </c>
      <c r="D21" t="e">
        <f>#REF!</f>
        <v>#REF!</v>
      </c>
      <c r="E21" t="e">
        <f>D21</f>
        <v>#REF!</v>
      </c>
      <c r="F21" t="e">
        <f>D21</f>
        <v>#REF!</v>
      </c>
      <c r="H21" t="e">
        <f>D21/D16</f>
        <v>#REF!</v>
      </c>
    </row>
    <row r="22" spans="1:9" x14ac:dyDescent="0.2">
      <c r="C22" s="203" t="s">
        <v>881</v>
      </c>
      <c r="D22" t="e">
        <f>D20/1000*D21*100</f>
        <v>#REF!</v>
      </c>
      <c r="E22" t="e">
        <f>E20/1000*E21*100</f>
        <v>#REF!</v>
      </c>
      <c r="F22" t="e">
        <f>F20/1000*F21*100</f>
        <v>#REF!</v>
      </c>
    </row>
    <row r="24" spans="1:9" x14ac:dyDescent="0.2">
      <c r="C24" s="203" t="s">
        <v>886</v>
      </c>
      <c r="D24" s="203" t="s">
        <v>117</v>
      </c>
      <c r="E24">
        <v>13.9</v>
      </c>
      <c r="F24" t="e">
        <f>#REF!</f>
        <v>#REF!</v>
      </c>
    </row>
    <row r="25" spans="1:9" x14ac:dyDescent="0.2">
      <c r="E25">
        <f>722+361+4+198+57.4+0.33+34.8+20.9+14.6+198+10</f>
        <v>1621.03</v>
      </c>
      <c r="F25">
        <f>722+361+4+198+57.4+0.33+34.8+20.9+14.6+198+10</f>
        <v>1621.03</v>
      </c>
    </row>
    <row r="26" spans="1:9" x14ac:dyDescent="0.2">
      <c r="C26" s="203" t="s">
        <v>888</v>
      </c>
      <c r="D26" s="203" t="s">
        <v>889</v>
      </c>
      <c r="E26">
        <f>361+4+198+57.4+0.33</f>
        <v>620.73</v>
      </c>
      <c r="F26">
        <f>361+4+198+57.4+0.33</f>
        <v>620.73</v>
      </c>
    </row>
    <row r="27" spans="1:9" x14ac:dyDescent="0.2">
      <c r="D27" s="203" t="s">
        <v>890</v>
      </c>
      <c r="E27">
        <f>E26/100</f>
        <v>6.2073</v>
      </c>
      <c r="F27">
        <f>F26/100</f>
        <v>6.2073</v>
      </c>
    </row>
    <row r="28" spans="1:9" x14ac:dyDescent="0.2">
      <c r="C28" s="203" t="s">
        <v>887</v>
      </c>
      <c r="D28" s="203" t="s">
        <v>285</v>
      </c>
      <c r="E28" t="e">
        <f>E26/100/E21*1000</f>
        <v>#REF!</v>
      </c>
      <c r="F28" t="e">
        <f>F26/100/F21*1000</f>
        <v>#REF!</v>
      </c>
    </row>
    <row r="29" spans="1:9" x14ac:dyDescent="0.2">
      <c r="C29" s="203" t="s">
        <v>891</v>
      </c>
      <c r="D29" s="203" t="s">
        <v>892</v>
      </c>
      <c r="E29" t="e">
        <f>E28*E24</f>
        <v>#REF!</v>
      </c>
      <c r="F29" t="e">
        <f>F28*F24</f>
        <v>#REF!</v>
      </c>
    </row>
    <row r="33" spans="5:5" x14ac:dyDescent="0.2">
      <c r="E33">
        <f>490/E17</f>
        <v>2.3205062519905288</v>
      </c>
    </row>
  </sheetData>
  <hyperlinks>
    <hyperlink ref="C1" r:id="rId1" xr:uid="{3C8EE723-E748-4BB5-8D74-87EF9B60681E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84717-4EA3-4064-A3D1-EA795004DD58}">
  <dimension ref="A1"/>
  <sheetViews>
    <sheetView workbookViewId="0">
      <selection activeCell="B3" sqref="B3:J10"/>
    </sheetView>
  </sheetViews>
  <sheetFormatPr defaultRowHeight="15" x14ac:dyDescent="0.25"/>
  <cols>
    <col min="1" max="1" width="9.140625" style="72"/>
    <col min="2" max="2" width="37.85546875" style="72" customWidth="1"/>
    <col min="3" max="16384" width="9.140625" style="72"/>
  </cols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zoomScaleNormal="100" workbookViewId="0">
      <pane xSplit="7" ySplit="7" topLeftCell="H8" activePane="bottomRight" state="frozen"/>
      <selection pane="topRight" activeCell="G1" sqref="G1"/>
      <selection pane="bottomLeft" activeCell="A8" sqref="A8"/>
      <selection pane="bottomRight"/>
    </sheetView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9" r:id="rId4" name="cmdAddParamQualifier2">
          <controlPr defaultSize="0" autoLine="0" r:id="rId5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4" name="cmdAddParamQualifier2"/>
      </mc:Fallback>
    </mc:AlternateContent>
    <mc:AlternateContent xmlns:mc="http://schemas.openxmlformats.org/markup-compatibility/2006">
      <mc:Choice Requires="x14">
        <control shapeId="102408" r:id="rId6" name="cmdTimeSlice">
          <controlPr defaultSize="0" autoLine="0" r:id="rId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6" name="cmdTimeSlice"/>
      </mc:Fallback>
    </mc:AlternateContent>
    <mc:AlternateContent xmlns:mc="http://schemas.openxmlformats.org/markup-compatibility/2006">
      <mc:Choice Requires="x14">
        <control shapeId="102407" r:id="rId8" name="cmdCommName">
          <controlPr defaultSize="0" autoLine="0" r:id="rId9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8" name="cmdCommName"/>
      </mc:Fallback>
    </mc:AlternateContent>
    <mc:AlternateContent xmlns:mc="http://schemas.openxmlformats.org/markup-compatibility/2006">
      <mc:Choice Requires="x14">
        <control shapeId="102405" r:id="rId10" name="cmdAddParamQualifier1">
          <controlPr defaultSize="0" autoLine="0" r:id="rId11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0" name="cmdAddParamQualifier1"/>
      </mc:Fallback>
    </mc:AlternateContent>
    <mc:AlternateContent xmlns:mc="http://schemas.openxmlformats.org/markup-compatibility/2006">
      <mc:Choice Requires="x14">
        <control shapeId="102404" r:id="rId12" name="cmdCheckConstrDataSheet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2" name="cmdCheckConstrDataSheet"/>
      </mc:Fallback>
    </mc:AlternateContent>
    <mc:AlternateContent xmlns:mc="http://schemas.openxmlformats.org/markup-compatibility/2006">
      <mc:Choice Requires="x14">
        <control shapeId="102403" r:id="rId14" name="cmdAddParameter">
          <controlPr defaultSize="0" autoLine="0" r:id="rId15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14" name="cmdAddParameter"/>
      </mc:Fallback>
    </mc:AlternateContent>
    <mc:AlternateContent xmlns:mc="http://schemas.openxmlformats.org/markup-compatibility/2006">
      <mc:Choice Requires="x14">
        <control shapeId="102402" r:id="rId16" name="cmdProcName">
          <controlPr defaultSize="0" autoLine="0" r:id="rId1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16" name="cmdProcName"/>
      </mc:Fallback>
    </mc:AlternateContent>
    <mc:AlternateContent xmlns:mc="http://schemas.openxmlformats.org/markup-compatibility/2006">
      <mc:Choice Requires="x14">
        <control shapeId="102401" r:id="rId18" name="cmdConstrNameAndDesc">
          <controlPr defaultSize="0" autoLine="0" autoPict="0" r:id="rId1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18" name="cmdConstrNameAndDesc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15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0" r:id="rId4" name="cmdSpecifySets">
          <controlPr defaultSize="0" autoLine="0" r:id="rId5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4" name="cmdSpecifySets"/>
      </mc:Fallback>
    </mc:AlternateContent>
    <mc:AlternateContent xmlns:mc="http://schemas.openxmlformats.org/markup-compatibility/2006">
      <mc:Choice Requires="x14">
        <control shapeId="55299" r:id="rId6" name="cmdSpecifyUnits">
          <controlPr defaultSize="0" autoLine="0" r:id="rId7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6" name="cmdSpecifyUnits"/>
      </mc:Fallback>
    </mc:AlternateContent>
    <mc:AlternateContent xmlns:mc="http://schemas.openxmlformats.org/markup-compatibility/2006">
      <mc:Choice Requires="x14">
        <control shapeId="55298" r:id="rId8" name="cmdSpecifyComponent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8" name="cmdSpecifyComponent"/>
      </mc:Fallback>
    </mc:AlternateContent>
    <mc:AlternateContent xmlns:mc="http://schemas.openxmlformats.org/markup-compatibility/2006">
      <mc:Choice Requires="x14">
        <control shapeId="55297" r:id="rId10" name="cmdCheckItems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10" name="cmdCheckItemsSheet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5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3" r:id="rId4" name="cmdSpecifyIEOptcode">
          <controlPr defaultSize="0" autoLine="0" autoPict="0" r:id="rId5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4" name="cmdSpecifyIEOptcode"/>
      </mc:Fallback>
    </mc:AlternateContent>
    <mc:AlternateContent xmlns:mc="http://schemas.openxmlformats.org/markup-compatibility/2006">
      <mc:Choice Requires="x14">
        <control shapeId="57352" r:id="rId6" name="cmdSpecifyArg6">
          <controlPr defaultSize="0" autoLine="0" r:id="rId7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6" name="cmdSpecifyArg6"/>
      </mc:Fallback>
    </mc:AlternateContent>
    <mc:AlternateContent xmlns:mc="http://schemas.openxmlformats.org/markup-compatibility/2006">
      <mc:Choice Requires="x14">
        <control shapeId="57351" r:id="rId8" name="cmdSpecifyArg5">
          <controlPr defaultSize="0" autoLine="0" r:id="rId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8" name="cmdSpecifyArg5"/>
      </mc:Fallback>
    </mc:AlternateContent>
    <mc:AlternateContent xmlns:mc="http://schemas.openxmlformats.org/markup-compatibility/2006">
      <mc:Choice Requires="x14">
        <control shapeId="57350" r:id="rId10" name="cmdSpecifyArg4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0" name="cmdSpecifyArg4"/>
      </mc:Fallback>
    </mc:AlternateContent>
    <mc:AlternateContent xmlns:mc="http://schemas.openxmlformats.org/markup-compatibility/2006">
      <mc:Choice Requires="x14">
        <control shapeId="57349" r:id="rId12" name="cmdSpecifyArg3">
          <controlPr defaultSize="0" autoLine="0" r:id="rId13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2" name="cmdSpecifyArg3"/>
      </mc:Fallback>
    </mc:AlternateContent>
    <mc:AlternateContent xmlns:mc="http://schemas.openxmlformats.org/markup-compatibility/2006">
      <mc:Choice Requires="x14">
        <control shapeId="57348" r:id="rId14" name="cmdSpecifyArg2">
          <controlPr defaultSize="0" autoLine="0" r:id="rId15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4" name="cmdSpecifyArg2"/>
      </mc:Fallback>
    </mc:AlternateContent>
    <mc:AlternateContent xmlns:mc="http://schemas.openxmlformats.org/markup-compatibility/2006">
      <mc:Choice Requires="x14">
        <control shapeId="57347" r:id="rId16" name="cmdSpecifyArg1">
          <controlPr defaultSize="0" autoLine="0" r:id="rId17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6" name="cmdSpecifyArg1"/>
      </mc:Fallback>
    </mc:AlternateContent>
    <mc:AlternateContent xmlns:mc="http://schemas.openxmlformats.org/markup-compatibility/2006">
      <mc:Choice Requires="x14">
        <control shapeId="57346" r:id="rId18" name="cmdSpecifyParameter">
          <controlPr defaultSize="0" autoLine="0" r:id="rId1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18" name="cmdSpecifyParameter"/>
      </mc:Fallback>
    </mc:AlternateContent>
    <mc:AlternateContent xmlns:mc="http://schemas.openxmlformats.org/markup-compatibility/2006">
      <mc:Choice Requires="x14">
        <control shapeId="57345" r:id="rId20" name="cmdCheckTSData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20" name="cmdCheckTSDataSheet"/>
      </mc:Fallback>
    </mc:AlternateContent>
    <mc:AlternateContent xmlns:mc="http://schemas.openxmlformats.org/markup-compatibility/2006">
      <mc:Choice Requires="x14">
        <control shapeId="57354" r:id="rId22" name="cmdPopulateDataYears">
          <controlPr defaultSize="0" autoLine="0" r:id="rId23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22" name="cmdPopulateDataYears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5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cmdSpecifyArg6">
          <controlPr defaultSize="0" autoLine="0" r:id="rId5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4" name="cmdSpecifyArg6"/>
      </mc:Fallback>
    </mc:AlternateContent>
    <mc:AlternateContent xmlns:mc="http://schemas.openxmlformats.org/markup-compatibility/2006">
      <mc:Choice Requires="x14">
        <control shapeId="58375" r:id="rId6" name="cmdSpecifyArg5">
          <controlPr defaultSize="0" autoLine="0" r:id="rId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6" name="cmdSpecifyArg5"/>
      </mc:Fallback>
    </mc:AlternateContent>
    <mc:AlternateContent xmlns:mc="http://schemas.openxmlformats.org/markup-compatibility/2006">
      <mc:Choice Requires="x14">
        <control shapeId="58374" r:id="rId8" name="cmdSpecifyArg4">
          <controlPr defaultSize="0" autoLine="0" r:id="rId9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8" name="cmdSpecifyArg4"/>
      </mc:Fallback>
    </mc:AlternateContent>
    <mc:AlternateContent xmlns:mc="http://schemas.openxmlformats.org/markup-compatibility/2006">
      <mc:Choice Requires="x14">
        <control shapeId="58373" r:id="rId10" name="cmdSpecifyArg3">
          <controlPr defaultSize="0" autoLine="0" r:id="rId11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0" name="cmdSpecifyArg3"/>
      </mc:Fallback>
    </mc:AlternateContent>
    <mc:AlternateContent xmlns:mc="http://schemas.openxmlformats.org/markup-compatibility/2006">
      <mc:Choice Requires="x14">
        <control shapeId="58372" r:id="rId12" name="cmdSpecifyArg2">
          <controlPr defaultSize="0" autoLine="0" r:id="rId13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2" name="cmdSpecifyArg2"/>
      </mc:Fallback>
    </mc:AlternateContent>
    <mc:AlternateContent xmlns:mc="http://schemas.openxmlformats.org/markup-compatibility/2006">
      <mc:Choice Requires="x14">
        <control shapeId="58371" r:id="rId14" name="cmdSpecifyArg1">
          <controlPr defaultSize="0" autoLine="0" r:id="rId15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14" name="cmdSpecifyArg1"/>
      </mc:Fallback>
    </mc:AlternateContent>
    <mc:AlternateContent xmlns:mc="http://schemas.openxmlformats.org/markup-compatibility/2006">
      <mc:Choice Requires="x14">
        <control shapeId="58370" r:id="rId16" name="cmdSpecifyParameter">
          <controlPr defaultSize="0" autoLine="0" r:id="rId1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16" name="cmdSpecifyParameter"/>
      </mc:Fallback>
    </mc:AlternateContent>
    <mc:AlternateContent xmlns:mc="http://schemas.openxmlformats.org/markup-compatibility/2006">
      <mc:Choice Requires="x14">
        <control shapeId="58369" r:id="rId18" name="cmdCheckTIDDataSheet">
          <controlPr defaultSize="0" autoLine="0" r:id="rId19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18" name="cmdCheckTIDDataSheet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5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1" r:id="rId3" name="cmdSpecifyIEOptcode">
          <controlPr defaultSize="0" autoLine="0" r:id="rId4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3" name="cmdSpecifyIEOptcode"/>
      </mc:Fallback>
    </mc:AlternateContent>
    <mc:AlternateContent xmlns:mc="http://schemas.openxmlformats.org/markup-compatibility/2006">
      <mc:Choice Requires="x14">
        <control shapeId="59400" r:id="rId5" name="cmdSpecifyArg6">
          <controlPr defaultSize="0" autoLine="0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5" name="cmdSpecifyArg6"/>
      </mc:Fallback>
    </mc:AlternateContent>
    <mc:AlternateContent xmlns:mc="http://schemas.openxmlformats.org/markup-compatibility/2006">
      <mc:Choice Requires="x14">
        <control shapeId="59399" r:id="rId7" name="cmdSpecifyArg5">
          <controlPr defaultSize="0" autoLine="0" r:id="rId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7" name="cmdSpecifyArg5"/>
      </mc:Fallback>
    </mc:AlternateContent>
    <mc:AlternateContent xmlns:mc="http://schemas.openxmlformats.org/markup-compatibility/2006">
      <mc:Choice Requires="x14">
        <control shapeId="59398" r:id="rId9" name="cmdSpecifyArg4">
          <controlPr defaultSize="0" autoLine="0" r:id="rId1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9" name="cmdSpecifyArg4"/>
      </mc:Fallback>
    </mc:AlternateContent>
    <mc:AlternateContent xmlns:mc="http://schemas.openxmlformats.org/markup-compatibility/2006">
      <mc:Choice Requires="x14">
        <control shapeId="59397" r:id="rId11" name="cmdSpecifyArg3">
          <controlPr defaultSize="0" autoLine="0" r:id="rId12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1" name="cmdSpecifyArg3"/>
      </mc:Fallback>
    </mc:AlternateContent>
    <mc:AlternateContent xmlns:mc="http://schemas.openxmlformats.org/markup-compatibility/2006">
      <mc:Choice Requires="x14">
        <control shapeId="59396" r:id="rId13" name="cmdSpecifyArg2">
          <controlPr defaultSize="0" autoLine="0" r:id="rId14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3" name="cmdSpecifyArg2"/>
      </mc:Fallback>
    </mc:AlternateContent>
    <mc:AlternateContent xmlns:mc="http://schemas.openxmlformats.org/markup-compatibility/2006">
      <mc:Choice Requires="x14">
        <control shapeId="59395" r:id="rId15" name="cmdSpecifyArg1">
          <controlPr defaultSize="0" autoLine="0" r:id="rId1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15" name="cmdSpecifyArg1"/>
      </mc:Fallback>
    </mc:AlternateContent>
    <mc:AlternateContent xmlns:mc="http://schemas.openxmlformats.org/markup-compatibility/2006">
      <mc:Choice Requires="x14">
        <control shapeId="59394" r:id="rId17" name="cmdSpecifyParameter">
          <controlPr defaultSize="0" autoLine="0" r:id="rId1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17" name="cmdSpecifyParameter"/>
      </mc:Fallback>
    </mc:AlternateContent>
    <mc:AlternateContent xmlns:mc="http://schemas.openxmlformats.org/markup-compatibility/2006">
      <mc:Choice Requires="x14">
        <control shapeId="59393" r:id="rId19" name="cmdCheckTSandTIDDataSheet">
          <controlPr defaultSize="0" autoLine="0" r:id="rId20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19" name="cmdCheckTSandTIDDataSheet"/>
      </mc:Fallback>
    </mc:AlternateContent>
    <mc:AlternateContent xmlns:mc="http://schemas.openxmlformats.org/markup-compatibility/2006">
      <mc:Choice Requires="x14">
        <control shapeId="59402" r:id="rId21" name="cmdPopulateDataYears">
          <controlPr defaultSize="0" autoLine="0" r:id="rId22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21" name="cmdPopulateDataYears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15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6" r:id="rId3" name="cmdCheckTSTradeSheet">
          <controlPr defaultSize="0" autoLine="0" r:id="rId4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3" name="cmdCheckTSTradeSheet"/>
      </mc:Fallback>
    </mc:AlternateContent>
    <mc:AlternateContent xmlns:mc="http://schemas.openxmlformats.org/markup-compatibility/2006">
      <mc:Choice Requires="x14">
        <control shapeId="60425" r:id="rId5" name="cmdSpecifyIEOptcode">
          <controlPr defaultSize="0" autoLine="0" autoPict="0" r:id="rId6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5" name="cmdSpecifyIEOptcode"/>
      </mc:Fallback>
    </mc:AlternateContent>
    <mc:AlternateContent xmlns:mc="http://schemas.openxmlformats.org/markup-compatibility/2006">
      <mc:Choice Requires="x14">
        <control shapeId="60424" r:id="rId7" name="cmdSpecifyArg6">
          <controlPr defaultSize="0" autoLine="0" r:id="rId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7" name="cmdSpecifyArg6"/>
      </mc:Fallback>
    </mc:AlternateContent>
    <mc:AlternateContent xmlns:mc="http://schemas.openxmlformats.org/markup-compatibility/2006">
      <mc:Choice Requires="x14">
        <control shapeId="60423" r:id="rId9" name="cmdSpecifyArg5">
          <controlPr defaultSize="0" autoLine="0" r:id="rId10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9" name="cmdSpecifyArg5"/>
      </mc:Fallback>
    </mc:AlternateContent>
    <mc:AlternateContent xmlns:mc="http://schemas.openxmlformats.org/markup-compatibility/2006">
      <mc:Choice Requires="x14">
        <control shapeId="60422" r:id="rId11" name="cmdSpecifyArg4">
          <controlPr defaultSize="0" autoLine="0" r:id="rId12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1" name="cmdSpecifyArg4"/>
      </mc:Fallback>
    </mc:AlternateContent>
    <mc:AlternateContent xmlns:mc="http://schemas.openxmlformats.org/markup-compatibility/2006">
      <mc:Choice Requires="x14">
        <control shapeId="60421" r:id="rId13" name="cmdSpecifyArg3">
          <controlPr defaultSize="0" autoLine="0" r:id="rId14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3" name="cmdSpecifyArg3"/>
      </mc:Fallback>
    </mc:AlternateContent>
    <mc:AlternateContent xmlns:mc="http://schemas.openxmlformats.org/markup-compatibility/2006">
      <mc:Choice Requires="x14">
        <control shapeId="60420" r:id="rId15" name="cmdSpecifyArg2">
          <controlPr defaultSize="0" autoLine="0" r:id="rId16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15" name="cmdSpecifyArg2"/>
      </mc:Fallback>
    </mc:AlternateContent>
    <mc:AlternateContent xmlns:mc="http://schemas.openxmlformats.org/markup-compatibility/2006">
      <mc:Choice Requires="x14">
        <control shapeId="60419" r:id="rId17" name="cmdSpecifyArg1">
          <controlPr defaultSize="0" autoLine="0" r:id="rId1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17" name="cmdSpecifyArg1"/>
      </mc:Fallback>
    </mc:AlternateContent>
    <mc:AlternateContent xmlns:mc="http://schemas.openxmlformats.org/markup-compatibility/2006">
      <mc:Choice Requires="x14">
        <control shapeId="60418" r:id="rId19" name="cmdSpecifyParameter">
          <controlPr defaultSize="0" autoLine="0" r:id="rId2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19" name="cmdSpecifyParameter"/>
      </mc:Fallback>
    </mc:AlternateContent>
    <mc:AlternateContent xmlns:mc="http://schemas.openxmlformats.org/markup-compatibility/2006">
      <mc:Choice Requires="x14">
        <control shapeId="60427" r:id="rId21" name="cmdPopulateDataYears">
          <controlPr defaultSize="0" autoLine="0" r:id="rId22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21" name="cmdPopulateDataYears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>
      <pane ySplit="7" topLeftCell="A8" activePane="bottomLeft" state="frozen"/>
      <selection pane="bottomLeft" activeCell="A9" sqref="A9"/>
    </sheetView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15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9" r:id="rId4" name="cmdSpecifyArg6">
          <controlPr defaultSize="0" autoLine="0" r:id="rId5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4" name="cmdSpecifyArg6"/>
      </mc:Fallback>
    </mc:AlternateContent>
    <mc:AlternateContent xmlns:mc="http://schemas.openxmlformats.org/markup-compatibility/2006">
      <mc:Choice Requires="x14">
        <control shapeId="61448" r:id="rId6" name="cmdSpecifyArg5">
          <controlPr defaultSize="0" autoLine="0" r:id="rId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6" name="cmdSpecifyArg5"/>
      </mc:Fallback>
    </mc:AlternateContent>
    <mc:AlternateContent xmlns:mc="http://schemas.openxmlformats.org/markup-compatibility/2006">
      <mc:Choice Requires="x14">
        <control shapeId="61447" r:id="rId8" name="cmdSpecifyArg4">
          <controlPr defaultSize="0" autoLine="0" r:id="rId9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8" name="cmdSpecifyArg4"/>
      </mc:Fallback>
    </mc:AlternateContent>
    <mc:AlternateContent xmlns:mc="http://schemas.openxmlformats.org/markup-compatibility/2006">
      <mc:Choice Requires="x14">
        <control shapeId="61446" r:id="rId10" name="cmdSpecifyArg3">
          <controlPr defaultSize="0" autoLine="0" r:id="rId11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0" name="cmdSpecifyArg3"/>
      </mc:Fallback>
    </mc:AlternateContent>
    <mc:AlternateContent xmlns:mc="http://schemas.openxmlformats.org/markup-compatibility/2006">
      <mc:Choice Requires="x14">
        <control shapeId="61445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2" name="cmdSpecifyArg2"/>
      </mc:Fallback>
    </mc:AlternateContent>
    <mc:AlternateContent xmlns:mc="http://schemas.openxmlformats.org/markup-compatibility/2006">
      <mc:Choice Requires="x14">
        <control shapeId="61444" r:id="rId14" name="cmdSpecifyArg1">
          <controlPr defaultSize="0" autoLine="0" r:id="rId15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14" name="cmdSpecifyArg1"/>
      </mc:Fallback>
    </mc:AlternateContent>
    <mc:AlternateContent xmlns:mc="http://schemas.openxmlformats.org/markup-compatibility/2006">
      <mc:Choice Requires="x14">
        <control shapeId="61443" r:id="rId16" name="cmdSpecifyParameter">
          <controlPr defaultSize="0" autoLine="0" r:id="rId1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16" name="cmdSpecifyParameter"/>
      </mc:Fallback>
    </mc:AlternateContent>
    <mc:AlternateContent xmlns:mc="http://schemas.openxmlformats.org/markup-compatibility/2006">
      <mc:Choice Requires="x14">
        <control shapeId="61442" r:id="rId18" name="cmdCheckTIDTradeSheet">
          <controlPr defaultSize="0" autoLine="0" r:id="rId19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18" name="cmdCheckTIDTradeSheet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15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4" r:id="rId4" name="cmdSpecifyIEOptcode">
          <controlPr defaultSize="0" autoLine="0" r:id="rId5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4" name="cmdSpecifyIEOptcode"/>
      </mc:Fallback>
    </mc:AlternateContent>
    <mc:AlternateContent xmlns:mc="http://schemas.openxmlformats.org/markup-compatibility/2006">
      <mc:Choice Requires="x14">
        <control shapeId="62473" r:id="rId6" name="cmdSpecifyArg6">
          <controlPr defaultSize="0" autoLine="0" r:id="rId7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6" name="cmdSpecifyArg6"/>
      </mc:Fallback>
    </mc:AlternateContent>
    <mc:AlternateContent xmlns:mc="http://schemas.openxmlformats.org/markup-compatibility/2006">
      <mc:Choice Requires="x14">
        <control shapeId="62472" r:id="rId8" name="cmdSpecifyArg5">
          <controlPr defaultSize="0" autoLine="0" r:id="rId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8" name="cmdSpecifyArg5"/>
      </mc:Fallback>
    </mc:AlternateContent>
    <mc:AlternateContent xmlns:mc="http://schemas.openxmlformats.org/markup-compatibility/2006">
      <mc:Choice Requires="x14">
        <control shapeId="62471" r:id="rId10" name="cmdSpecifyArg4">
          <controlPr defaultSize="0" autoLine="0" r:id="rId11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0" name="cmdSpecifyArg4"/>
      </mc:Fallback>
    </mc:AlternateContent>
    <mc:AlternateContent xmlns:mc="http://schemas.openxmlformats.org/markup-compatibility/2006">
      <mc:Choice Requires="x14">
        <control shapeId="62470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2" name="cmdSpecifyArg3"/>
      </mc:Fallback>
    </mc:AlternateContent>
    <mc:AlternateContent xmlns:mc="http://schemas.openxmlformats.org/markup-compatibility/2006">
      <mc:Choice Requires="x14">
        <control shapeId="62469" r:id="rId14" name="cmdSpecifyArg2">
          <controlPr defaultSize="0" autoLine="0" r:id="rId15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4" name="cmdSpecifyArg2"/>
      </mc:Fallback>
    </mc:AlternateContent>
    <mc:AlternateContent xmlns:mc="http://schemas.openxmlformats.org/markup-compatibility/2006">
      <mc:Choice Requires="x14">
        <control shapeId="62468" r:id="rId16" name="cmdSpecifyArg1">
          <controlPr defaultSize="0" autoLine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6" name="cmdSpecifyArg1"/>
      </mc:Fallback>
    </mc:AlternateContent>
    <mc:AlternateContent xmlns:mc="http://schemas.openxmlformats.org/markup-compatibility/2006">
      <mc:Choice Requires="x14">
        <control shapeId="62467" r:id="rId18" name="cmdSpecifyParameter">
          <controlPr defaultSize="0" autoLine="0" r:id="rId1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18" name="cmdSpecifyParameter"/>
      </mc:Fallback>
    </mc:AlternateContent>
    <mc:AlternateContent xmlns:mc="http://schemas.openxmlformats.org/markup-compatibility/2006">
      <mc:Choice Requires="x14">
        <control shapeId="62466" r:id="rId20" name="cmdCheckTSandTIDTrade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20" name="cmdCheckTSandTIDTradeSheet"/>
      </mc:Fallback>
    </mc:AlternateContent>
    <mc:AlternateContent xmlns:mc="http://schemas.openxmlformats.org/markup-compatibility/2006">
      <mc:Choice Requires="x14">
        <control shapeId="62475" r:id="rId22" name="cmdPopulateDataYears">
          <controlPr defaultSize="0" autoLine="0" r:id="rId23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22" name="cmdPopulateDataYea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ANSv2-692-Home</vt:lpstr>
      <vt:lpstr>Index</vt:lpstr>
      <vt:lpstr>RES</vt:lpstr>
      <vt:lpstr>RES_base</vt:lpstr>
      <vt:lpstr>RES_eth</vt:lpstr>
      <vt:lpstr>RES_bio</vt:lpstr>
      <vt:lpstr>EB_Exist</vt:lpstr>
      <vt:lpstr>EB_v2</vt:lpstr>
      <vt:lpstr>LCOE_Checks</vt:lpstr>
      <vt:lpstr>Costs_Exist</vt:lpstr>
      <vt:lpstr>Todo</vt:lpstr>
      <vt:lpstr>Cost of generation</vt:lpstr>
      <vt:lpstr>Add. Gen. cap</vt:lpstr>
      <vt:lpstr>Future expansion</vt:lpstr>
      <vt:lpstr>Constants</vt:lpstr>
      <vt:lpstr>SugarPrices</vt:lpstr>
      <vt:lpstr>Commodities_BASE</vt:lpstr>
      <vt:lpstr>CommData_BASE</vt:lpstr>
      <vt:lpstr>Processes_BASE</vt:lpstr>
      <vt:lpstr>ProcData_Basic</vt:lpstr>
      <vt:lpstr>ProcData_Demands</vt:lpstr>
      <vt:lpstr>ProcData_Exist</vt:lpstr>
      <vt:lpstr>Basic Fuel Price</vt:lpstr>
      <vt:lpstr>Params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Bruno</cp:lastModifiedBy>
  <cp:lastPrinted>2005-06-23T04:07:43Z</cp:lastPrinted>
  <dcterms:created xsi:type="dcterms:W3CDTF">2005-05-01T12:39:10Z</dcterms:created>
  <dcterms:modified xsi:type="dcterms:W3CDTF">2020-04-06T09:43:28Z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