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4000" windowHeight="9735" activeTab="6"/>
  </bookViews>
  <sheets>
    <sheet name="Quartis" sheetId="1" r:id="rId1"/>
    <sheet name="Posição e dispersão" sheetId="2" r:id="rId2"/>
    <sheet name="Média Móvel" sheetId="3" r:id="rId3"/>
    <sheet name="Gráf1" sheetId="5" r:id="rId4"/>
    <sheet name="Holt Linear" sheetId="4" r:id="rId5"/>
    <sheet name="Hotl exp" sheetId="6" r:id="rId6"/>
    <sheet name="Holt Winters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F4" i="8"/>
  <c r="F3" i="8"/>
  <c r="F2" i="8"/>
  <c r="E4" i="8"/>
  <c r="D4" i="8"/>
  <c r="E4" i="6"/>
  <c r="F4" i="6" s="1"/>
  <c r="E5" i="6" s="1"/>
  <c r="F5" i="6" s="1"/>
  <c r="F3" i="6"/>
  <c r="E3" i="6"/>
  <c r="C14" i="4"/>
  <c r="C13" i="4"/>
  <c r="C12" i="4"/>
  <c r="C3" i="4"/>
  <c r="D3" i="4" s="1"/>
  <c r="C4" i="4" s="1"/>
  <c r="D4" i="4" s="1"/>
  <c r="E6" i="3"/>
  <c r="E10" i="3"/>
  <c r="C11" i="3"/>
  <c r="C10" i="3"/>
  <c r="D10" i="3" s="1"/>
  <c r="C9" i="3"/>
  <c r="D9" i="3" s="1"/>
  <c r="E9" i="3" s="1"/>
  <c r="C8" i="3"/>
  <c r="D8" i="3" s="1"/>
  <c r="E8" i="3" s="1"/>
  <c r="C7" i="3"/>
  <c r="D7" i="3" s="1"/>
  <c r="E7" i="3" s="1"/>
  <c r="C6" i="3"/>
  <c r="D6" i="3" s="1"/>
  <c r="C5" i="3"/>
  <c r="D5" i="3" s="1"/>
  <c r="E5" i="3" s="1"/>
  <c r="C4" i="3"/>
  <c r="D4" i="3" s="1"/>
  <c r="E4" i="3" s="1"/>
  <c r="H2" i="3" s="1"/>
  <c r="D16" i="2"/>
  <c r="K4" i="2"/>
  <c r="K3" i="2"/>
  <c r="K5" i="2"/>
  <c r="J5" i="2"/>
  <c r="J4" i="2"/>
  <c r="J3" i="2"/>
  <c r="J2" i="2"/>
  <c r="D15" i="2"/>
  <c r="D14" i="2"/>
  <c r="E4" i="2"/>
  <c r="E5" i="2"/>
  <c r="E6" i="2"/>
  <c r="E7" i="2"/>
  <c r="E8" i="2"/>
  <c r="E9" i="2"/>
  <c r="E10" i="2"/>
  <c r="E11" i="2"/>
  <c r="E3" i="2"/>
  <c r="D13" i="2"/>
  <c r="E7" i="1"/>
  <c r="E9" i="1"/>
  <c r="E4" i="1"/>
  <c r="E5" i="8" l="1"/>
  <c r="D6" i="8" s="1"/>
  <c r="F5" i="8"/>
  <c r="G4" i="6"/>
  <c r="H4" i="6" s="1"/>
  <c r="G5" i="6"/>
  <c r="H5" i="6" s="1"/>
  <c r="I5" i="6" s="1"/>
  <c r="E6" i="6"/>
  <c r="E3" i="4"/>
  <c r="C5" i="4"/>
  <c r="D5" i="4" s="1"/>
  <c r="E4" i="4"/>
  <c r="G2" i="3"/>
  <c r="G5" i="8" l="1"/>
  <c r="H5" i="8" s="1"/>
  <c r="I5" i="8" s="1"/>
  <c r="F6" i="8"/>
  <c r="E6" i="8"/>
  <c r="G6" i="8" s="1"/>
  <c r="H6" i="8" s="1"/>
  <c r="I6" i="8" s="1"/>
  <c r="I4" i="6"/>
  <c r="F6" i="6"/>
  <c r="G6" i="6" s="1"/>
  <c r="H6" i="6" s="1"/>
  <c r="I6" i="6" s="1"/>
  <c r="E5" i="4"/>
  <c r="C6" i="4"/>
  <c r="D6" i="4" s="1"/>
  <c r="D7" i="8" l="1"/>
  <c r="E7" i="6"/>
  <c r="F7" i="6" s="1"/>
  <c r="E8" i="6" s="1"/>
  <c r="E6" i="4"/>
  <c r="C7" i="4"/>
  <c r="D7" i="4" s="1"/>
  <c r="E7" i="8" l="1"/>
  <c r="D8" i="8" s="1"/>
  <c r="F7" i="8"/>
  <c r="F8" i="6"/>
  <c r="E9" i="6" s="1"/>
  <c r="G7" i="6"/>
  <c r="H7" i="6" s="1"/>
  <c r="C8" i="4"/>
  <c r="D8" i="4" s="1"/>
  <c r="E7" i="4"/>
  <c r="F8" i="8" l="1"/>
  <c r="E8" i="8"/>
  <c r="G8" i="8" s="1"/>
  <c r="H8" i="8" s="1"/>
  <c r="I8" i="8" s="1"/>
  <c r="G7" i="8"/>
  <c r="H7" i="8" s="1"/>
  <c r="I7" i="6"/>
  <c r="F9" i="6"/>
  <c r="E10" i="6" s="1"/>
  <c r="G8" i="6"/>
  <c r="H8" i="6" s="1"/>
  <c r="I8" i="6" s="1"/>
  <c r="E8" i="4"/>
  <c r="C9" i="4"/>
  <c r="D9" i="4" s="1"/>
  <c r="I7" i="8" l="1"/>
  <c r="D9" i="8"/>
  <c r="F10" i="6"/>
  <c r="G10" i="6" s="1"/>
  <c r="H10" i="6" s="1"/>
  <c r="I10" i="6" s="1"/>
  <c r="G9" i="6"/>
  <c r="H9" i="6" s="1"/>
  <c r="I9" i="6" s="1"/>
  <c r="E9" i="4"/>
  <c r="C10" i="4"/>
  <c r="D10" i="4" s="1"/>
  <c r="F9" i="8" l="1"/>
  <c r="E9" i="8"/>
  <c r="D10" i="8" s="1"/>
  <c r="E11" i="6"/>
  <c r="F11" i="6" s="1"/>
  <c r="G11" i="6" s="1"/>
  <c r="H11" i="6" s="1"/>
  <c r="I11" i="6" s="1"/>
  <c r="C11" i="4"/>
  <c r="M1" i="4"/>
  <c r="D11" i="4" s="1"/>
  <c r="E10" i="4"/>
  <c r="M2" i="4" s="1"/>
  <c r="E11" i="4" s="1"/>
  <c r="F10" i="8" l="1"/>
  <c r="E10" i="8"/>
  <c r="D11" i="8" s="1"/>
  <c r="G9" i="8"/>
  <c r="H9" i="8" s="1"/>
  <c r="E12" i="6"/>
  <c r="F12" i="6" s="1"/>
  <c r="G12" i="6" s="1"/>
  <c r="H12" i="6" s="1"/>
  <c r="I12" i="6" s="1"/>
  <c r="I9" i="8" l="1"/>
  <c r="G10" i="8"/>
  <c r="H10" i="8" s="1"/>
  <c r="I10" i="8" s="1"/>
  <c r="F11" i="8"/>
  <c r="E11" i="8"/>
  <c r="G11" i="8" s="1"/>
  <c r="H11" i="8" s="1"/>
  <c r="I11" i="8" s="1"/>
  <c r="D12" i="8"/>
  <c r="E13" i="6"/>
  <c r="F13" i="6" s="1"/>
  <c r="E14" i="6" s="1"/>
  <c r="F12" i="8" l="1"/>
  <c r="E12" i="8"/>
  <c r="G12" i="8" s="1"/>
  <c r="H12" i="8" s="1"/>
  <c r="G13" i="6"/>
  <c r="H13" i="6" s="1"/>
  <c r="I13" i="6" s="1"/>
  <c r="F14" i="6"/>
  <c r="G14" i="6" s="1"/>
  <c r="H14" i="6" s="1"/>
  <c r="I14" i="6" s="1"/>
  <c r="D13" i="8" l="1"/>
  <c r="I12" i="8"/>
  <c r="F13" i="8"/>
  <c r="E13" i="8"/>
  <c r="E15" i="6"/>
  <c r="F15" i="6" s="1"/>
  <c r="G15" i="6" s="1"/>
  <c r="H15" i="6" s="1"/>
  <c r="I15" i="6" s="1"/>
  <c r="G13" i="8" l="1"/>
  <c r="H13" i="8" s="1"/>
  <c r="D14" i="8"/>
  <c r="E16" i="6"/>
  <c r="F16" i="6" s="1"/>
  <c r="E17" i="6" s="1"/>
  <c r="I13" i="8" l="1"/>
  <c r="F14" i="8"/>
  <c r="E14" i="8"/>
  <c r="G14" i="8" s="1"/>
  <c r="H14" i="8" s="1"/>
  <c r="I14" i="8" s="1"/>
  <c r="D15" i="8"/>
  <c r="F17" i="6"/>
  <c r="E18" i="6" s="1"/>
  <c r="G16" i="6"/>
  <c r="H16" i="6" s="1"/>
  <c r="I16" i="6" s="1"/>
  <c r="E15" i="8" l="1"/>
  <c r="F15" i="8"/>
  <c r="D16" i="8"/>
  <c r="G15" i="8"/>
  <c r="H15" i="8" s="1"/>
  <c r="I15" i="8" s="1"/>
  <c r="F18" i="6"/>
  <c r="E19" i="6" s="1"/>
  <c r="G17" i="6"/>
  <c r="H17" i="6" s="1"/>
  <c r="I17" i="6" s="1"/>
  <c r="F16" i="8" l="1"/>
  <c r="E16" i="8"/>
  <c r="D17" i="8" s="1"/>
  <c r="F19" i="6"/>
  <c r="E20" i="6" s="1"/>
  <c r="G18" i="6"/>
  <c r="H18" i="6" s="1"/>
  <c r="I18" i="6" s="1"/>
  <c r="G16" i="8" l="1"/>
  <c r="H16" i="8" s="1"/>
  <c r="I16" i="8" s="1"/>
  <c r="E17" i="8"/>
  <c r="F17" i="8"/>
  <c r="F20" i="6"/>
  <c r="E21" i="6" s="1"/>
  <c r="G19" i="6"/>
  <c r="H19" i="6" s="1"/>
  <c r="I19" i="6" s="1"/>
  <c r="G17" i="8" l="1"/>
  <c r="H17" i="8" s="1"/>
  <c r="I17" i="8" s="1"/>
  <c r="D18" i="8"/>
  <c r="F21" i="6"/>
  <c r="G21" i="6" s="1"/>
  <c r="H21" i="6" s="1"/>
  <c r="G20" i="6"/>
  <c r="H20" i="6" s="1"/>
  <c r="I20" i="6" s="1"/>
  <c r="F18" i="8" l="1"/>
  <c r="E18" i="8"/>
  <c r="D19" i="8" s="1"/>
  <c r="G23" i="6"/>
  <c r="G24" i="6"/>
  <c r="G22" i="6"/>
  <c r="I21" i="6"/>
  <c r="N6" i="6" s="1"/>
  <c r="N5" i="6"/>
  <c r="G25" i="6"/>
  <c r="G18" i="8" l="1"/>
  <c r="H18" i="8" s="1"/>
  <c r="I18" i="8" s="1"/>
  <c r="G19" i="8"/>
  <c r="H19" i="8" s="1"/>
  <c r="E19" i="8"/>
  <c r="F19" i="8"/>
  <c r="H24" i="6"/>
  <c r="H25" i="6"/>
  <c r="H23" i="6"/>
  <c r="H22" i="6"/>
  <c r="I25" i="6"/>
  <c r="I23" i="6"/>
  <c r="I24" i="6"/>
  <c r="I22" i="6"/>
  <c r="G22" i="8" l="1"/>
  <c r="G20" i="8"/>
  <c r="G21" i="8"/>
  <c r="I19" i="8"/>
  <c r="K2" i="8" s="1"/>
  <c r="J2" i="8"/>
</calcChain>
</file>

<file path=xl/sharedStrings.xml><?xml version="1.0" encoding="utf-8"?>
<sst xmlns="http://schemas.openxmlformats.org/spreadsheetml/2006/main" count="95" uniqueCount="66">
  <si>
    <t>i</t>
  </si>
  <si>
    <t>x</t>
  </si>
  <si>
    <t>Q1</t>
  </si>
  <si>
    <t>Q2</t>
  </si>
  <si>
    <t>Q3</t>
  </si>
  <si>
    <t>Quartis</t>
  </si>
  <si>
    <t>Acima 25%| Abaixo 75%</t>
  </si>
  <si>
    <t>Acima 50% | Abaixo 50%</t>
  </si>
  <si>
    <t>Acima 75% | Abaixo 25%</t>
  </si>
  <si>
    <t>FAIXA1</t>
  </si>
  <si>
    <t>FAIXA2</t>
  </si>
  <si>
    <t>FAIXA3</t>
  </si>
  <si>
    <t>FAIXA4</t>
  </si>
  <si>
    <t>DE</t>
  </si>
  <si>
    <t>ATÉ</t>
  </si>
  <si>
    <t>NOME</t>
  </si>
  <si>
    <t>Baixo</t>
  </si>
  <si>
    <t>Moderadamente Baixo</t>
  </si>
  <si>
    <t>Moderadamente Alto</t>
  </si>
  <si>
    <t>Alto</t>
  </si>
  <si>
    <t>média</t>
  </si>
  <si>
    <t>dpa</t>
  </si>
  <si>
    <t>distância padrão absoluta</t>
  </si>
  <si>
    <t xml:space="preserve">variância  </t>
  </si>
  <si>
    <t>desviopadrão</t>
  </si>
  <si>
    <t>bj</t>
  </si>
  <si>
    <t>Coeficiente de variação</t>
  </si>
  <si>
    <t>t</t>
  </si>
  <si>
    <t>y</t>
  </si>
  <si>
    <t>??</t>
  </si>
  <si>
    <t>e</t>
  </si>
  <si>
    <t>e%</t>
  </si>
  <si>
    <t>MAE</t>
  </si>
  <si>
    <t>MAPE</t>
  </si>
  <si>
    <t>f</t>
  </si>
  <si>
    <t>alfa</t>
  </si>
  <si>
    <t>mémória atual (t)</t>
  </si>
  <si>
    <t>E</t>
  </si>
  <si>
    <t>A tendência é de alta, com estimaiva de estar entre 770 e 778</t>
  </si>
  <si>
    <t>com um erro médio de 4,5 (0,6%) para mais ou para menos</t>
  </si>
  <si>
    <t>Data</t>
  </si>
  <si>
    <t>incidentes (*100)</t>
  </si>
  <si>
    <t>L</t>
  </si>
  <si>
    <t>F</t>
  </si>
  <si>
    <t>E%</t>
  </si>
  <si>
    <t>ALFA</t>
  </si>
  <si>
    <t>BETA</t>
  </si>
  <si>
    <t>b</t>
  </si>
  <si>
    <t>Aqui está a memória do modelo Holt Exponencial</t>
  </si>
  <si>
    <t>Mês</t>
  </si>
  <si>
    <t>Demanda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</si>
  <si>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</si>
  <si>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</si>
  <si>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</si>
  <si>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</si>
  <si>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</si>
  <si>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</si>
  <si>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</si>
  <si>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</si>
  <si>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</si>
  <si>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</si>
  <si>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</si>
  <si>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</si>
  <si>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</t>
  </si>
  <si>
    <t>beta</t>
  </si>
  <si>
    <t>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</si>
</sst>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9" formatCode="0.0%"/>
    <numFmt numFmtId="170" formatCode="0.000%"/>
    <numFmt numFmtId="176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rgb="FF000000"/>
      <name val="Calibri"/>
      <family val="2"/>
    </font>
    <font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6"/>
      <color theme="1"/>
      <name val="Calibri"/>
      <family val="2"/>
      <scheme val="minor"/>
    </font>
    <font>
      <sz val="18"/>
      <color rgb="FF000000"/>
      <name val="Calibri"/>
      <family val="2"/>
    </font>
    <font>
      <sz val="20"/>
      <color theme="1"/>
      <name val="Calibri"/>
      <family val="2"/>
      <scheme val="minor"/>
    </font>
    <font>
      <i/>
      <sz val="20"/>
      <color rgb="FF000000"/>
      <name val="Calibri"/>
      <family val="2"/>
    </font>
    <font>
      <sz val="2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16"/>
      <color rgb="FFFF0000"/>
      <name val="Calibri"/>
      <family val="2"/>
    </font>
    <font>
      <sz val="18"/>
      <color rgb="FFFF0000"/>
      <name val="Calibri"/>
      <family val="2"/>
      <scheme val="minor"/>
    </font>
    <font>
      <b/>
      <i/>
      <sz val="18"/>
      <color rgb="FF000000"/>
      <name val="Calibri"/>
      <family val="2"/>
    </font>
    <font>
      <sz val="18"/>
      <color rgb="FF4F81BD"/>
      <name val="Calibri"/>
      <family val="2"/>
    </font>
    <font>
      <sz val="16"/>
      <color rgb="FFFF0000"/>
      <name val="Buxton Sketch"/>
      <family val="4"/>
    </font>
    <font>
      <sz val="18"/>
      <color rgb="FFFF0000"/>
      <name val="Calibri"/>
      <family val="2"/>
    </font>
    <font>
      <sz val="20"/>
      <color rgb="FFFF0000"/>
      <name val="Buxton Sketch"/>
      <family val="4"/>
    </font>
    <font>
      <sz val="18"/>
      <color theme="5" tint="-0.249977111117893"/>
      <name val="Calibri"/>
      <family val="2"/>
    </font>
    <font>
      <sz val="18"/>
      <color rgb="FFFF0000"/>
      <name val="Brush Script MT"/>
      <family val="4"/>
    </font>
    <font>
      <sz val="18"/>
      <color theme="9" tint="-0.249977111117893"/>
      <name val="Calibri"/>
      <family val="2"/>
    </font>
    <font>
      <b/>
      <sz val="14"/>
      <color rgb="FF000000"/>
      <name val="Calibri"/>
      <family val="2"/>
    </font>
    <font>
      <sz val="14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6D9F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wrapText="1" readingOrder="1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wrapText="1" readingOrder="1"/>
    </xf>
    <xf numFmtId="0" fontId="7" fillId="0" borderId="0" xfId="0" applyFont="1"/>
    <xf numFmtId="0" fontId="8" fillId="0" borderId="1" xfId="0" applyFont="1" applyBorder="1" applyAlignment="1">
      <alignment horizontal="center" wrapText="1" readingOrder="1"/>
    </xf>
    <xf numFmtId="0" fontId="9" fillId="0" borderId="0" xfId="0" applyFont="1"/>
    <xf numFmtId="0" fontId="10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wrapText="1" readingOrder="1"/>
    </xf>
    <xf numFmtId="0" fontId="9" fillId="0" borderId="0" xfId="0" applyFont="1" applyAlignment="1">
      <alignment horizontal="right"/>
    </xf>
    <xf numFmtId="0" fontId="12" fillId="0" borderId="0" xfId="0" applyFont="1" applyAlignment="1">
      <alignment textRotation="90" wrapText="1"/>
    </xf>
    <xf numFmtId="2" fontId="9" fillId="0" borderId="0" xfId="0" applyNumberFormat="1" applyFont="1"/>
    <xf numFmtId="169" fontId="9" fillId="0" borderId="0" xfId="0" applyNumberFormat="1" applyFont="1"/>
    <xf numFmtId="43" fontId="9" fillId="0" borderId="0" xfId="1" applyFont="1"/>
    <xf numFmtId="0" fontId="13" fillId="0" borderId="4" xfId="0" applyFont="1" applyBorder="1" applyAlignment="1">
      <alignment horizontal="center" wrapText="1" readingOrder="1"/>
    </xf>
    <xf numFmtId="0" fontId="14" fillId="0" borderId="3" xfId="0" applyFont="1" applyBorder="1"/>
    <xf numFmtId="0" fontId="2" fillId="0" borderId="2" xfId="0" applyFont="1" applyFill="1" applyBorder="1" applyAlignment="1">
      <alignment horizontal="center" wrapText="1" readingOrder="1"/>
    </xf>
    <xf numFmtId="0" fontId="2" fillId="0" borderId="0" xfId="0" applyFont="1" applyFill="1" applyBorder="1" applyAlignment="1">
      <alignment horizontal="center" wrapText="1" readingOrder="1"/>
    </xf>
    <xf numFmtId="9" fontId="0" fillId="0" borderId="0" xfId="2" applyFont="1"/>
    <xf numFmtId="9" fontId="3" fillId="0" borderId="1" xfId="2" applyFont="1" applyBorder="1" applyAlignment="1">
      <alignment horizontal="center" wrapText="1" readingOrder="1"/>
    </xf>
    <xf numFmtId="0" fontId="15" fillId="0" borderId="1" xfId="0" applyFont="1" applyBorder="1" applyAlignment="1">
      <alignment horizontal="center" wrapText="1" readingOrder="1"/>
    </xf>
    <xf numFmtId="0" fontId="8" fillId="3" borderId="1" xfId="0" applyFont="1" applyFill="1" applyBorder="1" applyAlignment="1">
      <alignment horizontal="center" wrapText="1" readingOrder="1"/>
    </xf>
    <xf numFmtId="0" fontId="16" fillId="3" borderId="1" xfId="0" applyFont="1" applyFill="1" applyBorder="1" applyAlignment="1">
      <alignment horizontal="center" wrapText="1" readingOrder="1"/>
    </xf>
    <xf numFmtId="0" fontId="17" fillId="0" borderId="0" xfId="0" applyFont="1"/>
    <xf numFmtId="0" fontId="15" fillId="0" borderId="0" xfId="0" applyFont="1" applyBorder="1" applyAlignment="1">
      <alignment horizontal="center" wrapText="1" readingOrder="1"/>
    </xf>
    <xf numFmtId="0" fontId="16" fillId="3" borderId="0" xfId="0" applyFont="1" applyFill="1" applyBorder="1" applyAlignment="1">
      <alignment horizontal="center" wrapText="1" readingOrder="1"/>
    </xf>
    <xf numFmtId="0" fontId="8" fillId="0" borderId="0" xfId="0" applyFont="1" applyBorder="1" applyAlignment="1">
      <alignment horizontal="center" wrapText="1" readingOrder="1"/>
    </xf>
    <xf numFmtId="170" fontId="8" fillId="0" borderId="0" xfId="2" applyNumberFormat="1" applyFont="1" applyBorder="1" applyAlignment="1">
      <alignment horizontal="center" wrapText="1" readingOrder="1"/>
    </xf>
    <xf numFmtId="0" fontId="19" fillId="0" borderId="0" xfId="0" applyFont="1"/>
    <xf numFmtId="9" fontId="18" fillId="0" borderId="0" xfId="2" applyFont="1" applyBorder="1" applyAlignment="1">
      <alignment horizontal="center" wrapText="1" readingOrder="1"/>
    </xf>
    <xf numFmtId="176" fontId="8" fillId="0" borderId="1" xfId="0" applyNumberFormat="1" applyFont="1" applyBorder="1" applyAlignment="1">
      <alignment horizontal="center" wrapText="1" readingOrder="1"/>
    </xf>
    <xf numFmtId="176" fontId="18" fillId="0" borderId="1" xfId="0" applyNumberFormat="1" applyFont="1" applyBorder="1" applyAlignment="1">
      <alignment horizontal="center" wrapText="1" readingOrder="1"/>
    </xf>
    <xf numFmtId="176" fontId="18" fillId="0" borderId="0" xfId="0" applyNumberFormat="1" applyFont="1" applyBorder="1" applyAlignment="1">
      <alignment horizontal="center" wrapText="1" readingOrder="1"/>
    </xf>
    <xf numFmtId="1" fontId="16" fillId="3" borderId="1" xfId="0" applyNumberFormat="1" applyFont="1" applyFill="1" applyBorder="1" applyAlignment="1">
      <alignment horizontal="center" wrapText="1" readingOrder="1"/>
    </xf>
    <xf numFmtId="1" fontId="8" fillId="0" borderId="1" xfId="0" applyNumberFormat="1" applyFont="1" applyBorder="1" applyAlignment="1">
      <alignment horizontal="center" wrapText="1" readingOrder="1"/>
    </xf>
    <xf numFmtId="1" fontId="18" fillId="0" borderId="1" xfId="0" applyNumberFormat="1" applyFont="1" applyBorder="1" applyAlignment="1">
      <alignment horizontal="center" wrapText="1" readingOrder="1"/>
    </xf>
    <xf numFmtId="1" fontId="18" fillId="0" borderId="0" xfId="0" applyNumberFormat="1" applyFont="1" applyBorder="1" applyAlignment="1">
      <alignment horizontal="center" wrapText="1" readingOrder="1"/>
    </xf>
    <xf numFmtId="169" fontId="18" fillId="0" borderId="0" xfId="2" applyNumberFormat="1" applyFont="1" applyBorder="1" applyAlignment="1">
      <alignment horizont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14" fontId="8" fillId="0" borderId="1" xfId="0" applyNumberFormat="1" applyFont="1" applyBorder="1" applyAlignment="1">
      <alignment horizontal="center" wrapText="1" readingOrder="1"/>
    </xf>
    <xf numFmtId="0" fontId="20" fillId="0" borderId="1" xfId="0" applyFont="1" applyBorder="1" applyAlignment="1">
      <alignment horizontal="center" vertical="center" wrapText="1" readingOrder="1"/>
    </xf>
    <xf numFmtId="9" fontId="20" fillId="0" borderId="0" xfId="2" applyFont="1" applyBorder="1" applyAlignment="1">
      <alignment horizontal="center" vertical="center" wrapText="1" readingOrder="1"/>
    </xf>
    <xf numFmtId="2" fontId="20" fillId="0" borderId="0" xfId="0" applyNumberFormat="1" applyFont="1" applyBorder="1" applyAlignment="1">
      <alignment horizontal="center" vertical="center" wrapText="1" readingOrder="1"/>
    </xf>
    <xf numFmtId="2" fontId="20" fillId="0" borderId="0" xfId="2" applyNumberFormat="1" applyFont="1" applyBorder="1" applyAlignment="1">
      <alignment horizontal="center" vertical="center" wrapText="1" readingOrder="1"/>
    </xf>
    <xf numFmtId="0" fontId="4" fillId="2" borderId="0" xfId="0" applyFont="1" applyFill="1"/>
    <xf numFmtId="0" fontId="7" fillId="2" borderId="0" xfId="0" applyFont="1" applyFill="1" applyAlignment="1">
      <alignment horizontal="center"/>
    </xf>
    <xf numFmtId="0" fontId="21" fillId="0" borderId="0" xfId="0" applyFont="1"/>
    <xf numFmtId="2" fontId="22" fillId="2" borderId="0" xfId="0" applyNumberFormat="1" applyFont="1" applyFill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wrapText="1" readingOrder="1"/>
    </xf>
    <xf numFmtId="0" fontId="6" fillId="4" borderId="1" xfId="0" applyFont="1" applyFill="1" applyBorder="1" applyAlignment="1">
      <alignment horizontal="center" wrapText="1" readingOrder="1"/>
    </xf>
    <xf numFmtId="0" fontId="6" fillId="5" borderId="1" xfId="0" applyFont="1" applyFill="1" applyBorder="1" applyAlignment="1">
      <alignment horizontal="center" wrapText="1" readingOrder="1"/>
    </xf>
    <xf numFmtId="0" fontId="24" fillId="0" borderId="1" xfId="0" applyFont="1" applyBorder="1" applyAlignment="1">
      <alignment horizontal="center" wrapText="1" readingOrder="1"/>
    </xf>
    <xf numFmtId="0" fontId="23" fillId="0" borderId="5" xfId="0" applyFont="1" applyFill="1" applyBorder="1" applyAlignment="1">
      <alignment horizontal="center" wrapText="1" readingOrder="1"/>
    </xf>
    <xf numFmtId="0" fontId="23" fillId="0" borderId="0" xfId="0" applyFont="1" applyFill="1" applyBorder="1" applyAlignment="1">
      <alignment horizontal="center" wrapText="1" readingOrder="1"/>
    </xf>
    <xf numFmtId="2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 Linear'!$B$2:$B$14</c:f>
              <c:numCache>
                <c:formatCode>General</c:formatCode>
                <c:ptCount val="13"/>
                <c:pt idx="0">
                  <c:v>739</c:v>
                </c:pt>
                <c:pt idx="1">
                  <c:v>742</c:v>
                </c:pt>
                <c:pt idx="2">
                  <c:v>738</c:v>
                </c:pt>
                <c:pt idx="3">
                  <c:v>747</c:v>
                </c:pt>
                <c:pt idx="4">
                  <c:v>751</c:v>
                </c:pt>
                <c:pt idx="5">
                  <c:v>752</c:v>
                </c:pt>
                <c:pt idx="6">
                  <c:v>756</c:v>
                </c:pt>
                <c:pt idx="7">
                  <c:v>768</c:v>
                </c:pt>
                <c:pt idx="8">
                  <c:v>766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Linear'!$C$2:$C$14</c:f>
              <c:numCache>
                <c:formatCode>0</c:formatCode>
                <c:ptCount val="13"/>
                <c:pt idx="0">
                  <c:v>739</c:v>
                </c:pt>
                <c:pt idx="1">
                  <c:v>739</c:v>
                </c:pt>
                <c:pt idx="2">
                  <c:v>744.61</c:v>
                </c:pt>
                <c:pt idx="3">
                  <c:v>743.75070000000005</c:v>
                </c:pt>
                <c:pt idx="4">
                  <c:v>749.82689099999993</c:v>
                </c:pt>
                <c:pt idx="5">
                  <c:v>752.02060483000002</c:v>
                </c:pt>
                <c:pt idx="6">
                  <c:v>752.01792620210006</c:v>
                </c:pt>
                <c:pt idx="7">
                  <c:v>759.46440420417298</c:v>
                </c:pt>
                <c:pt idx="8">
                  <c:v>775.42596834236952</c:v>
                </c:pt>
                <c:pt idx="9">
                  <c:v>774.20059245786149</c:v>
                </c:pt>
                <c:pt idx="10">
                  <c:v>778.11522833742447</c:v>
                </c:pt>
                <c:pt idx="11">
                  <c:v>782.02986421698745</c:v>
                </c:pt>
                <c:pt idx="12">
                  <c:v>785.94450009655043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8760"/>
        <c:axId val="492621112"/>
      </c:lineChart>
      <c:catAx>
        <c:axId val="49261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1112"/>
        <c:crosses val="autoZero"/>
        <c:auto val="1"/>
        <c:lblAlgn val="ctr"/>
        <c:lblOffset val="100"/>
        <c:noMultiLvlLbl val="0"/>
      </c:catAx>
      <c:valAx>
        <c:axId val="49262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1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'Holt Winters'!$C$2:$C$22</c:f>
              <c:numCache>
                <c:formatCode>General</c:formatCode>
                <c:ptCount val="21"/>
                <c:pt idx="0">
                  <c:v>118</c:v>
                </c:pt>
                <c:pt idx="1">
                  <c:v>93</c:v>
                </c:pt>
                <c:pt idx="2">
                  <c:v>153</c:v>
                </c:pt>
                <c:pt idx="3">
                  <c:v>125</c:v>
                </c:pt>
                <c:pt idx="4">
                  <c:v>102</c:v>
                </c:pt>
                <c:pt idx="5">
                  <c:v>141</c:v>
                </c:pt>
                <c:pt idx="6">
                  <c:v>113</c:v>
                </c:pt>
                <c:pt idx="7">
                  <c:v>99</c:v>
                </c:pt>
                <c:pt idx="8">
                  <c:v>180</c:v>
                </c:pt>
                <c:pt idx="9">
                  <c:v>162</c:v>
                </c:pt>
                <c:pt idx="10">
                  <c:v>122</c:v>
                </c:pt>
                <c:pt idx="11">
                  <c:v>181</c:v>
                </c:pt>
                <c:pt idx="12">
                  <c:v>170</c:v>
                </c:pt>
                <c:pt idx="13">
                  <c:v>143</c:v>
                </c:pt>
                <c:pt idx="14">
                  <c:v>185</c:v>
                </c:pt>
                <c:pt idx="15">
                  <c:v>195</c:v>
                </c:pt>
                <c:pt idx="16">
                  <c:v>162</c:v>
                </c:pt>
                <c:pt idx="17">
                  <c:v>205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'Holt Winters'!$G$2:$G$22</c:f>
              <c:numCache>
                <c:formatCode>General</c:formatCode>
                <c:ptCount val="21"/>
                <c:pt idx="3">
                  <c:v>121.25192307692305</c:v>
                </c:pt>
                <c:pt idx="4">
                  <c:v>98.802428780964775</c:v>
                </c:pt>
                <c:pt idx="5">
                  <c:v>156.2954802084472</c:v>
                </c:pt>
                <c:pt idx="6">
                  <c:v>118.62352697870615</c:v>
                </c:pt>
                <c:pt idx="7">
                  <c:v>95.260111934136418</c:v>
                </c:pt>
                <c:pt idx="8">
                  <c:v>161.71464046117549</c:v>
                </c:pt>
                <c:pt idx="9">
                  <c:v>143.29027703010644</c:v>
                </c:pt>
                <c:pt idx="10">
                  <c:v>122.73712623528682</c:v>
                </c:pt>
                <c:pt idx="11">
                  <c:v>199.41037930501543</c:v>
                </c:pt>
                <c:pt idx="12">
                  <c:v>168.46360518463189</c:v>
                </c:pt>
                <c:pt idx="13">
                  <c:v>140.37499880901112</c:v>
                </c:pt>
                <c:pt idx="14">
                  <c:v>215.45699679908381</c:v>
                </c:pt>
                <c:pt idx="15">
                  <c:v>189.2748294476356</c:v>
                </c:pt>
                <c:pt idx="16">
                  <c:v>158.35864613888026</c:v>
                </c:pt>
                <c:pt idx="17">
                  <c:v>232.67680169173767</c:v>
                </c:pt>
                <c:pt idx="18">
                  <c:v>203.37321519103904</c:v>
                </c:pt>
                <c:pt idx="19">
                  <c:v>163.4409510487306</c:v>
                </c:pt>
                <c:pt idx="20">
                  <c:v>237.96318537390971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16408"/>
        <c:axId val="492607784"/>
      </c:lineChart>
      <c:catAx>
        <c:axId val="492616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07784"/>
        <c:crosses val="autoZero"/>
        <c:auto val="1"/>
        <c:lblAlgn val="ctr"/>
        <c:lblOffset val="100"/>
        <c:noMultiLvlLbl val="0"/>
      </c:catAx>
      <c:valAx>
        <c:axId val="4926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1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835" cy="6009588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510886</xdr:colOff>
      <xdr:row>5</xdr:row>
      <xdr:rowOff>156729</xdr:rowOff>
    </xdr:from>
    <xdr:to>
      <xdr:col>19</xdr:col>
      <xdr:colOff>233795</xdr:colOff>
      <xdr:row>16</xdr:row>
      <xdr:rowOff>137679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2"/>
  <sheetViews>
    <sheetView zoomScale="130" zoomScaleNormal="130" workbookViewId="0">
      <selection activeCell="L8" sqref="L8"/>
    </sheetView>
  </sheetViews>
  <sheetFormatPr defaultRowHeight="26.25" x14ac:dyDescent="0.4"/>
  <cols>
    <col min="1" max="7" width="9.140625" style="7"/>
    <col min="8" max="8" width="13" style="7" bestFit="1" customWidth="1"/>
    <col min="9" max="9" width="5.5703125" style="7" bestFit="1" customWidth="1"/>
    <col min="10" max="11" width="9.140625" style="7"/>
    <col min="12" max="12" width="23.5703125" style="7" customWidth="1"/>
    <col min="13" max="16384" width="9.140625" style="7"/>
  </cols>
  <sheetData>
    <row r="1" spans="3:12" ht="27" thickBot="1" x14ac:dyDescent="0.45"/>
    <row r="2" spans="3:12" ht="27" thickBot="1" x14ac:dyDescent="0.45">
      <c r="C2" s="8" t="s">
        <v>0</v>
      </c>
      <c r="D2" s="8" t="s">
        <v>1</v>
      </c>
      <c r="H2" s="7" t="s">
        <v>5</v>
      </c>
    </row>
    <row r="3" spans="3:12" ht="27" thickBot="1" x14ac:dyDescent="0.45">
      <c r="C3" s="9">
        <v>1</v>
      </c>
      <c r="D3" s="9">
        <v>5</v>
      </c>
      <c r="H3" s="7" t="s">
        <v>2</v>
      </c>
      <c r="I3" s="7">
        <v>16</v>
      </c>
      <c r="J3" s="7" t="s">
        <v>6</v>
      </c>
    </row>
    <row r="4" spans="3:12" ht="27" thickBot="1" x14ac:dyDescent="0.45">
      <c r="C4" s="9">
        <v>2</v>
      </c>
      <c r="D4" s="9">
        <v>10</v>
      </c>
      <c r="E4" s="7">
        <f>MEDIAN(D3:D7)</f>
        <v>16</v>
      </c>
      <c r="H4" s="7" t="s">
        <v>3</v>
      </c>
      <c r="I4" s="7">
        <v>25</v>
      </c>
      <c r="J4" s="7" t="s">
        <v>7</v>
      </c>
    </row>
    <row r="5" spans="3:12" ht="27" thickBot="1" x14ac:dyDescent="0.45">
      <c r="C5" s="9">
        <v>3</v>
      </c>
      <c r="D5" s="9">
        <v>16</v>
      </c>
      <c r="H5" s="7" t="s">
        <v>4</v>
      </c>
      <c r="I5" s="7">
        <v>38</v>
      </c>
      <c r="J5" s="7" t="s">
        <v>8</v>
      </c>
    </row>
    <row r="6" spans="3:12" ht="27" thickBot="1" x14ac:dyDescent="0.45">
      <c r="C6" s="9">
        <v>4</v>
      </c>
      <c r="D6" s="9">
        <v>21</v>
      </c>
    </row>
    <row r="7" spans="3:12" ht="27" thickBot="1" x14ac:dyDescent="0.45">
      <c r="C7" s="9">
        <v>5</v>
      </c>
      <c r="D7" s="9">
        <v>25</v>
      </c>
      <c r="E7" s="7">
        <f>MEDIAN(D3:D11)</f>
        <v>25</v>
      </c>
      <c r="J7" s="7" t="s">
        <v>13</v>
      </c>
      <c r="K7" s="7" t="s">
        <v>14</v>
      </c>
      <c r="L7" s="7" t="s">
        <v>15</v>
      </c>
    </row>
    <row r="8" spans="3:12" ht="27" thickBot="1" x14ac:dyDescent="0.45">
      <c r="C8" s="9">
        <v>6</v>
      </c>
      <c r="D8" s="9">
        <v>33</v>
      </c>
    </row>
    <row r="9" spans="3:12" ht="27" thickBot="1" x14ac:dyDescent="0.45">
      <c r="C9" s="9">
        <v>7</v>
      </c>
      <c r="D9" s="9">
        <v>38</v>
      </c>
      <c r="E9" s="7">
        <f>MEDIAN(D7:D11)</f>
        <v>38</v>
      </c>
      <c r="H9" s="7" t="s">
        <v>9</v>
      </c>
      <c r="J9" s="7">
        <v>5</v>
      </c>
      <c r="K9" s="7">
        <v>16</v>
      </c>
      <c r="L9" s="7" t="s">
        <v>16</v>
      </c>
    </row>
    <row r="10" spans="3:12" ht="27" thickBot="1" x14ac:dyDescent="0.45">
      <c r="C10" s="9">
        <v>8</v>
      </c>
      <c r="D10" s="9">
        <v>47</v>
      </c>
      <c r="H10" s="7" t="s">
        <v>10</v>
      </c>
      <c r="J10" s="7">
        <v>17</v>
      </c>
      <c r="K10" s="7">
        <v>25</v>
      </c>
      <c r="L10" s="7" t="s">
        <v>17</v>
      </c>
    </row>
    <row r="11" spans="3:12" ht="27" thickBot="1" x14ac:dyDescent="0.45">
      <c r="C11" s="9">
        <v>9</v>
      </c>
      <c r="D11" s="9">
        <v>58</v>
      </c>
      <c r="H11" s="7" t="s">
        <v>11</v>
      </c>
      <c r="J11" s="7">
        <v>26</v>
      </c>
      <c r="K11" s="7">
        <v>38</v>
      </c>
      <c r="L11" s="7" t="s">
        <v>18</v>
      </c>
    </row>
    <row r="12" spans="3:12" x14ac:dyDescent="0.4">
      <c r="H12" s="7" t="s">
        <v>12</v>
      </c>
      <c r="J12" s="7">
        <v>39</v>
      </c>
      <c r="K12" s="7">
        <v>58</v>
      </c>
      <c r="L12" s="7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6"/>
  <sheetViews>
    <sheetView workbookViewId="0">
      <selection activeCell="G15" sqref="G15"/>
    </sheetView>
  </sheetViews>
  <sheetFormatPr defaultRowHeight="26.25" x14ac:dyDescent="0.4"/>
  <cols>
    <col min="1" max="3" width="9.140625" style="7"/>
    <col min="4" max="4" width="14.7109375" style="7" bestFit="1" customWidth="1"/>
    <col min="5" max="5" width="12.5703125" style="7" bestFit="1" customWidth="1"/>
    <col min="6" max="8" width="9.140625" style="7"/>
    <col min="9" max="9" width="15.42578125" style="7" bestFit="1" customWidth="1"/>
    <col min="10" max="10" width="10.5703125" style="7" bestFit="1" customWidth="1"/>
    <col min="11" max="16384" width="9.140625" style="7"/>
  </cols>
  <sheetData>
    <row r="1" spans="3:11" ht="35.25" customHeight="1" thickBot="1" x14ac:dyDescent="0.45">
      <c r="E1" s="13" t="s">
        <v>22</v>
      </c>
    </row>
    <row r="2" spans="3:11" ht="27" thickBot="1" x14ac:dyDescent="0.45">
      <c r="C2" s="11" t="s">
        <v>0</v>
      </c>
      <c r="D2" s="11" t="s">
        <v>1</v>
      </c>
      <c r="E2" s="7" t="s">
        <v>21</v>
      </c>
      <c r="I2" s="15">
        <v>0.5</v>
      </c>
      <c r="J2" s="14">
        <f>D13</f>
        <v>28.111111111111111</v>
      </c>
    </row>
    <row r="3" spans="3:11" ht="27" thickBot="1" x14ac:dyDescent="0.45">
      <c r="C3" s="9">
        <v>1</v>
      </c>
      <c r="D3" s="9">
        <v>58</v>
      </c>
      <c r="E3" s="14">
        <f>(D3-$D$13)^2</f>
        <v>893.34567901234573</v>
      </c>
      <c r="I3" s="15">
        <v>0.68200000000000005</v>
      </c>
      <c r="J3" s="7">
        <f>D13-1*D15</f>
        <v>11.642660165645417</v>
      </c>
      <c r="K3" s="7">
        <f>D13+1*D15</f>
        <v>44.579562056576805</v>
      </c>
    </row>
    <row r="4" spans="3:11" ht="27" thickBot="1" x14ac:dyDescent="0.45">
      <c r="C4" s="9">
        <v>2</v>
      </c>
      <c r="D4" s="9">
        <v>16</v>
      </c>
      <c r="E4" s="14">
        <f t="shared" ref="E4:E11" si="0">(D4-$D$13)^2</f>
        <v>146.67901234567901</v>
      </c>
      <c r="I4" s="15">
        <v>0.95399999999999996</v>
      </c>
      <c r="J4" s="7">
        <f>D13-2*D15</f>
        <v>-4.8257907798202773</v>
      </c>
      <c r="K4" s="7">
        <f>D13+2*D15</f>
        <v>61.048013002042495</v>
      </c>
    </row>
    <row r="5" spans="3:11" ht="27" thickBot="1" x14ac:dyDescent="0.45">
      <c r="C5" s="9">
        <v>3</v>
      </c>
      <c r="D5" s="9">
        <v>25</v>
      </c>
      <c r="E5" s="14">
        <f t="shared" si="0"/>
        <v>9.6790123456790091</v>
      </c>
      <c r="I5" s="15">
        <v>0.996</v>
      </c>
      <c r="J5" s="7">
        <f>D13-3*D15</f>
        <v>-21.294241725285975</v>
      </c>
      <c r="K5" s="7">
        <f>D13+3*D15</f>
        <v>77.5164639475082</v>
      </c>
    </row>
    <row r="6" spans="3:11" ht="27" thickBot="1" x14ac:dyDescent="0.45">
      <c r="C6" s="9">
        <v>4</v>
      </c>
      <c r="D6" s="9">
        <v>10</v>
      </c>
      <c r="E6" s="14">
        <f t="shared" si="0"/>
        <v>328.01234567901236</v>
      </c>
      <c r="K6" s="7" t="s">
        <v>25</v>
      </c>
    </row>
    <row r="7" spans="3:11" ht="27" thickBot="1" x14ac:dyDescent="0.45">
      <c r="C7" s="9">
        <v>5</v>
      </c>
      <c r="D7" s="9">
        <v>33</v>
      </c>
      <c r="E7" s="14">
        <f t="shared" si="0"/>
        <v>23.901234567901238</v>
      </c>
    </row>
    <row r="8" spans="3:11" ht="27" thickBot="1" x14ac:dyDescent="0.45">
      <c r="C8" s="9">
        <v>6</v>
      </c>
      <c r="D8" s="9">
        <v>47</v>
      </c>
      <c r="E8" s="14">
        <f t="shared" si="0"/>
        <v>356.79012345679013</v>
      </c>
    </row>
    <row r="9" spans="3:11" ht="27" thickBot="1" x14ac:dyDescent="0.45">
      <c r="C9" s="9">
        <v>7</v>
      </c>
      <c r="D9" s="9">
        <v>21</v>
      </c>
      <c r="E9" s="14">
        <f t="shared" si="0"/>
        <v>50.567901234567898</v>
      </c>
    </row>
    <row r="10" spans="3:11" ht="27" thickBot="1" x14ac:dyDescent="0.45">
      <c r="C10" s="9">
        <v>8</v>
      </c>
      <c r="D10" s="9">
        <v>38</v>
      </c>
      <c r="E10" s="14">
        <f t="shared" si="0"/>
        <v>97.790123456790127</v>
      </c>
    </row>
    <row r="11" spans="3:11" ht="27" thickBot="1" x14ac:dyDescent="0.45">
      <c r="C11" s="9">
        <v>9</v>
      </c>
      <c r="D11" s="9">
        <v>5</v>
      </c>
      <c r="E11" s="14">
        <f t="shared" si="0"/>
        <v>534.12345679012344</v>
      </c>
    </row>
    <row r="13" spans="3:11" x14ac:dyDescent="0.4">
      <c r="C13" s="12" t="s">
        <v>20</v>
      </c>
      <c r="D13" s="14">
        <f>AVERAGE(D3:D11)</f>
        <v>28.111111111111111</v>
      </c>
    </row>
    <row r="14" spans="3:11" x14ac:dyDescent="0.4">
      <c r="C14" s="12" t="s">
        <v>23</v>
      </c>
      <c r="D14" s="14">
        <f>SUM(E3:E11)/9</f>
        <v>271.20987654320987</v>
      </c>
    </row>
    <row r="15" spans="3:11" x14ac:dyDescent="0.4">
      <c r="C15" s="12" t="s">
        <v>24</v>
      </c>
      <c r="D15" s="7">
        <f>SQRT(D14)</f>
        <v>16.468450945465694</v>
      </c>
    </row>
    <row r="16" spans="3:11" x14ac:dyDescent="0.4">
      <c r="C16" s="12" t="s">
        <v>26</v>
      </c>
      <c r="D16" s="16">
        <f>D15/D13</f>
        <v>0.58583422335648716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4" sqref="D4:D10"/>
    </sheetView>
  </sheetViews>
  <sheetFormatPr defaultRowHeight="15" x14ac:dyDescent="0.25"/>
  <sheetData>
    <row r="1" spans="1:8" ht="21.75" thickBot="1" x14ac:dyDescent="0.4">
      <c r="A1" s="10" t="s">
        <v>27</v>
      </c>
      <c r="B1" s="10" t="s">
        <v>28</v>
      </c>
      <c r="D1" s="10" t="s">
        <v>30</v>
      </c>
      <c r="E1" s="10" t="s">
        <v>31</v>
      </c>
      <c r="G1" s="19" t="s">
        <v>32</v>
      </c>
      <c r="H1" s="20" t="s">
        <v>33</v>
      </c>
    </row>
    <row r="2" spans="1:8" ht="21.75" thickBot="1" x14ac:dyDescent="0.4">
      <c r="A2" s="1">
        <v>1</v>
      </c>
      <c r="B2" s="1">
        <v>58</v>
      </c>
      <c r="C2" s="1"/>
      <c r="D2" s="1"/>
      <c r="E2" s="1"/>
      <c r="G2" s="1">
        <f>AVERAGE(D4:D10)</f>
        <v>15.857142857142858</v>
      </c>
      <c r="H2" s="22">
        <f>AVERAGE(E4:E10)</f>
        <v>1.2074678891204247</v>
      </c>
    </row>
    <row r="3" spans="1:8" ht="21.75" thickBot="1" x14ac:dyDescent="0.4">
      <c r="A3" s="1">
        <v>2</v>
      </c>
      <c r="B3" s="1">
        <v>16</v>
      </c>
      <c r="C3" s="1"/>
      <c r="D3" s="1"/>
      <c r="E3" s="1"/>
    </row>
    <row r="4" spans="1:8" ht="21.75" thickBot="1" x14ac:dyDescent="0.4">
      <c r="A4" s="1">
        <v>3</v>
      </c>
      <c r="B4" s="1">
        <v>25</v>
      </c>
      <c r="C4" s="1">
        <f>AVERAGE(B2:B3)</f>
        <v>37</v>
      </c>
      <c r="D4" s="1">
        <f>ABS(C4-B4)</f>
        <v>12</v>
      </c>
      <c r="E4" s="1">
        <f>D4/B4</f>
        <v>0.48</v>
      </c>
    </row>
    <row r="5" spans="1:8" ht="21.75" thickBot="1" x14ac:dyDescent="0.4">
      <c r="A5" s="1">
        <v>4</v>
      </c>
      <c r="B5" s="1">
        <v>10</v>
      </c>
      <c r="C5" s="1">
        <f t="shared" ref="C5:C11" si="0">AVERAGE(B3:B4)</f>
        <v>20.5</v>
      </c>
      <c r="D5" s="1">
        <f t="shared" ref="D5:D10" si="1">ABS(C5-B5)</f>
        <v>10.5</v>
      </c>
      <c r="E5" s="1">
        <f t="shared" ref="E5:E10" si="2">D5/B5</f>
        <v>1.05</v>
      </c>
    </row>
    <row r="6" spans="1:8" ht="21.75" thickBot="1" x14ac:dyDescent="0.4">
      <c r="A6" s="1">
        <v>5</v>
      </c>
      <c r="B6" s="1">
        <v>33</v>
      </c>
      <c r="C6" s="1">
        <f t="shared" si="0"/>
        <v>17.5</v>
      </c>
      <c r="D6" s="1">
        <f t="shared" si="1"/>
        <v>15.5</v>
      </c>
      <c r="E6" s="1">
        <f t="shared" si="2"/>
        <v>0.46969696969696972</v>
      </c>
    </row>
    <row r="7" spans="1:8" ht="21.75" thickBot="1" x14ac:dyDescent="0.4">
      <c r="A7" s="1">
        <v>6</v>
      </c>
      <c r="B7" s="1">
        <v>47</v>
      </c>
      <c r="C7" s="1">
        <f t="shared" si="0"/>
        <v>21.5</v>
      </c>
      <c r="D7" s="1">
        <f t="shared" si="1"/>
        <v>25.5</v>
      </c>
      <c r="E7" s="1">
        <f t="shared" si="2"/>
        <v>0.54255319148936165</v>
      </c>
    </row>
    <row r="8" spans="1:8" ht="21.75" thickBot="1" x14ac:dyDescent="0.4">
      <c r="A8" s="1">
        <v>7</v>
      </c>
      <c r="B8" s="1">
        <v>21</v>
      </c>
      <c r="C8" s="1">
        <f t="shared" si="0"/>
        <v>40</v>
      </c>
      <c r="D8" s="1">
        <f t="shared" si="1"/>
        <v>19</v>
      </c>
      <c r="E8" s="1">
        <f t="shared" si="2"/>
        <v>0.90476190476190477</v>
      </c>
    </row>
    <row r="9" spans="1:8" ht="21.75" thickBot="1" x14ac:dyDescent="0.4">
      <c r="A9" s="1">
        <v>8</v>
      </c>
      <c r="B9" s="1">
        <v>38</v>
      </c>
      <c r="C9" s="1">
        <f t="shared" si="0"/>
        <v>34</v>
      </c>
      <c r="D9" s="1">
        <f t="shared" si="1"/>
        <v>4</v>
      </c>
      <c r="E9" s="1">
        <f t="shared" si="2"/>
        <v>0.10526315789473684</v>
      </c>
    </row>
    <row r="10" spans="1:8" ht="21.75" thickBot="1" x14ac:dyDescent="0.4">
      <c r="A10" s="1">
        <v>9</v>
      </c>
      <c r="B10" s="1">
        <v>5</v>
      </c>
      <c r="C10" s="1">
        <f t="shared" si="0"/>
        <v>29.5</v>
      </c>
      <c r="D10" s="1">
        <f t="shared" si="1"/>
        <v>24.5</v>
      </c>
      <c r="E10" s="1">
        <f t="shared" si="2"/>
        <v>4.9000000000000004</v>
      </c>
    </row>
    <row r="11" spans="1:8" ht="24" thickBot="1" x14ac:dyDescent="0.4">
      <c r="A11" s="1">
        <v>10</v>
      </c>
      <c r="B11" s="17" t="s">
        <v>29</v>
      </c>
      <c r="C11" s="18">
        <f t="shared" si="0"/>
        <v>21.5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E10" sqref="E10"/>
    </sheetView>
  </sheetViews>
  <sheetFormatPr defaultColWidth="15.28515625" defaultRowHeight="15" x14ac:dyDescent="0.25"/>
  <sheetData>
    <row r="1" spans="1:13" ht="24" thickBot="1" x14ac:dyDescent="0.4">
      <c r="A1" s="23" t="s">
        <v>0</v>
      </c>
      <c r="B1" s="23" t="s">
        <v>28</v>
      </c>
      <c r="C1" s="23" t="s">
        <v>34</v>
      </c>
      <c r="D1" s="23" t="s">
        <v>30</v>
      </c>
      <c r="E1" s="27" t="s">
        <v>31</v>
      </c>
      <c r="J1" s="23" t="s">
        <v>35</v>
      </c>
      <c r="L1" s="23" t="s">
        <v>32</v>
      </c>
      <c r="M1" s="6">
        <f>AVERAGE(D3:D10)</f>
        <v>4.4995814707620667</v>
      </c>
    </row>
    <row r="2" spans="1:13" ht="24" thickBot="1" x14ac:dyDescent="0.4">
      <c r="A2" s="24">
        <v>1</v>
      </c>
      <c r="B2" s="24">
        <v>739</v>
      </c>
      <c r="C2" s="36">
        <v>739</v>
      </c>
      <c r="D2" s="25">
        <v>0</v>
      </c>
      <c r="E2" s="28"/>
      <c r="J2" s="5">
        <v>0.87</v>
      </c>
      <c r="L2" s="23" t="s">
        <v>33</v>
      </c>
      <c r="M2" s="6">
        <f>AVERAGE(E3:E10)</f>
        <v>5.9532275225547826E-3</v>
      </c>
    </row>
    <row r="3" spans="1:13" ht="24" thickBot="1" x14ac:dyDescent="0.4">
      <c r="A3" s="6">
        <v>2</v>
      </c>
      <c r="B3" s="6">
        <v>742</v>
      </c>
      <c r="C3" s="37">
        <f>B2+$J$2*D2</f>
        <v>739</v>
      </c>
      <c r="D3" s="33">
        <f>ABS(C3-B3)</f>
        <v>3</v>
      </c>
      <c r="E3" s="30">
        <f>D3/B3</f>
        <v>4.0431266846361188E-3</v>
      </c>
    </row>
    <row r="4" spans="1:13" ht="24" thickBot="1" x14ac:dyDescent="0.4">
      <c r="A4" s="6">
        <v>3</v>
      </c>
      <c r="B4" s="6">
        <v>738</v>
      </c>
      <c r="C4" s="37">
        <f t="shared" ref="C4:C10" si="0">B3+$J$2*D3</f>
        <v>744.61</v>
      </c>
      <c r="D4" s="33">
        <f t="shared" ref="D4:D10" si="1">ABS(C4-B4)</f>
        <v>6.6100000000000136</v>
      </c>
      <c r="E4" s="30">
        <f t="shared" ref="E4:E10" si="2">D4/B4</f>
        <v>8.9566395663956827E-3</v>
      </c>
    </row>
    <row r="5" spans="1:13" ht="24" thickBot="1" x14ac:dyDescent="0.4">
      <c r="A5" s="6">
        <v>4</v>
      </c>
      <c r="B5" s="6">
        <v>747</v>
      </c>
      <c r="C5" s="37">
        <f t="shared" si="0"/>
        <v>743.75070000000005</v>
      </c>
      <c r="D5" s="33">
        <f t="shared" si="1"/>
        <v>3.2492999999999483</v>
      </c>
      <c r="E5" s="30">
        <f t="shared" si="2"/>
        <v>4.3497991967870794E-3</v>
      </c>
    </row>
    <row r="6" spans="1:13" ht="24" thickBot="1" x14ac:dyDescent="0.4">
      <c r="A6" s="6">
        <v>5</v>
      </c>
      <c r="B6" s="6">
        <v>751</v>
      </c>
      <c r="C6" s="37">
        <f t="shared" si="0"/>
        <v>749.82689099999993</v>
      </c>
      <c r="D6" s="33">
        <f t="shared" si="1"/>
        <v>1.1731090000000677</v>
      </c>
      <c r="E6" s="30">
        <f t="shared" si="2"/>
        <v>1.5620625832224603E-3</v>
      </c>
    </row>
    <row r="7" spans="1:13" ht="24" thickBot="1" x14ac:dyDescent="0.4">
      <c r="A7" s="6">
        <v>6</v>
      </c>
      <c r="B7" s="6">
        <v>752</v>
      </c>
      <c r="C7" s="37">
        <f t="shared" si="0"/>
        <v>752.02060483000002</v>
      </c>
      <c r="D7" s="33">
        <f t="shared" si="1"/>
        <v>2.0604830000024776E-2</v>
      </c>
      <c r="E7" s="30">
        <f t="shared" si="2"/>
        <v>2.740003989364997E-5</v>
      </c>
    </row>
    <row r="8" spans="1:13" ht="24" thickBot="1" x14ac:dyDescent="0.4">
      <c r="A8" s="6">
        <v>7</v>
      </c>
      <c r="B8" s="6">
        <v>756</v>
      </c>
      <c r="C8" s="37">
        <f t="shared" si="0"/>
        <v>752.01792620210006</v>
      </c>
      <c r="D8" s="33">
        <f t="shared" si="1"/>
        <v>3.9820737978999432</v>
      </c>
      <c r="E8" s="30">
        <f t="shared" si="2"/>
        <v>5.2672933834655329E-3</v>
      </c>
    </row>
    <row r="9" spans="1:13" ht="24" thickBot="1" x14ac:dyDescent="0.4">
      <c r="A9" s="6">
        <v>8</v>
      </c>
      <c r="B9" s="6">
        <v>768</v>
      </c>
      <c r="C9" s="37">
        <f t="shared" si="0"/>
        <v>759.46440420417298</v>
      </c>
      <c r="D9" s="33">
        <f t="shared" si="1"/>
        <v>8.535595795827021</v>
      </c>
      <c r="E9" s="30">
        <f t="shared" si="2"/>
        <v>1.1114057025816434E-2</v>
      </c>
    </row>
    <row r="10" spans="1:13" ht="25.5" thickBot="1" x14ac:dyDescent="0.5">
      <c r="A10" s="6">
        <v>9</v>
      </c>
      <c r="B10" s="6">
        <v>766</v>
      </c>
      <c r="C10" s="37">
        <f t="shared" si="0"/>
        <v>775.42596834236952</v>
      </c>
      <c r="D10" s="33">
        <f t="shared" si="1"/>
        <v>9.4259683423695151</v>
      </c>
      <c r="E10" s="30">
        <f t="shared" si="2"/>
        <v>1.23054417002213E-2</v>
      </c>
      <c r="F10" s="26" t="s">
        <v>36</v>
      </c>
    </row>
    <row r="11" spans="1:13" ht="24" thickBot="1" x14ac:dyDescent="0.4">
      <c r="A11" s="6">
        <v>10</v>
      </c>
      <c r="B11" s="6"/>
      <c r="C11" s="38">
        <f>B10+$J$2*D10</f>
        <v>774.20059245786149</v>
      </c>
      <c r="D11" s="34">
        <f>M1</f>
        <v>4.4995814707620667</v>
      </c>
      <c r="E11" s="40">
        <f>M2</f>
        <v>5.9532275225547826E-3</v>
      </c>
    </row>
    <row r="12" spans="1:13" ht="24" thickBot="1" x14ac:dyDescent="0.4">
      <c r="A12" s="6"/>
      <c r="B12" s="6"/>
      <c r="C12" s="38">
        <f>C11+J2*D11</f>
        <v>778.11522833742447</v>
      </c>
      <c r="D12" s="34"/>
      <c r="E12" s="32"/>
    </row>
    <row r="13" spans="1:13" ht="24" thickBot="1" x14ac:dyDescent="0.4">
      <c r="A13" s="6"/>
      <c r="B13" s="6"/>
      <c r="C13" s="38">
        <f>C12+J2*D11</f>
        <v>782.02986421698745</v>
      </c>
      <c r="D13" s="34"/>
      <c r="E13" s="32"/>
    </row>
    <row r="14" spans="1:13" ht="23.25" x14ac:dyDescent="0.35">
      <c r="A14" s="29"/>
      <c r="B14" s="29"/>
      <c r="C14" s="39">
        <f>C13+J2*D11</f>
        <v>785.94450009655043</v>
      </c>
      <c r="D14" s="35"/>
      <c r="E14" s="32"/>
    </row>
    <row r="16" spans="1:13" ht="28.5" x14ac:dyDescent="0.55000000000000004">
      <c r="C16" s="31" t="s">
        <v>38</v>
      </c>
    </row>
    <row r="17" spans="3:3" ht="28.5" x14ac:dyDescent="0.55000000000000004">
      <c r="C17" s="31" t="s">
        <v>39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zoomScale="60" zoomScaleNormal="60" workbookViewId="0">
      <selection activeCell="G4" activeCellId="1" sqref="D4:D25 G4:G25"/>
    </sheetView>
  </sheetViews>
  <sheetFormatPr defaultRowHeight="15.75" x14ac:dyDescent="0.25"/>
  <cols>
    <col min="1" max="2" width="16.140625" style="2" customWidth="1"/>
    <col min="3" max="3" width="17.85546875" style="2" bestFit="1" customWidth="1"/>
    <col min="4" max="5" width="16.140625" style="2" customWidth="1"/>
    <col min="6" max="6" width="41.7109375" style="2" customWidth="1"/>
    <col min="7" max="8" width="12.5703125" style="2" customWidth="1"/>
    <col min="9" max="12" width="9.140625" style="2"/>
    <col min="13" max="13" width="12.140625" style="2" customWidth="1"/>
    <col min="14" max="14" width="19.5703125" style="2" bestFit="1" customWidth="1"/>
    <col min="15" max="16384" width="9.140625" style="2"/>
  </cols>
  <sheetData>
    <row r="1" spans="2:14" ht="16.5" thickBot="1" x14ac:dyDescent="0.3"/>
    <row r="2" spans="2:14" ht="29.25" customHeight="1" thickBot="1" x14ac:dyDescent="0.3">
      <c r="B2" s="41" t="s">
        <v>27</v>
      </c>
      <c r="C2" s="41" t="s">
        <v>40</v>
      </c>
      <c r="D2" s="41" t="s">
        <v>41</v>
      </c>
      <c r="E2" s="41" t="s">
        <v>42</v>
      </c>
      <c r="F2" s="41" t="s">
        <v>47</v>
      </c>
      <c r="G2" s="41" t="s">
        <v>43</v>
      </c>
      <c r="H2" s="41" t="s">
        <v>37</v>
      </c>
      <c r="I2" s="41" t="s">
        <v>44</v>
      </c>
      <c r="M2" s="41" t="s">
        <v>45</v>
      </c>
      <c r="N2" s="41" t="s">
        <v>46</v>
      </c>
    </row>
    <row r="3" spans="2:14" ht="24" thickBot="1" x14ac:dyDescent="0.4">
      <c r="B3" s="43">
        <v>0</v>
      </c>
      <c r="C3" s="43"/>
      <c r="D3" s="43"/>
      <c r="E3" s="45">
        <f>D4</f>
        <v>9.75</v>
      </c>
      <c r="F3" s="45">
        <f>D5-D4</f>
        <v>-0.75</v>
      </c>
      <c r="G3" s="45"/>
      <c r="H3" s="45"/>
      <c r="I3" s="45"/>
      <c r="M3" s="6">
        <v>0.5</v>
      </c>
      <c r="N3" s="6">
        <v>0.6</v>
      </c>
    </row>
    <row r="4" spans="2:14" ht="24" thickBot="1" x14ac:dyDescent="0.4">
      <c r="B4" s="6">
        <v>1</v>
      </c>
      <c r="C4" s="42">
        <v>40975</v>
      </c>
      <c r="D4" s="6">
        <v>9.75</v>
      </c>
      <c r="E4" s="45">
        <f>$M$3*D4+(1-$M$3)*(E3+F3)</f>
        <v>9.375</v>
      </c>
      <c r="F4" s="45">
        <f>$N$3*(E4-E3)+(1-$N$3)*F3</f>
        <v>-0.52500000000000002</v>
      </c>
      <c r="G4" s="45">
        <f>E4+F4</f>
        <v>8.85</v>
      </c>
      <c r="H4" s="45">
        <f>ABS(G4-D4)</f>
        <v>0.90000000000000036</v>
      </c>
      <c r="I4" s="46">
        <f>H4/D4</f>
        <v>9.2307692307692341E-2</v>
      </c>
    </row>
    <row r="5" spans="2:14" ht="24" thickBot="1" x14ac:dyDescent="0.4">
      <c r="B5" s="6">
        <v>2</v>
      </c>
      <c r="C5" s="42">
        <v>41017</v>
      </c>
      <c r="D5" s="6">
        <v>9</v>
      </c>
      <c r="E5" s="45">
        <f t="shared" ref="E5:E21" si="0">$M$3*D5+(1-$M$3)*(E4+F4)</f>
        <v>8.9250000000000007</v>
      </c>
      <c r="F5" s="45">
        <f t="shared" ref="F5:F21" si="1">$N$3*(E5-E4)+(1-$N$3)*F4</f>
        <v>-0.47999999999999959</v>
      </c>
      <c r="G5" s="45">
        <f t="shared" ref="G5:G21" si="2">E5+F5</f>
        <v>8.4450000000000003</v>
      </c>
      <c r="H5" s="45">
        <f t="shared" ref="H5:H21" si="3">ABS(G5-D5)</f>
        <v>0.55499999999999972</v>
      </c>
      <c r="I5" s="46">
        <f t="shared" ref="I5:I21" si="4">H5/D5</f>
        <v>6.1666666666666634E-2</v>
      </c>
      <c r="M5" s="41" t="s">
        <v>32</v>
      </c>
      <c r="N5" s="45">
        <f>AVERAGE(H4:H21)</f>
        <v>0.44125828368255088</v>
      </c>
    </row>
    <row r="6" spans="2:14" ht="24" thickBot="1" x14ac:dyDescent="0.4">
      <c r="B6" s="6">
        <v>3</v>
      </c>
      <c r="C6" s="42">
        <v>41059</v>
      </c>
      <c r="D6" s="6">
        <v>8.5</v>
      </c>
      <c r="E6" s="45">
        <f t="shared" si="0"/>
        <v>8.4725000000000001</v>
      </c>
      <c r="F6" s="45">
        <f t="shared" si="1"/>
        <v>-0.46350000000000019</v>
      </c>
      <c r="G6" s="45">
        <f t="shared" si="2"/>
        <v>8.0090000000000003</v>
      </c>
      <c r="H6" s="45">
        <f t="shared" si="3"/>
        <v>0.49099999999999966</v>
      </c>
      <c r="I6" s="46">
        <f t="shared" si="4"/>
        <v>5.7764705882352899E-2</v>
      </c>
      <c r="M6" s="41" t="s">
        <v>33</v>
      </c>
      <c r="N6" s="44">
        <f>AVERAGE(I4:I21)</f>
        <v>5.0016111487043477E-2</v>
      </c>
    </row>
    <row r="7" spans="2:14" ht="24" thickBot="1" x14ac:dyDescent="0.4">
      <c r="B7" s="6">
        <v>4</v>
      </c>
      <c r="C7" s="42">
        <v>41101</v>
      </c>
      <c r="D7" s="6">
        <v>8</v>
      </c>
      <c r="E7" s="45">
        <f t="shared" si="0"/>
        <v>8.0045000000000002</v>
      </c>
      <c r="F7" s="45">
        <f t="shared" si="1"/>
        <v>-0.46620000000000006</v>
      </c>
      <c r="G7" s="45">
        <f t="shared" si="2"/>
        <v>7.5383000000000004</v>
      </c>
      <c r="H7" s="45">
        <f t="shared" si="3"/>
        <v>0.46169999999999956</v>
      </c>
      <c r="I7" s="46">
        <f t="shared" si="4"/>
        <v>5.7712499999999944E-2</v>
      </c>
    </row>
    <row r="8" spans="2:14" ht="24" thickBot="1" x14ac:dyDescent="0.4">
      <c r="B8" s="6">
        <v>5</v>
      </c>
      <c r="C8" s="42">
        <v>41150</v>
      </c>
      <c r="D8" s="6">
        <v>7.5</v>
      </c>
      <c r="E8" s="45">
        <f t="shared" si="0"/>
        <v>7.5191499999999998</v>
      </c>
      <c r="F8" s="45">
        <f t="shared" si="1"/>
        <v>-0.47769000000000028</v>
      </c>
      <c r="G8" s="45">
        <f t="shared" si="2"/>
        <v>7.0414599999999998</v>
      </c>
      <c r="H8" s="45">
        <f t="shared" si="3"/>
        <v>0.45854000000000017</v>
      </c>
      <c r="I8" s="46">
        <f t="shared" si="4"/>
        <v>6.1138666666666688E-2</v>
      </c>
    </row>
    <row r="9" spans="2:14" ht="24" thickBot="1" x14ac:dyDescent="0.4">
      <c r="B9" s="6">
        <v>6</v>
      </c>
      <c r="C9" s="42">
        <v>41192</v>
      </c>
      <c r="D9" s="6">
        <v>7.25</v>
      </c>
      <c r="E9" s="45">
        <f t="shared" si="0"/>
        <v>7.1457300000000004</v>
      </c>
      <c r="F9" s="45">
        <f t="shared" si="1"/>
        <v>-0.41512799999999977</v>
      </c>
      <c r="G9" s="45">
        <f t="shared" si="2"/>
        <v>6.7306020000000002</v>
      </c>
      <c r="H9" s="45">
        <f t="shared" si="3"/>
        <v>0.5193979999999998</v>
      </c>
      <c r="I9" s="46">
        <f t="shared" si="4"/>
        <v>7.1641103448275831E-2</v>
      </c>
    </row>
    <row r="10" spans="2:14" ht="24" thickBot="1" x14ac:dyDescent="0.4">
      <c r="B10" s="6">
        <v>7</v>
      </c>
      <c r="C10" s="42">
        <v>41241</v>
      </c>
      <c r="D10" s="6">
        <v>7.25</v>
      </c>
      <c r="E10" s="45">
        <f t="shared" si="0"/>
        <v>6.9903010000000005</v>
      </c>
      <c r="F10" s="45">
        <f t="shared" si="1"/>
        <v>-0.25930859999999983</v>
      </c>
      <c r="G10" s="45">
        <f t="shared" si="2"/>
        <v>6.7309924000000008</v>
      </c>
      <c r="H10" s="45">
        <f t="shared" si="3"/>
        <v>0.51900759999999924</v>
      </c>
      <c r="I10" s="46">
        <f t="shared" si="4"/>
        <v>7.1587255172413683E-2</v>
      </c>
    </row>
    <row r="11" spans="2:14" ht="24" thickBot="1" x14ac:dyDescent="0.4">
      <c r="B11" s="6">
        <v>8</v>
      </c>
      <c r="C11" s="42">
        <v>41290</v>
      </c>
      <c r="D11" s="6">
        <v>7.25</v>
      </c>
      <c r="E11" s="45">
        <f t="shared" si="0"/>
        <v>6.9904962000000008</v>
      </c>
      <c r="F11" s="45">
        <f t="shared" si="1"/>
        <v>-0.10360631999999978</v>
      </c>
      <c r="G11" s="45">
        <f t="shared" si="2"/>
        <v>6.8868898800000009</v>
      </c>
      <c r="H11" s="45">
        <f t="shared" si="3"/>
        <v>0.36311011999999909</v>
      </c>
      <c r="I11" s="46">
        <f t="shared" si="4"/>
        <v>5.0084154482758499E-2</v>
      </c>
    </row>
    <row r="12" spans="2:14" ht="24" thickBot="1" x14ac:dyDescent="0.4">
      <c r="B12" s="6">
        <v>9</v>
      </c>
      <c r="C12" s="42">
        <v>41339</v>
      </c>
      <c r="D12" s="6">
        <v>7.25</v>
      </c>
      <c r="E12" s="45">
        <f t="shared" si="0"/>
        <v>7.0684449400000009</v>
      </c>
      <c r="F12" s="45">
        <f t="shared" si="1"/>
        <v>5.3267160000001271E-3</v>
      </c>
      <c r="G12" s="45">
        <f t="shared" si="2"/>
        <v>7.0737716560000008</v>
      </c>
      <c r="H12" s="45">
        <f t="shared" si="3"/>
        <v>0.1762283439999992</v>
      </c>
      <c r="I12" s="46">
        <f t="shared" si="4"/>
        <v>2.4307357793103338E-2</v>
      </c>
    </row>
    <row r="13" spans="2:14" ht="24" thickBot="1" x14ac:dyDescent="0.4">
      <c r="B13" s="6">
        <v>10</v>
      </c>
      <c r="C13" s="42">
        <v>41381</v>
      </c>
      <c r="D13" s="6">
        <v>7.5</v>
      </c>
      <c r="E13" s="45">
        <f t="shared" si="0"/>
        <v>7.2868858280000008</v>
      </c>
      <c r="F13" s="45">
        <f t="shared" si="1"/>
        <v>0.13319521920000002</v>
      </c>
      <c r="G13" s="45">
        <f t="shared" si="2"/>
        <v>7.4200810472000009</v>
      </c>
      <c r="H13" s="45">
        <f t="shared" si="3"/>
        <v>7.9918952799999055E-2</v>
      </c>
      <c r="I13" s="46">
        <f t="shared" si="4"/>
        <v>1.0655860373333208E-2</v>
      </c>
    </row>
    <row r="14" spans="2:14" ht="24" thickBot="1" x14ac:dyDescent="0.4">
      <c r="B14" s="6">
        <v>11</v>
      </c>
      <c r="C14" s="42">
        <v>41423</v>
      </c>
      <c r="D14" s="6">
        <v>8</v>
      </c>
      <c r="E14" s="45">
        <f t="shared" si="0"/>
        <v>7.7100405236</v>
      </c>
      <c r="F14" s="45">
        <f t="shared" si="1"/>
        <v>0.30717090503999955</v>
      </c>
      <c r="G14" s="45">
        <f t="shared" si="2"/>
        <v>8.0172114286399996</v>
      </c>
      <c r="H14" s="45">
        <f t="shared" si="3"/>
        <v>1.7211428639999582E-2</v>
      </c>
      <c r="I14" s="46">
        <f t="shared" si="4"/>
        <v>2.1514285799999477E-3</v>
      </c>
    </row>
    <row r="15" spans="2:14" ht="24" thickBot="1" x14ac:dyDescent="0.4">
      <c r="B15" s="6">
        <v>12</v>
      </c>
      <c r="C15" s="42">
        <v>41465</v>
      </c>
      <c r="D15" s="6">
        <v>8.5</v>
      </c>
      <c r="E15" s="45">
        <f t="shared" si="0"/>
        <v>8.2586057143199998</v>
      </c>
      <c r="F15" s="45">
        <f t="shared" si="1"/>
        <v>0.45200747644799966</v>
      </c>
      <c r="G15" s="45">
        <f t="shared" si="2"/>
        <v>8.7106131907679991</v>
      </c>
      <c r="H15" s="45">
        <f t="shared" si="3"/>
        <v>0.21061319076799911</v>
      </c>
      <c r="I15" s="46">
        <f t="shared" si="4"/>
        <v>2.4778022443294013E-2</v>
      </c>
    </row>
    <row r="16" spans="2:14" ht="24" thickBot="1" x14ac:dyDescent="0.4">
      <c r="B16" s="6">
        <v>13</v>
      </c>
      <c r="C16" s="42">
        <v>41514</v>
      </c>
      <c r="D16" s="6">
        <v>9</v>
      </c>
      <c r="E16" s="45">
        <f t="shared" si="0"/>
        <v>8.8553065953840004</v>
      </c>
      <c r="F16" s="45">
        <f t="shared" si="1"/>
        <v>0.5388235192176003</v>
      </c>
      <c r="G16" s="45">
        <f t="shared" si="2"/>
        <v>9.3941301146016016</v>
      </c>
      <c r="H16" s="45">
        <f t="shared" si="3"/>
        <v>0.39413011460160163</v>
      </c>
      <c r="I16" s="46">
        <f t="shared" si="4"/>
        <v>4.3792234955733512E-2</v>
      </c>
    </row>
    <row r="17" spans="2:10" ht="24" thickBot="1" x14ac:dyDescent="0.4">
      <c r="B17" s="6">
        <v>14</v>
      </c>
      <c r="C17" s="42">
        <v>41556</v>
      </c>
      <c r="D17" s="6">
        <v>9.5</v>
      </c>
      <c r="E17" s="45">
        <f t="shared" si="0"/>
        <v>9.4470650573008008</v>
      </c>
      <c r="F17" s="45">
        <f t="shared" si="1"/>
        <v>0.57058448483712032</v>
      </c>
      <c r="G17" s="45">
        <f t="shared" si="2"/>
        <v>10.017649542137921</v>
      </c>
      <c r="H17" s="45">
        <f t="shared" si="3"/>
        <v>0.5176495421379208</v>
      </c>
      <c r="I17" s="46">
        <f t="shared" si="4"/>
        <v>5.4489425488202188E-2</v>
      </c>
    </row>
    <row r="18" spans="2:10" ht="24" thickBot="1" x14ac:dyDescent="0.4">
      <c r="B18" s="6">
        <v>15</v>
      </c>
      <c r="C18" s="42">
        <v>41605</v>
      </c>
      <c r="D18" s="6">
        <v>10</v>
      </c>
      <c r="E18" s="45">
        <f t="shared" si="0"/>
        <v>10.00882477106896</v>
      </c>
      <c r="F18" s="45">
        <f t="shared" si="1"/>
        <v>0.56528962219574386</v>
      </c>
      <c r="G18" s="45">
        <f t="shared" si="2"/>
        <v>10.574114393264704</v>
      </c>
      <c r="H18" s="45">
        <f t="shared" si="3"/>
        <v>0.57411439326470415</v>
      </c>
      <c r="I18" s="46">
        <f t="shared" si="4"/>
        <v>5.7411439326470415E-2</v>
      </c>
    </row>
    <row r="19" spans="2:10" ht="24" thickBot="1" x14ac:dyDescent="0.4">
      <c r="B19" s="6">
        <v>16</v>
      </c>
      <c r="C19" s="42">
        <v>41654</v>
      </c>
      <c r="D19" s="6">
        <v>10.5</v>
      </c>
      <c r="E19" s="45">
        <f t="shared" si="0"/>
        <v>10.537057196632352</v>
      </c>
      <c r="F19" s="45">
        <f t="shared" si="1"/>
        <v>0.54305530421633252</v>
      </c>
      <c r="G19" s="45">
        <f t="shared" si="2"/>
        <v>11.080112500848685</v>
      </c>
      <c r="H19" s="45">
        <f t="shared" si="3"/>
        <v>0.58011250084868493</v>
      </c>
      <c r="I19" s="46">
        <f t="shared" si="4"/>
        <v>5.5248809604636663E-2</v>
      </c>
    </row>
    <row r="20" spans="2:10" ht="24" thickBot="1" x14ac:dyDescent="0.4">
      <c r="B20" s="6">
        <v>17</v>
      </c>
      <c r="C20" s="42">
        <v>41696</v>
      </c>
      <c r="D20" s="6">
        <v>10.75</v>
      </c>
      <c r="E20" s="45">
        <f t="shared" si="0"/>
        <v>10.915056250424342</v>
      </c>
      <c r="F20" s="45">
        <f t="shared" si="1"/>
        <v>0.44402155396172727</v>
      </c>
      <c r="G20" s="45">
        <f t="shared" si="2"/>
        <v>11.35907780438607</v>
      </c>
      <c r="H20" s="45">
        <f t="shared" si="3"/>
        <v>0.60907780438606984</v>
      </c>
      <c r="I20" s="46">
        <f t="shared" si="4"/>
        <v>5.6658400408006494E-2</v>
      </c>
    </row>
    <row r="21" spans="2:10" ht="25.5" thickBot="1" x14ac:dyDescent="0.5">
      <c r="B21" s="6">
        <v>18</v>
      </c>
      <c r="C21" s="42">
        <v>41731</v>
      </c>
      <c r="D21" s="6">
        <v>11</v>
      </c>
      <c r="E21" s="45">
        <f t="shared" si="0"/>
        <v>11.179538902193034</v>
      </c>
      <c r="F21" s="45">
        <f t="shared" si="1"/>
        <v>0.33629821264590587</v>
      </c>
      <c r="G21" s="45">
        <f t="shared" si="2"/>
        <v>11.51583711483894</v>
      </c>
      <c r="H21" s="45">
        <f t="shared" si="3"/>
        <v>0.51583711483893957</v>
      </c>
      <c r="I21" s="46">
        <f t="shared" si="4"/>
        <v>4.6894283167176323E-2</v>
      </c>
      <c r="J21" s="49" t="s">
        <v>48</v>
      </c>
    </row>
    <row r="22" spans="2:10" ht="23.25" x14ac:dyDescent="0.35">
      <c r="B22" s="48">
        <v>19</v>
      </c>
      <c r="C22" s="47"/>
      <c r="D22" s="47"/>
      <c r="E22" s="47"/>
      <c r="F22" s="47"/>
      <c r="G22" s="50">
        <f>E21+1*F21</f>
        <v>11.51583711483894</v>
      </c>
      <c r="H22" s="50">
        <f>$N$5</f>
        <v>0.44125828368255088</v>
      </c>
      <c r="I22" s="50">
        <f>$N$6</f>
        <v>5.0016111487043477E-2</v>
      </c>
    </row>
    <row r="23" spans="2:10" ht="23.25" x14ac:dyDescent="0.35">
      <c r="B23" s="48">
        <v>20</v>
      </c>
      <c r="C23" s="47"/>
      <c r="D23" s="47"/>
      <c r="E23" s="47"/>
      <c r="F23" s="47"/>
      <c r="G23" s="50">
        <f>E21+2*F21</f>
        <v>11.852135327484845</v>
      </c>
      <c r="H23" s="50">
        <f>$N$5</f>
        <v>0.44125828368255088</v>
      </c>
      <c r="I23" s="50">
        <f>$N$6</f>
        <v>5.0016111487043477E-2</v>
      </c>
    </row>
    <row r="24" spans="2:10" ht="23.25" x14ac:dyDescent="0.35">
      <c r="B24" s="48">
        <v>21</v>
      </c>
      <c r="C24" s="47"/>
      <c r="D24" s="47"/>
      <c r="E24" s="47"/>
      <c r="F24" s="47"/>
      <c r="G24" s="50">
        <f>E21+3*F21</f>
        <v>12.188433540130752</v>
      </c>
      <c r="H24" s="50">
        <f t="shared" ref="H24:H25" si="5">$N$5</f>
        <v>0.44125828368255088</v>
      </c>
      <c r="I24" s="50">
        <f t="shared" ref="I24:I25" si="6">$N$6</f>
        <v>5.0016111487043477E-2</v>
      </c>
    </row>
    <row r="25" spans="2:10" ht="23.25" x14ac:dyDescent="0.35">
      <c r="B25" s="48">
        <v>22</v>
      </c>
      <c r="C25" s="47"/>
      <c r="D25" s="47"/>
      <c r="E25" s="47"/>
      <c r="F25" s="47"/>
      <c r="G25" s="50">
        <f>E21+4*F21</f>
        <v>12.524731752776658</v>
      </c>
      <c r="H25" s="50">
        <f t="shared" si="5"/>
        <v>0.44125828368255088</v>
      </c>
      <c r="I25" s="50">
        <f t="shared" si="6"/>
        <v>5.0016111487043477E-2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10" zoomScaleNormal="110" workbookViewId="0">
      <selection activeCell="G22" sqref="G22"/>
    </sheetView>
  </sheetViews>
  <sheetFormatPr defaultRowHeight="15" x14ac:dyDescent="0.25"/>
  <cols>
    <col min="3" max="3" width="14.7109375" customWidth="1"/>
  </cols>
  <sheetData>
    <row r="1" spans="1:13" ht="19.5" thickBot="1" x14ac:dyDescent="0.35">
      <c r="A1" s="51" t="s">
        <v>27</v>
      </c>
      <c r="B1" s="51" t="s">
        <v>49</v>
      </c>
      <c r="C1" s="51" t="s">
        <v>50</v>
      </c>
      <c r="D1" s="55" t="s">
        <v>42</v>
      </c>
      <c r="E1" s="55" t="s">
        <v>47</v>
      </c>
      <c r="F1" s="55" t="s">
        <v>63</v>
      </c>
      <c r="G1" s="55" t="s">
        <v>43</v>
      </c>
      <c r="H1" s="55" t="s">
        <v>30</v>
      </c>
      <c r="I1" s="55" t="s">
        <v>31</v>
      </c>
      <c r="J1" s="55" t="s">
        <v>32</v>
      </c>
      <c r="K1" s="55" t="s">
        <v>33</v>
      </c>
      <c r="L1" s="56" t="s">
        <v>35</v>
      </c>
      <c r="M1">
        <v>0.3</v>
      </c>
    </row>
    <row r="2" spans="1:13" ht="19.5" thickBot="1" x14ac:dyDescent="0.35">
      <c r="A2" s="52">
        <v>1</v>
      </c>
      <c r="B2" s="52" t="s">
        <v>51</v>
      </c>
      <c r="C2" s="52">
        <v>118</v>
      </c>
      <c r="F2" s="3">
        <f>C2/D4</f>
        <v>0.97252747252747251</v>
      </c>
      <c r="J2" s="57">
        <f>AVERAGE(H5:H19)</f>
        <v>10.627256690320802</v>
      </c>
      <c r="K2" s="21">
        <f>AVERAGE(I5:I19)</f>
        <v>6.4070759434963445E-2</v>
      </c>
      <c r="L2" s="56" t="s">
        <v>64</v>
      </c>
      <c r="M2">
        <v>0.3</v>
      </c>
    </row>
    <row r="3" spans="1:13" ht="19.5" thickBot="1" x14ac:dyDescent="0.35">
      <c r="A3" s="52">
        <v>2</v>
      </c>
      <c r="B3" s="52" t="s">
        <v>52</v>
      </c>
      <c r="C3" s="52">
        <v>93</v>
      </c>
      <c r="F3" s="3">
        <f>C3/D4</f>
        <v>0.76648351648351654</v>
      </c>
      <c r="L3" s="56" t="s">
        <v>65</v>
      </c>
      <c r="M3">
        <v>0.3</v>
      </c>
    </row>
    <row r="4" spans="1:13" ht="19.5" thickBot="1" x14ac:dyDescent="0.35">
      <c r="A4" s="52">
        <v>3</v>
      </c>
      <c r="B4" s="52" t="s">
        <v>53</v>
      </c>
      <c r="C4" s="52">
        <v>153</v>
      </c>
      <c r="D4" s="3">
        <f>AVERAGE(C2:C4)</f>
        <v>121.33333333333333</v>
      </c>
      <c r="E4" s="3">
        <f>((C5-C2)/2+(C6-C3)/2+(C7-C4)/2)/6</f>
        <v>0.33333333333333331</v>
      </c>
      <c r="F4" s="3">
        <f>C4/D4</f>
        <v>1.2609890109890109</v>
      </c>
    </row>
    <row r="5" spans="1:13" ht="19.5" thickBot="1" x14ac:dyDescent="0.35">
      <c r="A5" s="53">
        <v>4</v>
      </c>
      <c r="B5" s="53" t="s">
        <v>54</v>
      </c>
      <c r="C5" s="53">
        <v>125</v>
      </c>
      <c r="D5" s="3">
        <f>$M$1*(C5/F2)+(1-$M$1)*(D4+E4)</f>
        <v>123.72598870056495</v>
      </c>
      <c r="E5" s="3">
        <f>$M$2*(D5-D4)+(1-$M$2)*E4</f>
        <v>0.9511299435028211</v>
      </c>
      <c r="F5" s="3">
        <f>$M$3*(C5/D5)+(1-$M$3)*F2</f>
        <v>0.9838583423927838</v>
      </c>
      <c r="G5" s="3">
        <f>(D5+E5)*F2</f>
        <v>121.25192307692305</v>
      </c>
      <c r="H5" s="3">
        <f>ABS(G5-C5)</f>
        <v>3.7480769230769511</v>
      </c>
      <c r="I5" s="3">
        <f>H5/C5</f>
        <v>2.9984615384615609E-2</v>
      </c>
      <c r="J5" s="3"/>
      <c r="K5" s="3"/>
      <c r="L5" s="3"/>
    </row>
    <row r="6" spans="1:13" ht="19.5" thickBot="1" x14ac:dyDescent="0.35">
      <c r="A6" s="53">
        <v>5</v>
      </c>
      <c r="B6" s="53" t="s">
        <v>55</v>
      </c>
      <c r="C6" s="53">
        <v>102</v>
      </c>
      <c r="D6" s="3">
        <f t="shared" ref="D6:D19" si="0">$M$1*(C6/F3)+(1-$M$1)*(D5+E5)</f>
        <v>127.19656369600872</v>
      </c>
      <c r="E6" s="3">
        <f t="shared" ref="E6:E19" si="1">$M$2*(D6-D5)+(1-$M$2)*E5</f>
        <v>1.7069634590851055</v>
      </c>
      <c r="F6" s="3">
        <f t="shared" ref="F6:F19" si="2">$M$3*(C6/D6)+(1-$M$3)*F3</f>
        <v>0.77711099833381048</v>
      </c>
      <c r="G6" s="3">
        <f t="shared" ref="G6:G19" si="3">(D6+E6)*F3</f>
        <v>98.802428780964775</v>
      </c>
      <c r="H6" s="3">
        <f t="shared" ref="H6:H19" si="4">ABS(G6-C6)</f>
        <v>3.1975712190352255</v>
      </c>
      <c r="I6" s="3">
        <f t="shared" ref="I6:I19" si="5">H6/C6</f>
        <v>3.1348737441521821E-2</v>
      </c>
      <c r="J6" s="3"/>
      <c r="K6" s="3"/>
      <c r="L6" s="3"/>
    </row>
    <row r="7" spans="1:13" ht="19.5" thickBot="1" x14ac:dyDescent="0.35">
      <c r="A7" s="53">
        <v>6</v>
      </c>
      <c r="B7" s="53" t="s">
        <v>56</v>
      </c>
      <c r="C7" s="53">
        <v>141</v>
      </c>
      <c r="D7" s="3">
        <f t="shared" si="0"/>
        <v>123.77756704778136</v>
      </c>
      <c r="E7" s="3">
        <f t="shared" si="1"/>
        <v>0.16917542689136478</v>
      </c>
      <c r="F7" s="3">
        <f t="shared" si="2"/>
        <v>1.2244343616758948</v>
      </c>
      <c r="G7" s="3">
        <f t="shared" si="3"/>
        <v>156.2954802084472</v>
      </c>
      <c r="H7" s="3">
        <f t="shared" si="4"/>
        <v>15.295480208447202</v>
      </c>
      <c r="I7" s="3">
        <f t="shared" si="5"/>
        <v>0.10847858303863264</v>
      </c>
      <c r="J7" s="3"/>
      <c r="K7" s="3"/>
      <c r="L7" s="3"/>
    </row>
    <row r="8" spans="1:13" ht="19.5" thickBot="1" x14ac:dyDescent="0.35">
      <c r="A8" s="4">
        <v>7</v>
      </c>
      <c r="B8" s="4" t="s">
        <v>57</v>
      </c>
      <c r="C8" s="4">
        <v>113</v>
      </c>
      <c r="D8" s="3">
        <f t="shared" si="0"/>
        <v>121.21889958998682</v>
      </c>
      <c r="E8" s="3">
        <f t="shared" si="1"/>
        <v>-0.64917743851440712</v>
      </c>
      <c r="F8" s="3">
        <f t="shared" si="2"/>
        <v>0.96836020067116313</v>
      </c>
      <c r="G8" s="3">
        <f t="shared" si="3"/>
        <v>118.62352697870615</v>
      </c>
      <c r="H8" s="3">
        <f t="shared" si="4"/>
        <v>5.6235269787061526</v>
      </c>
      <c r="I8" s="3">
        <f t="shared" si="5"/>
        <v>4.9765725475275684E-2</v>
      </c>
      <c r="J8" s="3"/>
      <c r="K8" s="3"/>
      <c r="L8" s="3"/>
    </row>
    <row r="9" spans="1:13" ht="19.5" thickBot="1" x14ac:dyDescent="0.35">
      <c r="A9" s="4">
        <v>8</v>
      </c>
      <c r="B9" s="4" t="s">
        <v>58</v>
      </c>
      <c r="C9" s="4">
        <v>99</v>
      </c>
      <c r="D9" s="3">
        <f t="shared" si="0"/>
        <v>122.61728402927798</v>
      </c>
      <c r="E9" s="3">
        <f t="shared" si="1"/>
        <v>-3.4908875172735887E-2</v>
      </c>
      <c r="F9" s="3">
        <f t="shared" si="2"/>
        <v>0.78619477479588129</v>
      </c>
      <c r="G9" s="3">
        <f t="shared" si="3"/>
        <v>95.260111934136418</v>
      </c>
      <c r="H9" s="3">
        <f t="shared" si="4"/>
        <v>3.7398880658635818</v>
      </c>
      <c r="I9" s="3">
        <f t="shared" si="5"/>
        <v>3.777664712993517E-2</v>
      </c>
      <c r="J9" s="3"/>
      <c r="K9" s="3"/>
      <c r="L9" s="3"/>
    </row>
    <row r="10" spans="1:13" ht="19.5" thickBot="1" x14ac:dyDescent="0.35">
      <c r="A10" s="4">
        <v>9</v>
      </c>
      <c r="B10" s="4" t="s">
        <v>59</v>
      </c>
      <c r="C10" s="4">
        <v>180</v>
      </c>
      <c r="D10" s="3">
        <f t="shared" si="0"/>
        <v>129.90965916250292</v>
      </c>
      <c r="E10" s="3">
        <f t="shared" si="1"/>
        <v>2.1632763273465656</v>
      </c>
      <c r="F10" s="3">
        <f t="shared" si="2"/>
        <v>1.2727775323287589</v>
      </c>
      <c r="G10" s="3">
        <f t="shared" si="3"/>
        <v>161.71464046117549</v>
      </c>
      <c r="H10" s="3">
        <f t="shared" si="4"/>
        <v>18.285359538824508</v>
      </c>
      <c r="I10" s="3">
        <f t="shared" si="5"/>
        <v>0.10158533077124726</v>
      </c>
      <c r="J10" s="3"/>
      <c r="K10" s="3"/>
      <c r="L10" s="3"/>
    </row>
    <row r="11" spans="1:13" ht="19.5" thickBot="1" x14ac:dyDescent="0.35">
      <c r="A11" s="4">
        <v>10</v>
      </c>
      <c r="B11" s="4" t="s">
        <v>60</v>
      </c>
      <c r="C11" s="4">
        <v>162</v>
      </c>
      <c r="D11" s="3">
        <f t="shared" si="0"/>
        <v>142.63899107397447</v>
      </c>
      <c r="E11" s="3">
        <f t="shared" si="1"/>
        <v>5.3330930025840599</v>
      </c>
      <c r="F11" s="3">
        <f t="shared" si="2"/>
        <v>1.0185724416586763</v>
      </c>
      <c r="G11" s="3">
        <f t="shared" si="3"/>
        <v>143.29027703010644</v>
      </c>
      <c r="H11" s="3">
        <f t="shared" si="4"/>
        <v>18.709722969893562</v>
      </c>
      <c r="I11" s="3">
        <f t="shared" si="5"/>
        <v>0.1154921170981084</v>
      </c>
      <c r="J11" s="3"/>
      <c r="K11" s="3"/>
      <c r="L11" s="3"/>
    </row>
    <row r="12" spans="1:13" ht="19.5" thickBot="1" x14ac:dyDescent="0.35">
      <c r="A12" s="4">
        <v>11</v>
      </c>
      <c r="B12" s="4" t="s">
        <v>61</v>
      </c>
      <c r="C12" s="4">
        <v>122</v>
      </c>
      <c r="D12" s="3">
        <f t="shared" si="0"/>
        <v>150.13380819313906</v>
      </c>
      <c r="E12" s="3">
        <f t="shared" si="1"/>
        <v>5.9816102375582201</v>
      </c>
      <c r="F12" s="3">
        <f t="shared" si="2"/>
        <v>0.79411887502235146</v>
      </c>
      <c r="G12" s="3">
        <f t="shared" si="3"/>
        <v>122.73712623528682</v>
      </c>
      <c r="H12" s="3">
        <f t="shared" si="4"/>
        <v>0.73712623528682286</v>
      </c>
      <c r="I12" s="3">
        <f t="shared" si="5"/>
        <v>6.0420183220231379E-3</v>
      </c>
      <c r="J12" s="3"/>
      <c r="K12" s="3"/>
      <c r="L12" s="3"/>
    </row>
    <row r="13" spans="1:13" ht="19.5" thickBot="1" x14ac:dyDescent="0.35">
      <c r="A13" s="4">
        <v>12</v>
      </c>
      <c r="B13" s="4" t="s">
        <v>62</v>
      </c>
      <c r="C13" s="4">
        <v>181</v>
      </c>
      <c r="D13" s="3">
        <f t="shared" si="0"/>
        <v>151.94339388301947</v>
      </c>
      <c r="E13" s="3">
        <f t="shared" si="1"/>
        <v>4.7300028732548762</v>
      </c>
      <c r="F13" s="3">
        <f t="shared" si="2"/>
        <v>1.2483142023936149</v>
      </c>
      <c r="G13" s="3">
        <f t="shared" si="3"/>
        <v>199.41037930501543</v>
      </c>
      <c r="H13" s="3">
        <f t="shared" si="4"/>
        <v>18.410379305015425</v>
      </c>
      <c r="I13" s="3">
        <f t="shared" si="5"/>
        <v>0.10171480279014047</v>
      </c>
      <c r="J13" s="3"/>
      <c r="K13" s="3"/>
      <c r="L13" s="3"/>
    </row>
    <row r="14" spans="1:13" ht="19.5" thickBot="1" x14ac:dyDescent="0.35">
      <c r="A14" s="4">
        <v>13</v>
      </c>
      <c r="B14" s="4" t="s">
        <v>51</v>
      </c>
      <c r="C14" s="4">
        <v>170</v>
      </c>
      <c r="D14" s="3">
        <f t="shared" si="0"/>
        <v>159.74145415611133</v>
      </c>
      <c r="E14" s="3">
        <f t="shared" si="1"/>
        <v>5.6504200932059714</v>
      </c>
      <c r="F14" s="3">
        <f t="shared" si="2"/>
        <v>1.032266614617017</v>
      </c>
      <c r="G14" s="3">
        <f t="shared" si="3"/>
        <v>168.46360518463189</v>
      </c>
      <c r="H14" s="3">
        <f t="shared" si="4"/>
        <v>1.5363948153681122</v>
      </c>
      <c r="I14" s="3">
        <f t="shared" si="5"/>
        <v>9.037616560988896E-3</v>
      </c>
      <c r="J14" s="3"/>
      <c r="K14" s="3"/>
      <c r="L14" s="3"/>
    </row>
    <row r="15" spans="1:13" ht="19.5" thickBot="1" x14ac:dyDescent="0.35">
      <c r="A15" s="4">
        <v>14</v>
      </c>
      <c r="B15" s="4" t="s">
        <v>52</v>
      </c>
      <c r="C15" s="4">
        <v>143</v>
      </c>
      <c r="D15" s="3">
        <f t="shared" si="0"/>
        <v>169.79645066099084</v>
      </c>
      <c r="E15" s="3">
        <f t="shared" si="1"/>
        <v>6.9717930167080331</v>
      </c>
      <c r="F15" s="3">
        <f t="shared" si="2"/>
        <v>0.80853867046542671</v>
      </c>
      <c r="G15" s="3">
        <f t="shared" si="3"/>
        <v>140.37499880901112</v>
      </c>
      <c r="H15" s="3">
        <f t="shared" si="4"/>
        <v>2.6250011909888826</v>
      </c>
      <c r="I15" s="3">
        <f t="shared" si="5"/>
        <v>1.8356651685236942E-2</v>
      </c>
      <c r="J15" s="3"/>
      <c r="K15" s="3"/>
      <c r="L15" s="3"/>
    </row>
    <row r="16" spans="1:13" ht="19.5" thickBot="1" x14ac:dyDescent="0.35">
      <c r="A16" s="4">
        <v>15</v>
      </c>
      <c r="B16" s="4" t="s">
        <v>53</v>
      </c>
      <c r="C16" s="4">
        <v>185</v>
      </c>
      <c r="D16" s="3">
        <f t="shared" si="0"/>
        <v>168.19773097024145</v>
      </c>
      <c r="E16" s="3">
        <f t="shared" si="1"/>
        <v>4.4006392044708056</v>
      </c>
      <c r="F16" s="3">
        <f t="shared" si="2"/>
        <v>1.2037887211581704</v>
      </c>
      <c r="G16" s="3">
        <f t="shared" si="3"/>
        <v>215.45699679908381</v>
      </c>
      <c r="H16" s="3">
        <f t="shared" si="4"/>
        <v>30.456996799083811</v>
      </c>
      <c r="I16" s="3">
        <f t="shared" si="5"/>
        <v>0.16463241513018276</v>
      </c>
      <c r="J16" s="3"/>
      <c r="K16" s="3"/>
      <c r="L16" s="3"/>
    </row>
    <row r="17" spans="1:12" ht="19.5" thickBot="1" x14ac:dyDescent="0.35">
      <c r="A17" s="4">
        <v>16</v>
      </c>
      <c r="B17" s="4" t="s">
        <v>54</v>
      </c>
      <c r="C17" s="4">
        <v>195</v>
      </c>
      <c r="D17" s="3">
        <f t="shared" si="0"/>
        <v>177.49026471813312</v>
      </c>
      <c r="E17" s="3">
        <f t="shared" si="1"/>
        <v>5.8682075674970644</v>
      </c>
      <c r="F17" s="3">
        <f t="shared" si="2"/>
        <v>1.0521821722347482</v>
      </c>
      <c r="G17" s="3">
        <f t="shared" si="3"/>
        <v>189.2748294476356</v>
      </c>
      <c r="H17" s="3">
        <f t="shared" si="4"/>
        <v>5.7251705523644034</v>
      </c>
      <c r="I17" s="3">
        <f t="shared" si="5"/>
        <v>2.9359848986484121E-2</v>
      </c>
      <c r="J17" s="3"/>
      <c r="K17" s="3"/>
      <c r="L17" s="3"/>
    </row>
    <row r="18" spans="1:12" ht="19.5" thickBot="1" x14ac:dyDescent="0.35">
      <c r="A18" s="4">
        <v>17</v>
      </c>
      <c r="B18" s="4" t="s">
        <v>55</v>
      </c>
      <c r="C18" s="4">
        <v>162</v>
      </c>
      <c r="D18" s="3">
        <f t="shared" si="0"/>
        <v>188.4593728739809</v>
      </c>
      <c r="E18" s="3">
        <f t="shared" si="1"/>
        <v>7.3984777440022782</v>
      </c>
      <c r="F18" s="3">
        <f t="shared" si="2"/>
        <v>0.82385758361838235</v>
      </c>
      <c r="G18" s="3">
        <f t="shared" si="3"/>
        <v>158.35864613888026</v>
      </c>
      <c r="H18" s="3">
        <f t="shared" si="4"/>
        <v>3.6413538611197396</v>
      </c>
      <c r="I18" s="3">
        <f t="shared" si="5"/>
        <v>2.2477492969874936E-2</v>
      </c>
      <c r="J18" s="3"/>
      <c r="K18" s="3"/>
      <c r="L18" s="3"/>
    </row>
    <row r="19" spans="1:12" ht="19.5" thickBot="1" x14ac:dyDescent="0.35">
      <c r="A19" s="4">
        <v>18</v>
      </c>
      <c r="B19" s="4" t="s">
        <v>56</v>
      </c>
      <c r="C19" s="4">
        <v>205</v>
      </c>
      <c r="D19" s="3">
        <f t="shared" si="0"/>
        <v>188.18919473592655</v>
      </c>
      <c r="E19" s="3">
        <f t="shared" si="1"/>
        <v>5.0978809793852902</v>
      </c>
      <c r="F19" s="3">
        <f t="shared" si="2"/>
        <v>1.1694508888020045</v>
      </c>
      <c r="G19" s="3">
        <f t="shared" si="3"/>
        <v>232.67680169173767</v>
      </c>
      <c r="H19" s="3">
        <f t="shared" si="4"/>
        <v>27.676801691737666</v>
      </c>
      <c r="I19" s="3">
        <f t="shared" si="5"/>
        <v>0.13500878874018374</v>
      </c>
      <c r="J19" s="3"/>
      <c r="K19" s="3"/>
      <c r="L19" s="3"/>
    </row>
    <row r="20" spans="1:12" ht="19.5" thickBot="1" x14ac:dyDescent="0.35">
      <c r="A20" s="4">
        <v>19</v>
      </c>
      <c r="B20" s="4" t="s">
        <v>57</v>
      </c>
      <c r="C20" s="54"/>
      <c r="D20" s="3"/>
      <c r="E20" s="3"/>
      <c r="F20" s="3"/>
      <c r="G20" s="3">
        <f>(D19+1*E19)*F17</f>
        <v>203.37321519103904</v>
      </c>
      <c r="H20" s="3"/>
      <c r="I20" s="3"/>
      <c r="J20" s="3"/>
      <c r="K20" s="3"/>
      <c r="L20" s="3"/>
    </row>
    <row r="21" spans="1:12" ht="19.5" thickBot="1" x14ac:dyDescent="0.35">
      <c r="A21" s="4">
        <v>20</v>
      </c>
      <c r="B21" s="4" t="s">
        <v>58</v>
      </c>
      <c r="C21" s="54"/>
      <c r="D21" s="3"/>
      <c r="E21" s="3"/>
      <c r="F21" s="3"/>
      <c r="G21" s="3">
        <f>(D19+2*E19)*F18</f>
        <v>163.4409510487306</v>
      </c>
      <c r="H21" s="3"/>
      <c r="I21" s="3"/>
      <c r="J21" s="3"/>
      <c r="K21" s="3"/>
      <c r="L21" s="3"/>
    </row>
    <row r="22" spans="1:12" ht="19.5" thickBot="1" x14ac:dyDescent="0.35">
      <c r="A22" s="4">
        <v>21</v>
      </c>
      <c r="B22" s="4" t="s">
        <v>59</v>
      </c>
      <c r="C22" s="54"/>
      <c r="D22" s="3"/>
      <c r="E22" s="3"/>
      <c r="F22" s="3"/>
      <c r="G22" s="3">
        <f>(D19+3*E19)*F19</f>
        <v>237.96318537390971</v>
      </c>
      <c r="H22" s="3"/>
      <c r="I22" s="3"/>
      <c r="J22" s="3"/>
      <c r="K22" s="3"/>
      <c r="L22" s="3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</vt:vector>
  </HeadingPairs>
  <TitlesOfParts>
    <vt:vector size="7" baseType="lpstr">
      <vt:lpstr>Quartis</vt:lpstr>
      <vt:lpstr>Posição e dispersão</vt:lpstr>
      <vt:lpstr>Média Móvel</vt:lpstr>
      <vt:lpstr>Holt Linear</vt:lpstr>
      <vt:lpstr>Hotl exp</vt:lpstr>
      <vt:lpstr>Holt Winters</vt:lpstr>
      <vt:lpstr>Gráf1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2018-06-16T12:24:24Z</dcterms:created>
  <dcterms:modified xsi:type="dcterms:W3CDTF">2018-06-16T20:34:28Z</dcterms:modified>
</cp:coreProperties>
</file>