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fei5y\Desktop\All\电池表\"/>
    </mc:Choice>
  </mc:AlternateContent>
  <xr:revisionPtr revIDLastSave="0" documentId="8_{8C8A5CDE-93D9-46C9-AD14-AED2577D5126}" xr6:coauthVersionLast="47" xr6:coauthVersionMax="47" xr10:uidLastSave="{00000000-0000-0000-0000-000000000000}"/>
  <bookViews>
    <workbookView xWindow="-120" yWindow="-120" windowWidth="29040" windowHeight="15720" xr2:uid="{00000000-000D-0000-FFFF-FFFF00000000}"/>
  </bookViews>
  <sheets>
    <sheet name="LoRa-1276" sheetId="1" r:id="rId1"/>
    <sheet name="LB models" sheetId="3" r:id="rId2"/>
    <sheet name="LS models" sheetId="6" r:id="rId3"/>
    <sheet name="LHT65N-WMOD=3" sheetId="4" r:id="rId4"/>
    <sheet name="old NB models" sheetId="2" r:id="rId5"/>
    <sheet name="NB models" sheetId="5" r:id="rId6"/>
    <sheet name="CB models" sheetId="7" r:id="rId7"/>
  </sheets>
  <definedNames>
    <definedName name="_50V3_TMP117">'LB models'!$AD$97</definedName>
    <definedName name="_xlnm._FilterDatabase" localSheetId="1" hidden="1">'LB models'!$A$1:$L$19</definedName>
    <definedName name="_xlnm._FilterDatabase" localSheetId="0" hidden="1">'LoRa-1276'!$A$4:$M$19</definedName>
    <definedName name="AIS_01_LB">'LB models'!$AJ$97</definedName>
    <definedName name="AQS01_L">'LB models'!$AE$97</definedName>
    <definedName name="CPL03_LB">'LB models'!$Y$97:$Y$98</definedName>
    <definedName name="CPL03_NB">'NB models'!$T$70</definedName>
    <definedName name="CS01_LB">'LB models'!$AG$97:$AG$98</definedName>
    <definedName name="D20_NB">'NB models'!$O$70</definedName>
    <definedName name="D23_NB">'NB models'!$P$70</definedName>
    <definedName name="DDS04_LB">'LB models'!$X$97:$X$98</definedName>
    <definedName name="DDS04_NB">'NB models'!$R$70</definedName>
    <definedName name="DDS20_LB">'LB models'!$M$97</definedName>
    <definedName name="DDS20_NB">'NB models'!$G$70:$G$71</definedName>
    <definedName name="DDS45_LB">'LB models'!$L$97</definedName>
    <definedName name="DDS45_NB">'NB models'!$Q$70</definedName>
    <definedName name="DDS75_LB">'LB models'!$O$97</definedName>
    <definedName name="DDS75_NB">'NB models'!$F$70:$F$71</definedName>
    <definedName name="DS03A_LB">'LB models'!$V$97</definedName>
    <definedName name="DS03A_LB__double_channel">'LB models'!$W$97:$W$98</definedName>
    <definedName name="DS20L">'LB models'!$AC$97</definedName>
    <definedName name="GroPoint_Air">'LoRa-1276'!$AF$108</definedName>
    <definedName name="Gropoint_Air_LB">'LB models'!$AH$97</definedName>
    <definedName name="LAQ4_">'LoRa-1276'!$C$108:$W$122</definedName>
    <definedName name="LAQ4____LoRaWAN_Air_Quality_Sensor">'LoRa-1276'!$E$108:$E$121</definedName>
    <definedName name="LCC01_LB">'LB models'!$AF$97:$AF$98</definedName>
    <definedName name="LDDS04">'LoRa-1276'!$AA$108:$AA$109</definedName>
    <definedName name="LDDS20_">'LoRa-1276'!$G$108:$G$115</definedName>
    <definedName name="LDDS20_LoRaWAN_Liquid_Level_Sensor">'LoRa-1276'!$G$108:$G$121</definedName>
    <definedName name="LDDS40">'LoRa-1276'!$AG$108</definedName>
    <definedName name="LDDS45">'LoRa-1276'!$AB$108:$AB$109</definedName>
    <definedName name="LDDS75_">'LoRa-1276'!$F$108:$F$115</definedName>
    <definedName name="LDDS75_LoRaWAN_Distance_Detection_Sensor">'LoRa-1276'!$F$108:$F$121</definedName>
    <definedName name="LDS01_">'LoRa-1276'!$I$108:$I$115</definedName>
    <definedName name="LDS01____LoRaWAN_Door_Sensor">'LoRa-1276'!$I$108:$I$121</definedName>
    <definedName name="LDS02____LoRaWAN_Door_Sensor">'LoRa-1276'!$Q$108:$Q$121</definedName>
    <definedName name="LDS03A____LoRaWAN_Door_Sensor">'LoRa-1276'!$S$108</definedName>
    <definedName name="LDS04_LB">'LB models'!$T$97</definedName>
    <definedName name="LDS12_LB">'LB models'!$S$97</definedName>
    <definedName name="LDS12_NB">'NB models'!$M$70</definedName>
    <definedName name="LDS40_LB">'LB models'!$AA$97</definedName>
    <definedName name="LDS40_LS">'LS models'!$T$93</definedName>
    <definedName name="LHT52_LoRaWAN_Temperature___Humidity_Sensor">'LoRa-1276'!$T$108:$T$109</definedName>
    <definedName name="LHT65_">'LoRa-1276'!$C$108:$C$115</definedName>
    <definedName name="LHT65_LoRaWAN_Temperature___Humidity_Sensor">'LoRa-1276'!$C$108:$C$121</definedName>
    <definedName name="LHT65N_LoRaWAN_Temperature___Humidity_Sensor">'LHT65N-WMOD=3'!$B$57:$B$59</definedName>
    <definedName name="LHT65N_LoRaWAN_Temperature___Humidity_Sensor_v1.3">'LB models'!$B$97:$B$103</definedName>
    <definedName name="LLMS01____LoRaWAN_Leaf_Moisture_Sensor_V1.0">'LoRa-1276'!$R$108:$R$121</definedName>
    <definedName name="LMDS120">'LoRa-1276'!$Y$108</definedName>
    <definedName name="LSE01_">'LoRa-1276'!$H$108:$H$115</definedName>
    <definedName name="LSE01_LoRaWAN_Soil_Moisture___EC_Sensor">'LoRa-1276'!$H$108:$H$121</definedName>
    <definedName name="LSN50_">'LoRa-1276'!$D$108:$D$115</definedName>
    <definedName name="LSN50_V2">'LoRa-1276'!$D$108:$D$115</definedName>
    <definedName name="LSN50_V2____Waterproof_Long_Range_Wireless_LoRa_Sensor_Node">'LoRa-1276'!$D$108:$D$121</definedName>
    <definedName name="LSN50_V2____Waterproof_Long_Range_Wireless_NB_Sensor_Node">'old NB models'!$E$49:$E$57</definedName>
    <definedName name="LSN50_V3.0_D20_LB">'LB models'!$G$97:$G$98</definedName>
    <definedName name="LSN50_V3.0_D22_LB">'LB models'!$F$97:$F$98</definedName>
    <definedName name="LSN50_V3.0_D23_LB">'LB models'!$E$97:$E$98</definedName>
    <definedName name="LSN50_V3.0_S31_LB">'LB models'!$H$97:$H$98</definedName>
    <definedName name="LSN50v2_D20____LoRaWAN_Waterproof__Outdoor_Temperature_Sensor">'LoRa-1276'!$K$108</definedName>
    <definedName name="LSN50v2_D22">'LoRa-1276'!$V$108:$V$110</definedName>
    <definedName name="LSN50v2_D23">'LoRa-1276'!$W$108:$W$110</definedName>
    <definedName name="LSN50V2_S31">'LoRa-1276'!$L$108</definedName>
    <definedName name="LSN50v2_S31____LoRaWAN_Temperature___Humidity_Sensor">'LoRa-1276'!$L$108</definedName>
    <definedName name="LSNPK01____LoRaWAN_Soil_NPK_Sensor_V1.0">'LoRa-1276'!$S$108:$S$121</definedName>
    <definedName name="LSPH01____LoRaWAN_Soil_Ph_Sensor_V1.0">'LoRa-1276'!$R$108</definedName>
    <definedName name="LTC2_LB">'LB models'!$AK$97</definedName>
    <definedName name="LTC2_V1.0">'LoRa-1276'!$M$108:$M$111</definedName>
    <definedName name="LWL01_">'LoRa-1276'!$J$108:$J$115</definedName>
    <definedName name="LWL01____LoRaWAN_Water_Leak">'LoRa-1276'!$J$108:$J$121</definedName>
    <definedName name="LWL02____LoRaWAN_Water_Leak">'LoRa-1276'!$N$108</definedName>
    <definedName name="LWL03A">'LoRa-1276'!$X$108:$X$110</definedName>
    <definedName name="MDS120_LB">'LB models'!$N$97</definedName>
    <definedName name="MDS120_NB">'NB models'!$S$70</definedName>
    <definedName name="MDS200_LB">'LB models'!$U$97</definedName>
    <definedName name="MDS200_NB">'NB models'!$K$70</definedName>
    <definedName name="N95S31B">'old NB models'!$I$49</definedName>
    <definedName name="NDDS20_NB_Liquid_Level_Sensor">'old NB models'!$G$49:$G$57</definedName>
    <definedName name="NDDS75_NB_Distance_Detection_Sensor">'old NB models'!$F$49:$F$57</definedName>
    <definedName name="Not_inserted_into_NB_card">'NB models'!$N$70</definedName>
    <definedName name="NSE01_NB_Soil_Moisture___EC_Sensor">'old NB models'!$H$49:$H$57</definedName>
    <definedName name="PS_LB">'LB models'!$C$97:$C$99</definedName>
    <definedName name="PS_LB_UVC254">'LB models'!$J$97</definedName>
    <definedName name="PS_NB">'NB models'!$U$70</definedName>
    <definedName name="RS485_BL">'LoRa-1276'!$Z$108:$Z$109</definedName>
    <definedName name="RS485_BL_Senseair_Sunlight_CO2">'LoRa-1276'!$AF$108:$AF$109</definedName>
    <definedName name="RS485_LB">'LB models'!$AB$97</definedName>
    <definedName name="S31B_CB">'CB models'!$I$54</definedName>
    <definedName name="S31B_NB">'NB models'!$I$70:$I$71</definedName>
    <definedName name="S31X_CB">'CB models'!$I$54</definedName>
    <definedName name="SDI_12_LB">'LB models'!$D$97:$D$99</definedName>
    <definedName name="SE01_LB">'LB models'!$K$97</definedName>
    <definedName name="SE01_NB">'NB models'!$H$70:$H$71</definedName>
    <definedName name="SE02_LB">'LB models'!$AI$97:$AI$98</definedName>
    <definedName name="SE02_NB">'NB models'!$V$70:$V$71</definedName>
    <definedName name="SN50_V3.0_LB">'LB models'!$I$97:$I$107</definedName>
    <definedName name="SN50V3_NB">'NB models'!$E$70:$E$77</definedName>
    <definedName name="SPH01_LB">'LB models'!$Q$97</definedName>
    <definedName name="SPH01_NB">'NB models'!$J$70</definedName>
    <definedName name="SW3L">'LoRa-1276'!$AE$108</definedName>
    <definedName name="SW3L_LB">'LB models'!$R$97</definedName>
    <definedName name="TrackerD">'LoRa-1276'!$U$108:$U$111</definedName>
    <definedName name="TrackerD_LS">'LoRa-1276'!$AC$108:$AC$111</definedName>
    <definedName name="TrackerD_LS_Charging_Panel">'LoRa-1276'!$AD$108:$AD$111</definedName>
    <definedName name="TS01_LB">'LB models'!$Z$97</definedName>
    <definedName name="TS01_NB">'NB models'!$L$70</definedName>
    <definedName name="WL03A_LB">'LB models'!$P$97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9" i="3" l="1"/>
  <c r="H88" i="3"/>
  <c r="H90" i="3"/>
  <c r="H38" i="7" a="1"/>
  <c r="G38" i="7" a="1"/>
  <c r="K38" i="7"/>
  <c r="G38" i="7" l="1"/>
  <c r="P24" i="7"/>
  <c r="F22" i="7"/>
  <c r="D16" i="7" s="1"/>
  <c r="F21" i="7"/>
  <c r="D15" i="7" s="1"/>
  <c r="F20" i="7"/>
  <c r="D14" i="7" s="1"/>
  <c r="D17" i="7" a="1"/>
  <c r="D17" i="7" s="1"/>
  <c r="F16" i="7" a="1"/>
  <c r="F16" i="7" s="1"/>
  <c r="F15" i="7" a="1"/>
  <c r="F15" i="7" s="1"/>
  <c r="F14" i="7" a="1"/>
  <c r="F14" i="7" s="1"/>
  <c r="S9" i="7"/>
  <c r="S10" i="7" s="1"/>
  <c r="C7" i="7"/>
  <c r="H67" i="5"/>
  <c r="G67" i="5"/>
  <c r="E67" i="5" a="1"/>
  <c r="E67" i="5"/>
  <c r="H66" i="5"/>
  <c r="G66" i="5"/>
  <c r="E66" i="5" a="1"/>
  <c r="E66" i="5"/>
  <c r="H65" i="5"/>
  <c r="G65" i="5"/>
  <c r="E65" i="5" a="1"/>
  <c r="E65" i="5"/>
  <c r="H64" i="5"/>
  <c r="G64" i="5"/>
  <c r="E64" i="5" a="1"/>
  <c r="E64" i="5"/>
  <c r="H63" i="5"/>
  <c r="G63" i="5"/>
  <c r="E63" i="5" a="1"/>
  <c r="E63" i="5"/>
  <c r="H62" i="5"/>
  <c r="G62" i="5"/>
  <c r="E62" i="5" a="1"/>
  <c r="E62" i="5"/>
  <c r="H61" i="5"/>
  <c r="G61" i="5"/>
  <c r="E61" i="5" a="1"/>
  <c r="E61" i="5"/>
  <c r="H60" i="5"/>
  <c r="G60" i="5"/>
  <c r="E60" i="5" a="1"/>
  <c r="E60" i="5"/>
  <c r="H59" i="5"/>
  <c r="G59" i="5"/>
  <c r="E59" i="5" a="1"/>
  <c r="E59" i="5"/>
  <c r="H58" i="5"/>
  <c r="G58" i="5"/>
  <c r="E58" i="5" a="1"/>
  <c r="E58" i="5"/>
  <c r="H57" i="5"/>
  <c r="G57" i="5"/>
  <c r="E57" i="5" a="1"/>
  <c r="E57" i="5"/>
  <c r="H56" i="5"/>
  <c r="G56" i="5"/>
  <c r="E56" i="5" a="1"/>
  <c r="E56" i="5"/>
  <c r="H55" i="5"/>
  <c r="G55" i="5"/>
  <c r="E55" i="5" a="1"/>
  <c r="E55" i="5"/>
  <c r="H54" i="5"/>
  <c r="G54" i="5"/>
  <c r="E54" i="5" a="1"/>
  <c r="E54" i="5"/>
  <c r="H53" i="5"/>
  <c r="G53" i="5"/>
  <c r="E53" i="5" a="1"/>
  <c r="E53" i="5"/>
  <c r="H52" i="5"/>
  <c r="G52" i="5"/>
  <c r="E52" i="5" a="1"/>
  <c r="E52" i="5"/>
  <c r="H51" i="5"/>
  <c r="G51" i="5"/>
  <c r="E51" i="5" a="1"/>
  <c r="E51" i="5"/>
  <c r="H50" i="5"/>
  <c r="G50" i="5"/>
  <c r="E50" i="5" a="1"/>
  <c r="E50" i="5"/>
  <c r="H49" i="5"/>
  <c r="G49" i="5"/>
  <c r="E49" i="5" a="1"/>
  <c r="E49" i="5"/>
  <c r="H48" i="5"/>
  <c r="G48" i="5"/>
  <c r="E48" i="5" a="1"/>
  <c r="E48" i="5"/>
  <c r="H47" i="5"/>
  <c r="G47" i="5"/>
  <c r="E47" i="5" a="1"/>
  <c r="E47" i="5"/>
  <c r="H46" i="5"/>
  <c r="G46" i="5"/>
  <c r="E46" i="5" a="1"/>
  <c r="E46" i="5"/>
  <c r="H45" i="5"/>
  <c r="G45" i="5"/>
  <c r="E45" i="5" a="1"/>
  <c r="E45" i="5"/>
  <c r="H44" i="5"/>
  <c r="G44" i="5"/>
  <c r="E44" i="5" a="1"/>
  <c r="E44" i="5"/>
  <c r="H43" i="5"/>
  <c r="G43" i="5"/>
  <c r="E43" i="5" a="1"/>
  <c r="E43" i="5"/>
  <c r="H42" i="5"/>
  <c r="C22" i="5" s="1" a="1"/>
  <c r="C22" i="5" s="1"/>
  <c r="G42" i="5"/>
  <c r="E42" i="5" a="1"/>
  <c r="E42" i="5"/>
  <c r="H41" i="5"/>
  <c r="G41" i="5"/>
  <c r="B24" i="5" s="1" a="1"/>
  <c r="B24" i="5" s="1"/>
  <c r="E41" i="5" a="1"/>
  <c r="E41" i="5"/>
  <c r="M40" i="5"/>
  <c r="G38" i="5"/>
  <c r="F38" i="5"/>
  <c r="G37" i="5"/>
  <c r="F37" i="5"/>
  <c r="G36" i="5"/>
  <c r="E16" i="5" s="1"/>
  <c r="F36" i="5"/>
  <c r="D16" i="5" s="1"/>
  <c r="G34" i="5"/>
  <c r="E23" i="5" s="1"/>
  <c r="F34" i="5"/>
  <c r="D23" i="5" s="1"/>
  <c r="G33" i="5"/>
  <c r="F33" i="5"/>
  <c r="G32" i="5"/>
  <c r="F32" i="5"/>
  <c r="D15" i="5" s="1"/>
  <c r="G30" i="5" a="1"/>
  <c r="G30" i="5"/>
  <c r="E22" i="5" s="1"/>
  <c r="F30" i="5"/>
  <c r="D22" i="5" s="1"/>
  <c r="G29" i="5" a="1"/>
  <c r="G29" i="5" s="1"/>
  <c r="E18" i="5" s="1"/>
  <c r="F29" i="5"/>
  <c r="D18" i="5" s="1"/>
  <c r="G28" i="5"/>
  <c r="F28" i="5"/>
  <c r="D14" i="5" s="1"/>
  <c r="E25" i="5" a="1"/>
  <c r="E25" i="5"/>
  <c r="D25" i="5" a="1"/>
  <c r="D25" i="5" s="1"/>
  <c r="E24" i="5" a="1"/>
  <c r="E24" i="5"/>
  <c r="D24" i="5" a="1"/>
  <c r="D24" i="5"/>
  <c r="E23" i="5" a="1"/>
  <c r="D23" i="5" a="1"/>
  <c r="B23" i="5" a="1"/>
  <c r="B23" i="5"/>
  <c r="E20" i="5" a="1"/>
  <c r="E20" i="5"/>
  <c r="D20" i="5" a="1"/>
  <c r="D20" i="5"/>
  <c r="E19" i="5" a="1"/>
  <c r="E19" i="5"/>
  <c r="D19" i="5" a="1"/>
  <c r="D19" i="5"/>
  <c r="B19" i="5" a="1"/>
  <c r="B19" i="5" s="1"/>
  <c r="B18" i="5" a="1"/>
  <c r="B18" i="5" s="1"/>
  <c r="E16" i="5" a="1"/>
  <c r="D16" i="5" a="1"/>
  <c r="E15" i="5" a="1"/>
  <c r="E15" i="5"/>
  <c r="B15" i="5" a="1"/>
  <c r="B15" i="5" s="1"/>
  <c r="P14" i="5"/>
  <c r="E14" i="5"/>
  <c r="B14" i="5" a="1"/>
  <c r="B14" i="5" s="1"/>
  <c r="P13" i="5"/>
  <c r="P12" i="5"/>
  <c r="P11" i="5"/>
  <c r="P10" i="5"/>
  <c r="P9" i="5"/>
  <c r="C7" i="5"/>
  <c r="H40" i="2"/>
  <c r="G40" i="2"/>
  <c r="E40" i="2"/>
  <c r="H39" i="2"/>
  <c r="G39" i="2"/>
  <c r="E39" i="2"/>
  <c r="H38" i="2"/>
  <c r="G38" i="2"/>
  <c r="E38" i="2"/>
  <c r="H37" i="2"/>
  <c r="G37" i="2"/>
  <c r="E37" i="2"/>
  <c r="H36" i="2"/>
  <c r="G36" i="2"/>
  <c r="E36" i="2"/>
  <c r="H35" i="2"/>
  <c r="G35" i="2"/>
  <c r="E35" i="2"/>
  <c r="H34" i="2"/>
  <c r="G34" i="2"/>
  <c r="E34" i="2"/>
  <c r="H33" i="2"/>
  <c r="G33" i="2"/>
  <c r="E33" i="2"/>
  <c r="H32" i="2"/>
  <c r="G32" i="2"/>
  <c r="E32" i="2"/>
  <c r="H31" i="2"/>
  <c r="G31" i="2"/>
  <c r="E31" i="2"/>
  <c r="H30" i="2"/>
  <c r="G30" i="2"/>
  <c r="E30" i="2"/>
  <c r="H29" i="2"/>
  <c r="G29" i="2"/>
  <c r="E29" i="2"/>
  <c r="M28" i="2"/>
  <c r="G26" i="2"/>
  <c r="F26" i="2"/>
  <c r="G25" i="2"/>
  <c r="F25" i="2"/>
  <c r="G24" i="2"/>
  <c r="F24" i="2"/>
  <c r="G23" i="2"/>
  <c r="F23" i="2"/>
  <c r="E19" i="2" a="1"/>
  <c r="E19" i="2"/>
  <c r="D19" i="2" a="1"/>
  <c r="D19" i="2"/>
  <c r="G17" i="2"/>
  <c r="F17" i="2" a="1"/>
  <c r="F17" i="2"/>
  <c r="E17" i="2"/>
  <c r="D17" i="2"/>
  <c r="C17" i="2" a="1"/>
  <c r="C17" i="2"/>
  <c r="B17" i="2" a="1"/>
  <c r="B17" i="2"/>
  <c r="G16" i="2"/>
  <c r="F16" i="2" a="1"/>
  <c r="F16" i="2"/>
  <c r="E16" i="2"/>
  <c r="D16" i="2"/>
  <c r="C16" i="2" a="1"/>
  <c r="C16" i="2"/>
  <c r="B16" i="2" a="1"/>
  <c r="B16" i="2"/>
  <c r="P15" i="2"/>
  <c r="G15" i="2"/>
  <c r="F15" i="2" a="1"/>
  <c r="F15" i="2"/>
  <c r="E15" i="2"/>
  <c r="D15" i="2"/>
  <c r="C15" i="2" a="1"/>
  <c r="C15" i="2"/>
  <c r="B15" i="2" a="1"/>
  <c r="B15" i="2"/>
  <c r="P14" i="2"/>
  <c r="G14" i="2"/>
  <c r="F14" i="2" a="1"/>
  <c r="F14" i="2"/>
  <c r="E14" i="2"/>
  <c r="D14" i="2"/>
  <c r="C14" i="2" a="1"/>
  <c r="C14" i="2"/>
  <c r="B14" i="2" a="1"/>
  <c r="B14" i="2"/>
  <c r="P13" i="2"/>
  <c r="P12" i="2"/>
  <c r="P11" i="2"/>
  <c r="P10" i="2"/>
  <c r="C7" i="2"/>
  <c r="K44" i="4"/>
  <c r="J44" i="4"/>
  <c r="I44" i="4"/>
  <c r="G44" i="4"/>
  <c r="K43" i="4"/>
  <c r="J43" i="4"/>
  <c r="I43" i="4" a="1"/>
  <c r="I43" i="4"/>
  <c r="G43" i="4"/>
  <c r="K42" i="4"/>
  <c r="J42" i="4"/>
  <c r="I42" i="4" a="1"/>
  <c r="I42" i="4"/>
  <c r="G42" i="4"/>
  <c r="Q41" i="4" a="1"/>
  <c r="Q41" i="4"/>
  <c r="R38" i="4" a="1"/>
  <c r="R38" i="4"/>
  <c r="Q38" i="4"/>
  <c r="P38" i="4"/>
  <c r="O38" i="4"/>
  <c r="N38" i="4"/>
  <c r="R37" i="4" a="1"/>
  <c r="R37" i="4"/>
  <c r="Q37" i="4"/>
  <c r="P37" i="4"/>
  <c r="O37" i="4"/>
  <c r="N37" i="4"/>
  <c r="R36" i="4" a="1"/>
  <c r="R36" i="4"/>
  <c r="Q36" i="4"/>
  <c r="P36" i="4"/>
  <c r="O36" i="4"/>
  <c r="N36" i="4"/>
  <c r="R35" i="4" a="1"/>
  <c r="R35" i="4"/>
  <c r="Q35" i="4"/>
  <c r="P35" i="4"/>
  <c r="O35" i="4"/>
  <c r="N35" i="4"/>
  <c r="R33" i="4" a="1"/>
  <c r="R33" i="4"/>
  <c r="Q33" i="4"/>
  <c r="P33" i="4"/>
  <c r="O33" i="4"/>
  <c r="N33" i="4"/>
  <c r="R32" i="4" a="1"/>
  <c r="R32" i="4"/>
  <c r="Q32" i="4"/>
  <c r="P32" i="4"/>
  <c r="O32" i="4"/>
  <c r="N32" i="4"/>
  <c r="R31" i="4" a="1"/>
  <c r="R31" i="4"/>
  <c r="Q31" i="4"/>
  <c r="P31" i="4"/>
  <c r="O31" i="4"/>
  <c r="N31" i="4"/>
  <c r="R30" i="4" a="1"/>
  <c r="R30" i="4"/>
  <c r="Q30" i="4"/>
  <c r="P30" i="4"/>
  <c r="O30" i="4"/>
  <c r="N30" i="4"/>
  <c r="R29" i="4" a="1"/>
  <c r="R29" i="4"/>
  <c r="Q29" i="4"/>
  <c r="P29" i="4"/>
  <c r="O29" i="4"/>
  <c r="N29" i="4"/>
  <c r="R28" i="4" a="1"/>
  <c r="R28" i="4"/>
  <c r="Q28" i="4"/>
  <c r="P28" i="4"/>
  <c r="O28" i="4"/>
  <c r="N28" i="4"/>
  <c r="N24" i="4"/>
  <c r="M24" i="4"/>
  <c r="L24" i="4"/>
  <c r="K24" i="4"/>
  <c r="J24" i="4" a="1"/>
  <c r="J24" i="4"/>
  <c r="I24" i="4" a="1"/>
  <c r="I24" i="4"/>
  <c r="H24" i="4"/>
  <c r="G24" i="4"/>
  <c r="F24" i="4"/>
  <c r="E24" i="4"/>
  <c r="D24" i="4" a="1"/>
  <c r="D24" i="4"/>
  <c r="C24" i="4" a="1"/>
  <c r="C24" i="4"/>
  <c r="N23" i="4"/>
  <c r="M23" i="4"/>
  <c r="L23" i="4"/>
  <c r="K23" i="4"/>
  <c r="J23" i="4" a="1"/>
  <c r="J23" i="4"/>
  <c r="I23" i="4" a="1"/>
  <c r="I23" i="4"/>
  <c r="H23" i="4"/>
  <c r="G23" i="4"/>
  <c r="F23" i="4"/>
  <c r="E23" i="4"/>
  <c r="D23" i="4" a="1"/>
  <c r="D23" i="4"/>
  <c r="C23" i="4" a="1"/>
  <c r="C23" i="4"/>
  <c r="N22" i="4"/>
  <c r="M22" i="4"/>
  <c r="L22" i="4"/>
  <c r="K22" i="4"/>
  <c r="J22" i="4" a="1"/>
  <c r="J22" i="4"/>
  <c r="I22" i="4" a="1"/>
  <c r="I22" i="4"/>
  <c r="H22" i="4"/>
  <c r="G22" i="4"/>
  <c r="F22" i="4"/>
  <c r="E22" i="4"/>
  <c r="D22" i="4" a="1"/>
  <c r="D22" i="4"/>
  <c r="C22" i="4" a="1"/>
  <c r="C22" i="4"/>
  <c r="N21" i="4"/>
  <c r="M21" i="4"/>
  <c r="L21" i="4"/>
  <c r="K21" i="4"/>
  <c r="J21" i="4" a="1"/>
  <c r="J21" i="4"/>
  <c r="I21" i="4" a="1"/>
  <c r="I21" i="4"/>
  <c r="H21" i="4"/>
  <c r="G21" i="4"/>
  <c r="F21" i="4"/>
  <c r="E21" i="4"/>
  <c r="D21" i="4" a="1"/>
  <c r="D21" i="4"/>
  <c r="C21" i="4" a="1"/>
  <c r="C21" i="4"/>
  <c r="N19" i="4"/>
  <c r="M19" i="4"/>
  <c r="L19" i="4" a="1"/>
  <c r="L19" i="4"/>
  <c r="K19" i="4" a="1"/>
  <c r="K19" i="4"/>
  <c r="J19" i="4" a="1"/>
  <c r="J19" i="4"/>
  <c r="I19" i="4" a="1"/>
  <c r="I19" i="4"/>
  <c r="H19" i="4"/>
  <c r="G19" i="4"/>
  <c r="F19" i="4"/>
  <c r="E19" i="4" a="1"/>
  <c r="E19" i="4"/>
  <c r="D19" i="4" a="1"/>
  <c r="D19" i="4"/>
  <c r="C19" i="4" a="1"/>
  <c r="C19" i="4"/>
  <c r="N18" i="4"/>
  <c r="M18" i="4"/>
  <c r="L18" i="4" a="1"/>
  <c r="L18" i="4"/>
  <c r="K18" i="4" a="1"/>
  <c r="K18" i="4"/>
  <c r="J18" i="4" a="1"/>
  <c r="J18" i="4"/>
  <c r="I18" i="4" a="1"/>
  <c r="I18" i="4"/>
  <c r="H18" i="4"/>
  <c r="G18" i="4"/>
  <c r="F18" i="4"/>
  <c r="E18" i="4" a="1"/>
  <c r="E18" i="4"/>
  <c r="D18" i="4" a="1"/>
  <c r="D18" i="4"/>
  <c r="C18" i="4" a="1"/>
  <c r="C18" i="4"/>
  <c r="N17" i="4"/>
  <c r="M17" i="4"/>
  <c r="L17" i="4" a="1"/>
  <c r="L17" i="4"/>
  <c r="K17" i="4" a="1"/>
  <c r="K17" i="4"/>
  <c r="J17" i="4" a="1"/>
  <c r="J17" i="4"/>
  <c r="I17" i="4" a="1"/>
  <c r="I17" i="4"/>
  <c r="H17" i="4"/>
  <c r="G17" i="4"/>
  <c r="F17" i="4"/>
  <c r="E17" i="4" a="1"/>
  <c r="E17" i="4"/>
  <c r="D17" i="4" a="1"/>
  <c r="D17" i="4"/>
  <c r="C17" i="4" a="1"/>
  <c r="C17" i="4"/>
  <c r="U16" i="4"/>
  <c r="N16" i="4"/>
  <c r="M16" i="4"/>
  <c r="L16" i="4" a="1"/>
  <c r="L16" i="4"/>
  <c r="K16" i="4" a="1"/>
  <c r="K16" i="4"/>
  <c r="J16" i="4" a="1"/>
  <c r="J16" i="4"/>
  <c r="I16" i="4" a="1"/>
  <c r="I16" i="4"/>
  <c r="H16" i="4"/>
  <c r="G16" i="4"/>
  <c r="F16" i="4"/>
  <c r="E16" i="4" a="1"/>
  <c r="E16" i="4"/>
  <c r="D16" i="4" a="1"/>
  <c r="D16" i="4"/>
  <c r="C16" i="4" a="1"/>
  <c r="C16" i="4"/>
  <c r="U15" i="4"/>
  <c r="N15" i="4"/>
  <c r="M15" i="4"/>
  <c r="L15" i="4" a="1"/>
  <c r="L15" i="4"/>
  <c r="K15" i="4" a="1"/>
  <c r="K15" i="4"/>
  <c r="J15" i="4" a="1"/>
  <c r="J15" i="4"/>
  <c r="I15" i="4" a="1"/>
  <c r="I15" i="4"/>
  <c r="H15" i="4"/>
  <c r="G15" i="4"/>
  <c r="F15" i="4"/>
  <c r="E15" i="4" a="1"/>
  <c r="E15" i="4"/>
  <c r="D15" i="4" a="1"/>
  <c r="D15" i="4"/>
  <c r="C15" i="4" a="1"/>
  <c r="C15" i="4"/>
  <c r="U14" i="4"/>
  <c r="N14" i="4"/>
  <c r="M14" i="4"/>
  <c r="L14" i="4"/>
  <c r="K14" i="4" a="1"/>
  <c r="K14" i="4"/>
  <c r="J14" i="4" a="1"/>
  <c r="J14" i="4"/>
  <c r="I14" i="4" a="1"/>
  <c r="I14" i="4"/>
  <c r="H14" i="4"/>
  <c r="G14" i="4"/>
  <c r="F14" i="4"/>
  <c r="E14" i="4" a="1"/>
  <c r="E14" i="4"/>
  <c r="D14" i="4" a="1"/>
  <c r="D14" i="4"/>
  <c r="C14" i="4" a="1"/>
  <c r="C14" i="4"/>
  <c r="U13" i="4"/>
  <c r="U12" i="4"/>
  <c r="U11" i="4"/>
  <c r="C7" i="4"/>
  <c r="H82" i="6"/>
  <c r="G82" i="6"/>
  <c r="E82" i="6"/>
  <c r="H81" i="6"/>
  <c r="G81" i="6"/>
  <c r="E81" i="6" a="1"/>
  <c r="E81" i="6"/>
  <c r="H80" i="6"/>
  <c r="G80" i="6"/>
  <c r="E80" i="6" a="1"/>
  <c r="E80" i="6"/>
  <c r="H79" i="6"/>
  <c r="G79" i="6"/>
  <c r="E79" i="6" a="1"/>
  <c r="E79" i="6"/>
  <c r="H78" i="6"/>
  <c r="G78" i="6"/>
  <c r="E78" i="6" a="1"/>
  <c r="E78" i="6"/>
  <c r="H77" i="6"/>
  <c r="G77" i="6"/>
  <c r="E77" i="6" a="1"/>
  <c r="E77" i="6"/>
  <c r="H76" i="6"/>
  <c r="G76" i="6"/>
  <c r="E76" i="6" a="1"/>
  <c r="E76" i="6"/>
  <c r="H75" i="6"/>
  <c r="G75" i="6"/>
  <c r="E75" i="6" a="1"/>
  <c r="E75" i="6"/>
  <c r="K74" i="6"/>
  <c r="H74" i="6"/>
  <c r="G74" i="6"/>
  <c r="E74" i="6" a="1"/>
  <c r="E74" i="6"/>
  <c r="K73" i="6"/>
  <c r="H73" i="6"/>
  <c r="G73" i="6"/>
  <c r="E73" i="6" a="1"/>
  <c r="E73" i="6"/>
  <c r="H72" i="6"/>
  <c r="G72" i="6"/>
  <c r="E72" i="6" a="1"/>
  <c r="E72" i="6"/>
  <c r="K71" i="6"/>
  <c r="H71" i="6"/>
  <c r="G71" i="6"/>
  <c r="E71" i="6" a="1"/>
  <c r="E71" i="6"/>
  <c r="K70" i="6"/>
  <c r="H70" i="6"/>
  <c r="G70" i="6"/>
  <c r="E70" i="6" a="1"/>
  <c r="E70" i="6"/>
  <c r="H69" i="6"/>
  <c r="G69" i="6"/>
  <c r="E69" i="6" a="1"/>
  <c r="E69" i="6"/>
  <c r="H68" i="6"/>
  <c r="G68" i="6"/>
  <c r="E68" i="6" a="1"/>
  <c r="E68" i="6"/>
  <c r="H67" i="6"/>
  <c r="G67" i="6"/>
  <c r="E67" i="6" a="1"/>
  <c r="E67" i="6"/>
  <c r="N66" i="6"/>
  <c r="H66" i="6"/>
  <c r="G66" i="6"/>
  <c r="E66" i="6" a="1"/>
  <c r="E66" i="6"/>
  <c r="H65" i="6"/>
  <c r="G65" i="6"/>
  <c r="E65" i="6" a="1"/>
  <c r="E65" i="6"/>
  <c r="H64" i="6"/>
  <c r="G64" i="6"/>
  <c r="E64" i="6" a="1"/>
  <c r="E64" i="6"/>
  <c r="H63" i="6"/>
  <c r="G63" i="6"/>
  <c r="E63" i="6" a="1"/>
  <c r="E63" i="6"/>
  <c r="H62" i="6"/>
  <c r="G62" i="6"/>
  <c r="E62" i="6" a="1"/>
  <c r="E62" i="6"/>
  <c r="H61" i="6"/>
  <c r="G61" i="6"/>
  <c r="E61" i="6" a="1"/>
  <c r="E61" i="6"/>
  <c r="H60" i="6"/>
  <c r="G60" i="6"/>
  <c r="E60" i="6" a="1"/>
  <c r="E60" i="6"/>
  <c r="H59" i="6"/>
  <c r="G59" i="6"/>
  <c r="E59" i="6" a="1"/>
  <c r="E59" i="6"/>
  <c r="H58" i="6"/>
  <c r="G58" i="6"/>
  <c r="E58" i="6" a="1"/>
  <c r="E58" i="6"/>
  <c r="H57" i="6"/>
  <c r="G57" i="6"/>
  <c r="E57" i="6" a="1"/>
  <c r="E57" i="6"/>
  <c r="H56" i="6"/>
  <c r="G56" i="6"/>
  <c r="E56" i="6" a="1"/>
  <c r="E56" i="6"/>
  <c r="H55" i="6"/>
  <c r="G55" i="6"/>
  <c r="E55" i="6" a="1"/>
  <c r="E55" i="6"/>
  <c r="H54" i="6"/>
  <c r="G54" i="6"/>
  <c r="E54" i="6" a="1"/>
  <c r="E54" i="6"/>
  <c r="H53" i="6"/>
  <c r="G53" i="6"/>
  <c r="E53" i="6" a="1"/>
  <c r="E53" i="6"/>
  <c r="H52" i="6"/>
  <c r="G52" i="6"/>
  <c r="E52" i="6" a="1"/>
  <c r="E52" i="6"/>
  <c r="H51" i="6"/>
  <c r="G51" i="6"/>
  <c r="E51" i="6" a="1"/>
  <c r="E51" i="6"/>
  <c r="H50" i="6"/>
  <c r="G50" i="6"/>
  <c r="E50" i="6" a="1"/>
  <c r="E50" i="6"/>
  <c r="H49" i="6"/>
  <c r="G49" i="6"/>
  <c r="E49" i="6" a="1"/>
  <c r="E49" i="6"/>
  <c r="H48" i="6"/>
  <c r="G48" i="6"/>
  <c r="E48" i="6" a="1"/>
  <c r="E48" i="6"/>
  <c r="H47" i="6"/>
  <c r="G47" i="6"/>
  <c r="E47" i="6" a="1"/>
  <c r="E47" i="6"/>
  <c r="H46" i="6"/>
  <c r="G46" i="6"/>
  <c r="E46" i="6" a="1"/>
  <c r="E46" i="6"/>
  <c r="H45" i="6"/>
  <c r="G45" i="6"/>
  <c r="E45" i="6" a="1"/>
  <c r="E45" i="6"/>
  <c r="H44" i="6"/>
  <c r="G44" i="6"/>
  <c r="E44" i="6" a="1"/>
  <c r="E44" i="6"/>
  <c r="H43" i="6"/>
  <c r="G43" i="6"/>
  <c r="E43" i="6" a="1"/>
  <c r="E43" i="6"/>
  <c r="H42" i="6"/>
  <c r="G42" i="6"/>
  <c r="E42" i="6" a="1"/>
  <c r="E42" i="6"/>
  <c r="R41" i="6"/>
  <c r="P41" i="6"/>
  <c r="Q38" i="6" a="1"/>
  <c r="Q38" i="6"/>
  <c r="P38" i="6"/>
  <c r="O38" i="6"/>
  <c r="N38" i="6"/>
  <c r="Q37" i="6" a="1"/>
  <c r="Q37" i="6"/>
  <c r="P37" i="6"/>
  <c r="O37" i="6"/>
  <c r="N37" i="6"/>
  <c r="Q36" i="6" a="1"/>
  <c r="Q36" i="6"/>
  <c r="P36" i="6"/>
  <c r="O36" i="6"/>
  <c r="N36" i="6"/>
  <c r="Q35" i="6" a="1"/>
  <c r="Q35" i="6"/>
  <c r="P35" i="6"/>
  <c r="O35" i="6"/>
  <c r="N35" i="6"/>
  <c r="Q33" i="6" a="1"/>
  <c r="Q33" i="6"/>
  <c r="P33" i="6"/>
  <c r="O33" i="6"/>
  <c r="N33" i="6"/>
  <c r="Q32" i="6" a="1"/>
  <c r="Q32" i="6"/>
  <c r="P32" i="6"/>
  <c r="O32" i="6"/>
  <c r="N32" i="6"/>
  <c r="Q31" i="6" a="1"/>
  <c r="Q31" i="6"/>
  <c r="P31" i="6"/>
  <c r="O31" i="6"/>
  <c r="N31" i="6"/>
  <c r="Q30" i="6" a="1"/>
  <c r="Q30" i="6"/>
  <c r="P30" i="6"/>
  <c r="O30" i="6"/>
  <c r="N30" i="6"/>
  <c r="Q29" i="6" a="1"/>
  <c r="Q29" i="6"/>
  <c r="P29" i="6"/>
  <c r="O29" i="6"/>
  <c r="N29" i="6"/>
  <c r="Q28" i="6" a="1"/>
  <c r="Q28" i="6"/>
  <c r="P28" i="6"/>
  <c r="O28" i="6"/>
  <c r="N28" i="6"/>
  <c r="L24" i="6"/>
  <c r="K24" i="6"/>
  <c r="J24" i="6"/>
  <c r="I24" i="6" a="1"/>
  <c r="I24" i="6"/>
  <c r="H24" i="6"/>
  <c r="G24" i="6"/>
  <c r="F24" i="6"/>
  <c r="E24" i="6"/>
  <c r="D24" i="6" a="1"/>
  <c r="D24" i="6"/>
  <c r="C24" i="6" a="1"/>
  <c r="C24" i="6"/>
  <c r="L23" i="6"/>
  <c r="K23" i="6"/>
  <c r="J23" i="6"/>
  <c r="I23" i="6" a="1"/>
  <c r="I23" i="6"/>
  <c r="H23" i="6"/>
  <c r="G23" i="6"/>
  <c r="F23" i="6"/>
  <c r="E23" i="6"/>
  <c r="D23" i="6" a="1"/>
  <c r="D23" i="6"/>
  <c r="C23" i="6" a="1"/>
  <c r="C23" i="6"/>
  <c r="L22" i="6"/>
  <c r="K22" i="6"/>
  <c r="J22" i="6"/>
  <c r="I22" i="6" a="1"/>
  <c r="I22" i="6"/>
  <c r="H22" i="6"/>
  <c r="G22" i="6"/>
  <c r="F22" i="6"/>
  <c r="E22" i="6"/>
  <c r="D22" i="6" a="1"/>
  <c r="D22" i="6"/>
  <c r="C22" i="6" a="1"/>
  <c r="C22" i="6"/>
  <c r="L21" i="6"/>
  <c r="K21" i="6"/>
  <c r="J21" i="6"/>
  <c r="I21" i="6" a="1"/>
  <c r="I21" i="6"/>
  <c r="H21" i="6"/>
  <c r="G21" i="6"/>
  <c r="F21" i="6"/>
  <c r="E21" i="6"/>
  <c r="D21" i="6" a="1"/>
  <c r="D21" i="6"/>
  <c r="C21" i="6" a="1"/>
  <c r="C21" i="6"/>
  <c r="L19" i="6"/>
  <c r="K19" i="6" a="1"/>
  <c r="K19" i="6"/>
  <c r="J19" i="6" a="1"/>
  <c r="J19" i="6"/>
  <c r="I19" i="6" a="1"/>
  <c r="I19" i="6"/>
  <c r="H19" i="6"/>
  <c r="G19" i="6"/>
  <c r="F19" i="6"/>
  <c r="E19" i="6" a="1"/>
  <c r="E19" i="6"/>
  <c r="D19" i="6" a="1"/>
  <c r="D19" i="6"/>
  <c r="C19" i="6" a="1"/>
  <c r="C19" i="6"/>
  <c r="L18" i="6"/>
  <c r="K18" i="6" a="1"/>
  <c r="K18" i="6"/>
  <c r="J18" i="6" a="1"/>
  <c r="J18" i="6"/>
  <c r="I18" i="6" a="1"/>
  <c r="I18" i="6"/>
  <c r="H18" i="6"/>
  <c r="G18" i="6"/>
  <c r="F18" i="6"/>
  <c r="E18" i="6" a="1"/>
  <c r="E18" i="6"/>
  <c r="D18" i="6" a="1"/>
  <c r="D18" i="6"/>
  <c r="C18" i="6" a="1"/>
  <c r="C18" i="6"/>
  <c r="L17" i="6"/>
  <c r="K17" i="6" a="1"/>
  <c r="K17" i="6"/>
  <c r="J17" i="6" a="1"/>
  <c r="J17" i="6"/>
  <c r="I17" i="6" a="1"/>
  <c r="I17" i="6"/>
  <c r="H17" i="6"/>
  <c r="G17" i="6"/>
  <c r="F17" i="6"/>
  <c r="E17" i="6" a="1"/>
  <c r="E17" i="6"/>
  <c r="D17" i="6" a="1"/>
  <c r="D17" i="6"/>
  <c r="C17" i="6" a="1"/>
  <c r="C17" i="6"/>
  <c r="S16" i="6"/>
  <c r="L16" i="6"/>
  <c r="K16" i="6" a="1"/>
  <c r="K16" i="6"/>
  <c r="J16" i="6" a="1"/>
  <c r="J16" i="6"/>
  <c r="I16" i="6" a="1"/>
  <c r="I16" i="6"/>
  <c r="H16" i="6"/>
  <c r="G16" i="6"/>
  <c r="F16" i="6"/>
  <c r="E16" i="6" a="1"/>
  <c r="E16" i="6"/>
  <c r="D16" i="6" a="1"/>
  <c r="D16" i="6"/>
  <c r="C16" i="6" a="1"/>
  <c r="C16" i="6"/>
  <c r="S15" i="6"/>
  <c r="L15" i="6"/>
  <c r="K15" i="6" a="1"/>
  <c r="K15" i="6"/>
  <c r="J15" i="6" a="1"/>
  <c r="J15" i="6"/>
  <c r="I15" i="6" a="1"/>
  <c r="I15" i="6"/>
  <c r="H15" i="6"/>
  <c r="G15" i="6"/>
  <c r="F15" i="6"/>
  <c r="E15" i="6" a="1"/>
  <c r="E15" i="6"/>
  <c r="D15" i="6" a="1"/>
  <c r="D15" i="6"/>
  <c r="C15" i="6" a="1"/>
  <c r="C15" i="6"/>
  <c r="S14" i="6"/>
  <c r="L14" i="6"/>
  <c r="K14" i="6"/>
  <c r="J14" i="6"/>
  <c r="I14" i="6" a="1"/>
  <c r="I14" i="6"/>
  <c r="H14" i="6"/>
  <c r="G14" i="6"/>
  <c r="F14" i="6"/>
  <c r="E14" i="6" a="1"/>
  <c r="E14" i="6"/>
  <c r="D14" i="6" a="1"/>
  <c r="D14" i="6"/>
  <c r="C14" i="6" a="1"/>
  <c r="C14" i="6"/>
  <c r="S13" i="6"/>
  <c r="S12" i="6"/>
  <c r="S11" i="6"/>
  <c r="C7" i="6"/>
  <c r="H95" i="3"/>
  <c r="E95" i="3"/>
  <c r="G95" i="3" s="1"/>
  <c r="H94" i="3"/>
  <c r="E94" i="3"/>
  <c r="G94" i="3" s="1"/>
  <c r="H93" i="3"/>
  <c r="E93" i="3"/>
  <c r="G93" i="3" s="1"/>
  <c r="H92" i="3"/>
  <c r="E92" i="3"/>
  <c r="G92" i="3" s="1"/>
  <c r="H91" i="3"/>
  <c r="E91" i="3"/>
  <c r="G91" i="3" s="1"/>
  <c r="E90" i="3" a="1"/>
  <c r="E90" i="3" s="1"/>
  <c r="G90" i="3" s="1"/>
  <c r="E89" i="3" a="1"/>
  <c r="E89" i="3" s="1"/>
  <c r="G89" i="3" s="1"/>
  <c r="E88" i="3" a="1"/>
  <c r="E88" i="3" s="1"/>
  <c r="G88" i="3" s="1"/>
  <c r="H87" i="3"/>
  <c r="E87" i="3" a="1"/>
  <c r="E87" i="3" s="1"/>
  <c r="G87" i="3" s="1"/>
  <c r="H86" i="3"/>
  <c r="E86" i="3" a="1"/>
  <c r="E86" i="3" s="1"/>
  <c r="G86" i="3" s="1"/>
  <c r="H85" i="3"/>
  <c r="E85" i="3" a="1"/>
  <c r="E85" i="3" s="1"/>
  <c r="G85" i="3" s="1"/>
  <c r="H84" i="3"/>
  <c r="E84" i="3" a="1"/>
  <c r="E84" i="3" s="1"/>
  <c r="G84" i="3" s="1"/>
  <c r="H83" i="3"/>
  <c r="E83" i="3" a="1"/>
  <c r="E83" i="3" s="1"/>
  <c r="G83" i="3" s="1"/>
  <c r="H82" i="3"/>
  <c r="E82" i="3" a="1"/>
  <c r="E82" i="3" s="1"/>
  <c r="G82" i="3" s="1"/>
  <c r="K81" i="3"/>
  <c r="H81" i="3" s="1"/>
  <c r="E81" i="3" a="1"/>
  <c r="E81" i="3" s="1"/>
  <c r="G81" i="3" s="1"/>
  <c r="K80" i="3"/>
  <c r="H80" i="3" s="1"/>
  <c r="E80" i="3" a="1"/>
  <c r="E80" i="3" s="1"/>
  <c r="G80" i="3" s="1"/>
  <c r="H79" i="3"/>
  <c r="E79" i="3" a="1"/>
  <c r="E79" i="3" s="1"/>
  <c r="G79" i="3" s="1"/>
  <c r="K78" i="3"/>
  <c r="H78" i="3"/>
  <c r="E78" i="3" a="1"/>
  <c r="E78" i="3" s="1"/>
  <c r="G78" i="3" s="1"/>
  <c r="K77" i="3"/>
  <c r="H77" i="3"/>
  <c r="E77" i="3" a="1"/>
  <c r="E77" i="3" s="1"/>
  <c r="G77" i="3" s="1"/>
  <c r="H76" i="3"/>
  <c r="E76" i="3" a="1"/>
  <c r="E76" i="3" s="1"/>
  <c r="G76" i="3" s="1"/>
  <c r="H75" i="3"/>
  <c r="E75" i="3" a="1"/>
  <c r="E75" i="3" s="1"/>
  <c r="G75" i="3" s="1"/>
  <c r="H74" i="3"/>
  <c r="E74" i="3" a="1"/>
  <c r="E74" i="3" s="1"/>
  <c r="G74" i="3" s="1"/>
  <c r="N73" i="3"/>
  <c r="H73" i="3"/>
  <c r="E73" i="3" a="1"/>
  <c r="E73" i="3" s="1"/>
  <c r="G73" i="3" s="1"/>
  <c r="H72" i="3"/>
  <c r="E72" i="3" a="1"/>
  <c r="E72" i="3" s="1"/>
  <c r="G72" i="3" s="1"/>
  <c r="H71" i="3"/>
  <c r="E71" i="3" a="1"/>
  <c r="E71" i="3" s="1"/>
  <c r="G71" i="3" s="1"/>
  <c r="H70" i="3"/>
  <c r="E70" i="3" a="1"/>
  <c r="E70" i="3" s="1"/>
  <c r="G70" i="3" s="1"/>
  <c r="H69" i="3"/>
  <c r="E69" i="3" a="1"/>
  <c r="E69" i="3" s="1"/>
  <c r="G69" i="3" s="1"/>
  <c r="H68" i="3"/>
  <c r="E68" i="3" a="1"/>
  <c r="E68" i="3" s="1"/>
  <c r="G68" i="3" s="1"/>
  <c r="H67" i="3"/>
  <c r="E67" i="3" a="1"/>
  <c r="E67" i="3" s="1"/>
  <c r="G67" i="3" s="1"/>
  <c r="H66" i="3"/>
  <c r="E66" i="3" a="1"/>
  <c r="E66" i="3" s="1"/>
  <c r="G66" i="3" s="1"/>
  <c r="H65" i="3"/>
  <c r="E65" i="3" a="1"/>
  <c r="E65" i="3" s="1"/>
  <c r="G65" i="3" s="1"/>
  <c r="H64" i="3"/>
  <c r="E64" i="3" a="1"/>
  <c r="E64" i="3" s="1"/>
  <c r="G64" i="3" s="1"/>
  <c r="H63" i="3"/>
  <c r="E63" i="3" a="1"/>
  <c r="E63" i="3" s="1"/>
  <c r="G63" i="3" s="1"/>
  <c r="H62" i="3"/>
  <c r="E62" i="3" a="1"/>
  <c r="E62" i="3" s="1"/>
  <c r="G62" i="3" s="1"/>
  <c r="H61" i="3"/>
  <c r="E61" i="3" a="1"/>
  <c r="E61" i="3" s="1"/>
  <c r="G61" i="3" s="1"/>
  <c r="H60" i="3"/>
  <c r="E60" i="3" a="1"/>
  <c r="E60" i="3" s="1"/>
  <c r="G60" i="3" s="1"/>
  <c r="H59" i="3"/>
  <c r="E59" i="3" a="1"/>
  <c r="E59" i="3" s="1"/>
  <c r="G59" i="3" s="1"/>
  <c r="H58" i="3"/>
  <c r="E58" i="3" a="1"/>
  <c r="E58" i="3" s="1"/>
  <c r="G58" i="3" s="1"/>
  <c r="H57" i="3"/>
  <c r="E57" i="3" a="1"/>
  <c r="E57" i="3" s="1"/>
  <c r="G57" i="3" s="1"/>
  <c r="H56" i="3"/>
  <c r="E56" i="3" a="1"/>
  <c r="E56" i="3" s="1"/>
  <c r="G56" i="3" s="1"/>
  <c r="H55" i="3"/>
  <c r="E55" i="3" a="1"/>
  <c r="E55" i="3" s="1"/>
  <c r="G55" i="3" s="1"/>
  <c r="H54" i="3"/>
  <c r="E54" i="3" a="1"/>
  <c r="E54" i="3" s="1"/>
  <c r="G54" i="3" s="1"/>
  <c r="H53" i="3"/>
  <c r="E53" i="3" a="1"/>
  <c r="E53" i="3" s="1"/>
  <c r="G53" i="3" s="1"/>
  <c r="H52" i="3"/>
  <c r="E52" i="3" a="1"/>
  <c r="E52" i="3" s="1"/>
  <c r="G52" i="3" s="1"/>
  <c r="H51" i="3"/>
  <c r="E51" i="3" a="1"/>
  <c r="E51" i="3" s="1"/>
  <c r="G51" i="3" s="1"/>
  <c r="H50" i="3"/>
  <c r="E50" i="3" a="1"/>
  <c r="E50" i="3" s="1"/>
  <c r="G50" i="3" s="1"/>
  <c r="H49" i="3"/>
  <c r="E49" i="3" a="1"/>
  <c r="E49" i="3" s="1"/>
  <c r="G49" i="3" s="1"/>
  <c r="H48" i="3"/>
  <c r="E48" i="3" a="1"/>
  <c r="E48" i="3" s="1"/>
  <c r="G48" i="3" s="1"/>
  <c r="H47" i="3"/>
  <c r="E47" i="3" a="1"/>
  <c r="E47" i="3" s="1"/>
  <c r="G47" i="3" s="1"/>
  <c r="K46" i="3"/>
  <c r="H46" i="3" s="1"/>
  <c r="E46" i="3" a="1"/>
  <c r="E46" i="3" s="1"/>
  <c r="G46" i="3" s="1"/>
  <c r="K45" i="3"/>
  <c r="H45" i="3" s="1"/>
  <c r="E45" i="3" a="1"/>
  <c r="E45" i="3" s="1"/>
  <c r="G45" i="3" s="1"/>
  <c r="H44" i="3"/>
  <c r="E44" i="3" a="1"/>
  <c r="E44" i="3" s="1"/>
  <c r="G44" i="3" s="1"/>
  <c r="H43" i="3"/>
  <c r="E43" i="3" a="1"/>
  <c r="E43" i="3" s="1"/>
  <c r="G43" i="3" s="1"/>
  <c r="H42" i="3"/>
  <c r="E42" i="3" a="1"/>
  <c r="E42" i="3" s="1"/>
  <c r="G42" i="3" s="1"/>
  <c r="R41" i="3"/>
  <c r="P41" i="3"/>
  <c r="Q38" i="3" a="1"/>
  <c r="Q38" i="3" s="1"/>
  <c r="H24" i="3" s="1"/>
  <c r="P38" i="3"/>
  <c r="G24" i="3" s="1"/>
  <c r="O38" i="3"/>
  <c r="N38" i="3"/>
  <c r="Q37" i="3" a="1"/>
  <c r="Q37" i="3" s="1"/>
  <c r="H23" i="3" s="1"/>
  <c r="P37" i="3"/>
  <c r="G23" i="3" s="1"/>
  <c r="O37" i="3"/>
  <c r="F23" i="3" s="1"/>
  <c r="N37" i="3"/>
  <c r="Q36" i="3" a="1"/>
  <c r="Q36" i="3" s="1"/>
  <c r="H22" i="3" s="1"/>
  <c r="P36" i="3"/>
  <c r="G22" i="3" s="1"/>
  <c r="O36" i="3"/>
  <c r="N36" i="3"/>
  <c r="E22" i="3" s="1"/>
  <c r="Q35" i="3" a="1"/>
  <c r="Q35" i="3" s="1"/>
  <c r="H21" i="3" s="1"/>
  <c r="P35" i="3"/>
  <c r="G21" i="3" s="1"/>
  <c r="O35" i="3"/>
  <c r="F21" i="3" s="1"/>
  <c r="N35" i="3"/>
  <c r="Q33" i="3" a="1"/>
  <c r="Q33" i="3" s="1"/>
  <c r="H19" i="3" s="1"/>
  <c r="P33" i="3"/>
  <c r="G19" i="3" s="1"/>
  <c r="O33" i="3"/>
  <c r="N33" i="3"/>
  <c r="E19" i="3" s="1" a="1"/>
  <c r="E19" i="3" s="1"/>
  <c r="Q32" i="3" a="1"/>
  <c r="Q32" i="3" s="1"/>
  <c r="H18" i="3" s="1"/>
  <c r="P32" i="3"/>
  <c r="G18" i="3" s="1"/>
  <c r="O32" i="3"/>
  <c r="F18" i="3" s="1"/>
  <c r="N32" i="3"/>
  <c r="E18" i="3" s="1" a="1"/>
  <c r="E18" i="3" s="1"/>
  <c r="Q31" i="3" a="1"/>
  <c r="Q31" i="3" s="1"/>
  <c r="H17" i="3" s="1"/>
  <c r="P31" i="3"/>
  <c r="G17" i="3" s="1"/>
  <c r="O31" i="3"/>
  <c r="N31" i="3"/>
  <c r="Q30" i="3" a="1"/>
  <c r="Q30" i="3" s="1"/>
  <c r="H16" i="3" s="1"/>
  <c r="P30" i="3"/>
  <c r="G16" i="3" s="1"/>
  <c r="O30" i="3"/>
  <c r="F16" i="3" s="1"/>
  <c r="N30" i="3"/>
  <c r="E16" i="3" s="1" a="1"/>
  <c r="E16" i="3" s="1"/>
  <c r="Q29" i="3" a="1"/>
  <c r="Q29" i="3" s="1"/>
  <c r="H15" i="3" s="1"/>
  <c r="P29" i="3"/>
  <c r="G15" i="3" s="1"/>
  <c r="O29" i="3"/>
  <c r="N29" i="3"/>
  <c r="Q28" i="3" a="1"/>
  <c r="Q28" i="3" s="1"/>
  <c r="H14" i="3" s="1"/>
  <c r="P28" i="3"/>
  <c r="G14" i="3" s="1"/>
  <c r="O28" i="3"/>
  <c r="F14" i="3" s="1"/>
  <c r="N28" i="3"/>
  <c r="E14" i="3" s="1" a="1"/>
  <c r="E14" i="3" s="1"/>
  <c r="K24" i="3"/>
  <c r="J24" i="3"/>
  <c r="F24" i="3"/>
  <c r="E24" i="3"/>
  <c r="K23" i="3"/>
  <c r="J23" i="3"/>
  <c r="E23" i="3"/>
  <c r="K22" i="3"/>
  <c r="J22" i="3"/>
  <c r="F22" i="3"/>
  <c r="K21" i="3"/>
  <c r="J21" i="3"/>
  <c r="E21" i="3"/>
  <c r="K19" i="3" a="1"/>
  <c r="K19" i="3" s="1"/>
  <c r="J19" i="3" a="1"/>
  <c r="J19" i="3" s="1"/>
  <c r="F19" i="3"/>
  <c r="K18" i="3" a="1"/>
  <c r="K18" i="3" s="1"/>
  <c r="J18" i="3" a="1"/>
  <c r="J18" i="3" s="1"/>
  <c r="K17" i="3" a="1"/>
  <c r="K17" i="3" s="1"/>
  <c r="J17" i="3" a="1"/>
  <c r="J17" i="3" s="1"/>
  <c r="F17" i="3"/>
  <c r="E17" i="3" a="1"/>
  <c r="E17" i="3" s="1"/>
  <c r="S16" i="3"/>
  <c r="K16" i="3" a="1"/>
  <c r="K16" i="3" s="1"/>
  <c r="J16" i="3" a="1"/>
  <c r="J16" i="3" s="1"/>
  <c r="S15" i="3"/>
  <c r="K15" i="3" a="1"/>
  <c r="K15" i="3" s="1"/>
  <c r="J15" i="3" a="1"/>
  <c r="J15" i="3" s="1"/>
  <c r="F15" i="3"/>
  <c r="E15" i="3" a="1"/>
  <c r="E15" i="3" s="1"/>
  <c r="S14" i="3"/>
  <c r="K14" i="3"/>
  <c r="J14" i="3"/>
  <c r="S13" i="3"/>
  <c r="S12" i="3"/>
  <c r="S11" i="3"/>
  <c r="C7" i="3"/>
  <c r="H106" i="1"/>
  <c r="H105" i="1"/>
  <c r="K104" i="1"/>
  <c r="H104" i="1" s="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D15" i="1" s="1" a="1"/>
  <c r="D15" i="1" s="1"/>
  <c r="H42" i="1"/>
  <c r="M41" i="1"/>
  <c r="P38" i="1"/>
  <c r="O38" i="1"/>
  <c r="N38" i="1"/>
  <c r="P37" i="1"/>
  <c r="O37" i="1"/>
  <c r="F23" i="1" s="1"/>
  <c r="N37" i="1"/>
  <c r="E23" i="1" s="1"/>
  <c r="P36" i="1"/>
  <c r="O36" i="1"/>
  <c r="N36" i="1"/>
  <c r="P35" i="1"/>
  <c r="O35" i="1"/>
  <c r="F21" i="1" s="1"/>
  <c r="N35" i="1"/>
  <c r="P33" i="1"/>
  <c r="G19" i="1" s="1"/>
  <c r="O33" i="1"/>
  <c r="F19" i="1" s="1"/>
  <c r="N33" i="1"/>
  <c r="P32" i="1"/>
  <c r="G18" i="1" s="1"/>
  <c r="O32" i="1"/>
  <c r="F18" i="1" s="1"/>
  <c r="N32" i="1"/>
  <c r="P31" i="1"/>
  <c r="O31" i="1"/>
  <c r="F17" i="1" s="1"/>
  <c r="N31" i="1"/>
  <c r="P30" i="1"/>
  <c r="G16" i="1" s="1"/>
  <c r="O30" i="1"/>
  <c r="F16" i="1" s="1"/>
  <c r="N30" i="1"/>
  <c r="E16" i="1" s="1"/>
  <c r="P29" i="1"/>
  <c r="O29" i="1"/>
  <c r="N29" i="1"/>
  <c r="P28" i="1"/>
  <c r="G14" i="1" s="1"/>
  <c r="O28" i="1"/>
  <c r="F14" i="1" s="1"/>
  <c r="N28" i="1"/>
  <c r="K24" i="1"/>
  <c r="G24" i="1"/>
  <c r="F24" i="1"/>
  <c r="E24" i="1"/>
  <c r="K23" i="1"/>
  <c r="G23" i="1"/>
  <c r="K22" i="1"/>
  <c r="G22" i="1"/>
  <c r="F22" i="1"/>
  <c r="E22" i="1"/>
  <c r="K21" i="1"/>
  <c r="G21" i="1"/>
  <c r="E21" i="1"/>
  <c r="K19" i="1" a="1"/>
  <c r="K19" i="1" s="1"/>
  <c r="E19" i="1"/>
  <c r="K18" i="1" a="1"/>
  <c r="K18" i="1" s="1"/>
  <c r="E18" i="1"/>
  <c r="K17" i="1" a="1"/>
  <c r="K17" i="1" s="1"/>
  <c r="G17" i="1"/>
  <c r="E17" i="1"/>
  <c r="K16" i="1" a="1"/>
  <c r="K16" i="1" s="1"/>
  <c r="K15" i="1" a="1"/>
  <c r="K15" i="1" s="1"/>
  <c r="G15" i="1"/>
  <c r="F15" i="1"/>
  <c r="E15" i="1"/>
  <c r="K14" i="1"/>
  <c r="E14" i="1"/>
  <c r="P11" i="1"/>
  <c r="P12" i="1" s="1"/>
  <c r="E102" i="1" s="1"/>
  <c r="G102" i="1" s="1"/>
  <c r="C7" i="1"/>
  <c r="D21" i="1" l="1" a="1"/>
  <c r="D21" i="1" s="1"/>
  <c r="D16" i="1" a="1"/>
  <c r="D16" i="1" s="1"/>
  <c r="D22" i="1" a="1"/>
  <c r="D22" i="1" s="1"/>
  <c r="L44" i="1" a="1"/>
  <c r="L44" i="1" s="1"/>
  <c r="E76" i="1"/>
  <c r="G76" i="1" s="1"/>
  <c r="E106" i="1"/>
  <c r="G106" i="1" s="1"/>
  <c r="D14" i="1" a="1"/>
  <c r="D14" i="1" s="1"/>
  <c r="E45" i="1"/>
  <c r="G45" i="1" s="1"/>
  <c r="E50" i="1"/>
  <c r="G50" i="1" s="1"/>
  <c r="E54" i="1"/>
  <c r="G54" i="1" s="1"/>
  <c r="E58" i="1"/>
  <c r="G58" i="1" s="1"/>
  <c r="L61" i="1" a="1"/>
  <c r="L61" i="1" s="1"/>
  <c r="E65" i="1"/>
  <c r="G65" i="1" s="1"/>
  <c r="E84" i="1"/>
  <c r="G84" i="1" s="1"/>
  <c r="E88" i="1"/>
  <c r="G88" i="1" s="1"/>
  <c r="E91" i="1"/>
  <c r="G91" i="1" s="1"/>
  <c r="E95" i="1"/>
  <c r="G95" i="1" s="1"/>
  <c r="E99" i="1"/>
  <c r="G99" i="1" s="1"/>
  <c r="E103" i="1"/>
  <c r="G103" i="1" s="1"/>
  <c r="L49" i="1" a="1"/>
  <c r="L49" i="1" s="1"/>
  <c r="E80" i="1"/>
  <c r="G80" i="1" s="1"/>
  <c r="D24" i="1" a="1"/>
  <c r="D24" i="1" s="1"/>
  <c r="Q28" i="1"/>
  <c r="H14" i="1" s="1"/>
  <c r="Q30" i="1"/>
  <c r="H16" i="1" s="1"/>
  <c r="Q32" i="1"/>
  <c r="H18" i="1" s="1"/>
  <c r="Q35" i="1"/>
  <c r="H21" i="1" s="1"/>
  <c r="Q37" i="1"/>
  <c r="H23" i="1" s="1"/>
  <c r="L42" i="1" a="1"/>
  <c r="L42" i="1" s="1"/>
  <c r="L47" i="1" a="1"/>
  <c r="L47" i="1" s="1"/>
  <c r="E62" i="1"/>
  <c r="G62" i="1" s="1"/>
  <c r="E69" i="1"/>
  <c r="G69" i="1" s="1"/>
  <c r="E73" i="1"/>
  <c r="G73" i="1" s="1"/>
  <c r="E77" i="1"/>
  <c r="G77" i="1" s="1"/>
  <c r="D19" i="1" a="1"/>
  <c r="D19" i="1" s="1"/>
  <c r="E43" i="1"/>
  <c r="G43" i="1" s="1"/>
  <c r="L45" i="1" a="1"/>
  <c r="L45" i="1" s="1"/>
  <c r="E48" i="1"/>
  <c r="G48" i="1" s="1"/>
  <c r="E51" i="1"/>
  <c r="G51" i="1" s="1"/>
  <c r="E55" i="1"/>
  <c r="G55" i="1" s="1"/>
  <c r="E59" i="1"/>
  <c r="G59" i="1" s="1"/>
  <c r="L65" i="1" a="1"/>
  <c r="L65" i="1" s="1"/>
  <c r="E81" i="1"/>
  <c r="G81" i="1" s="1"/>
  <c r="E85" i="1"/>
  <c r="G85" i="1" s="1"/>
  <c r="L88" i="1" a="1"/>
  <c r="L88" i="1" s="1"/>
  <c r="E92" i="1"/>
  <c r="G92" i="1" s="1"/>
  <c r="E96" i="1"/>
  <c r="G96" i="1" s="1"/>
  <c r="E100" i="1"/>
  <c r="G100" i="1" s="1"/>
  <c r="E104" i="1"/>
  <c r="G104" i="1" s="1"/>
  <c r="E42" i="1"/>
  <c r="G42" i="1" s="1"/>
  <c r="E68" i="1"/>
  <c r="G68" i="1" s="1"/>
  <c r="D23" i="1" a="1"/>
  <c r="D23" i="1" s="1"/>
  <c r="E46" i="1"/>
  <c r="G46" i="1" s="1"/>
  <c r="L62" i="1" a="1"/>
  <c r="L62" i="1" s="1"/>
  <c r="J22" i="1" s="1"/>
  <c r="E66" i="1"/>
  <c r="G66" i="1" s="1"/>
  <c r="E70" i="1"/>
  <c r="G70" i="1" s="1"/>
  <c r="E74" i="1"/>
  <c r="G74" i="1" s="1"/>
  <c r="E78" i="1"/>
  <c r="G78" i="1" s="1"/>
  <c r="E89" i="1"/>
  <c r="G89" i="1" s="1"/>
  <c r="E72" i="1"/>
  <c r="G72" i="1" s="1"/>
  <c r="D18" i="1" a="1"/>
  <c r="D18" i="1" s="1"/>
  <c r="L43" i="1" a="1"/>
  <c r="L43" i="1" s="1"/>
  <c r="L48" i="1" a="1"/>
  <c r="L48" i="1" s="1"/>
  <c r="E52" i="1"/>
  <c r="G52" i="1" s="1"/>
  <c r="E56" i="1"/>
  <c r="G56" i="1" s="1"/>
  <c r="E60" i="1"/>
  <c r="G60" i="1" s="1"/>
  <c r="E63" i="1"/>
  <c r="G63" i="1" s="1"/>
  <c r="E82" i="1"/>
  <c r="G82" i="1" s="1"/>
  <c r="E86" i="1"/>
  <c r="G86" i="1" s="1"/>
  <c r="E93" i="1"/>
  <c r="G93" i="1" s="1"/>
  <c r="E97" i="1"/>
  <c r="G97" i="1" s="1"/>
  <c r="E101" i="1"/>
  <c r="G101" i="1" s="1"/>
  <c r="D17" i="1" a="1"/>
  <c r="D17" i="1" s="1"/>
  <c r="Q29" i="1"/>
  <c r="H15" i="1" s="1"/>
  <c r="Q31" i="1"/>
  <c r="H17" i="1" s="1"/>
  <c r="Q33" i="1"/>
  <c r="H19" i="1" s="1"/>
  <c r="Q36" i="1"/>
  <c r="H22" i="1" s="1"/>
  <c r="Q38" i="1"/>
  <c r="H24" i="1" s="1"/>
  <c r="E44" i="1"/>
  <c r="G44" i="1" s="1"/>
  <c r="L46" i="1" a="1"/>
  <c r="L46" i="1" s="1"/>
  <c r="E49" i="1"/>
  <c r="G49" i="1" s="1"/>
  <c r="E67" i="1"/>
  <c r="G67" i="1" s="1"/>
  <c r="E71" i="1"/>
  <c r="G71" i="1" s="1"/>
  <c r="E75" i="1"/>
  <c r="G75" i="1" s="1"/>
  <c r="E79" i="1"/>
  <c r="G79" i="1" s="1"/>
  <c r="L89" i="1" a="1"/>
  <c r="L89" i="1" s="1"/>
  <c r="E105" i="1"/>
  <c r="G105" i="1" s="1"/>
  <c r="P13" i="1"/>
  <c r="P14" i="1" s="1"/>
  <c r="P16" i="1" s="1"/>
  <c r="P15" i="1" s="1"/>
  <c r="E47" i="1"/>
  <c r="G47" i="1" s="1"/>
  <c r="E53" i="1"/>
  <c r="G53" i="1" s="1"/>
  <c r="E57" i="1"/>
  <c r="G57" i="1" s="1"/>
  <c r="E61" i="1"/>
  <c r="G61" i="1" s="1"/>
  <c r="E64" i="1"/>
  <c r="G64" i="1" s="1"/>
  <c r="E83" i="1"/>
  <c r="G83" i="1" s="1"/>
  <c r="E87" i="1"/>
  <c r="G87" i="1" s="1"/>
  <c r="E90" i="1"/>
  <c r="G90" i="1" s="1"/>
  <c r="E94" i="1"/>
  <c r="G94" i="1" s="1"/>
  <c r="E98" i="1"/>
  <c r="G98" i="1" s="1"/>
  <c r="C14" i="5" a="1"/>
  <c r="C14" i="5" s="1"/>
  <c r="F14" i="5" s="1" a="1"/>
  <c r="F14" i="5" s="1"/>
  <c r="G14" i="5" s="1"/>
  <c r="C23" i="5" a="1"/>
  <c r="C23" i="5" s="1"/>
  <c r="B22" i="5" a="1"/>
  <c r="B22" i="5" s="1"/>
  <c r="C16" i="5" a="1"/>
  <c r="C16" i="5" s="1"/>
  <c r="J17" i="1" a="1"/>
  <c r="J17" i="1" s="1"/>
  <c r="J16" i="1" a="1"/>
  <c r="J16" i="1" s="1"/>
  <c r="J15" i="1" a="1"/>
  <c r="J15" i="1" s="1"/>
  <c r="J18" i="1" a="1"/>
  <c r="J18" i="1" s="1"/>
  <c r="J23" i="1"/>
  <c r="J19" i="1" a="1"/>
  <c r="J19" i="1" s="1"/>
  <c r="J21" i="1"/>
  <c r="J14" i="1" a="1"/>
  <c r="J14" i="1" s="1"/>
  <c r="J24" i="1"/>
  <c r="D16" i="3" a="1"/>
  <c r="D16" i="3" s="1"/>
  <c r="D21" i="3" a="1"/>
  <c r="D21" i="3" s="1"/>
  <c r="D19" i="3" a="1"/>
  <c r="D19" i="3" s="1"/>
  <c r="D14" i="3" a="1"/>
  <c r="D14" i="3" s="1"/>
  <c r="D15" i="3" a="1"/>
  <c r="D15" i="3" s="1"/>
  <c r="D22" i="3" a="1"/>
  <c r="D22" i="3" s="1"/>
  <c r="D17" i="3" a="1"/>
  <c r="D17" i="3" s="1"/>
  <c r="D18" i="3" a="1"/>
  <c r="D18" i="3" s="1"/>
  <c r="D23" i="3" a="1"/>
  <c r="D23" i="3" s="1"/>
  <c r="D24" i="3" a="1"/>
  <c r="D24" i="3" s="1"/>
  <c r="C16" i="3" a="1"/>
  <c r="C16" i="3" s="1"/>
  <c r="C18" i="3" a="1"/>
  <c r="C18" i="3" s="1"/>
  <c r="C24" i="3" a="1"/>
  <c r="C24" i="3" s="1"/>
  <c r="C22" i="3" a="1"/>
  <c r="C22" i="3" s="1"/>
  <c r="C21" i="3" a="1"/>
  <c r="C21" i="3" s="1"/>
  <c r="C17" i="3" a="1"/>
  <c r="C17" i="3" s="1"/>
  <c r="C15" i="3" a="1"/>
  <c r="C15" i="3" s="1"/>
  <c r="C19" i="3" a="1"/>
  <c r="C19" i="3" s="1"/>
  <c r="C14" i="3" a="1"/>
  <c r="C14" i="3" s="1"/>
  <c r="C23" i="3" a="1"/>
  <c r="C23" i="3" s="1"/>
  <c r="G21" i="7" a="1"/>
  <c r="G21" i="7" s="1"/>
  <c r="E15" i="7" s="1"/>
  <c r="S11" i="7"/>
  <c r="S12" i="7" s="1"/>
  <c r="S14" i="7" s="1"/>
  <c r="S13" i="7" s="1"/>
  <c r="E38" i="7" a="1"/>
  <c r="E38" i="7" s="1"/>
  <c r="G22" i="7" a="1"/>
  <c r="G22" i="7" s="1"/>
  <c r="E16" i="7" s="1"/>
  <c r="G20" i="7"/>
  <c r="E14" i="7" s="1"/>
  <c r="F23" i="5" a="1"/>
  <c r="F23" i="5" s="1"/>
  <c r="G23" i="5" s="1"/>
  <c r="F22" i="5" a="1"/>
  <c r="F22" i="5" s="1"/>
  <c r="G22" i="5" s="1"/>
  <c r="B20" i="5" a="1"/>
  <c r="B20" i="5" s="1"/>
  <c r="C19" i="5" a="1"/>
  <c r="C19" i="5" s="1"/>
  <c r="F19" i="5" s="1" a="1"/>
  <c r="F19" i="5" s="1"/>
  <c r="G19" i="5" s="1"/>
  <c r="C15" i="5" a="1"/>
  <c r="C15" i="5" s="1"/>
  <c r="F15" i="5" s="1" a="1"/>
  <c r="F15" i="5" s="1"/>
  <c r="G15" i="5" s="1"/>
  <c r="B16" i="5" a="1"/>
  <c r="B16" i="5" s="1"/>
  <c r="F16" i="5" s="1" a="1"/>
  <c r="F16" i="5" s="1"/>
  <c r="G16" i="5" s="1"/>
  <c r="C24" i="5" a="1"/>
  <c r="C24" i="5" s="1"/>
  <c r="F24" i="5" s="1" a="1"/>
  <c r="F24" i="5" s="1"/>
  <c r="G24" i="5" s="1"/>
  <c r="C20" i="5" a="1"/>
  <c r="C20" i="5" s="1"/>
  <c r="C18" i="5" a="1"/>
  <c r="C18" i="5" s="1"/>
  <c r="F18" i="5" s="1" a="1"/>
  <c r="F18" i="5" s="1"/>
  <c r="G18" i="5" s="1"/>
  <c r="C19" i="1" l="1" a="1"/>
  <c r="C19" i="1" s="1"/>
  <c r="C15" i="1" a="1"/>
  <c r="C15" i="1" s="1"/>
  <c r="C23" i="1" a="1"/>
  <c r="C23" i="1" s="1"/>
  <c r="C16" i="1" a="1"/>
  <c r="C16" i="1" s="1"/>
  <c r="C18" i="1" a="1"/>
  <c r="C18" i="1" s="1"/>
  <c r="C17" i="1" a="1"/>
  <c r="C17" i="1" s="1"/>
  <c r="I17" i="1" s="1" a="1"/>
  <c r="I17" i="1" s="1"/>
  <c r="L17" i="1" s="1"/>
  <c r="C14" i="1" a="1"/>
  <c r="C14" i="1" s="1"/>
  <c r="I14" i="1" s="1" a="1"/>
  <c r="I14" i="1" s="1"/>
  <c r="L14" i="1" s="1"/>
  <c r="C24" i="1" a="1"/>
  <c r="C24" i="1" s="1"/>
  <c r="I24" i="1" s="1" a="1"/>
  <c r="I24" i="1" s="1"/>
  <c r="L24" i="1" s="1"/>
  <c r="C22" i="1" a="1"/>
  <c r="C22" i="1" s="1"/>
  <c r="I22" i="1" s="1" a="1"/>
  <c r="I22" i="1" s="1"/>
  <c r="L22" i="1" s="1"/>
  <c r="C21" i="1" a="1"/>
  <c r="C21" i="1" s="1"/>
  <c r="I21" i="1" s="1" a="1"/>
  <c r="I21" i="1" s="1"/>
  <c r="L21" i="1" s="1"/>
  <c r="I14" i="3" a="1"/>
  <c r="I14" i="3" s="1"/>
  <c r="L14" i="3" s="1"/>
  <c r="F20" i="5" a="1"/>
  <c r="F20" i="5" s="1"/>
  <c r="G20" i="5" s="1"/>
  <c r="I19" i="1" a="1"/>
  <c r="I19" i="1" s="1"/>
  <c r="L19" i="1" s="1"/>
  <c r="I23" i="1" a="1"/>
  <c r="I23" i="1" s="1"/>
  <c r="L23" i="1" s="1"/>
  <c r="I15" i="1" a="1"/>
  <c r="I15" i="1" s="1"/>
  <c r="L15" i="1" s="1"/>
  <c r="I16" i="1" a="1"/>
  <c r="I16" i="1" s="1"/>
  <c r="L16" i="1" s="1"/>
  <c r="I18" i="1" a="1"/>
  <c r="I18" i="1" s="1"/>
  <c r="L18" i="1" s="1"/>
  <c r="I15" i="3" a="1"/>
  <c r="I15" i="3" s="1"/>
  <c r="L15" i="3" s="1"/>
  <c r="I16" i="3" a="1"/>
  <c r="I16" i="3" s="1"/>
  <c r="L16" i="3" s="1"/>
  <c r="I19" i="3" a="1"/>
  <c r="I19" i="3" s="1"/>
  <c r="L19" i="3" s="1"/>
  <c r="I21" i="3" a="1"/>
  <c r="I21" i="3" s="1"/>
  <c r="L21" i="3" s="1"/>
  <c r="I17" i="3" a="1"/>
  <c r="I17" i="3" s="1"/>
  <c r="L17" i="3" s="1"/>
  <c r="I22" i="3" a="1"/>
  <c r="I22" i="3" s="1"/>
  <c r="L22" i="3" s="1"/>
  <c r="I24" i="3" a="1"/>
  <c r="I24" i="3" s="1"/>
  <c r="L24" i="3" s="1"/>
  <c r="I23" i="3" a="1"/>
  <c r="I23" i="3" s="1"/>
  <c r="L23" i="3" s="1"/>
  <c r="I18" i="3" a="1"/>
  <c r="I18" i="3" s="1"/>
  <c r="L18" i="3" s="1"/>
  <c r="N38" i="7"/>
  <c r="H38" i="7" s="1"/>
  <c r="E17" i="7" a="1"/>
  <c r="E17" i="7" s="1"/>
  <c r="C16" i="7" l="1" a="1"/>
  <c r="C16" i="7" s="1"/>
  <c r="C14" i="7" a="1"/>
  <c r="C14" i="7" s="1"/>
  <c r="C15" i="7" a="1"/>
  <c r="C15" i="7" s="1"/>
  <c r="B14" i="7" a="1"/>
  <c r="B14" i="7" s="1"/>
  <c r="G15" i="7" a="1"/>
  <c r="G15" i="7" s="1"/>
  <c r="G16" i="7" a="1"/>
  <c r="G16" i="7" s="1"/>
  <c r="G14" i="7" a="1"/>
  <c r="G14" i="7" s="1"/>
  <c r="B15" i="7" a="1"/>
  <c r="B15" i="7" s="1"/>
  <c r="H15" i="7" s="1" a="1"/>
  <c r="H15" i="7" s="1"/>
  <c r="I15" i="7" s="1"/>
  <c r="B16" i="7" a="1"/>
  <c r="B16" i="7" s="1"/>
  <c r="H16" i="7" s="1" a="1"/>
  <c r="H16" i="7" s="1"/>
  <c r="I16" i="7" s="1"/>
  <c r="H14" i="7" l="1" a="1"/>
  <c r="H14" i="7" s="1"/>
  <c r="I1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<sst xmlns="http://schemas.openxmlformats.org/spreadsheetml/2006/main" count="1523" uniqueCount="369">
  <si>
    <r>
      <rPr>
        <b/>
        <sz val="11"/>
        <color theme="1"/>
        <rFont val="Calibri"/>
        <family val="2"/>
      </rPr>
      <t xml:space="preserve">How to use:
1.Please do not modify the formula in the table
2.After selecting the </t>
    </r>
    <r>
      <rPr>
        <b/>
        <sz val="11"/>
        <color theme="0"/>
        <rFont val="Calibri"/>
        <family val="2"/>
      </rPr>
      <t>product number</t>
    </r>
    <r>
      <rPr>
        <b/>
        <sz val="11"/>
        <color theme="1"/>
        <rFont val="Calibri"/>
        <family val="2"/>
      </rPr>
      <t xml:space="preserve"> and </t>
    </r>
    <r>
      <rPr>
        <b/>
        <sz val="11"/>
        <color theme="0"/>
        <rFont val="Calibri"/>
        <family val="2"/>
      </rPr>
      <t>model</t>
    </r>
    <r>
      <rPr>
        <b/>
        <sz val="11"/>
        <color theme="1"/>
        <rFont val="Calibri"/>
        <family val="2"/>
      </rPr>
      <t xml:space="preserve">, then select the </t>
    </r>
    <r>
      <rPr>
        <b/>
        <sz val="11"/>
        <color theme="0"/>
        <rFont val="Calibri"/>
        <family val="2"/>
      </rPr>
      <t>TDC unit</t>
    </r>
    <r>
      <rPr>
        <b/>
        <sz val="11"/>
        <color theme="1"/>
        <rFont val="Calibri"/>
        <family val="2"/>
      </rPr>
      <t xml:space="preserve">, and finally enter the </t>
    </r>
    <r>
      <rPr>
        <b/>
        <sz val="11"/>
        <color theme="0"/>
        <rFont val="Calibri"/>
        <family val="2"/>
      </rPr>
      <t>TDC</t>
    </r>
    <r>
      <rPr>
        <b/>
        <sz val="11"/>
        <color rgb="FFFF0000"/>
        <rFont val="Calibri"/>
        <family val="2"/>
      </rPr>
      <t>,</t>
    </r>
    <r>
      <rPr>
        <b/>
        <sz val="11"/>
        <color theme="1"/>
        <rFont val="Calibri"/>
        <family val="2"/>
      </rPr>
      <t xml:space="preserve"> you can get the predicted battery life
3.Explanation of abbreviations</t>
    </r>
    <r>
      <rPr>
        <b/>
        <sz val="11"/>
        <color theme="1"/>
        <rFont val="宋体"/>
        <charset val="134"/>
      </rPr>
      <t>：</t>
    </r>
    <r>
      <rPr>
        <b/>
        <sz val="11"/>
        <color theme="1"/>
        <rFont val="Calibri"/>
        <family val="2"/>
      </rPr>
      <t xml:space="preserve">WD--&gt;Watchdog      TX--&gt;Transimt       RX--&gt;Receive
4. Motion detection is not always on, only when the motion transition has been detected.
5. The service life calculated by TrackerD and TrackerD-LS is based on the fact that 180s GPS cannot be fixed in place, but the actual service life is longer than the calculated life in the table.
</t>
    </r>
    <r>
      <rPr>
        <b/>
        <sz val="11"/>
        <color rgb="FFFF0000"/>
        <rFont val="Calibri"/>
        <family val="2"/>
      </rPr>
      <t>6. SW3L takes 10,000 pulse currents per day as an example. Because the daily pulse is not fixed, it can only be used as an example. The actual battery service life of the node will be shorter than the table.</t>
    </r>
  </si>
  <si>
    <t>Battery Life Calculator</t>
  </si>
  <si>
    <t xml:space="preserve">Product </t>
  </si>
  <si>
    <t>battery capacity(mah)</t>
  </si>
  <si>
    <t>LSN50v2_S31____LoRaWAN_Temperature___Humidity_Sensor</t>
  </si>
  <si>
    <t>UNIT</t>
  </si>
  <si>
    <t>TDC (Uplink Interval)</t>
  </si>
  <si>
    <t>Work Mode</t>
  </si>
  <si>
    <t>ms</t>
  </si>
  <si>
    <t>min</t>
  </si>
  <si>
    <t>MOD=1</t>
  </si>
  <si>
    <t>s</t>
  </si>
  <si>
    <r>
      <rPr>
        <b/>
        <sz val="11"/>
        <color theme="1"/>
        <rFont val="Calibri"/>
        <family val="2"/>
      </rPr>
      <t>Sleep power</t>
    </r>
    <r>
      <rPr>
        <b/>
        <sz val="11"/>
        <color theme="1"/>
        <rFont val="宋体"/>
        <charset val="134"/>
      </rPr>
      <t>（</t>
    </r>
    <r>
      <rPr>
        <b/>
        <sz val="11"/>
        <color theme="1"/>
        <rFont val="Calibri"/>
        <family val="2"/>
      </rPr>
      <t>mA*ms</t>
    </r>
    <r>
      <rPr>
        <b/>
        <sz val="11"/>
        <color theme="1"/>
        <rFont val="宋体"/>
        <charset val="134"/>
      </rPr>
      <t>）</t>
    </r>
  </si>
  <si>
    <r>
      <rPr>
        <b/>
        <sz val="11"/>
        <color theme="1"/>
        <rFont val="Calibri"/>
        <family val="2"/>
      </rPr>
      <t>Sampling power</t>
    </r>
    <r>
      <rPr>
        <b/>
        <sz val="11"/>
        <color theme="1"/>
        <rFont val="宋体"/>
        <charset val="134"/>
      </rPr>
      <t>（</t>
    </r>
    <r>
      <rPr>
        <b/>
        <sz val="11"/>
        <color theme="1"/>
        <rFont val="Calibri"/>
        <family val="2"/>
      </rPr>
      <t>mA*ms</t>
    </r>
    <r>
      <rPr>
        <b/>
        <sz val="11"/>
        <color theme="1"/>
        <rFont val="宋体"/>
        <charset val="134"/>
      </rPr>
      <t>）</t>
    </r>
  </si>
  <si>
    <r>
      <rPr>
        <b/>
        <sz val="11"/>
        <color theme="1"/>
        <rFont val="Calibri"/>
        <family val="2"/>
      </rPr>
      <t>TX power (mA*ms</t>
    </r>
    <r>
      <rPr>
        <b/>
        <sz val="11"/>
        <color theme="1"/>
        <rFont val="宋体"/>
        <charset val="134"/>
      </rPr>
      <t>）</t>
    </r>
  </si>
  <si>
    <r>
      <rPr>
        <b/>
        <sz val="11"/>
        <color theme="1"/>
        <rFont val="Calibri"/>
        <family val="2"/>
      </rPr>
      <t>RX1 power</t>
    </r>
    <r>
      <rPr>
        <b/>
        <sz val="11"/>
        <color theme="1"/>
        <rFont val="宋体"/>
        <charset val="134"/>
      </rPr>
      <t>（</t>
    </r>
    <r>
      <rPr>
        <b/>
        <sz val="11"/>
        <color theme="1"/>
        <rFont val="Calibri"/>
        <family val="2"/>
      </rPr>
      <t>mA*ms</t>
    </r>
    <r>
      <rPr>
        <b/>
        <sz val="11"/>
        <color theme="1"/>
        <rFont val="宋体"/>
        <charset val="134"/>
      </rPr>
      <t>）</t>
    </r>
  </si>
  <si>
    <r>
      <rPr>
        <b/>
        <sz val="11"/>
        <color theme="1"/>
        <rFont val="Calibri"/>
        <family val="2"/>
      </rPr>
      <t>RX2 power</t>
    </r>
    <r>
      <rPr>
        <b/>
        <sz val="11"/>
        <color theme="1"/>
        <rFont val="宋体"/>
        <charset val="134"/>
      </rPr>
      <t>（</t>
    </r>
    <r>
      <rPr>
        <b/>
        <sz val="11"/>
        <color theme="1"/>
        <rFont val="Calibri"/>
        <family val="2"/>
      </rPr>
      <t>mA*ms</t>
    </r>
    <r>
      <rPr>
        <b/>
        <sz val="11"/>
        <color theme="1"/>
        <rFont val="宋体"/>
        <charset val="134"/>
      </rPr>
      <t>）</t>
    </r>
  </si>
  <si>
    <r>
      <rPr>
        <b/>
        <sz val="11"/>
        <color theme="1"/>
        <rFont val="Calibri"/>
        <family val="2"/>
      </rPr>
      <t>Watchdog power</t>
    </r>
    <r>
      <rPr>
        <b/>
        <sz val="11"/>
        <color theme="1"/>
        <rFont val="宋体"/>
        <charset val="134"/>
      </rPr>
      <t>（</t>
    </r>
    <r>
      <rPr>
        <b/>
        <sz val="11"/>
        <color theme="1"/>
        <rFont val="Calibri"/>
        <family val="2"/>
      </rPr>
      <t>mA*ms</t>
    </r>
    <r>
      <rPr>
        <b/>
        <sz val="11"/>
        <color theme="1"/>
        <rFont val="宋体"/>
        <charset val="134"/>
      </rPr>
      <t>）</t>
    </r>
  </si>
  <si>
    <r>
      <rPr>
        <b/>
        <sz val="11"/>
        <color theme="1"/>
        <rFont val="Calibri"/>
        <family val="2"/>
      </rPr>
      <t>Average power</t>
    </r>
    <r>
      <rPr>
        <b/>
        <sz val="11"/>
        <color theme="1"/>
        <rFont val="宋体"/>
        <charset val="134"/>
      </rPr>
      <t>（</t>
    </r>
    <r>
      <rPr>
        <b/>
        <sz val="11"/>
        <color theme="1"/>
        <rFont val="Calibri"/>
        <family val="2"/>
      </rPr>
      <t>mA</t>
    </r>
    <r>
      <rPr>
        <b/>
        <sz val="11"/>
        <color theme="1"/>
        <rFont val="宋体"/>
        <charset val="134"/>
      </rPr>
      <t>）</t>
    </r>
  </si>
  <si>
    <r>
      <rPr>
        <b/>
        <sz val="11"/>
        <color theme="1"/>
        <rFont val="Calibri"/>
        <family val="2"/>
      </rPr>
      <t>Detect power</t>
    </r>
    <r>
      <rPr>
        <b/>
        <sz val="11"/>
        <color theme="1"/>
        <rFont val="宋体"/>
        <charset val="134"/>
      </rPr>
      <t>（</t>
    </r>
    <r>
      <rPr>
        <b/>
        <sz val="11"/>
        <color theme="1"/>
        <rFont val="Calibri"/>
        <family val="2"/>
      </rPr>
      <t>mA*ms</t>
    </r>
    <r>
      <rPr>
        <b/>
        <sz val="11"/>
        <color theme="1"/>
        <rFont val="宋体"/>
        <charset val="134"/>
      </rPr>
      <t>）</t>
    </r>
  </si>
  <si>
    <r>
      <rPr>
        <b/>
        <sz val="11"/>
        <color theme="1"/>
        <rFont val="Calibri"/>
        <family val="2"/>
      </rPr>
      <t>BLE  power</t>
    </r>
    <r>
      <rPr>
        <b/>
        <sz val="11"/>
        <color theme="1"/>
        <rFont val="宋体"/>
        <charset val="134"/>
      </rPr>
      <t>（</t>
    </r>
    <r>
      <rPr>
        <b/>
        <sz val="11"/>
        <color theme="1"/>
        <rFont val="Calibri"/>
        <family val="2"/>
      </rPr>
      <t>mA*ms</t>
    </r>
    <r>
      <rPr>
        <b/>
        <sz val="11"/>
        <color theme="1"/>
        <rFont val="宋体"/>
        <charset val="134"/>
      </rPr>
      <t>）</t>
    </r>
  </si>
  <si>
    <r>
      <rPr>
        <b/>
        <sz val="11"/>
        <color theme="1"/>
        <rFont val="Calibri"/>
        <family val="2"/>
      </rPr>
      <t>Life expectancy</t>
    </r>
    <r>
      <rPr>
        <b/>
        <sz val="11"/>
        <color theme="1"/>
        <rFont val="宋体"/>
        <charset val="134"/>
      </rPr>
      <t>（</t>
    </r>
    <r>
      <rPr>
        <b/>
        <sz val="11"/>
        <color theme="1"/>
        <rFont val="Calibri"/>
        <family val="2"/>
      </rPr>
      <t>yr</t>
    </r>
    <r>
      <rPr>
        <b/>
        <sz val="11"/>
        <color theme="1"/>
        <rFont val="宋体"/>
        <charset val="134"/>
      </rPr>
      <t>）</t>
    </r>
  </si>
  <si>
    <t>hr</t>
  </si>
  <si>
    <t>EU868</t>
  </si>
  <si>
    <t>DR5_SF7_125K_14dB</t>
  </si>
  <si>
    <t>day</t>
  </si>
  <si>
    <t>DR4_SF8_125K_14dB</t>
  </si>
  <si>
    <t>mo</t>
  </si>
  <si>
    <t>DR3_SF9_125K_14dB</t>
  </si>
  <si>
    <t>yr</t>
  </si>
  <si>
    <t>DR2_SF10_125K_14dB</t>
  </si>
  <si>
    <t>DR1_SF11_125K_14dB</t>
  </si>
  <si>
    <t>DR0_SF12_125K_14dB</t>
  </si>
  <si>
    <r>
      <rPr>
        <b/>
        <sz val="11"/>
        <color theme="1"/>
        <rFont val="Calibri"/>
        <family val="2"/>
      </rPr>
      <t>STM32</t>
    </r>
    <r>
      <rPr>
        <b/>
        <sz val="11"/>
        <color theme="1"/>
        <rFont val="宋体"/>
        <charset val="134"/>
      </rPr>
      <t>平均功耗</t>
    </r>
  </si>
  <si>
    <t>US915</t>
  </si>
  <si>
    <t>DR3_SF7_125K_20dB</t>
  </si>
  <si>
    <t xml:space="preserve">  </t>
  </si>
  <si>
    <t>DR2_SF8_125K_20dB</t>
  </si>
  <si>
    <t>DR1_SF9_125K_20dB</t>
  </si>
  <si>
    <t>DR0_SF10_125K_20dB</t>
  </si>
  <si>
    <t>`</t>
  </si>
  <si>
    <r>
      <rPr>
        <b/>
        <sz val="11"/>
        <color theme="1"/>
        <rFont val="Calibri"/>
        <family val="2"/>
      </rPr>
      <t>TX</t>
    </r>
    <r>
      <rPr>
        <b/>
        <sz val="11"/>
        <color theme="1"/>
        <rFont val="宋体"/>
        <charset val="134"/>
      </rPr>
      <t>时间</t>
    </r>
  </si>
  <si>
    <r>
      <rPr>
        <b/>
        <sz val="11"/>
        <color theme="1"/>
        <rFont val="Calibri"/>
        <family val="2"/>
      </rPr>
      <t>RX1</t>
    </r>
    <r>
      <rPr>
        <b/>
        <sz val="11"/>
        <color theme="1"/>
        <rFont val="宋体"/>
        <charset val="134"/>
      </rPr>
      <t>时间</t>
    </r>
  </si>
  <si>
    <r>
      <rPr>
        <b/>
        <sz val="11"/>
        <color theme="1"/>
        <rFont val="Calibri"/>
        <family val="2"/>
      </rPr>
      <t>RX2</t>
    </r>
    <r>
      <rPr>
        <b/>
        <sz val="11"/>
        <color theme="1"/>
        <rFont val="宋体"/>
        <charset val="134"/>
      </rPr>
      <t>时间</t>
    </r>
  </si>
  <si>
    <r>
      <rPr>
        <b/>
        <sz val="11"/>
        <color theme="1"/>
        <rFont val="宋体"/>
        <charset val="134"/>
      </rPr>
      <t>看门狗时间</t>
    </r>
  </si>
  <si>
    <r>
      <rPr>
        <b/>
        <sz val="11"/>
        <color theme="1"/>
        <rFont val="Calibri"/>
        <family val="2"/>
      </rPr>
      <t>TX</t>
    </r>
    <r>
      <rPr>
        <b/>
        <sz val="11"/>
        <color theme="1"/>
        <rFont val="宋体"/>
        <charset val="134"/>
      </rPr>
      <t>电流</t>
    </r>
  </si>
  <si>
    <r>
      <rPr>
        <b/>
        <sz val="11"/>
        <color theme="1"/>
        <rFont val="Calibri"/>
        <family val="2"/>
      </rPr>
      <t>RX1</t>
    </r>
    <r>
      <rPr>
        <b/>
        <sz val="11"/>
        <color theme="1"/>
        <rFont val="宋体"/>
        <charset val="134"/>
      </rPr>
      <t>电流</t>
    </r>
  </si>
  <si>
    <r>
      <rPr>
        <b/>
        <sz val="11"/>
        <color theme="1"/>
        <rFont val="Calibri"/>
        <family val="2"/>
      </rPr>
      <t>RX2</t>
    </r>
    <r>
      <rPr>
        <b/>
        <sz val="11"/>
        <color theme="1"/>
        <rFont val="宋体"/>
        <charset val="134"/>
      </rPr>
      <t>电流</t>
    </r>
  </si>
  <si>
    <t>蓝牙时间</t>
  </si>
  <si>
    <r>
      <rPr>
        <b/>
        <sz val="11"/>
        <color theme="1"/>
        <rFont val="宋体"/>
        <charset val="134"/>
      </rPr>
      <t>看门狗电流</t>
    </r>
  </si>
  <si>
    <r>
      <rPr>
        <b/>
        <sz val="11"/>
        <color theme="1"/>
        <rFont val="Calibri"/>
        <family val="2"/>
      </rPr>
      <t>TX</t>
    </r>
    <r>
      <rPr>
        <b/>
        <sz val="11"/>
        <color theme="1"/>
        <rFont val="宋体"/>
        <charset val="134"/>
      </rPr>
      <t>功耗</t>
    </r>
  </si>
  <si>
    <r>
      <rPr>
        <b/>
        <sz val="11"/>
        <color theme="1"/>
        <rFont val="Calibri"/>
        <family val="2"/>
      </rPr>
      <t>RX1</t>
    </r>
    <r>
      <rPr>
        <b/>
        <sz val="11"/>
        <color theme="1"/>
        <rFont val="宋体"/>
        <charset val="134"/>
      </rPr>
      <t>功耗</t>
    </r>
  </si>
  <si>
    <r>
      <rPr>
        <b/>
        <sz val="11"/>
        <color theme="1"/>
        <rFont val="Calibri"/>
        <family val="2"/>
      </rPr>
      <t>RX2</t>
    </r>
    <r>
      <rPr>
        <b/>
        <sz val="11"/>
        <color theme="1"/>
        <rFont val="宋体"/>
        <charset val="134"/>
      </rPr>
      <t>功耗</t>
    </r>
  </si>
  <si>
    <r>
      <rPr>
        <b/>
        <sz val="11"/>
        <color theme="1"/>
        <rFont val="宋体"/>
        <charset val="134"/>
      </rPr>
      <t>看门狗功耗</t>
    </r>
  </si>
  <si>
    <r>
      <rPr>
        <b/>
        <sz val="11"/>
        <color theme="1"/>
        <rFont val="宋体"/>
        <charset val="134"/>
      </rPr>
      <t>采集时间</t>
    </r>
  </si>
  <si>
    <r>
      <rPr>
        <b/>
        <sz val="11"/>
        <color theme="1"/>
        <rFont val="宋体"/>
        <charset val="134"/>
      </rPr>
      <t>采集电流</t>
    </r>
  </si>
  <si>
    <r>
      <rPr>
        <b/>
        <sz val="11"/>
        <color theme="1"/>
        <rFont val="宋体"/>
        <charset val="134"/>
      </rPr>
      <t>睡眠时间</t>
    </r>
  </si>
  <si>
    <r>
      <rPr>
        <b/>
        <sz val="11"/>
        <color theme="1"/>
        <rFont val="宋体"/>
        <charset val="134"/>
      </rPr>
      <t>睡眠电流</t>
    </r>
  </si>
  <si>
    <r>
      <rPr>
        <b/>
        <sz val="11"/>
        <color theme="1"/>
        <rFont val="宋体"/>
        <charset val="134"/>
      </rPr>
      <t>睡眠功耗</t>
    </r>
  </si>
  <si>
    <r>
      <rPr>
        <b/>
        <sz val="11"/>
        <color theme="1"/>
        <rFont val="宋体"/>
        <charset val="134"/>
      </rPr>
      <t>采集功耗</t>
    </r>
  </si>
  <si>
    <t>气体检测时间</t>
  </si>
  <si>
    <r>
      <rPr>
        <b/>
        <sz val="11"/>
        <color theme="1"/>
        <rFont val="宋体"/>
        <charset val="134"/>
      </rPr>
      <t>气体检测电流</t>
    </r>
  </si>
  <si>
    <t>脉冲电流（10000次）</t>
  </si>
  <si>
    <r>
      <rPr>
        <b/>
        <sz val="11"/>
        <color theme="1"/>
        <rFont val="宋体"/>
        <charset val="134"/>
      </rPr>
      <t>气体检测功耗</t>
    </r>
  </si>
  <si>
    <t>LHT65_LoRaWAN_Temperature___Humidity_Sensor</t>
  </si>
  <si>
    <t>EXT=1,WMOD=1</t>
  </si>
  <si>
    <t>EXT=4,WMOD=1</t>
  </si>
  <si>
    <t>LSN50_V2____Waterproof_Long_Range_Wireless_LoRa_Sensor_Node</t>
  </si>
  <si>
    <t>EXT=5,WMOD=1</t>
  </si>
  <si>
    <t>LAQ4____LoRaWAN_Air_Quality_Sensor</t>
  </si>
  <si>
    <t>EXT=6,WMOD=1</t>
  </si>
  <si>
    <t>LDDS75_LoRaWAN_Distance_Detection_Sensor</t>
  </si>
  <si>
    <t>EXT=8,WMOD=1</t>
  </si>
  <si>
    <t>LDDS20_LoRaWAN_Liquid_Level_Sensor</t>
  </si>
  <si>
    <t>EXT=9,WMOD=1</t>
  </si>
  <si>
    <t>LSE01_LoRaWAN_Soil_Moisture___EC_Sensor</t>
  </si>
  <si>
    <t>EXT=1 with DS18B20,WMOD=1</t>
  </si>
  <si>
    <t>LDS01____LoRaWAN_Door_Sensor</t>
  </si>
  <si>
    <t>LWL01____LoRaWAN_Water_Leak</t>
  </si>
  <si>
    <t>LSN50v2_D20____LoRaWAN_Waterproof__Outdoor_Temperature_Sensor</t>
  </si>
  <si>
    <t>MOD=2_V3HP</t>
  </si>
  <si>
    <t>MOD=2_JSN</t>
  </si>
  <si>
    <t>LTC2_V1.0</t>
  </si>
  <si>
    <t>MOD=2_TF-MINI</t>
  </si>
  <si>
    <t>LDS02____LoRaWAN_Door_Sensor</t>
  </si>
  <si>
    <t>MOD=3</t>
  </si>
  <si>
    <t>LWL02____LoRaWAN_Water_Leak</t>
  </si>
  <si>
    <t>MOD=4</t>
  </si>
  <si>
    <t>LLMS01____LoRaWAN_Leaf_Moisture_Sensor_V1.0</t>
  </si>
  <si>
    <t>MOD=5</t>
  </si>
  <si>
    <t>LSNPK01____LoRaWAN_Soil_NPK_Sensor_V1.0</t>
  </si>
  <si>
    <t>MOD=6</t>
  </si>
  <si>
    <t>LSPH01____LoRaWAN_Soil_Ph_Sensor_V1.0</t>
  </si>
  <si>
    <t>LDS03A____LoRaWAN_Door_Sensor</t>
  </si>
  <si>
    <t>LHT52_LoRaWAN_Temperature___Humidity_Sensor</t>
  </si>
  <si>
    <t>TrackerD</t>
  </si>
  <si>
    <t>LSN50v2_D22</t>
  </si>
  <si>
    <t>LSN50v2_D23</t>
  </si>
  <si>
    <t>LWL03A</t>
  </si>
  <si>
    <t>MOD=2</t>
  </si>
  <si>
    <t>LMDS120</t>
  </si>
  <si>
    <t>WMOD=1</t>
  </si>
  <si>
    <t>RS485_BL</t>
  </si>
  <si>
    <t>EXT=1</t>
  </si>
  <si>
    <t>LDDS04</t>
  </si>
  <si>
    <t>EXT=2</t>
  </si>
  <si>
    <t>LDDS45</t>
  </si>
  <si>
    <t>EXT=3</t>
  </si>
  <si>
    <t>TrackerD_LS</t>
  </si>
  <si>
    <t>TrackerD_LS_Charging_Panel</t>
  </si>
  <si>
    <t>EXT=4</t>
  </si>
  <si>
    <t>SW3L</t>
  </si>
  <si>
    <t>EXT=5</t>
  </si>
  <si>
    <t>GroPoint_Air</t>
  </si>
  <si>
    <t>EXT=6</t>
  </si>
  <si>
    <t>LDDS40</t>
  </si>
  <si>
    <t>EXT=8</t>
  </si>
  <si>
    <t>EXT=9</t>
  </si>
  <si>
    <t>EXT=1 with DS18B20</t>
  </si>
  <si>
    <t>EXT=1,with DS18B20</t>
  </si>
  <si>
    <t>SMOD=1,0,0;with GPS</t>
  </si>
  <si>
    <t>SMOD=2,0,1;with BLE+iBeacon</t>
  </si>
  <si>
    <t>SMOD=2,0,2;with WIFI</t>
  </si>
  <si>
    <t>SMOD=3,0,1;with BLE+GPS</t>
  </si>
  <si>
    <t>COUNTMOD=1</t>
  </si>
  <si>
    <t>MOD=0</t>
  </si>
  <si>
    <t>SMOD=1,0,0, Fix time 40s</t>
  </si>
  <si>
    <t>SMOD=1,0,0, Fix time 180s</t>
  </si>
  <si>
    <t>SMOD=1,0,0;INTWK=1, Fix time 40s</t>
  </si>
  <si>
    <t>SMOD=1,0,0;INTWK=1, Fix time 180s</t>
  </si>
  <si>
    <t>SMOD=1,0,0, INTWK=1, Fix time 40s</t>
  </si>
  <si>
    <t>MOD=0, avg 10,000 pulse per day</t>
  </si>
  <si>
    <t>INTMOD=2</t>
  </si>
  <si>
    <t>Document Version:</t>
  </si>
  <si>
    <t>v2.7</t>
  </si>
  <si>
    <t>Add CB models(BG95-M2)power consumption</t>
  </si>
  <si>
    <t>v2.6</t>
  </si>
  <si>
    <t>SE02_LB was added to LB models
SE02_NB was added to NB models
AIS_01_LB was added to  LB models</t>
  </si>
  <si>
    <t>v2.5</t>
  </si>
  <si>
    <t>Add NB models(BC660K) power consumption 
calculation table
Add LS models power consumption</t>
  </si>
  <si>
    <t>V2.4</t>
  </si>
  <si>
    <t>RS485-LB was added to LB models
DS20L  was added to LB models
Create a new module: BC660K Power data table
AQS01=L was added to LB models
LCC01_LB was added to LB models</t>
  </si>
  <si>
    <t>V2.3</t>
  </si>
  <si>
    <t>DS03A_LB__double_channel was added to LB models
DDS04_LB was added to LB models
CPL03_LB was added to LB models
GroPoint_Air was added to LoRa_1276
TS01_LB was added to LB models
LDS40_LB was added to LB models
LDDS40 was added to LB models</t>
  </si>
  <si>
    <t>V2.2</t>
  </si>
  <si>
    <t>SE01-LB was added to LB models
DDS45_LB was added to LB models
DDS20_LB was added to LB models
MDS120_LB was added to LB models
DDS75_LB was added to LB models
WL03A_LB was added to LB models
SPH01_LB was added to LB models
SW3L_LB was added to LB models
LDS12_LB was added to LB models
LDS04_LB was added to LB models
MDS200_LB was added to LB models
DS03A_LB was added to LB models</t>
  </si>
  <si>
    <t>V2.1</t>
  </si>
  <si>
    <t>SN50-V3_LB was added to LB models
SW3L was added to LoRa_1276
PS_LB_UVC254  was added to LB models
RS485_BL_Senseair_Sunlight_CO2 was added to LoRa_1276</t>
  </si>
  <si>
    <t>V2.0</t>
  </si>
  <si>
    <t>LHT65N-PIR was added to LB models
LHT65N-E5 was added to LB models
LHT65N-Ext=11 with E31F was added to LB models</t>
  </si>
  <si>
    <t>V1.9</t>
  </si>
  <si>
    <t>TrackerD_SMOD=3,0,1 was added to LoRa-1276
 TrackerD-motion detection was added to  LoRa-1276  
TrackerD_LS was added to LoRa-1276TrackerD_LS_Charging_Panel was added to LoRa-1276</t>
  </si>
  <si>
    <t>V1.8</t>
  </si>
  <si>
    <t xml:space="preserve">D20_LB was added to LB models                      
D22_LB was added to LB models                                      
D23_LB was added to LB models                                        
S31_LB was added to LB models    </t>
  </si>
  <si>
    <t>V1.7</t>
  </si>
  <si>
    <t>1. Add the special mode of LHT65N: WMOD=3, collect data once a minute              
2.  Fixed the problem that the sleep current does not change after the TDC time in the Lora-1262 table is changed</t>
  </si>
  <si>
    <t>V1.6</t>
  </si>
  <si>
    <t>Add  LDDS04                       
Add  LDDS45</t>
  </si>
  <si>
    <t>V1.5</t>
  </si>
  <si>
    <t>PS_LB was added in LB models
SDI_12-LB was added to LB models</t>
  </si>
  <si>
    <t>V1.4</t>
  </si>
  <si>
    <t>Add LMDS120
Fix LB models tx power error</t>
  </si>
  <si>
    <t>V1.3</t>
  </si>
  <si>
    <t>Add TrackerD                   
Add LSN50v2_D22          
Add LSN50v2_D23               
Add LWL03A</t>
  </si>
  <si>
    <t>V1.2</t>
  </si>
  <si>
    <t>Add LHT52
Add LHT65N</t>
  </si>
  <si>
    <t>v1.1</t>
  </si>
  <si>
    <t>Add LDS03A, notice, Open/Close behavior will send an uplink, this will affect the battery life much. 
By default, the LDS03A uplink every 2 hours. So TDC is 120 minutes. If the average open/close event is 5 times/hour. Users can change TDC to 120/11 ~=11 minutes. To save battery, users can set disalarm=1 so device won't uplink event on each open/close</t>
  </si>
  <si>
    <t>v1.0</t>
  </si>
  <si>
    <t>release</t>
  </si>
  <si>
    <r>
      <rPr>
        <b/>
        <sz val="11"/>
        <color theme="1"/>
        <rFont val="Calibri"/>
        <family val="2"/>
      </rPr>
      <t xml:space="preserve">How to use:
1. Please do not modify the formula in the table
2. After selecting the </t>
    </r>
    <r>
      <rPr>
        <b/>
        <sz val="11"/>
        <color theme="0"/>
        <rFont val="Calibri"/>
        <family val="2"/>
      </rPr>
      <t>product number</t>
    </r>
    <r>
      <rPr>
        <b/>
        <sz val="11"/>
        <color theme="1"/>
        <rFont val="Calibri"/>
        <family val="2"/>
      </rPr>
      <t xml:space="preserve"> and </t>
    </r>
    <r>
      <rPr>
        <b/>
        <sz val="11"/>
        <color theme="0"/>
        <rFont val="Calibri"/>
        <family val="2"/>
      </rPr>
      <t>model</t>
    </r>
    <r>
      <rPr>
        <b/>
        <sz val="11"/>
        <color theme="1"/>
        <rFont val="Calibri"/>
        <family val="2"/>
      </rPr>
      <t xml:space="preserve">, then select the </t>
    </r>
    <r>
      <rPr>
        <b/>
        <sz val="11"/>
        <color theme="0"/>
        <rFont val="Calibri"/>
        <family val="2"/>
      </rPr>
      <t>TDC unit</t>
    </r>
    <r>
      <rPr>
        <b/>
        <sz val="11"/>
        <color theme="1"/>
        <rFont val="Calibri"/>
        <family val="2"/>
      </rPr>
      <t xml:space="preserve">, and finally enter the </t>
    </r>
    <r>
      <rPr>
        <b/>
        <sz val="11"/>
        <color theme="0"/>
        <rFont val="Calibri"/>
        <family val="2"/>
      </rPr>
      <t>TDC</t>
    </r>
    <r>
      <rPr>
        <b/>
        <sz val="11"/>
        <color rgb="FFFF0000"/>
        <rFont val="Calibri"/>
        <family val="2"/>
      </rPr>
      <t>,</t>
    </r>
    <r>
      <rPr>
        <b/>
        <sz val="11"/>
        <color theme="1"/>
        <rFont val="Calibri"/>
        <family val="2"/>
      </rPr>
      <t xml:space="preserve"> you can get the predicted battery life
3. Explanation of abbreviations</t>
    </r>
    <r>
      <rPr>
        <b/>
        <sz val="11"/>
        <color theme="1"/>
        <rFont val="宋体"/>
        <charset val="134"/>
      </rPr>
      <t>：</t>
    </r>
    <r>
      <rPr>
        <b/>
        <sz val="11"/>
        <color theme="1"/>
        <rFont val="Calibri"/>
        <family val="2"/>
      </rPr>
      <t xml:space="preserve">WD--&gt;Watchdog      TX--&gt;Transimt       RX--&gt;Receive           
</t>
    </r>
    <r>
      <rPr>
        <b/>
        <sz val="11"/>
        <color rgb="FFFF0000"/>
        <rFont val="Calibri"/>
        <family val="2"/>
      </rPr>
      <t xml:space="preserve">4. For example, during BLE configure, the power consumtion is 2.6mA,  if user finish BLE configure in 10 minutes, this configure will cost 0.442 mAh </t>
    </r>
    <r>
      <rPr>
        <b/>
        <sz val="11"/>
        <color theme="1"/>
        <rFont val="Calibri"/>
        <family val="2"/>
      </rPr>
      <t xml:space="preserve"> 
</t>
    </r>
    <r>
      <rPr>
        <b/>
        <sz val="11"/>
        <color rgb="FFFF0000"/>
        <rFont val="Calibri"/>
        <family val="2"/>
      </rPr>
      <t>5. The LHT65N-PIR sensor is triggered an average of 1000/500 times per day       
6. The CPL03_LB count mode is calculated based on 1000 triggers per day
7. CS01_LB data is collected once a minute</t>
    </r>
    <r>
      <rPr>
        <b/>
        <sz val="11"/>
        <color theme="1"/>
        <rFont val="Calibri"/>
        <family val="2"/>
      </rPr>
      <t xml:space="preserve">                                                                                                                                                                                                                                                                                                                                                                     </t>
    </r>
  </si>
  <si>
    <t>LTC2_LB</t>
  </si>
  <si>
    <r>
      <rPr>
        <b/>
        <sz val="11"/>
        <color theme="1"/>
        <rFont val="Calibri"/>
        <family val="2"/>
      </rPr>
      <t>Average power</t>
    </r>
    <r>
      <rPr>
        <b/>
        <sz val="11"/>
        <color theme="1"/>
        <rFont val="宋体"/>
        <charset val="134"/>
      </rPr>
      <t>（mA</t>
    </r>
    <r>
      <rPr>
        <b/>
        <sz val="11"/>
        <color theme="1"/>
        <rFont val="Calibri"/>
        <family val="2"/>
      </rPr>
      <t>)</t>
    </r>
  </si>
  <si>
    <t>US915/AS923/AU915/KR920</t>
  </si>
  <si>
    <r>
      <rPr>
        <b/>
        <sz val="11"/>
        <color theme="1"/>
        <rFont val="Calibri"/>
        <family val="2"/>
      </rPr>
      <t>ASR6601</t>
    </r>
    <r>
      <rPr>
        <b/>
        <sz val="11"/>
        <color theme="1"/>
        <rFont val="宋体"/>
        <charset val="134"/>
      </rPr>
      <t>平均功耗</t>
    </r>
  </si>
  <si>
    <t>触发时间</t>
  </si>
  <si>
    <t>触发电流</t>
  </si>
  <si>
    <t>触发功耗</t>
  </si>
  <si>
    <t>LHT65N_LoRaWAN_Temperature___Humidity_Sensor_v1.3</t>
  </si>
  <si>
    <t>PS_LB</t>
  </si>
  <si>
    <t>EXT=2,with TMP117</t>
  </si>
  <si>
    <t>SDI_12_LB</t>
  </si>
  <si>
    <t>EXT=14,with PIR_1000 times</t>
  </si>
  <si>
    <t>LSN50_V3.0_D23_LB</t>
  </si>
  <si>
    <t>EXT=14,with PIR_500 times</t>
  </si>
  <si>
    <t>LSN50_V3.0_D22_LB</t>
  </si>
  <si>
    <t>EXT=5,with E5</t>
  </si>
  <si>
    <t>LSN50_V3.0_D20_LB</t>
  </si>
  <si>
    <t>EXT=11,with E31F</t>
  </si>
  <si>
    <t>LSN50_V3.0_S31_LB</t>
  </si>
  <si>
    <t>PROBE=0003</t>
  </si>
  <si>
    <t>SN50_V3.0_LB</t>
  </si>
  <si>
    <t>PROBE=0101</t>
  </si>
  <si>
    <t>PS_LB_UVC254</t>
  </si>
  <si>
    <t>PROBE=0000</t>
  </si>
  <si>
    <t>SE01_LB</t>
  </si>
  <si>
    <t>DDS45_LB</t>
  </si>
  <si>
    <t>INTMOD=0</t>
  </si>
  <si>
    <t>DDS20_LB</t>
  </si>
  <si>
    <t>MDS120_LB</t>
  </si>
  <si>
    <t>DDS75_LB</t>
  </si>
  <si>
    <t>WL03A_LB</t>
  </si>
  <si>
    <t>MOD=1, with Default Mode</t>
  </si>
  <si>
    <t>SPH01_LB</t>
  </si>
  <si>
    <t>MOD=2, with V3HP</t>
  </si>
  <si>
    <t>SW3L_LB</t>
  </si>
  <si>
    <t>MOD=2, with JSN</t>
  </si>
  <si>
    <t>LDS12_LB</t>
  </si>
  <si>
    <t>MOD=2, with TF-MINI</t>
  </si>
  <si>
    <t>LDS04_LB</t>
  </si>
  <si>
    <t>MOD=3, with 3ADC+I2C</t>
  </si>
  <si>
    <t>MDS200_LB</t>
  </si>
  <si>
    <t>MOD=4, with 3DS18B20</t>
  </si>
  <si>
    <t>DS03A_LB</t>
  </si>
  <si>
    <t>MOD=5, with Weight Measurement Mode</t>
  </si>
  <si>
    <t>DS03A_LB__double_channel</t>
  </si>
  <si>
    <t>MOD=6, with Counting Mode</t>
  </si>
  <si>
    <t>DDS04_LB</t>
  </si>
  <si>
    <t>CPL03_LB</t>
  </si>
  <si>
    <t>TS01_LB</t>
  </si>
  <si>
    <t>LDS40_LB</t>
  </si>
  <si>
    <t>RS485_LB</t>
  </si>
  <si>
    <t>DS20L</t>
  </si>
  <si>
    <t>50V3_TMP117</t>
  </si>
  <si>
    <t>AQS01_L</t>
  </si>
  <si>
    <t>LCC01_LB</t>
  </si>
  <si>
    <t>CS01_LB</t>
  </si>
  <si>
    <t>Gropoint_Air_LB</t>
  </si>
  <si>
    <t>SE02_LB</t>
  </si>
  <si>
    <t>AIS_01_LB</t>
  </si>
  <si>
    <t>COUNTMOD=0</t>
  </si>
  <si>
    <t>MOD=1,Single Channel</t>
  </si>
  <si>
    <t>MOD=2,Three Channels</t>
  </si>
  <si>
    <t>AT+INTMOD=0</t>
  </si>
  <si>
    <t>MOD=1(Single channel)</t>
  </si>
  <si>
    <t>MOD=1(four channel)</t>
  </si>
  <si>
    <t>AT+MOD=1</t>
  </si>
  <si>
    <t>Note: The service life calculated by this power consumption table is calculated when the solar battery is not charging. If the sun charges the battery, the battery life can be used longer.</t>
  </si>
  <si>
    <t>LDS40_LS</t>
  </si>
  <si>
    <t>PS_LS</t>
  </si>
  <si>
    <t>SDI_12_LS</t>
  </si>
  <si>
    <t>LSN50_V3.0_D23_LS</t>
  </si>
  <si>
    <t>LSN50_V3.0_D22_LS</t>
  </si>
  <si>
    <t>LSN50_V3.0_D20_LS</t>
  </si>
  <si>
    <t>LSN50_V3.0_S31_LS</t>
  </si>
  <si>
    <t>SN50_V3.0_LS</t>
  </si>
  <si>
    <t>PS_LS_UVC254</t>
  </si>
  <si>
    <t>SE01_LS</t>
  </si>
  <si>
    <t>DDS45_LS</t>
  </si>
  <si>
    <t>DDS20_LS</t>
  </si>
  <si>
    <t>MDS120_LS</t>
  </si>
  <si>
    <t>DDS75_LS</t>
  </si>
  <si>
    <t>WL03A_LS</t>
  </si>
  <si>
    <t>SPH01_LS</t>
  </si>
  <si>
    <t>SW3L_LS</t>
  </si>
  <si>
    <t>LDS12_LS</t>
  </si>
  <si>
    <t>MDS200_LS</t>
  </si>
  <si>
    <t>DS03A_S</t>
  </si>
  <si>
    <t>DS03A_LS__double_channel</t>
  </si>
  <si>
    <t>DDS04_LS</t>
  </si>
  <si>
    <t>CPL03_LS</t>
  </si>
  <si>
    <t>TS01_LS</t>
  </si>
  <si>
    <t>RS485_LS</t>
  </si>
  <si>
    <t>LDS04_LS</t>
  </si>
  <si>
    <t>LCC01_LS</t>
  </si>
  <si>
    <t>DS03A_LS</t>
  </si>
  <si>
    <t>CS01_LS</t>
  </si>
  <si>
    <t>Gropoint_Air_LS</t>
  </si>
  <si>
    <r>
      <rPr>
        <b/>
        <sz val="11"/>
        <color theme="1"/>
        <rFont val="Calibri"/>
        <family val="2"/>
      </rPr>
      <t xml:space="preserve">How to use:
1.Please do not modify the formula in the table
2.After selecting the </t>
    </r>
    <r>
      <rPr>
        <b/>
        <sz val="11"/>
        <color theme="0"/>
        <rFont val="Calibri"/>
        <family val="2"/>
      </rPr>
      <t>product number</t>
    </r>
    <r>
      <rPr>
        <b/>
        <sz val="11"/>
        <color theme="1"/>
        <rFont val="Calibri"/>
        <family val="2"/>
      </rPr>
      <t xml:space="preserve"> and </t>
    </r>
    <r>
      <rPr>
        <b/>
        <sz val="11"/>
        <color theme="0"/>
        <rFont val="Calibri"/>
        <family val="2"/>
      </rPr>
      <t>model</t>
    </r>
    <r>
      <rPr>
        <b/>
        <sz val="11"/>
        <color theme="1"/>
        <rFont val="Calibri"/>
        <family val="2"/>
      </rPr>
      <t xml:space="preserve">, then select the </t>
    </r>
    <r>
      <rPr>
        <b/>
        <sz val="11"/>
        <color theme="0"/>
        <rFont val="Calibri"/>
        <family val="2"/>
      </rPr>
      <t>TDC unit</t>
    </r>
    <r>
      <rPr>
        <b/>
        <sz val="11"/>
        <color theme="1"/>
        <rFont val="Calibri"/>
        <family val="2"/>
      </rPr>
      <t xml:space="preserve">, and finally enter the </t>
    </r>
    <r>
      <rPr>
        <b/>
        <sz val="11"/>
        <color theme="0"/>
        <rFont val="Calibri"/>
        <family val="2"/>
      </rPr>
      <t>TDC</t>
    </r>
    <r>
      <rPr>
        <b/>
        <sz val="11"/>
        <color rgb="FFFF0000"/>
        <rFont val="Calibri"/>
        <family val="2"/>
      </rPr>
      <t>,</t>
    </r>
    <r>
      <rPr>
        <b/>
        <sz val="11"/>
        <color theme="1"/>
        <rFont val="Calibri"/>
        <family val="2"/>
      </rPr>
      <t xml:space="preserve"> you can get the predicted battery life
3.Explanation of abbreviations</t>
    </r>
    <r>
      <rPr>
        <b/>
        <sz val="11"/>
        <color theme="1"/>
        <rFont val="宋体"/>
        <charset val="134"/>
      </rPr>
      <t>：</t>
    </r>
    <r>
      <rPr>
        <b/>
        <sz val="11"/>
        <color theme="1"/>
        <rFont val="Calibri"/>
        <family val="2"/>
      </rPr>
      <t>WD--&gt;Watchdog      TX--&gt;Transimt       RX--&gt;Receive</t>
    </r>
  </si>
  <si>
    <t>LHT65N_LoRaWAN_Temperature___Humidity_Sensor</t>
  </si>
  <si>
    <t>WMOD=3,2,60,20,-16,32,1</t>
  </si>
  <si>
    <r>
      <rPr>
        <b/>
        <sz val="11"/>
        <color theme="1"/>
        <rFont val="Calibri"/>
        <family val="2"/>
      </rPr>
      <t>Average power(</t>
    </r>
    <r>
      <rPr>
        <b/>
        <sz val="11"/>
        <color theme="1"/>
        <rFont val="宋体"/>
        <charset val="134"/>
      </rPr>
      <t>20 times)</t>
    </r>
  </si>
  <si>
    <t>Used BLE power(mA)</t>
  </si>
  <si>
    <t>蓝牙功耗</t>
  </si>
  <si>
    <t>采集时间（一分钟一次）</t>
  </si>
  <si>
    <t>一分钟采集一次电流</t>
  </si>
  <si>
    <t>20次采集平均功耗</t>
  </si>
  <si>
    <t>蓝牙使用是睡眠电流</t>
  </si>
  <si>
    <t>WMOD=3,3,60,20,-16,32,1</t>
  </si>
  <si>
    <t>WMOD=3,1,60,20,-16,32,1</t>
  </si>
  <si>
    <r>
      <rPr>
        <b/>
        <sz val="11"/>
        <color theme="1"/>
        <rFont val="Calibri"/>
        <family val="2"/>
      </rPr>
      <t xml:space="preserve">How to use:
1.Please do not modify the formula in the table
2.After selecting the </t>
    </r>
    <r>
      <rPr>
        <b/>
        <sz val="11"/>
        <color theme="0"/>
        <rFont val="Calibri"/>
        <family val="2"/>
      </rPr>
      <t>product number</t>
    </r>
    <r>
      <rPr>
        <b/>
        <sz val="11"/>
        <color theme="1"/>
        <rFont val="Calibri"/>
        <family val="2"/>
      </rPr>
      <t xml:space="preserve"> and </t>
    </r>
    <r>
      <rPr>
        <b/>
        <sz val="11"/>
        <color theme="0"/>
        <rFont val="Calibri"/>
        <family val="2"/>
      </rPr>
      <t>model</t>
    </r>
    <r>
      <rPr>
        <b/>
        <sz val="11"/>
        <color theme="1"/>
        <rFont val="Calibri"/>
        <family val="2"/>
      </rPr>
      <t xml:space="preserve">, then select the </t>
    </r>
    <r>
      <rPr>
        <b/>
        <sz val="11"/>
        <color theme="0"/>
        <rFont val="Calibri"/>
        <family val="2"/>
      </rPr>
      <t>TDC unit</t>
    </r>
    <r>
      <rPr>
        <b/>
        <sz val="11"/>
        <color theme="1"/>
        <rFont val="Calibri"/>
        <family val="2"/>
      </rPr>
      <t xml:space="preserve">, and finally enter the </t>
    </r>
    <r>
      <rPr>
        <b/>
        <sz val="11"/>
        <color theme="0"/>
        <rFont val="Calibri"/>
        <family val="2"/>
      </rPr>
      <t>TDC</t>
    </r>
    <r>
      <rPr>
        <b/>
        <sz val="11"/>
        <color rgb="FFFF0000"/>
        <rFont val="Calibri"/>
        <family val="2"/>
      </rPr>
      <t>,</t>
    </r>
    <r>
      <rPr>
        <b/>
        <sz val="11"/>
        <color theme="1"/>
        <rFont val="Calibri"/>
        <family val="2"/>
      </rPr>
      <t xml:space="preserve"> you can get the predicted battery life
</t>
    </r>
  </si>
  <si>
    <t>NSE01_NB_Soil_Moisture___EC_Sensor</t>
  </si>
  <si>
    <t>protocol</t>
  </si>
  <si>
    <r>
      <rPr>
        <b/>
        <sz val="11"/>
        <color theme="1"/>
        <rFont val="Calibri"/>
        <family val="2"/>
      </rPr>
      <t>Receive and send power</t>
    </r>
    <r>
      <rPr>
        <b/>
        <sz val="11"/>
        <color theme="1"/>
        <rFont val="宋体"/>
        <charset val="134"/>
      </rPr>
      <t>（</t>
    </r>
    <r>
      <rPr>
        <b/>
        <sz val="11"/>
        <color theme="1"/>
        <rFont val="Calibri"/>
        <family val="2"/>
      </rPr>
      <t>mA*ms</t>
    </r>
    <r>
      <rPr>
        <b/>
        <sz val="11"/>
        <color theme="1"/>
        <rFont val="宋体"/>
        <charset val="134"/>
      </rPr>
      <t>）</t>
    </r>
  </si>
  <si>
    <t>MQTT</t>
  </si>
  <si>
    <t>COAP</t>
  </si>
  <si>
    <t>UDP</t>
  </si>
  <si>
    <t>TCP</t>
  </si>
  <si>
    <t>协议</t>
  </si>
  <si>
    <t>接收发送时间</t>
  </si>
  <si>
    <t>看门狗时间</t>
  </si>
  <si>
    <t>接收发送电流</t>
  </si>
  <si>
    <t>看门狗电流</t>
  </si>
  <si>
    <t>接收发送功耗</t>
  </si>
  <si>
    <t>看门狗功耗</t>
  </si>
  <si>
    <t>LSN50_V2____Waterproof_Long_Range_Wireless_NB_Sensor_Node</t>
  </si>
  <si>
    <t>NDDS75_NB_Distance_Detection_Sensor</t>
  </si>
  <si>
    <t>NDDS20_NB_Liquid_Level_Sensor</t>
  </si>
  <si>
    <t>N95S31B</t>
  </si>
  <si>
    <t>NBSN95_GV</t>
  </si>
  <si>
    <t>add N95S31B</t>
  </si>
  <si>
    <r>
      <rPr>
        <b/>
        <sz val="11"/>
        <color theme="1"/>
        <rFont val="Calibri"/>
        <family val="2"/>
      </rPr>
      <t xml:space="preserve">How to use:
1.Please do not modify the formula in the table
2.After selecting the </t>
    </r>
    <r>
      <rPr>
        <b/>
        <sz val="11"/>
        <color theme="0"/>
        <rFont val="Calibri"/>
        <family val="2"/>
      </rPr>
      <t>product number</t>
    </r>
    <r>
      <rPr>
        <b/>
        <sz val="11"/>
        <color theme="1"/>
        <rFont val="Calibri"/>
        <family val="2"/>
      </rPr>
      <t xml:space="preserve"> and </t>
    </r>
    <r>
      <rPr>
        <b/>
        <sz val="11"/>
        <color theme="0"/>
        <rFont val="Calibri"/>
        <family val="2"/>
      </rPr>
      <t>model</t>
    </r>
    <r>
      <rPr>
        <b/>
        <sz val="11"/>
        <color theme="1"/>
        <rFont val="Calibri"/>
        <family val="2"/>
      </rPr>
      <t xml:space="preserve">, then select the </t>
    </r>
    <r>
      <rPr>
        <b/>
        <sz val="11"/>
        <color theme="0"/>
        <rFont val="Calibri"/>
        <family val="2"/>
      </rPr>
      <t>TDC unit</t>
    </r>
    <r>
      <rPr>
        <b/>
        <sz val="11"/>
        <color theme="1"/>
        <rFont val="Calibri"/>
        <family val="2"/>
      </rPr>
      <t xml:space="preserve">, and finally enter the </t>
    </r>
    <r>
      <rPr>
        <b/>
        <sz val="11"/>
        <color theme="0"/>
        <rFont val="Calibri"/>
        <family val="2"/>
      </rPr>
      <t>TDC</t>
    </r>
    <r>
      <rPr>
        <b/>
        <sz val="11"/>
        <color rgb="FFFF0000"/>
        <rFont val="Calibri"/>
        <family val="2"/>
      </rPr>
      <t>,</t>
    </r>
    <r>
      <rPr>
        <b/>
        <sz val="11"/>
        <color theme="1"/>
        <rFont val="Calibri"/>
        <family val="2"/>
      </rPr>
      <t xml:space="preserve"> you can get the predicted battery life
3.Sample x times every TDC The number in sample x times every TDC indicates how many sets of data were collected in a given TDC time. (adjustable)
</t>
    </r>
  </si>
  <si>
    <t>TS01_NB</t>
  </si>
  <si>
    <t>Sample x times every TDC</t>
  </si>
  <si>
    <t>8</t>
  </si>
  <si>
    <t>protocol(signal)</t>
  </si>
  <si>
    <t>MQTT(signal:20)</t>
  </si>
  <si>
    <t>MQTT(signal:27)</t>
  </si>
  <si>
    <t>MQTT(signal:21)</t>
  </si>
  <si>
    <t>UDP(signal:20)</t>
  </si>
  <si>
    <t>UDP(signal:5)</t>
  </si>
  <si>
    <t>UDP(signal:18)</t>
  </si>
  <si>
    <t>TCP(signal:22)</t>
  </si>
  <si>
    <t>TCP(signal:20)</t>
  </si>
  <si>
    <t>TCP(signal:21)</t>
  </si>
  <si>
    <t>Not_inserted_into_NB_card</t>
  </si>
  <si>
    <t>MOD</t>
  </si>
  <si>
    <t>SN50V3_NB</t>
  </si>
  <si>
    <t>DDS75_NB</t>
  </si>
  <si>
    <t>DDS20_NB</t>
  </si>
  <si>
    <t>SE01_NB</t>
  </si>
  <si>
    <t>S31B_NB</t>
  </si>
  <si>
    <t>SPH01_NB</t>
  </si>
  <si>
    <t>MOD=6_PIR</t>
  </si>
  <si>
    <t>MDS200_NB</t>
  </si>
  <si>
    <t>RS485_NB</t>
  </si>
  <si>
    <t>LDS12_NB</t>
  </si>
  <si>
    <t>D20_NB</t>
  </si>
  <si>
    <t>D23_NB</t>
  </si>
  <si>
    <t>DDS45_NB</t>
  </si>
  <si>
    <t>DDS04_NB</t>
  </si>
  <si>
    <t>MDS120_NB</t>
  </si>
  <si>
    <t>CPL03_NB</t>
  </si>
  <si>
    <t>PS_NB</t>
  </si>
  <si>
    <t>SE02_NB</t>
  </si>
  <si>
    <t>DS03A_NB</t>
  </si>
  <si>
    <r>
      <rPr>
        <b/>
        <sz val="11"/>
        <color theme="1"/>
        <rFont val="Calibri"/>
        <family val="2"/>
      </rPr>
      <t xml:space="preserve">How to use:
1.Please do not modify the formula in the table
2.After selecting the </t>
    </r>
    <r>
      <rPr>
        <b/>
        <sz val="11"/>
        <color theme="0"/>
        <rFont val="Calibri"/>
        <family val="2"/>
      </rPr>
      <t>product number</t>
    </r>
    <r>
      <rPr>
        <b/>
        <sz val="11"/>
        <color theme="1"/>
        <rFont val="Calibri"/>
        <family val="2"/>
      </rPr>
      <t xml:space="preserve"> and </t>
    </r>
    <r>
      <rPr>
        <b/>
        <sz val="11"/>
        <color theme="0"/>
        <rFont val="Calibri"/>
        <family val="2"/>
      </rPr>
      <t>model</t>
    </r>
    <r>
      <rPr>
        <b/>
        <sz val="11"/>
        <color theme="1"/>
        <rFont val="Calibri"/>
        <family val="2"/>
      </rPr>
      <t xml:space="preserve">, then select the </t>
    </r>
    <r>
      <rPr>
        <b/>
        <sz val="11"/>
        <color theme="0"/>
        <rFont val="Calibri"/>
        <family val="2"/>
      </rPr>
      <t>TDC unit</t>
    </r>
    <r>
      <rPr>
        <b/>
        <sz val="11"/>
        <color theme="1"/>
        <rFont val="Calibri"/>
        <family val="2"/>
      </rPr>
      <t xml:space="preserve">, and finally enter the </t>
    </r>
    <r>
      <rPr>
        <b/>
        <sz val="11"/>
        <color theme="0"/>
        <rFont val="Calibri"/>
        <family val="2"/>
      </rPr>
      <t>TDC</t>
    </r>
    <r>
      <rPr>
        <b/>
        <sz val="11"/>
        <color rgb="FFFF0000"/>
        <rFont val="Calibri"/>
        <family val="2"/>
      </rPr>
      <t>,</t>
    </r>
    <r>
      <rPr>
        <b/>
        <sz val="11"/>
        <color theme="1"/>
        <rFont val="Calibri"/>
        <family val="2"/>
      </rPr>
      <t xml:space="preserve"> you can get the predicted battery life
3.Sample x times every TDC The number in sample x times every TDC indicates how many sets of data were collected in a given TDC time. (adjustable)
4. </t>
    </r>
    <r>
      <rPr>
        <b/>
        <sz val="11"/>
        <color rgb="FFFF0000"/>
        <rFont val="Calibri"/>
        <family val="2"/>
      </rPr>
      <t>Run the GPS location function once a day.   30 seconds to locate success</t>
    </r>
  </si>
  <si>
    <t>S31X_CB</t>
  </si>
  <si>
    <t>GPS Average Loss(once a day)(mA)</t>
  </si>
  <si>
    <r>
      <rPr>
        <b/>
        <sz val="11"/>
        <color theme="1"/>
        <rFont val="Calibri"/>
        <family val="2"/>
      </rPr>
      <t>GPS</t>
    </r>
    <r>
      <rPr>
        <b/>
        <sz val="11"/>
        <color theme="1"/>
        <rFont val="宋体"/>
        <charset val="134"/>
      </rPr>
      <t>定位时间（</t>
    </r>
    <r>
      <rPr>
        <sz val="11"/>
        <color theme="1"/>
        <rFont val="宋体"/>
        <charset val="134"/>
      </rPr>
      <t>ms</t>
    </r>
    <r>
      <rPr>
        <b/>
        <sz val="11"/>
        <color theme="1"/>
        <rFont val="宋体"/>
        <charset val="134"/>
      </rPr>
      <t>）</t>
    </r>
  </si>
  <si>
    <r>
      <rPr>
        <b/>
        <sz val="11"/>
        <color theme="1"/>
        <rFont val="宋体"/>
        <charset val="134"/>
      </rPr>
      <t>GPS定位电流（</t>
    </r>
    <r>
      <rPr>
        <sz val="11"/>
        <color theme="1"/>
        <rFont val="宋体"/>
        <charset val="134"/>
      </rPr>
      <t>mA</t>
    </r>
    <r>
      <rPr>
        <b/>
        <sz val="11"/>
        <color theme="1"/>
        <rFont val="宋体"/>
        <charset val="134"/>
      </rPr>
      <t>）</t>
    </r>
  </si>
  <si>
    <r>
      <rPr>
        <b/>
        <sz val="11"/>
        <color theme="1"/>
        <rFont val="Calibri"/>
        <family val="2"/>
      </rPr>
      <t>GPS定位功耗(</t>
    </r>
    <r>
      <rPr>
        <sz val="11"/>
        <color theme="1"/>
        <rFont val="宋体"/>
        <charset val="134"/>
      </rPr>
      <t>ms*mA</t>
    </r>
    <r>
      <rPr>
        <b/>
        <sz val="11"/>
        <color theme="1"/>
        <rFont val="宋体"/>
        <charset val="134"/>
      </rPr>
      <t>)</t>
    </r>
  </si>
  <si>
    <t>Not_inserted_into_CB_card</t>
  </si>
  <si>
    <t>SN50V3_CB</t>
  </si>
  <si>
    <t>DDS75_CB</t>
  </si>
  <si>
    <t>DDS20_CB</t>
  </si>
  <si>
    <t>SE01_CB</t>
  </si>
  <si>
    <t>SPH01_CB</t>
  </si>
  <si>
    <t>MDS200_CB</t>
  </si>
  <si>
    <t>RS485_CB</t>
  </si>
  <si>
    <t>LDS12_CB</t>
  </si>
  <si>
    <t>D20_CB</t>
  </si>
  <si>
    <t>D23_CB</t>
  </si>
  <si>
    <t>DDS45_CB</t>
  </si>
  <si>
    <t>DDS04_CB</t>
  </si>
  <si>
    <t>MDS120_CB</t>
  </si>
  <si>
    <t>CPL03_CB</t>
  </si>
  <si>
    <t>PS_CB</t>
  </si>
  <si>
    <t>SE02_CB</t>
  </si>
  <si>
    <t>TS01_CB</t>
  </si>
  <si>
    <t>DS03A_CB</t>
  </si>
  <si>
    <t>定时采集时间（8组）</t>
    <phoneticPr fontId="17" type="noConversion"/>
  </si>
  <si>
    <t>定时采集电流（8组）</t>
    <phoneticPr fontId="17" type="noConversion"/>
  </si>
  <si>
    <t>定时采集功耗（8组）</t>
    <phoneticPr fontId="17" type="noConversion"/>
  </si>
  <si>
    <t>Average power(8 groups)</t>
    <phoneticPr fontId="17" type="noConversion"/>
  </si>
  <si>
    <t>0.019618</t>
    <phoneticPr fontId="17" type="noConversion"/>
  </si>
  <si>
    <t>z</t>
  </si>
  <si>
    <t>v2.8</t>
  </si>
  <si>
    <t>Fixed LB model table data error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</si>
</sst>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_ "/>
  </numFmts>
  <fonts count="20">
    <font>
      <sz val="11"/>
      <color theme="1"/>
      <name val="Calibri"/>
      <charset val="134"/>
      <scheme val="minor"/>
    </font>
    <font>
      <b/>
      <sz val="11"/>
      <color theme="1"/>
      <name val="Calibri"/>
      <family val="2"/>
    </font>
    <font>
      <b/>
      <sz val="20"/>
      <color theme="0"/>
      <name val="Calibri"/>
      <family val="2"/>
    </font>
    <font>
      <b/>
      <sz val="22"/>
      <color theme="1"/>
      <name val="Calibri"/>
      <family val="2"/>
    </font>
    <font>
      <sz val="11"/>
      <name val="Cambria"/>
      <family val="1"/>
    </font>
    <font>
      <sz val="11"/>
      <color theme="1"/>
      <name val="Calibri"/>
      <family val="2"/>
    </font>
    <font>
      <b/>
      <sz val="8"/>
      <color theme="1"/>
      <name val="Calibri"/>
      <family val="2"/>
    </font>
    <font>
      <b/>
      <sz val="11"/>
      <color theme="1"/>
      <name val="宋体"/>
      <charset val="134"/>
    </font>
    <font>
      <b/>
      <sz val="11"/>
      <color theme="1"/>
      <name val="宋体"/>
      <charset val="134"/>
    </font>
    <font>
      <b/>
      <sz val="11"/>
      <name val="Calibri"/>
      <family val="2"/>
    </font>
    <font>
      <b/>
      <sz val="24"/>
      <color theme="1"/>
      <name val="Calibri"/>
      <family val="2"/>
    </font>
    <font>
      <b/>
      <sz val="14"/>
      <color theme="0" tint="-4.9989318521683403E-2"/>
      <name val="Calibri"/>
      <family val="2"/>
    </font>
    <font>
      <b/>
      <sz val="14"/>
      <color theme="1"/>
      <name val="Calibri"/>
      <family val="2"/>
    </font>
    <font>
      <b/>
      <sz val="12"/>
      <color rgb="FFFF0000"/>
      <name val="Calibri"/>
      <family val="2"/>
    </font>
    <font>
      <b/>
      <sz val="11"/>
      <color rgb="FFFF0000"/>
      <name val="Calibri"/>
      <family val="2"/>
    </font>
    <font>
      <b/>
      <sz val="11"/>
      <color theme="0"/>
      <name val="Calibri"/>
      <family val="2"/>
    </font>
    <font>
      <sz val="11"/>
      <color theme="1"/>
      <name val="宋体"/>
      <charset val="134"/>
    </font>
    <font>
      <sz val="9"/>
      <name val="Calibri"/>
      <charset val="134"/>
      <scheme val="minor"/>
    </font>
    <font>
      <sz val="9"/>
      <name val="Calibri"/>
      <family val="3"/>
      <charset val="134"/>
      <scheme val="minor"/>
    </font>
    <font>
      <b/>
      <sz val="11"/>
      <color theme="1"/>
      <name val="宋体"/>
      <family val="2"/>
      <charset val="134"/>
    </font>
  </fonts>
  <fills count="18">
    <fill>
      <patternFill patternType="none"/>
    </fill>
    <fill>
      <patternFill patternType="gray125"/>
    </fill>
    <fill>
      <patternFill patternType="solid">
        <fgColor theme="9"/>
        <bgColor indexed="64"/>
      </patternFill>
    </fill>
    <fill>
      <patternFill patternType="solid">
        <fgColor rgb="FF7B6993"/>
        <bgColor indexed="64"/>
      </patternFill>
    </fill>
    <fill>
      <patternFill patternType="solid">
        <fgColor theme="6"/>
        <bgColor indexed="64"/>
      </patternFill>
    </fill>
    <fill>
      <patternFill patternType="solid">
        <fgColor theme="0" tint="-0.34998626667073579"/>
        <bgColor indexed="64"/>
      </patternFill>
    </fill>
    <fill>
      <patternFill patternType="solid">
        <fgColor rgb="FFFFC000"/>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rgb="FF00B050"/>
        <bgColor indexed="64"/>
      </patternFill>
    </fill>
    <fill>
      <patternFill patternType="solid">
        <fgColor theme="4" tint="0.3987853633228553"/>
        <bgColor indexed="64"/>
      </patternFill>
    </fill>
    <fill>
      <patternFill patternType="solid">
        <fgColor rgb="FF00B0F0"/>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rgb="FF7030A0"/>
        <bgColor indexed="64"/>
      </patternFill>
    </fill>
    <fill>
      <patternFill patternType="solid">
        <fgColor theme="8"/>
        <bgColor indexed="64"/>
      </patternFill>
    </fill>
    <fill>
      <patternFill patternType="solid">
        <fgColor theme="5"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
    <xf numFmtId="0" fontId="0" fillId="0" borderId="0">
      <alignment vertical="center"/>
    </xf>
  </cellStyleXfs>
  <cellXfs count="81">
    <xf numFmtId="0" fontId="0" fillId="0" borderId="0" xfId="0">
      <alignment vertical="center"/>
    </xf>
    <xf numFmtId="0" fontId="1" fillId="0" borderId="0" xfId="0" applyFont="1" applyAlignment="1"/>
    <xf numFmtId="0" fontId="1" fillId="2" borderId="0" xfId="0" applyFont="1" applyFill="1" applyAlignment="1"/>
    <xf numFmtId="0" fontId="1" fillId="3" borderId="0" xfId="0" applyFont="1" applyFill="1" applyAlignment="1"/>
    <xf numFmtId="0" fontId="1" fillId="4" borderId="1" xfId="0" applyFont="1" applyFill="1" applyBorder="1" applyAlignment="1"/>
    <xf numFmtId="0" fontId="1" fillId="5" borderId="2" xfId="0" applyFont="1" applyFill="1" applyBorder="1" applyAlignment="1"/>
    <xf numFmtId="0" fontId="1" fillId="4" borderId="5" xfId="0" applyFont="1" applyFill="1" applyBorder="1" applyAlignment="1"/>
    <xf numFmtId="0" fontId="1" fillId="4" borderId="6" xfId="0" applyFont="1" applyFill="1" applyBorder="1" applyAlignment="1"/>
    <xf numFmtId="0" fontId="4" fillId="11" borderId="9" xfId="0" applyFont="1" applyFill="1" applyBorder="1">
      <alignment vertical="center"/>
    </xf>
    <xf numFmtId="0" fontId="1" fillId="6" borderId="5" xfId="0" applyFont="1" applyFill="1" applyBorder="1" applyAlignment="1"/>
    <xf numFmtId="0" fontId="0" fillId="12" borderId="8" xfId="0" applyFill="1" applyBorder="1">
      <alignment vertical="center"/>
    </xf>
    <xf numFmtId="0" fontId="0" fillId="6" borderId="2" xfId="0" applyFill="1" applyBorder="1">
      <alignment vertical="center"/>
    </xf>
    <xf numFmtId="0" fontId="0" fillId="6" borderId="1" xfId="0" applyFill="1" applyBorder="1">
      <alignment vertical="center"/>
    </xf>
    <xf numFmtId="0" fontId="5" fillId="6" borderId="5" xfId="0" applyFont="1" applyFill="1" applyBorder="1" applyAlignment="1"/>
    <xf numFmtId="0" fontId="0" fillId="12" borderId="1" xfId="0" applyFill="1" applyBorder="1">
      <alignment vertical="center"/>
    </xf>
    <xf numFmtId="0" fontId="0" fillId="0" borderId="0" xfId="0" applyAlignment="1">
      <alignment horizontal="right" vertical="center"/>
    </xf>
    <xf numFmtId="0" fontId="1" fillId="12" borderId="0" xfId="0" applyFont="1" applyFill="1" applyAlignment="1"/>
    <xf numFmtId="0" fontId="1" fillId="6" borderId="0" xfId="0" applyFont="1" applyFill="1" applyAlignment="1"/>
    <xf numFmtId="0" fontId="1" fillId="0" borderId="0" xfId="0" applyFont="1" applyAlignment="1">
      <alignment wrapText="1"/>
    </xf>
    <xf numFmtId="0" fontId="1" fillId="13" borderId="0" xfId="0" applyFont="1" applyFill="1" applyAlignment="1"/>
    <xf numFmtId="49" fontId="1" fillId="13" borderId="0" xfId="0" applyNumberFormat="1" applyFont="1" applyFill="1" applyAlignment="1">
      <alignment horizontal="right"/>
    </xf>
    <xf numFmtId="0" fontId="1" fillId="14" borderId="0" xfId="0" applyFont="1" applyFill="1" applyAlignment="1"/>
    <xf numFmtId="0" fontId="6" fillId="14" borderId="0" xfId="0" applyFont="1" applyFill="1" applyAlignment="1">
      <alignment horizontal="center"/>
    </xf>
    <xf numFmtId="0" fontId="7" fillId="12" borderId="0" xfId="0" applyFont="1" applyFill="1" applyAlignment="1"/>
    <xf numFmtId="0" fontId="8" fillId="12" borderId="0" xfId="0" applyFont="1" applyFill="1" applyAlignment="1"/>
    <xf numFmtId="0" fontId="1" fillId="12" borderId="0" xfId="0" applyFont="1" applyFill="1" applyAlignment="1">
      <alignment horizontal="right"/>
    </xf>
    <xf numFmtId="0" fontId="0" fillId="0" borderId="8" xfId="0" applyBorder="1">
      <alignment vertical="center"/>
    </xf>
    <xf numFmtId="0" fontId="0" fillId="0" borderId="2" xfId="0" applyBorder="1">
      <alignment vertical="center"/>
    </xf>
    <xf numFmtId="0" fontId="0" fillId="0" borderId="1" xfId="0" applyBorder="1">
      <alignment vertical="center"/>
    </xf>
    <xf numFmtId="0" fontId="4" fillId="15" borderId="9" xfId="0" applyFont="1" applyFill="1" applyBorder="1">
      <alignment vertical="center"/>
    </xf>
    <xf numFmtId="0" fontId="1" fillId="16" borderId="9" xfId="0" applyFont="1" applyFill="1" applyBorder="1" applyAlignment="1"/>
    <xf numFmtId="0" fontId="1" fillId="16" borderId="1" xfId="0" applyFont="1" applyFill="1" applyBorder="1" applyAlignment="1" applyProtection="1">
      <protection locked="0" hidden="1"/>
    </xf>
    <xf numFmtId="0" fontId="1" fillId="3" borderId="1" xfId="0" applyFont="1" applyFill="1" applyBorder="1" applyAlignment="1" applyProtection="1">
      <protection locked="0" hidden="1"/>
    </xf>
    <xf numFmtId="0" fontId="9" fillId="17" borderId="9" xfId="0" applyFont="1" applyFill="1" applyBorder="1" applyAlignment="1"/>
    <xf numFmtId="0" fontId="9" fillId="17" borderId="1" xfId="0" applyFont="1" applyFill="1" applyBorder="1" applyAlignment="1"/>
    <xf numFmtId="0" fontId="1" fillId="17" borderId="1" xfId="0" applyFont="1" applyFill="1" applyBorder="1" applyAlignment="1" applyProtection="1">
      <protection locked="0" hidden="1"/>
    </xf>
    <xf numFmtId="0" fontId="1" fillId="17" borderId="1" xfId="0" applyFont="1" applyFill="1" applyBorder="1" applyAlignment="1"/>
    <xf numFmtId="0" fontId="10" fillId="0" borderId="0" xfId="0" applyFont="1">
      <alignment vertical="center"/>
    </xf>
    <xf numFmtId="164" fontId="11" fillId="16" borderId="1" xfId="0" applyNumberFormat="1" applyFont="1" applyFill="1" applyBorder="1" applyAlignment="1" applyProtection="1">
      <protection locked="0" hidden="1"/>
    </xf>
    <xf numFmtId="0" fontId="1" fillId="3" borderId="12" xfId="0" applyFont="1" applyFill="1" applyBorder="1" applyAlignment="1" applyProtection="1">
      <protection locked="0" hidden="1"/>
    </xf>
    <xf numFmtId="164" fontId="12" fillId="3" borderId="2" xfId="0" applyNumberFormat="1" applyFont="1" applyFill="1" applyBorder="1" applyAlignment="1" applyProtection="1">
      <protection locked="0" hidden="1"/>
    </xf>
    <xf numFmtId="164" fontId="11" fillId="17" borderId="1" xfId="0" applyNumberFormat="1" applyFont="1" applyFill="1" applyBorder="1" applyAlignment="1" applyProtection="1">
      <protection locked="0" hidden="1"/>
    </xf>
    <xf numFmtId="0" fontId="8" fillId="0" borderId="0" xfId="0" applyFont="1" applyAlignment="1"/>
    <xf numFmtId="0" fontId="8" fillId="6" borderId="0" xfId="0" applyFont="1" applyFill="1" applyAlignment="1"/>
    <xf numFmtId="0" fontId="1" fillId="0" borderId="0" xfId="0" applyFont="1" applyAlignment="1">
      <alignment vertical="top"/>
    </xf>
    <xf numFmtId="0" fontId="10" fillId="0" borderId="0" xfId="0" applyFont="1" applyAlignment="1"/>
    <xf numFmtId="0" fontId="8" fillId="12" borderId="0" xfId="0" applyFont="1" applyFill="1" applyAlignment="1">
      <alignment horizontal="left"/>
    </xf>
    <xf numFmtId="0" fontId="14" fillId="2" borderId="0" xfId="0" applyFont="1" applyFill="1" applyAlignment="1"/>
    <xf numFmtId="0" fontId="1" fillId="2" borderId="0" xfId="0" applyFont="1" applyFill="1" applyAlignment="1">
      <alignment wrapText="1"/>
    </xf>
    <xf numFmtId="0" fontId="19" fillId="12" borderId="0" xfId="0" applyFont="1" applyFill="1" applyAlignment="1"/>
    <xf numFmtId="49" fontId="1" fillId="12" borderId="0" xfId="0" applyNumberFormat="1" applyFont="1" applyFill="1" applyAlignment="1">
      <alignment horizontal="right"/>
    </xf>
    <xf numFmtId="0" fontId="1" fillId="0" borderId="0" xfId="0" applyFont="1" applyAlignment="1">
      <alignment wrapText="1"/>
    </xf>
    <xf numFmtId="0" fontId="1" fillId="0" borderId="0" xfId="0" applyFont="1" applyAlignment="1">
      <alignment horizontal="left"/>
    </xf>
    <xf numFmtId="0" fontId="1" fillId="0" borderId="0" xfId="0" applyFont="1" applyAlignment="1">
      <alignment horizontal="left" wrapText="1"/>
    </xf>
    <xf numFmtId="0" fontId="1" fillId="2" borderId="0" xfId="0" applyFont="1" applyFill="1" applyAlignment="1">
      <alignment horizontal="left" vertical="top" wrapText="1"/>
    </xf>
    <xf numFmtId="0" fontId="1" fillId="0" borderId="0" xfId="0" applyFont="1" applyAlignment="1"/>
    <xf numFmtId="0" fontId="1" fillId="6" borderId="0" xfId="0" applyFont="1" applyFill="1" applyAlignment="1">
      <alignment vertical="top" wrapText="1"/>
    </xf>
    <xf numFmtId="0" fontId="1" fillId="8" borderId="10" xfId="0" applyFont="1" applyFill="1" applyBorder="1" applyAlignment="1"/>
    <xf numFmtId="0" fontId="1" fillId="8" borderId="0" xfId="0" applyFont="1" applyFill="1" applyAlignment="1"/>
    <xf numFmtId="0" fontId="1" fillId="7" borderId="4" xfId="0" applyFont="1" applyFill="1" applyBorder="1" applyAlignment="1">
      <alignment horizontal="center" vertical="center"/>
    </xf>
    <xf numFmtId="0" fontId="2" fillId="9" borderId="10" xfId="0" applyFont="1" applyFill="1" applyBorder="1" applyAlignment="1">
      <alignment horizontal="center" vertical="center"/>
    </xf>
    <xf numFmtId="0" fontId="2" fillId="9" borderId="0" xfId="0" applyFont="1" applyFill="1" applyAlignment="1">
      <alignment horizontal="center" vertical="center"/>
    </xf>
    <xf numFmtId="49" fontId="1" fillId="10" borderId="10" xfId="0" applyNumberFormat="1" applyFont="1" applyFill="1" applyBorder="1" applyAlignment="1">
      <alignment vertical="center" wrapText="1"/>
    </xf>
    <xf numFmtId="49" fontId="1" fillId="10" borderId="0" xfId="0" applyNumberFormat="1" applyFont="1" applyFill="1" applyAlignment="1">
      <alignment vertical="center" wrapText="1"/>
    </xf>
    <xf numFmtId="0" fontId="1" fillId="7" borderId="5" xfId="0" applyFont="1" applyFill="1" applyBorder="1" applyAlignment="1">
      <alignment horizontal="center" vertical="center"/>
    </xf>
    <xf numFmtId="0" fontId="1" fillId="7" borderId="8" xfId="0" applyFont="1" applyFill="1" applyBorder="1" applyAlignment="1">
      <alignment horizontal="center" vertical="center"/>
    </xf>
    <xf numFmtId="0" fontId="2" fillId="9" borderId="11" xfId="0" applyFont="1" applyFill="1" applyBorder="1" applyAlignment="1">
      <alignment horizontal="center" vertical="center"/>
    </xf>
    <xf numFmtId="49" fontId="1" fillId="10" borderId="10" xfId="0" applyNumberFormat="1" applyFont="1" applyFill="1" applyBorder="1" applyAlignment="1">
      <alignment horizontal="center" vertical="center" wrapText="1"/>
    </xf>
    <xf numFmtId="49" fontId="1" fillId="10" borderId="11" xfId="0" applyNumberFormat="1" applyFont="1" applyFill="1" applyBorder="1" applyAlignment="1">
      <alignment horizontal="center" vertical="center"/>
    </xf>
    <xf numFmtId="0" fontId="13" fillId="12" borderId="1" xfId="0" applyFont="1" applyFill="1" applyBorder="1" applyAlignment="1">
      <alignment horizontal="center"/>
    </xf>
    <xf numFmtId="49" fontId="1" fillId="10" borderId="11" xfId="0" applyNumberFormat="1" applyFont="1" applyFill="1" applyBorder="1" applyAlignment="1">
      <alignment horizontal="center" vertical="center" wrapText="1"/>
    </xf>
    <xf numFmtId="0" fontId="1" fillId="6" borderId="3" xfId="0" applyFont="1" applyFill="1" applyBorder="1" applyAlignment="1">
      <alignment vertical="top" wrapText="1"/>
    </xf>
    <xf numFmtId="0" fontId="1" fillId="8" borderId="5" xfId="0" applyFont="1" applyFill="1" applyBorder="1" applyAlignment="1"/>
    <xf numFmtId="0" fontId="1" fillId="8" borderId="4" xfId="0" applyFont="1" applyFill="1" applyBorder="1" applyAlignment="1"/>
    <xf numFmtId="0" fontId="2" fillId="9" borderId="6" xfId="0" applyFont="1" applyFill="1" applyBorder="1" applyAlignment="1">
      <alignment horizontal="center" vertical="center"/>
    </xf>
    <xf numFmtId="0" fontId="2" fillId="9" borderId="7" xfId="0" applyFont="1" applyFill="1" applyBorder="1" applyAlignment="1">
      <alignment horizontal="center" vertical="center"/>
    </xf>
    <xf numFmtId="49" fontId="1" fillId="10" borderId="5" xfId="0" applyNumberFormat="1" applyFont="1" applyFill="1" applyBorder="1" applyAlignment="1"/>
    <xf numFmtId="49" fontId="1" fillId="10" borderId="8" xfId="0" applyNumberFormat="1" applyFont="1" applyFill="1" applyBorder="1" applyAlignment="1"/>
    <xf numFmtId="49" fontId="3" fillId="10" borderId="5" xfId="0" applyNumberFormat="1" applyFont="1" applyFill="1" applyBorder="1" applyAlignment="1">
      <alignment horizontal="center"/>
    </xf>
    <xf numFmtId="49" fontId="3" fillId="10" borderId="8" xfId="0" applyNumberFormat="1" applyFont="1" applyFill="1" applyBorder="1" applyAlignment="1">
      <alignment horizontal="center"/>
    </xf>
    <xf numFmtId="0" fontId="2" fillId="9" borderId="6"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7B69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202341</xdr:colOff>
      <xdr:row>2</xdr:row>
      <xdr:rowOff>5752</xdr:rowOff>
    </xdr:from>
    <xdr:to>
      <xdr:col>1</xdr:col>
      <xdr:colOff>626223</xdr:colOff>
      <xdr:row>3</xdr:row>
      <xdr:rowOff>302932</xdr:rowOff>
    </xdr:to>
    <xdr:pic>
      <xdr:nvPicPr>
        <xdr:cNvPr id="16" name="图片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930" y="386715"/>
          <a:ext cx="2091055" cy="487680"/>
        </a:xfrm>
        <a:prstGeom prst="rect">
          <a:avLst/>
        </a:prstGeom>
      </xdr:spPr>
    </xdr:pic>
    <xdr:clientData/>
  </xdr:twoCellAnchor>
  <xdr:oneCellAnchor>
    <xdr:from>
      <xdr:col>4</xdr:col>
      <xdr:colOff>612321</xdr:colOff>
      <xdr:row>5</xdr:row>
      <xdr:rowOff>123825</xdr:rowOff>
    </xdr:from>
    <xdr:ext cx="428262" cy="1006475"/>
    <xdr:sp macro="" textlink="">
      <xdr:nvSpPr>
        <xdr:cNvPr id="21" name="文本框 20">
          <a:extLst>
            <a:ext uri="{FF2B5EF4-FFF2-40B4-BE49-F238E27FC236}">
              <a16:creationId xmlns:a16="http://schemas.microsoft.com/office/drawing/2014/main" id="{00000000-0008-0000-0000-000015000000}"/>
            </a:ext>
          </a:extLst>
        </xdr:cNvPr>
        <xdr:cNvSpPr txBox="1"/>
      </xdr:nvSpPr>
      <xdr:spPr>
        <a:xfrm>
          <a:off x="6936740" y="1733550"/>
          <a:ext cx="427990" cy="10064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nchorCtr="0"/>
        <a:lstStyle/>
        <a:p>
          <a:pPr algn="l"/>
          <a:r>
            <a:rPr lang="en-US" altLang="zh-CN" sz="1200">
              <a:ln w="12700" cmpd="sng">
                <a:solidFill>
                  <a:schemeClr val="tx1"/>
                </a:solidFill>
                <a:prstDash val="solid"/>
              </a:ln>
              <a:solidFill>
                <a:sysClr val="windowText" lastClr="000000"/>
              </a:solidFill>
              <a:uFillTx/>
            </a:rPr>
            <a:t>current</a:t>
          </a:r>
          <a:r>
            <a:rPr lang="zh-CN" altLang="en-US" sz="1200">
              <a:ln w="12700" cmpd="sng">
                <a:solidFill>
                  <a:schemeClr val="tx1"/>
                </a:solidFill>
                <a:prstDash val="solid"/>
              </a:ln>
              <a:solidFill>
                <a:sysClr val="windowText" lastClr="000000"/>
              </a:solidFill>
              <a:uFillTx/>
            </a:rPr>
            <a:t>（</a:t>
          </a:r>
          <a:r>
            <a:rPr lang="en-US" altLang="zh-CN" sz="1200">
              <a:ln w="12700" cmpd="sng">
                <a:solidFill>
                  <a:schemeClr val="tx1"/>
                </a:solidFill>
                <a:prstDash val="solid"/>
              </a:ln>
              <a:solidFill>
                <a:sysClr val="windowText" lastClr="000000"/>
              </a:solidFill>
              <a:uFillTx/>
            </a:rPr>
            <a:t>mA</a:t>
          </a:r>
          <a:r>
            <a:rPr lang="zh-CN" altLang="en-US" sz="1200">
              <a:ln w="12700" cmpd="sng">
                <a:solidFill>
                  <a:schemeClr val="tx1"/>
                </a:solidFill>
                <a:prstDash val="solid"/>
              </a:ln>
              <a:solidFill>
                <a:sysClr val="windowText" lastClr="000000"/>
              </a:solidFill>
              <a:uFillTx/>
            </a:rPr>
            <a:t>）</a:t>
          </a:r>
          <a:endParaRPr lang="en-US" altLang="zh-CN" sz="1200">
            <a:ln w="12700" cmpd="sng">
              <a:solidFill>
                <a:schemeClr val="tx1"/>
              </a:solidFill>
              <a:prstDash val="solid"/>
            </a:ln>
            <a:solidFill>
              <a:sysClr val="windowText" lastClr="000000"/>
            </a:solidFill>
            <a:uFillTx/>
          </a:endParaRPr>
        </a:p>
      </xdr:txBody>
    </xdr:sp>
    <xdr:clientData/>
  </xdr:oneCellAnchor>
  <xdr:twoCellAnchor>
    <xdr:from>
      <xdr:col>4</xdr:col>
      <xdr:colOff>946060</xdr:colOff>
      <xdr:row>4</xdr:row>
      <xdr:rowOff>130175</xdr:rowOff>
    </xdr:from>
    <xdr:to>
      <xdr:col>11</xdr:col>
      <xdr:colOff>1251858</xdr:colOff>
      <xdr:row>11</xdr:row>
      <xdr:rowOff>165735</xdr:rowOff>
    </xdr:to>
    <xdr:grpSp>
      <xdr:nvGrpSpPr>
        <xdr:cNvPr id="3" name="组合 2">
          <a:extLst>
            <a:ext uri="{FF2B5EF4-FFF2-40B4-BE49-F238E27FC236}">
              <a16:creationId xmlns:a16="http://schemas.microsoft.com/office/drawing/2014/main" id="{00000000-0008-0000-0000-000003000000}"/>
            </a:ext>
          </a:extLst>
        </xdr:cNvPr>
        <xdr:cNvGrpSpPr/>
      </xdr:nvGrpSpPr>
      <xdr:grpSpPr>
        <a:xfrm>
          <a:off x="6481766" y="1553322"/>
          <a:ext cx="9236886" cy="1369060"/>
          <a:chOff x="6829425" y="809625"/>
          <a:chExt cx="8896350" cy="1559560"/>
        </a:xfrm>
      </xdr:grpSpPr>
      <xdr:sp macro="" textlink="">
        <xdr:nvSpPr>
          <xdr:cNvPr id="22" name="文本框 21">
            <a:extLst>
              <a:ext uri="{FF2B5EF4-FFF2-40B4-BE49-F238E27FC236}">
                <a16:creationId xmlns:a16="http://schemas.microsoft.com/office/drawing/2014/main" id="{00000000-0008-0000-0000-000016000000}"/>
              </a:ext>
            </a:extLst>
          </xdr:cNvPr>
          <xdr:cNvSpPr txBox="1"/>
        </xdr:nvSpPr>
        <xdr:spPr>
          <a:xfrm>
            <a:off x="6868160" y="2105660"/>
            <a:ext cx="1347470" cy="26352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lstStyle/>
          <a:p>
            <a:pPr algn="l"/>
            <a:r>
              <a:rPr lang="en-US" altLang="zh-CN" sz="1100" b="1">
                <a:solidFill>
                  <a:sysClr val="windowText" lastClr="000000"/>
                </a:solidFill>
              </a:rPr>
              <a:t>time (ms)</a:t>
            </a:r>
          </a:p>
        </xdr:txBody>
      </xdr:sp>
      <xdr:grpSp>
        <xdr:nvGrpSpPr>
          <xdr:cNvPr id="2" name="组合 1">
            <a:extLst>
              <a:ext uri="{FF2B5EF4-FFF2-40B4-BE49-F238E27FC236}">
                <a16:creationId xmlns:a16="http://schemas.microsoft.com/office/drawing/2014/main" id="{00000000-0008-0000-0000-000002000000}"/>
              </a:ext>
            </a:extLst>
          </xdr:cNvPr>
          <xdr:cNvGrpSpPr/>
        </xdr:nvGrpSpPr>
        <xdr:grpSpPr>
          <a:xfrm>
            <a:off x="6829425" y="809625"/>
            <a:ext cx="8896350" cy="1381125"/>
            <a:chOff x="6781800" y="742950"/>
            <a:chExt cx="8896350" cy="1381125"/>
          </a:xfrm>
        </xdr:grpSpPr>
        <xdr:cxnSp macro="">
          <xdr:nvCxnSpPr>
            <xdr:cNvPr id="20" name="直接箭头连接符 19">
              <a:extLst>
                <a:ext uri="{FF2B5EF4-FFF2-40B4-BE49-F238E27FC236}">
                  <a16:creationId xmlns:a16="http://schemas.microsoft.com/office/drawing/2014/main" id="{00000000-0008-0000-0000-000014000000}"/>
                </a:ext>
              </a:extLst>
            </xdr:cNvPr>
            <xdr:cNvCxnSpPr/>
          </xdr:nvCxnSpPr>
          <xdr:spPr>
            <a:xfrm flipV="1">
              <a:off x="6781800" y="800100"/>
              <a:ext cx="9525" cy="1323975"/>
            </a:xfrm>
            <a:prstGeom prst="straightConnector1">
              <a:avLst/>
            </a:prstGeom>
            <a:ln>
              <a:solidFill>
                <a:sysClr val="windowText" lastClr="000000"/>
              </a:solidFill>
              <a:headEnd type="none"/>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5" name="文本框 24">
              <a:extLst>
                <a:ext uri="{FF2B5EF4-FFF2-40B4-BE49-F238E27FC236}">
                  <a16:creationId xmlns:a16="http://schemas.microsoft.com/office/drawing/2014/main" id="{00000000-0008-0000-0000-000019000000}"/>
                </a:ext>
              </a:extLst>
            </xdr:cNvPr>
            <xdr:cNvSpPr txBox="1"/>
          </xdr:nvSpPr>
          <xdr:spPr>
            <a:xfrm>
              <a:off x="6859270" y="1609725"/>
              <a:ext cx="285115" cy="485775"/>
            </a:xfrm>
            <a:prstGeom prst="rect">
              <a:avLst/>
            </a:prstGeom>
            <a:solidFill>
              <a:sysClr val="window" lastClr="FFFFFF"/>
            </a:solidFill>
            <a:ln w="3175">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vert="wordArtVertRtl" wrap="none" lIns="144145" rIns="36195" rtlCol="0" anchor="t"/>
            <a:lstStyle/>
            <a:p>
              <a:pPr algn="l"/>
              <a:r>
                <a:rPr lang="en-US" altLang="zh-CN" sz="1100" b="1"/>
                <a:t>WD</a:t>
              </a:r>
            </a:p>
          </xdr:txBody>
        </xdr:sp>
        <xdr:sp macro="" textlink="">
          <xdr:nvSpPr>
            <xdr:cNvPr id="26" name="文本框 25">
              <a:extLst>
                <a:ext uri="{FF2B5EF4-FFF2-40B4-BE49-F238E27FC236}">
                  <a16:creationId xmlns:a16="http://schemas.microsoft.com/office/drawing/2014/main" id="{00000000-0008-0000-0000-00001A000000}"/>
                </a:ext>
              </a:extLst>
            </xdr:cNvPr>
            <xdr:cNvSpPr txBox="1"/>
          </xdr:nvSpPr>
          <xdr:spPr>
            <a:xfrm>
              <a:off x="71627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sp macro="" textlink="">
          <xdr:nvSpPr>
            <xdr:cNvPr id="27" name="文本框 26">
              <a:extLst>
                <a:ext uri="{FF2B5EF4-FFF2-40B4-BE49-F238E27FC236}">
                  <a16:creationId xmlns:a16="http://schemas.microsoft.com/office/drawing/2014/main" id="{00000000-0008-0000-0000-00001B000000}"/>
                </a:ext>
              </a:extLst>
            </xdr:cNvPr>
            <xdr:cNvSpPr txBox="1"/>
          </xdr:nvSpPr>
          <xdr:spPr>
            <a:xfrm>
              <a:off x="8058150" y="1371600"/>
              <a:ext cx="209550" cy="714375"/>
            </a:xfrm>
            <a:prstGeom prst="rect">
              <a:avLst/>
            </a:prstGeom>
            <a:solidFill>
              <a:schemeClr val="lt1"/>
            </a:solidFill>
            <a:ln w="12700" cmpd="sng">
              <a:solidFill>
                <a:schemeClr val="l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vert="eaVert" wrap="square" lIns="0" tIns="0" rIns="0" bIns="0" rtlCol="0" anchor="t" anchorCtr="0"/>
            <a:lstStyle/>
            <a:p>
              <a:pPr algn="l"/>
              <a:r>
                <a:rPr lang="en-US" altLang="zh-CN" sz="1000" b="0">
                  <a:ln>
                    <a:solidFill>
                      <a:sysClr val="windowText" lastClr="000000"/>
                    </a:solidFill>
                  </a:ln>
                  <a:solidFill>
                    <a:sysClr val="windowText" lastClr="000000"/>
                  </a:solidFill>
                  <a:latin typeface="+mn-lt"/>
                  <a:sym typeface="+mn-ea"/>
                </a:rPr>
                <a:t>   Sampling</a:t>
              </a:r>
            </a:p>
          </xdr:txBody>
        </xdr:sp>
        <xdr:sp macro="" textlink="">
          <xdr:nvSpPr>
            <xdr:cNvPr id="28" name="文本框 27">
              <a:extLst>
                <a:ext uri="{FF2B5EF4-FFF2-40B4-BE49-F238E27FC236}">
                  <a16:creationId xmlns:a16="http://schemas.microsoft.com/office/drawing/2014/main" id="{00000000-0008-0000-0000-00001C000000}"/>
                </a:ext>
              </a:extLst>
            </xdr:cNvPr>
            <xdr:cNvSpPr txBox="1"/>
          </xdr:nvSpPr>
          <xdr:spPr>
            <a:xfrm>
              <a:off x="8268335" y="742950"/>
              <a:ext cx="25654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TX</a:t>
              </a:r>
            </a:p>
          </xdr:txBody>
        </xdr:sp>
        <xdr:sp macro="" textlink="">
          <xdr:nvSpPr>
            <xdr:cNvPr id="29" name="文本框 28">
              <a:extLst>
                <a:ext uri="{FF2B5EF4-FFF2-40B4-BE49-F238E27FC236}">
                  <a16:creationId xmlns:a16="http://schemas.microsoft.com/office/drawing/2014/main" id="{00000000-0008-0000-0000-00001D000000}"/>
                </a:ext>
              </a:extLst>
            </xdr:cNvPr>
            <xdr:cNvSpPr txBox="1"/>
          </xdr:nvSpPr>
          <xdr:spPr>
            <a:xfrm>
              <a:off x="9260206" y="1219200"/>
              <a:ext cx="23622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0" rIns="36195" rtlCol="0" anchor="t"/>
            <a:lstStyle/>
            <a:p>
              <a:pPr algn="l"/>
              <a:r>
                <a:rPr lang="en-US" altLang="zh-CN" sz="1100" b="1"/>
                <a:t>RX1</a:t>
              </a:r>
            </a:p>
          </xdr:txBody>
        </xdr:sp>
        <xdr:sp macro="" textlink="">
          <xdr:nvSpPr>
            <xdr:cNvPr id="30" name="文本框 29">
              <a:extLst>
                <a:ext uri="{FF2B5EF4-FFF2-40B4-BE49-F238E27FC236}">
                  <a16:creationId xmlns:a16="http://schemas.microsoft.com/office/drawing/2014/main" id="{00000000-0008-0000-0000-00001E000000}"/>
                </a:ext>
              </a:extLst>
            </xdr:cNvPr>
            <xdr:cNvSpPr txBox="1"/>
          </xdr:nvSpPr>
          <xdr:spPr>
            <a:xfrm>
              <a:off x="9810749" y="1219200"/>
              <a:ext cx="219076"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RX2</a:t>
              </a:r>
            </a:p>
          </xdr:txBody>
        </xdr:sp>
        <xdr:sp macro="" textlink="">
          <xdr:nvSpPr>
            <xdr:cNvPr id="31" name="文本框 30">
              <a:extLst>
                <a:ext uri="{FF2B5EF4-FFF2-40B4-BE49-F238E27FC236}">
                  <a16:creationId xmlns:a16="http://schemas.microsoft.com/office/drawing/2014/main" id="{00000000-0008-0000-0000-00001F000000}"/>
                </a:ext>
              </a:extLst>
            </xdr:cNvPr>
            <xdr:cNvSpPr txBox="1"/>
          </xdr:nvSpPr>
          <xdr:spPr>
            <a:xfrm>
              <a:off x="10601325" y="1552575"/>
              <a:ext cx="28575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zh-CN" b="1">
                  <a:sym typeface="+mn-ea"/>
                </a:rPr>
                <a:t>W</a:t>
              </a:r>
              <a:r>
                <a:rPr lang="en-US" b="1">
                  <a:sym typeface="+mn-ea"/>
                </a:rPr>
                <a:t>D</a:t>
              </a:r>
              <a:endParaRPr lang="en-US" sz="1100" b="1"/>
            </a:p>
          </xdr:txBody>
        </xdr:sp>
        <xdr:cxnSp macro="">
          <xdr:nvCxnSpPr>
            <xdr:cNvPr id="19" name="直接箭头连接符 18">
              <a:extLst>
                <a:ext uri="{FF2B5EF4-FFF2-40B4-BE49-F238E27FC236}">
                  <a16:creationId xmlns:a16="http://schemas.microsoft.com/office/drawing/2014/main" id="{00000000-0008-0000-0000-000013000000}"/>
                </a:ext>
              </a:extLst>
            </xdr:cNvPr>
            <xdr:cNvCxnSpPr/>
          </xdr:nvCxnSpPr>
          <xdr:spPr>
            <a:xfrm>
              <a:off x="6781800" y="2095500"/>
              <a:ext cx="8896350" cy="0"/>
            </a:xfrm>
            <a:prstGeom prst="straightConnector1">
              <a:avLst/>
            </a:prstGeom>
            <a:ln>
              <a:headEnd type="none" w="med" len="med"/>
              <a:tailEnd type="triangle" w="med" len="med"/>
            </a:ln>
          </xdr:spPr>
          <xdr:style>
            <a:lnRef idx="3">
              <a:schemeClr val="dk1"/>
            </a:lnRef>
            <a:fillRef idx="0">
              <a:schemeClr val="dk1"/>
            </a:fillRef>
            <a:effectRef idx="2">
              <a:schemeClr val="dk1"/>
            </a:effectRef>
            <a:fontRef idx="minor">
              <a:schemeClr val="tx1"/>
            </a:fontRef>
          </xdr:style>
        </xdr:cxnSp>
        <xdr:sp macro="" textlink="">
          <xdr:nvSpPr>
            <xdr:cNvPr id="15" name="文本框 14">
              <a:extLst>
                <a:ext uri="{FF2B5EF4-FFF2-40B4-BE49-F238E27FC236}">
                  <a16:creationId xmlns:a16="http://schemas.microsoft.com/office/drawing/2014/main" id="{00000000-0008-0000-0000-00000F000000}"/>
                </a:ext>
              </a:extLst>
            </xdr:cNvPr>
            <xdr:cNvSpPr txBox="1"/>
          </xdr:nvSpPr>
          <xdr:spPr>
            <a:xfrm>
              <a:off x="108965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191135</xdr:colOff>
      <xdr:row>0</xdr:row>
      <xdr:rowOff>39370</xdr:rowOff>
    </xdr:from>
    <xdr:to>
      <xdr:col>1</xdr:col>
      <xdr:colOff>615017</xdr:colOff>
      <xdr:row>3</xdr:row>
      <xdr:rowOff>12700</xdr:rowOff>
    </xdr:to>
    <xdr:pic>
      <xdr:nvPicPr>
        <xdr:cNvPr id="17" name="图片 16">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 y="39370"/>
          <a:ext cx="2090420" cy="544830"/>
        </a:xfrm>
        <a:prstGeom prst="rect">
          <a:avLst/>
        </a:prstGeom>
      </xdr:spPr>
    </xdr:pic>
    <xdr:clientData/>
  </xdr:twoCellAnchor>
  <xdr:oneCellAnchor>
    <xdr:from>
      <xdr:col>4</xdr:col>
      <xdr:colOff>162486</xdr:colOff>
      <xdr:row>5</xdr:row>
      <xdr:rowOff>171050</xdr:rowOff>
    </xdr:from>
    <xdr:ext cx="309880" cy="1006475"/>
    <xdr:sp macro="" textlink="">
      <xdr:nvSpPr>
        <xdr:cNvPr id="18" name="文本框 17">
          <a:extLst>
            <a:ext uri="{FF2B5EF4-FFF2-40B4-BE49-F238E27FC236}">
              <a16:creationId xmlns:a16="http://schemas.microsoft.com/office/drawing/2014/main" id="{00000000-0008-0000-0100-000012000000}"/>
            </a:ext>
          </a:extLst>
        </xdr:cNvPr>
        <xdr:cNvSpPr txBox="1"/>
      </xdr:nvSpPr>
      <xdr:spPr>
        <a:xfrm>
          <a:off x="5924550" y="1971040"/>
          <a:ext cx="309880" cy="10064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nchorCtr="0"/>
        <a:lstStyle/>
        <a:p>
          <a:pPr algn="l"/>
          <a:r>
            <a:rPr lang="en-US" altLang="zh-CN" sz="1200">
              <a:ln w="12700" cmpd="sng">
                <a:solidFill>
                  <a:schemeClr val="tx1"/>
                </a:solidFill>
                <a:prstDash val="solid"/>
              </a:ln>
              <a:solidFill>
                <a:sysClr val="windowText" lastClr="000000"/>
              </a:solidFill>
              <a:uFillTx/>
            </a:rPr>
            <a:t>current</a:t>
          </a:r>
          <a:r>
            <a:rPr lang="zh-CN" altLang="en-US" sz="1200">
              <a:ln w="12700" cmpd="sng">
                <a:solidFill>
                  <a:schemeClr val="tx1"/>
                </a:solidFill>
                <a:prstDash val="solid"/>
              </a:ln>
              <a:solidFill>
                <a:sysClr val="windowText" lastClr="000000"/>
              </a:solidFill>
              <a:uFillTx/>
            </a:rPr>
            <a:t>（</a:t>
          </a:r>
          <a:r>
            <a:rPr lang="en-US" altLang="zh-CN" sz="1200">
              <a:ln w="12700" cmpd="sng">
                <a:solidFill>
                  <a:schemeClr val="tx1"/>
                </a:solidFill>
                <a:prstDash val="solid"/>
              </a:ln>
              <a:solidFill>
                <a:sysClr val="windowText" lastClr="000000"/>
              </a:solidFill>
              <a:uFillTx/>
            </a:rPr>
            <a:t>mA</a:t>
          </a:r>
          <a:r>
            <a:rPr lang="zh-CN" altLang="en-US" sz="1200">
              <a:ln w="12700" cmpd="sng">
                <a:solidFill>
                  <a:schemeClr val="tx1"/>
                </a:solidFill>
                <a:prstDash val="solid"/>
              </a:ln>
              <a:solidFill>
                <a:sysClr val="windowText" lastClr="000000"/>
              </a:solidFill>
              <a:uFillTx/>
            </a:rPr>
            <a:t>）</a:t>
          </a:r>
          <a:endParaRPr lang="en-US" altLang="zh-CN" sz="1200">
            <a:ln w="12700" cmpd="sng">
              <a:solidFill>
                <a:schemeClr val="tx1"/>
              </a:solidFill>
              <a:prstDash val="solid"/>
            </a:ln>
            <a:solidFill>
              <a:sysClr val="windowText" lastClr="000000"/>
            </a:solidFill>
            <a:uFillTx/>
          </a:endParaRPr>
        </a:p>
      </xdr:txBody>
    </xdr:sp>
    <xdr:clientData/>
  </xdr:oneCellAnchor>
  <xdr:twoCellAnchor>
    <xdr:from>
      <xdr:col>4</xdr:col>
      <xdr:colOff>409457</xdr:colOff>
      <xdr:row>5</xdr:row>
      <xdr:rowOff>50133</xdr:rowOff>
    </xdr:from>
    <xdr:to>
      <xdr:col>11</xdr:col>
      <xdr:colOff>1283073</xdr:colOff>
      <xdr:row>11</xdr:row>
      <xdr:rowOff>276193</xdr:rowOff>
    </xdr:to>
    <xdr:grpSp>
      <xdr:nvGrpSpPr>
        <xdr:cNvPr id="19" name="组合 18">
          <a:extLst>
            <a:ext uri="{FF2B5EF4-FFF2-40B4-BE49-F238E27FC236}">
              <a16:creationId xmlns:a16="http://schemas.microsoft.com/office/drawing/2014/main" id="{00000000-0008-0000-0100-000013000000}"/>
            </a:ext>
          </a:extLst>
        </xdr:cNvPr>
        <xdr:cNvGrpSpPr/>
      </xdr:nvGrpSpPr>
      <xdr:grpSpPr>
        <a:xfrm>
          <a:off x="5676222" y="1854280"/>
          <a:ext cx="10028822" cy="1369060"/>
          <a:chOff x="6829425" y="809625"/>
          <a:chExt cx="8414226" cy="1559560"/>
        </a:xfrm>
      </xdr:grpSpPr>
      <xdr:sp macro="" textlink="">
        <xdr:nvSpPr>
          <xdr:cNvPr id="20" name="文本框 19">
            <a:extLst>
              <a:ext uri="{FF2B5EF4-FFF2-40B4-BE49-F238E27FC236}">
                <a16:creationId xmlns:a16="http://schemas.microsoft.com/office/drawing/2014/main" id="{00000000-0008-0000-0100-000014000000}"/>
              </a:ext>
            </a:extLst>
          </xdr:cNvPr>
          <xdr:cNvSpPr txBox="1"/>
        </xdr:nvSpPr>
        <xdr:spPr>
          <a:xfrm>
            <a:off x="6868160" y="2105660"/>
            <a:ext cx="1347470" cy="26352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lstStyle/>
          <a:p>
            <a:pPr algn="l"/>
            <a:r>
              <a:rPr lang="en-US" altLang="zh-CN" sz="1100" b="1">
                <a:solidFill>
                  <a:sysClr val="windowText" lastClr="000000"/>
                </a:solidFill>
              </a:rPr>
              <a:t>time (ms)</a:t>
            </a:r>
          </a:p>
        </xdr:txBody>
      </xdr:sp>
      <xdr:grpSp>
        <xdr:nvGrpSpPr>
          <xdr:cNvPr id="21" name="组合 20">
            <a:extLst>
              <a:ext uri="{FF2B5EF4-FFF2-40B4-BE49-F238E27FC236}">
                <a16:creationId xmlns:a16="http://schemas.microsoft.com/office/drawing/2014/main" id="{00000000-0008-0000-0100-000015000000}"/>
              </a:ext>
            </a:extLst>
          </xdr:cNvPr>
          <xdr:cNvGrpSpPr/>
        </xdr:nvGrpSpPr>
        <xdr:grpSpPr>
          <a:xfrm>
            <a:off x="6829425" y="809625"/>
            <a:ext cx="8414226" cy="1381125"/>
            <a:chOff x="6781800" y="742950"/>
            <a:chExt cx="8414226" cy="1381125"/>
          </a:xfrm>
        </xdr:grpSpPr>
        <xdr:cxnSp macro="">
          <xdr:nvCxnSpPr>
            <xdr:cNvPr id="22" name="直接箭头连接符 21">
              <a:extLst>
                <a:ext uri="{FF2B5EF4-FFF2-40B4-BE49-F238E27FC236}">
                  <a16:creationId xmlns:a16="http://schemas.microsoft.com/office/drawing/2014/main" id="{00000000-0008-0000-0100-000016000000}"/>
                </a:ext>
              </a:extLst>
            </xdr:cNvPr>
            <xdr:cNvCxnSpPr/>
          </xdr:nvCxnSpPr>
          <xdr:spPr>
            <a:xfrm flipV="1">
              <a:off x="6781800" y="800100"/>
              <a:ext cx="9525" cy="1323975"/>
            </a:xfrm>
            <a:prstGeom prst="straightConnector1">
              <a:avLst/>
            </a:prstGeom>
            <a:ln>
              <a:solidFill>
                <a:sysClr val="windowText" lastClr="000000"/>
              </a:solidFill>
              <a:headEnd type="none"/>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3" name="文本框 22">
              <a:extLst>
                <a:ext uri="{FF2B5EF4-FFF2-40B4-BE49-F238E27FC236}">
                  <a16:creationId xmlns:a16="http://schemas.microsoft.com/office/drawing/2014/main" id="{00000000-0008-0000-0100-000017000000}"/>
                </a:ext>
              </a:extLst>
            </xdr:cNvPr>
            <xdr:cNvSpPr txBox="1"/>
          </xdr:nvSpPr>
          <xdr:spPr>
            <a:xfrm>
              <a:off x="6859270" y="1609725"/>
              <a:ext cx="285115" cy="485775"/>
            </a:xfrm>
            <a:prstGeom prst="rect">
              <a:avLst/>
            </a:prstGeom>
            <a:solidFill>
              <a:sysClr val="window" lastClr="FFFFFF"/>
            </a:solidFill>
            <a:ln w="3175">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vert="wordArtVertRtl" wrap="none" lIns="144145" rIns="36195" rtlCol="0" anchor="t"/>
            <a:lstStyle/>
            <a:p>
              <a:pPr algn="l"/>
              <a:r>
                <a:rPr lang="en-US" altLang="zh-CN" sz="1100" b="1"/>
                <a:t>WD</a:t>
              </a:r>
            </a:p>
          </xdr:txBody>
        </xdr:sp>
        <xdr:sp macro="" textlink="">
          <xdr:nvSpPr>
            <xdr:cNvPr id="24" name="文本框 23">
              <a:extLst>
                <a:ext uri="{FF2B5EF4-FFF2-40B4-BE49-F238E27FC236}">
                  <a16:creationId xmlns:a16="http://schemas.microsoft.com/office/drawing/2014/main" id="{00000000-0008-0000-0100-000018000000}"/>
                </a:ext>
              </a:extLst>
            </xdr:cNvPr>
            <xdr:cNvSpPr txBox="1"/>
          </xdr:nvSpPr>
          <xdr:spPr>
            <a:xfrm>
              <a:off x="71627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sp macro="" textlink="">
          <xdr:nvSpPr>
            <xdr:cNvPr id="25" name="文本框 24">
              <a:extLst>
                <a:ext uri="{FF2B5EF4-FFF2-40B4-BE49-F238E27FC236}">
                  <a16:creationId xmlns:a16="http://schemas.microsoft.com/office/drawing/2014/main" id="{00000000-0008-0000-0100-000019000000}"/>
                </a:ext>
              </a:extLst>
            </xdr:cNvPr>
            <xdr:cNvSpPr txBox="1"/>
          </xdr:nvSpPr>
          <xdr:spPr>
            <a:xfrm>
              <a:off x="8058150" y="1371600"/>
              <a:ext cx="209550" cy="714375"/>
            </a:xfrm>
            <a:prstGeom prst="rect">
              <a:avLst/>
            </a:prstGeom>
            <a:solidFill>
              <a:schemeClr val="lt1"/>
            </a:solidFill>
            <a:ln w="12700" cmpd="sng">
              <a:solidFill>
                <a:schemeClr val="l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vert="eaVert" wrap="square" lIns="0" tIns="0" rIns="0" bIns="0" rtlCol="0" anchor="t" anchorCtr="0"/>
            <a:lstStyle/>
            <a:p>
              <a:pPr algn="l"/>
              <a:r>
                <a:rPr lang="en-US" altLang="zh-CN" sz="1000" b="0">
                  <a:ln>
                    <a:solidFill>
                      <a:sysClr val="windowText" lastClr="000000"/>
                    </a:solidFill>
                  </a:ln>
                  <a:solidFill>
                    <a:sysClr val="windowText" lastClr="000000"/>
                  </a:solidFill>
                  <a:latin typeface="+mn-lt"/>
                  <a:sym typeface="+mn-ea"/>
                </a:rPr>
                <a:t>   Sampling</a:t>
              </a:r>
            </a:p>
          </xdr:txBody>
        </xdr:sp>
        <xdr:sp macro="" textlink="">
          <xdr:nvSpPr>
            <xdr:cNvPr id="26" name="文本框 25">
              <a:extLst>
                <a:ext uri="{FF2B5EF4-FFF2-40B4-BE49-F238E27FC236}">
                  <a16:creationId xmlns:a16="http://schemas.microsoft.com/office/drawing/2014/main" id="{00000000-0008-0000-0100-00001A000000}"/>
                </a:ext>
              </a:extLst>
            </xdr:cNvPr>
            <xdr:cNvSpPr txBox="1"/>
          </xdr:nvSpPr>
          <xdr:spPr>
            <a:xfrm>
              <a:off x="8268335" y="742950"/>
              <a:ext cx="25654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TX</a:t>
              </a:r>
            </a:p>
          </xdr:txBody>
        </xdr:sp>
        <xdr:sp macro="" textlink="">
          <xdr:nvSpPr>
            <xdr:cNvPr id="27" name="文本框 26">
              <a:extLst>
                <a:ext uri="{FF2B5EF4-FFF2-40B4-BE49-F238E27FC236}">
                  <a16:creationId xmlns:a16="http://schemas.microsoft.com/office/drawing/2014/main" id="{00000000-0008-0000-0100-00001B000000}"/>
                </a:ext>
              </a:extLst>
            </xdr:cNvPr>
            <xdr:cNvSpPr txBox="1"/>
          </xdr:nvSpPr>
          <xdr:spPr>
            <a:xfrm>
              <a:off x="9260206" y="1219200"/>
              <a:ext cx="23622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0" rIns="36195" rtlCol="0" anchor="t"/>
            <a:lstStyle/>
            <a:p>
              <a:pPr algn="l"/>
              <a:r>
                <a:rPr lang="en-US" altLang="zh-CN" sz="1100" b="1"/>
                <a:t>RX1</a:t>
              </a:r>
            </a:p>
          </xdr:txBody>
        </xdr:sp>
        <xdr:sp macro="" textlink="">
          <xdr:nvSpPr>
            <xdr:cNvPr id="28" name="文本框 27">
              <a:extLst>
                <a:ext uri="{FF2B5EF4-FFF2-40B4-BE49-F238E27FC236}">
                  <a16:creationId xmlns:a16="http://schemas.microsoft.com/office/drawing/2014/main" id="{00000000-0008-0000-0100-00001C000000}"/>
                </a:ext>
              </a:extLst>
            </xdr:cNvPr>
            <xdr:cNvSpPr txBox="1"/>
          </xdr:nvSpPr>
          <xdr:spPr>
            <a:xfrm>
              <a:off x="9810749" y="1219200"/>
              <a:ext cx="219076"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RX2</a:t>
              </a:r>
            </a:p>
          </xdr:txBody>
        </xdr:sp>
        <xdr:sp macro="" textlink="">
          <xdr:nvSpPr>
            <xdr:cNvPr id="29" name="文本框 28">
              <a:extLst>
                <a:ext uri="{FF2B5EF4-FFF2-40B4-BE49-F238E27FC236}">
                  <a16:creationId xmlns:a16="http://schemas.microsoft.com/office/drawing/2014/main" id="{00000000-0008-0000-0100-00001D000000}"/>
                </a:ext>
              </a:extLst>
            </xdr:cNvPr>
            <xdr:cNvSpPr txBox="1"/>
          </xdr:nvSpPr>
          <xdr:spPr>
            <a:xfrm>
              <a:off x="10601325" y="1552575"/>
              <a:ext cx="28575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zh-CN" b="1">
                  <a:sym typeface="+mn-ea"/>
                </a:rPr>
                <a:t>W</a:t>
              </a:r>
              <a:r>
                <a:rPr lang="en-US" b="1">
                  <a:sym typeface="+mn-ea"/>
                </a:rPr>
                <a:t>D</a:t>
              </a:r>
              <a:endParaRPr lang="en-US" sz="1100" b="1"/>
            </a:p>
          </xdr:txBody>
        </xdr:sp>
        <xdr:cxnSp macro="">
          <xdr:nvCxnSpPr>
            <xdr:cNvPr id="30" name="直接箭头连接符 29">
              <a:extLst>
                <a:ext uri="{FF2B5EF4-FFF2-40B4-BE49-F238E27FC236}">
                  <a16:creationId xmlns:a16="http://schemas.microsoft.com/office/drawing/2014/main" id="{00000000-0008-0000-0100-00001E000000}"/>
                </a:ext>
              </a:extLst>
            </xdr:cNvPr>
            <xdr:cNvCxnSpPr/>
          </xdr:nvCxnSpPr>
          <xdr:spPr>
            <a:xfrm>
              <a:off x="6781800" y="2095500"/>
              <a:ext cx="8414226" cy="1802"/>
            </a:xfrm>
            <a:prstGeom prst="straightConnector1">
              <a:avLst/>
            </a:prstGeom>
            <a:ln>
              <a:headEnd type="none" w="med" len="med"/>
              <a:tailEnd type="triangle" w="med" len="med"/>
            </a:ln>
          </xdr:spPr>
          <xdr:style>
            <a:lnRef idx="3">
              <a:schemeClr val="dk1"/>
            </a:lnRef>
            <a:fillRef idx="0">
              <a:schemeClr val="dk1"/>
            </a:fillRef>
            <a:effectRef idx="2">
              <a:schemeClr val="dk1"/>
            </a:effectRef>
            <a:fontRef idx="minor">
              <a:schemeClr val="tx1"/>
            </a:fontRef>
          </xdr:style>
        </xdr:cxnSp>
        <xdr:sp macro="" textlink="">
          <xdr:nvSpPr>
            <xdr:cNvPr id="31" name="文本框 30">
              <a:extLst>
                <a:ext uri="{FF2B5EF4-FFF2-40B4-BE49-F238E27FC236}">
                  <a16:creationId xmlns:a16="http://schemas.microsoft.com/office/drawing/2014/main" id="{00000000-0008-0000-0100-00001F000000}"/>
                </a:ext>
              </a:extLst>
            </xdr:cNvPr>
            <xdr:cNvSpPr txBox="1"/>
          </xdr:nvSpPr>
          <xdr:spPr>
            <a:xfrm>
              <a:off x="108965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191135</xdr:colOff>
      <xdr:row>0</xdr:row>
      <xdr:rowOff>39370</xdr:rowOff>
    </xdr:from>
    <xdr:to>
      <xdr:col>1</xdr:col>
      <xdr:colOff>615017</xdr:colOff>
      <xdr:row>3</xdr:row>
      <xdr:rowOff>69850</xdr:rowOff>
    </xdr:to>
    <xdr:pic>
      <xdr:nvPicPr>
        <xdr:cNvPr id="2" name="图片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 y="39370"/>
          <a:ext cx="2090420" cy="601980"/>
        </a:xfrm>
        <a:prstGeom prst="rect">
          <a:avLst/>
        </a:prstGeom>
      </xdr:spPr>
    </xdr:pic>
    <xdr:clientData/>
  </xdr:twoCellAnchor>
  <xdr:oneCellAnchor>
    <xdr:from>
      <xdr:col>4</xdr:col>
      <xdr:colOff>162486</xdr:colOff>
      <xdr:row>5</xdr:row>
      <xdr:rowOff>171050</xdr:rowOff>
    </xdr:from>
    <xdr:ext cx="309880" cy="1006475"/>
    <xdr:sp macro="" textlink="">
      <xdr:nvSpPr>
        <xdr:cNvPr id="3" name="文本框 2">
          <a:extLst>
            <a:ext uri="{FF2B5EF4-FFF2-40B4-BE49-F238E27FC236}">
              <a16:creationId xmlns:a16="http://schemas.microsoft.com/office/drawing/2014/main" id="{00000000-0008-0000-0200-000003000000}"/>
            </a:ext>
          </a:extLst>
        </xdr:cNvPr>
        <xdr:cNvSpPr txBox="1"/>
      </xdr:nvSpPr>
      <xdr:spPr>
        <a:xfrm>
          <a:off x="5924550" y="1980565"/>
          <a:ext cx="309880" cy="10064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nchorCtr="0"/>
        <a:lstStyle/>
        <a:p>
          <a:pPr algn="l"/>
          <a:r>
            <a:rPr lang="en-US" altLang="zh-CN" sz="1200">
              <a:ln w="12700" cmpd="sng">
                <a:solidFill>
                  <a:schemeClr val="tx1"/>
                </a:solidFill>
                <a:prstDash val="solid"/>
              </a:ln>
              <a:solidFill>
                <a:sysClr val="windowText" lastClr="000000"/>
              </a:solidFill>
              <a:uFillTx/>
            </a:rPr>
            <a:t>current</a:t>
          </a:r>
          <a:r>
            <a:rPr lang="zh-CN" altLang="en-US" sz="1200">
              <a:ln w="12700" cmpd="sng">
                <a:solidFill>
                  <a:schemeClr val="tx1"/>
                </a:solidFill>
                <a:prstDash val="solid"/>
              </a:ln>
              <a:solidFill>
                <a:sysClr val="windowText" lastClr="000000"/>
              </a:solidFill>
              <a:uFillTx/>
            </a:rPr>
            <a:t>（</a:t>
          </a:r>
          <a:r>
            <a:rPr lang="en-US" altLang="zh-CN" sz="1200">
              <a:ln w="12700" cmpd="sng">
                <a:solidFill>
                  <a:schemeClr val="tx1"/>
                </a:solidFill>
                <a:prstDash val="solid"/>
              </a:ln>
              <a:solidFill>
                <a:sysClr val="windowText" lastClr="000000"/>
              </a:solidFill>
              <a:uFillTx/>
            </a:rPr>
            <a:t>mA</a:t>
          </a:r>
          <a:r>
            <a:rPr lang="zh-CN" altLang="en-US" sz="1200">
              <a:ln w="12700" cmpd="sng">
                <a:solidFill>
                  <a:schemeClr val="tx1"/>
                </a:solidFill>
                <a:prstDash val="solid"/>
              </a:ln>
              <a:solidFill>
                <a:sysClr val="windowText" lastClr="000000"/>
              </a:solidFill>
              <a:uFillTx/>
            </a:rPr>
            <a:t>）</a:t>
          </a:r>
          <a:endParaRPr lang="en-US" altLang="zh-CN" sz="1200">
            <a:ln w="12700" cmpd="sng">
              <a:solidFill>
                <a:schemeClr val="tx1"/>
              </a:solidFill>
              <a:prstDash val="solid"/>
            </a:ln>
            <a:solidFill>
              <a:sysClr val="windowText" lastClr="000000"/>
            </a:solidFill>
            <a:uFillTx/>
          </a:endParaRPr>
        </a:p>
      </xdr:txBody>
    </xdr:sp>
    <xdr:clientData/>
  </xdr:oneCellAnchor>
  <xdr:twoCellAnchor>
    <xdr:from>
      <xdr:col>4</xdr:col>
      <xdr:colOff>409457</xdr:colOff>
      <xdr:row>5</xdr:row>
      <xdr:rowOff>50133</xdr:rowOff>
    </xdr:from>
    <xdr:to>
      <xdr:col>11</xdr:col>
      <xdr:colOff>682998</xdr:colOff>
      <xdr:row>11</xdr:row>
      <xdr:rowOff>171418</xdr:rowOff>
    </xdr:to>
    <xdr:grpSp>
      <xdr:nvGrpSpPr>
        <xdr:cNvPr id="4" name="组合 3">
          <a:extLst>
            <a:ext uri="{FF2B5EF4-FFF2-40B4-BE49-F238E27FC236}">
              <a16:creationId xmlns:a16="http://schemas.microsoft.com/office/drawing/2014/main" id="{00000000-0008-0000-0200-000004000000}"/>
            </a:ext>
          </a:extLst>
        </xdr:cNvPr>
        <xdr:cNvGrpSpPr/>
      </xdr:nvGrpSpPr>
      <xdr:grpSpPr>
        <a:xfrm>
          <a:off x="5452104" y="1865486"/>
          <a:ext cx="9428747" cy="1264285"/>
          <a:chOff x="6829425" y="809625"/>
          <a:chExt cx="8414226" cy="1559560"/>
        </a:xfrm>
      </xdr:grpSpPr>
      <xdr:sp macro="" textlink="">
        <xdr:nvSpPr>
          <xdr:cNvPr id="5" name="文本框 4">
            <a:extLst>
              <a:ext uri="{FF2B5EF4-FFF2-40B4-BE49-F238E27FC236}">
                <a16:creationId xmlns:a16="http://schemas.microsoft.com/office/drawing/2014/main" id="{00000000-0008-0000-0200-000005000000}"/>
              </a:ext>
            </a:extLst>
          </xdr:cNvPr>
          <xdr:cNvSpPr txBox="1"/>
        </xdr:nvSpPr>
        <xdr:spPr>
          <a:xfrm>
            <a:off x="6868160" y="2105660"/>
            <a:ext cx="1347470" cy="26352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lstStyle/>
          <a:p>
            <a:pPr algn="l"/>
            <a:r>
              <a:rPr lang="en-US" altLang="zh-CN" sz="1100" b="1">
                <a:solidFill>
                  <a:sysClr val="windowText" lastClr="000000"/>
                </a:solidFill>
              </a:rPr>
              <a:t>time (ms)</a:t>
            </a:r>
          </a:p>
        </xdr:txBody>
      </xdr:sp>
      <xdr:grpSp>
        <xdr:nvGrpSpPr>
          <xdr:cNvPr id="6" name="组合 5">
            <a:extLst>
              <a:ext uri="{FF2B5EF4-FFF2-40B4-BE49-F238E27FC236}">
                <a16:creationId xmlns:a16="http://schemas.microsoft.com/office/drawing/2014/main" id="{00000000-0008-0000-0200-000006000000}"/>
              </a:ext>
            </a:extLst>
          </xdr:cNvPr>
          <xdr:cNvGrpSpPr/>
        </xdr:nvGrpSpPr>
        <xdr:grpSpPr>
          <a:xfrm>
            <a:off x="6829425" y="809625"/>
            <a:ext cx="8414226" cy="1381125"/>
            <a:chOff x="6781800" y="742950"/>
            <a:chExt cx="8414226" cy="1381125"/>
          </a:xfrm>
        </xdr:grpSpPr>
        <xdr:cxnSp macro="">
          <xdr:nvCxnSpPr>
            <xdr:cNvPr id="7" name="直接箭头连接符 6">
              <a:extLst>
                <a:ext uri="{FF2B5EF4-FFF2-40B4-BE49-F238E27FC236}">
                  <a16:creationId xmlns:a16="http://schemas.microsoft.com/office/drawing/2014/main" id="{00000000-0008-0000-0200-000007000000}"/>
                </a:ext>
              </a:extLst>
            </xdr:cNvPr>
            <xdr:cNvCxnSpPr/>
          </xdr:nvCxnSpPr>
          <xdr:spPr>
            <a:xfrm flipV="1">
              <a:off x="6781800" y="800100"/>
              <a:ext cx="9525" cy="1323975"/>
            </a:xfrm>
            <a:prstGeom prst="straightConnector1">
              <a:avLst/>
            </a:prstGeom>
            <a:ln>
              <a:solidFill>
                <a:sysClr val="windowText" lastClr="000000"/>
              </a:solidFill>
              <a:headEnd type="none"/>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8" name="文本框 7">
              <a:extLst>
                <a:ext uri="{FF2B5EF4-FFF2-40B4-BE49-F238E27FC236}">
                  <a16:creationId xmlns:a16="http://schemas.microsoft.com/office/drawing/2014/main" id="{00000000-0008-0000-0200-000008000000}"/>
                </a:ext>
              </a:extLst>
            </xdr:cNvPr>
            <xdr:cNvSpPr txBox="1"/>
          </xdr:nvSpPr>
          <xdr:spPr>
            <a:xfrm>
              <a:off x="6859270" y="1609725"/>
              <a:ext cx="285115" cy="485775"/>
            </a:xfrm>
            <a:prstGeom prst="rect">
              <a:avLst/>
            </a:prstGeom>
            <a:solidFill>
              <a:sysClr val="window" lastClr="FFFFFF"/>
            </a:solidFill>
            <a:ln w="3175">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vert="wordArtVertRtl" wrap="none" lIns="144145" rIns="36195" rtlCol="0" anchor="t"/>
            <a:lstStyle/>
            <a:p>
              <a:pPr algn="l"/>
              <a:r>
                <a:rPr lang="en-US" altLang="zh-CN" sz="1100" b="1"/>
                <a:t>WD</a:t>
              </a:r>
            </a:p>
          </xdr:txBody>
        </xdr:sp>
        <xdr:sp macro="" textlink="">
          <xdr:nvSpPr>
            <xdr:cNvPr id="9" name="文本框 8">
              <a:extLst>
                <a:ext uri="{FF2B5EF4-FFF2-40B4-BE49-F238E27FC236}">
                  <a16:creationId xmlns:a16="http://schemas.microsoft.com/office/drawing/2014/main" id="{00000000-0008-0000-0200-000009000000}"/>
                </a:ext>
              </a:extLst>
            </xdr:cNvPr>
            <xdr:cNvSpPr txBox="1"/>
          </xdr:nvSpPr>
          <xdr:spPr>
            <a:xfrm>
              <a:off x="71627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sp macro="" textlink="">
          <xdr:nvSpPr>
            <xdr:cNvPr id="10" name="文本框 9">
              <a:extLst>
                <a:ext uri="{FF2B5EF4-FFF2-40B4-BE49-F238E27FC236}">
                  <a16:creationId xmlns:a16="http://schemas.microsoft.com/office/drawing/2014/main" id="{00000000-0008-0000-0200-00000A000000}"/>
                </a:ext>
              </a:extLst>
            </xdr:cNvPr>
            <xdr:cNvSpPr txBox="1"/>
          </xdr:nvSpPr>
          <xdr:spPr>
            <a:xfrm>
              <a:off x="8058150" y="1371600"/>
              <a:ext cx="209550" cy="714375"/>
            </a:xfrm>
            <a:prstGeom prst="rect">
              <a:avLst/>
            </a:prstGeom>
            <a:solidFill>
              <a:schemeClr val="lt1"/>
            </a:solidFill>
            <a:ln w="12700" cmpd="sng">
              <a:solidFill>
                <a:schemeClr val="l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vert="eaVert" wrap="square" lIns="0" tIns="0" rIns="0" bIns="0" rtlCol="0" anchor="t" anchorCtr="0"/>
            <a:lstStyle/>
            <a:p>
              <a:pPr algn="l"/>
              <a:r>
                <a:rPr lang="en-US" altLang="zh-CN" sz="1000" b="0">
                  <a:ln>
                    <a:solidFill>
                      <a:sysClr val="windowText" lastClr="000000"/>
                    </a:solidFill>
                  </a:ln>
                  <a:solidFill>
                    <a:sysClr val="windowText" lastClr="000000"/>
                  </a:solidFill>
                  <a:latin typeface="+mn-lt"/>
                  <a:sym typeface="+mn-ea"/>
                </a:rPr>
                <a:t>   Sampling</a:t>
              </a:r>
            </a:p>
          </xdr:txBody>
        </xdr:sp>
        <xdr:sp macro="" textlink="">
          <xdr:nvSpPr>
            <xdr:cNvPr id="11" name="文本框 10">
              <a:extLst>
                <a:ext uri="{FF2B5EF4-FFF2-40B4-BE49-F238E27FC236}">
                  <a16:creationId xmlns:a16="http://schemas.microsoft.com/office/drawing/2014/main" id="{00000000-0008-0000-0200-00000B000000}"/>
                </a:ext>
              </a:extLst>
            </xdr:cNvPr>
            <xdr:cNvSpPr txBox="1"/>
          </xdr:nvSpPr>
          <xdr:spPr>
            <a:xfrm>
              <a:off x="8268335" y="742950"/>
              <a:ext cx="25654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TX</a:t>
              </a:r>
            </a:p>
          </xdr:txBody>
        </xdr:sp>
        <xdr:sp macro="" textlink="">
          <xdr:nvSpPr>
            <xdr:cNvPr id="12" name="文本框 11">
              <a:extLst>
                <a:ext uri="{FF2B5EF4-FFF2-40B4-BE49-F238E27FC236}">
                  <a16:creationId xmlns:a16="http://schemas.microsoft.com/office/drawing/2014/main" id="{00000000-0008-0000-0200-00000C000000}"/>
                </a:ext>
              </a:extLst>
            </xdr:cNvPr>
            <xdr:cNvSpPr txBox="1"/>
          </xdr:nvSpPr>
          <xdr:spPr>
            <a:xfrm>
              <a:off x="9260206" y="1219200"/>
              <a:ext cx="23622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0" rIns="36195" rtlCol="0" anchor="t"/>
            <a:lstStyle/>
            <a:p>
              <a:pPr algn="l"/>
              <a:r>
                <a:rPr lang="en-US" altLang="zh-CN" sz="1100" b="1"/>
                <a:t>RX1</a:t>
              </a:r>
            </a:p>
          </xdr:txBody>
        </xdr:sp>
        <xdr:sp macro="" textlink="">
          <xdr:nvSpPr>
            <xdr:cNvPr id="13" name="文本框 12">
              <a:extLst>
                <a:ext uri="{FF2B5EF4-FFF2-40B4-BE49-F238E27FC236}">
                  <a16:creationId xmlns:a16="http://schemas.microsoft.com/office/drawing/2014/main" id="{00000000-0008-0000-0200-00000D000000}"/>
                </a:ext>
              </a:extLst>
            </xdr:cNvPr>
            <xdr:cNvSpPr txBox="1"/>
          </xdr:nvSpPr>
          <xdr:spPr>
            <a:xfrm>
              <a:off x="9810749" y="1219200"/>
              <a:ext cx="219076"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RX2</a:t>
              </a:r>
            </a:p>
          </xdr:txBody>
        </xdr:sp>
        <xdr:sp macro="" textlink="">
          <xdr:nvSpPr>
            <xdr:cNvPr id="14" name="文本框 13">
              <a:extLst>
                <a:ext uri="{FF2B5EF4-FFF2-40B4-BE49-F238E27FC236}">
                  <a16:creationId xmlns:a16="http://schemas.microsoft.com/office/drawing/2014/main" id="{00000000-0008-0000-0200-00000E000000}"/>
                </a:ext>
              </a:extLst>
            </xdr:cNvPr>
            <xdr:cNvSpPr txBox="1"/>
          </xdr:nvSpPr>
          <xdr:spPr>
            <a:xfrm>
              <a:off x="10601325" y="1552575"/>
              <a:ext cx="28575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zh-CN" b="1">
                  <a:sym typeface="+mn-ea"/>
                </a:rPr>
                <a:t>W</a:t>
              </a:r>
              <a:r>
                <a:rPr lang="en-US" b="1">
                  <a:sym typeface="+mn-ea"/>
                </a:rPr>
                <a:t>D</a:t>
              </a:r>
              <a:endParaRPr lang="en-US" sz="1100" b="1"/>
            </a:p>
          </xdr:txBody>
        </xdr:sp>
        <xdr:cxnSp macro="">
          <xdr:nvCxnSpPr>
            <xdr:cNvPr id="15" name="直接箭头连接符 14">
              <a:extLst>
                <a:ext uri="{FF2B5EF4-FFF2-40B4-BE49-F238E27FC236}">
                  <a16:creationId xmlns:a16="http://schemas.microsoft.com/office/drawing/2014/main" id="{00000000-0008-0000-0200-00000F000000}"/>
                </a:ext>
              </a:extLst>
            </xdr:cNvPr>
            <xdr:cNvCxnSpPr/>
          </xdr:nvCxnSpPr>
          <xdr:spPr>
            <a:xfrm>
              <a:off x="6781800" y="2095500"/>
              <a:ext cx="8414226" cy="1802"/>
            </a:xfrm>
            <a:prstGeom prst="straightConnector1">
              <a:avLst/>
            </a:prstGeom>
            <a:ln>
              <a:headEnd type="none" w="med" len="med"/>
              <a:tailEnd type="triangle" w="med" len="med"/>
            </a:ln>
          </xdr:spPr>
          <xdr:style>
            <a:lnRef idx="3">
              <a:schemeClr val="dk1"/>
            </a:lnRef>
            <a:fillRef idx="0">
              <a:schemeClr val="dk1"/>
            </a:fillRef>
            <a:effectRef idx="2">
              <a:schemeClr val="dk1"/>
            </a:effectRef>
            <a:fontRef idx="minor">
              <a:schemeClr val="tx1"/>
            </a:fontRef>
          </xdr:style>
        </xdr:cxnSp>
        <xdr:sp macro="" textlink="">
          <xdr:nvSpPr>
            <xdr:cNvPr id="16" name="文本框 15">
              <a:extLst>
                <a:ext uri="{FF2B5EF4-FFF2-40B4-BE49-F238E27FC236}">
                  <a16:creationId xmlns:a16="http://schemas.microsoft.com/office/drawing/2014/main" id="{00000000-0008-0000-0200-000010000000}"/>
                </a:ext>
              </a:extLst>
            </xdr:cNvPr>
            <xdr:cNvSpPr txBox="1"/>
          </xdr:nvSpPr>
          <xdr:spPr>
            <a:xfrm>
              <a:off x="108965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191135</xdr:colOff>
      <xdr:row>0</xdr:row>
      <xdr:rowOff>39370</xdr:rowOff>
    </xdr:from>
    <xdr:to>
      <xdr:col>1</xdr:col>
      <xdr:colOff>615017</xdr:colOff>
      <xdr:row>3</xdr:row>
      <xdr:rowOff>69850</xdr:rowOff>
    </xdr:to>
    <xdr:pic>
      <xdr:nvPicPr>
        <xdr:cNvPr id="2" name="图片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 y="39370"/>
          <a:ext cx="2090420" cy="601980"/>
        </a:xfrm>
        <a:prstGeom prst="rect">
          <a:avLst/>
        </a:prstGeom>
      </xdr:spPr>
    </xdr:pic>
    <xdr:clientData/>
  </xdr:twoCellAnchor>
  <xdr:oneCellAnchor>
    <xdr:from>
      <xdr:col>4</xdr:col>
      <xdr:colOff>989239</xdr:colOff>
      <xdr:row>6</xdr:row>
      <xdr:rowOff>42182</xdr:rowOff>
    </xdr:from>
    <xdr:ext cx="309880" cy="1006475"/>
    <xdr:sp macro="" textlink="">
      <xdr:nvSpPr>
        <xdr:cNvPr id="3" name="文本框 2">
          <a:extLst>
            <a:ext uri="{FF2B5EF4-FFF2-40B4-BE49-F238E27FC236}">
              <a16:creationId xmlns:a16="http://schemas.microsoft.com/office/drawing/2014/main" id="{00000000-0008-0000-0300-000003000000}"/>
            </a:ext>
          </a:extLst>
        </xdr:cNvPr>
        <xdr:cNvSpPr txBox="1"/>
      </xdr:nvSpPr>
      <xdr:spPr>
        <a:xfrm>
          <a:off x="6751320" y="1184910"/>
          <a:ext cx="309880" cy="100647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t" anchorCtr="0"/>
        <a:lstStyle/>
        <a:p>
          <a:pPr algn="l"/>
          <a:r>
            <a:rPr lang="en-US" altLang="zh-CN" sz="1200">
              <a:ln w="12700" cmpd="sng">
                <a:solidFill>
                  <a:schemeClr val="tx1"/>
                </a:solidFill>
                <a:prstDash val="solid"/>
              </a:ln>
              <a:solidFill>
                <a:sysClr val="windowText" lastClr="000000"/>
              </a:solidFill>
              <a:uFillTx/>
            </a:rPr>
            <a:t>current</a:t>
          </a:r>
          <a:r>
            <a:rPr lang="zh-CN" altLang="en-US" sz="1200">
              <a:ln w="12700" cmpd="sng">
                <a:solidFill>
                  <a:schemeClr val="tx1"/>
                </a:solidFill>
                <a:prstDash val="solid"/>
              </a:ln>
              <a:solidFill>
                <a:sysClr val="windowText" lastClr="000000"/>
              </a:solidFill>
              <a:uFillTx/>
            </a:rPr>
            <a:t>（</a:t>
          </a:r>
          <a:r>
            <a:rPr lang="en-US" altLang="zh-CN" sz="1200">
              <a:ln w="12700" cmpd="sng">
                <a:solidFill>
                  <a:schemeClr val="tx1"/>
                </a:solidFill>
                <a:prstDash val="solid"/>
              </a:ln>
              <a:solidFill>
                <a:sysClr val="windowText" lastClr="000000"/>
              </a:solidFill>
              <a:uFillTx/>
            </a:rPr>
            <a:t>mA</a:t>
          </a:r>
          <a:r>
            <a:rPr lang="zh-CN" altLang="en-US" sz="1200">
              <a:ln w="12700" cmpd="sng">
                <a:solidFill>
                  <a:schemeClr val="tx1"/>
                </a:solidFill>
                <a:prstDash val="solid"/>
              </a:ln>
              <a:solidFill>
                <a:sysClr val="windowText" lastClr="000000"/>
              </a:solidFill>
              <a:uFillTx/>
            </a:rPr>
            <a:t>）</a:t>
          </a:r>
          <a:endParaRPr lang="en-US" altLang="zh-CN" sz="1200">
            <a:ln w="12700" cmpd="sng">
              <a:solidFill>
                <a:schemeClr val="tx1"/>
              </a:solidFill>
              <a:prstDash val="solid"/>
            </a:ln>
            <a:solidFill>
              <a:sysClr val="windowText" lastClr="000000"/>
            </a:solidFill>
            <a:uFillTx/>
          </a:endParaRPr>
        </a:p>
      </xdr:txBody>
    </xdr:sp>
    <xdr:clientData/>
  </xdr:oneCellAnchor>
  <xdr:twoCellAnchor>
    <xdr:from>
      <xdr:col>4</xdr:col>
      <xdr:colOff>1242695</xdr:colOff>
      <xdr:row>4</xdr:row>
      <xdr:rowOff>170996</xdr:rowOff>
    </xdr:from>
    <xdr:to>
      <xdr:col>13</xdr:col>
      <xdr:colOff>1265466</xdr:colOff>
      <xdr:row>12</xdr:row>
      <xdr:rowOff>16056</xdr:rowOff>
    </xdr:to>
    <xdr:grpSp>
      <xdr:nvGrpSpPr>
        <xdr:cNvPr id="4" name="组合 3">
          <a:extLst>
            <a:ext uri="{FF2B5EF4-FFF2-40B4-BE49-F238E27FC236}">
              <a16:creationId xmlns:a16="http://schemas.microsoft.com/office/drawing/2014/main" id="{00000000-0008-0000-0300-000004000000}"/>
            </a:ext>
          </a:extLst>
        </xdr:cNvPr>
        <xdr:cNvGrpSpPr/>
      </xdr:nvGrpSpPr>
      <xdr:grpSpPr>
        <a:xfrm>
          <a:off x="6277338" y="932996"/>
          <a:ext cx="11588842" cy="1369060"/>
          <a:chOff x="6829425" y="809625"/>
          <a:chExt cx="8896350" cy="1559560"/>
        </a:xfrm>
      </xdr:grpSpPr>
      <xdr:sp macro="" textlink="">
        <xdr:nvSpPr>
          <xdr:cNvPr id="5" name="文本框 4">
            <a:extLst>
              <a:ext uri="{FF2B5EF4-FFF2-40B4-BE49-F238E27FC236}">
                <a16:creationId xmlns:a16="http://schemas.microsoft.com/office/drawing/2014/main" id="{00000000-0008-0000-0300-000005000000}"/>
              </a:ext>
            </a:extLst>
          </xdr:cNvPr>
          <xdr:cNvSpPr txBox="1"/>
        </xdr:nvSpPr>
        <xdr:spPr>
          <a:xfrm>
            <a:off x="6868160" y="2105660"/>
            <a:ext cx="1347470" cy="26352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none" rtlCol="0" anchor="t"/>
          <a:lstStyle/>
          <a:p>
            <a:pPr algn="l"/>
            <a:r>
              <a:rPr lang="en-US" altLang="zh-CN" sz="1100" b="1">
                <a:solidFill>
                  <a:sysClr val="windowText" lastClr="000000"/>
                </a:solidFill>
              </a:rPr>
              <a:t>time (ms)</a:t>
            </a:r>
          </a:p>
        </xdr:txBody>
      </xdr:sp>
      <xdr:grpSp>
        <xdr:nvGrpSpPr>
          <xdr:cNvPr id="6" name="组合 5">
            <a:extLst>
              <a:ext uri="{FF2B5EF4-FFF2-40B4-BE49-F238E27FC236}">
                <a16:creationId xmlns:a16="http://schemas.microsoft.com/office/drawing/2014/main" id="{00000000-0008-0000-0300-000006000000}"/>
              </a:ext>
            </a:extLst>
          </xdr:cNvPr>
          <xdr:cNvGrpSpPr/>
        </xdr:nvGrpSpPr>
        <xdr:grpSpPr>
          <a:xfrm>
            <a:off x="6829425" y="809625"/>
            <a:ext cx="8896350" cy="1381125"/>
            <a:chOff x="6781800" y="742950"/>
            <a:chExt cx="8896350" cy="1381125"/>
          </a:xfrm>
        </xdr:grpSpPr>
        <xdr:cxnSp macro="">
          <xdr:nvCxnSpPr>
            <xdr:cNvPr id="7" name="直接箭头连接符 6">
              <a:extLst>
                <a:ext uri="{FF2B5EF4-FFF2-40B4-BE49-F238E27FC236}">
                  <a16:creationId xmlns:a16="http://schemas.microsoft.com/office/drawing/2014/main" id="{00000000-0008-0000-0300-000007000000}"/>
                </a:ext>
              </a:extLst>
            </xdr:cNvPr>
            <xdr:cNvCxnSpPr/>
          </xdr:nvCxnSpPr>
          <xdr:spPr>
            <a:xfrm flipV="1">
              <a:off x="6781800" y="800100"/>
              <a:ext cx="9525" cy="1323975"/>
            </a:xfrm>
            <a:prstGeom prst="straightConnector1">
              <a:avLst/>
            </a:prstGeom>
            <a:ln>
              <a:solidFill>
                <a:sysClr val="windowText" lastClr="000000"/>
              </a:solidFill>
              <a:headEnd type="none"/>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8" name="文本框 7">
              <a:extLst>
                <a:ext uri="{FF2B5EF4-FFF2-40B4-BE49-F238E27FC236}">
                  <a16:creationId xmlns:a16="http://schemas.microsoft.com/office/drawing/2014/main" id="{00000000-0008-0000-0300-000008000000}"/>
                </a:ext>
              </a:extLst>
            </xdr:cNvPr>
            <xdr:cNvSpPr txBox="1"/>
          </xdr:nvSpPr>
          <xdr:spPr>
            <a:xfrm>
              <a:off x="6859270" y="1609725"/>
              <a:ext cx="285115" cy="485775"/>
            </a:xfrm>
            <a:prstGeom prst="rect">
              <a:avLst/>
            </a:prstGeom>
            <a:solidFill>
              <a:sysClr val="window" lastClr="FFFFFF"/>
            </a:solidFill>
            <a:ln w="3175">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vert="wordArtVertRtl" wrap="none" lIns="144145" rIns="36195" rtlCol="0" anchor="t"/>
            <a:lstStyle/>
            <a:p>
              <a:pPr algn="l"/>
              <a:r>
                <a:rPr lang="en-US" altLang="zh-CN" sz="1100" b="1"/>
                <a:t>WD</a:t>
              </a:r>
            </a:p>
          </xdr:txBody>
        </xdr:sp>
        <xdr:sp macro="" textlink="">
          <xdr:nvSpPr>
            <xdr:cNvPr id="9" name="文本框 8">
              <a:extLst>
                <a:ext uri="{FF2B5EF4-FFF2-40B4-BE49-F238E27FC236}">
                  <a16:creationId xmlns:a16="http://schemas.microsoft.com/office/drawing/2014/main" id="{00000000-0008-0000-0300-000009000000}"/>
                </a:ext>
              </a:extLst>
            </xdr:cNvPr>
            <xdr:cNvSpPr txBox="1"/>
          </xdr:nvSpPr>
          <xdr:spPr>
            <a:xfrm>
              <a:off x="71627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sp macro="" textlink="">
          <xdr:nvSpPr>
            <xdr:cNvPr id="10" name="文本框 9">
              <a:extLst>
                <a:ext uri="{FF2B5EF4-FFF2-40B4-BE49-F238E27FC236}">
                  <a16:creationId xmlns:a16="http://schemas.microsoft.com/office/drawing/2014/main" id="{00000000-0008-0000-0300-00000A000000}"/>
                </a:ext>
              </a:extLst>
            </xdr:cNvPr>
            <xdr:cNvSpPr txBox="1"/>
          </xdr:nvSpPr>
          <xdr:spPr>
            <a:xfrm>
              <a:off x="8058150" y="1371600"/>
              <a:ext cx="209550" cy="714375"/>
            </a:xfrm>
            <a:prstGeom prst="rect">
              <a:avLst/>
            </a:prstGeom>
            <a:solidFill>
              <a:schemeClr val="lt1"/>
            </a:solidFill>
            <a:ln w="12700" cmpd="sng">
              <a:solidFill>
                <a:schemeClr val="l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vert="eaVert" wrap="square" lIns="0" tIns="0" rIns="0" bIns="0" rtlCol="0" anchor="t" anchorCtr="0"/>
            <a:lstStyle/>
            <a:p>
              <a:pPr algn="l"/>
              <a:r>
                <a:rPr lang="en-US" altLang="zh-CN" sz="1000" b="0">
                  <a:ln>
                    <a:solidFill>
                      <a:sysClr val="windowText" lastClr="000000"/>
                    </a:solidFill>
                  </a:ln>
                  <a:solidFill>
                    <a:sysClr val="windowText" lastClr="000000"/>
                  </a:solidFill>
                  <a:latin typeface="+mn-lt"/>
                  <a:sym typeface="+mn-ea"/>
                </a:rPr>
                <a:t>   Sampling</a:t>
              </a:r>
            </a:p>
          </xdr:txBody>
        </xdr:sp>
        <xdr:sp macro="" textlink="">
          <xdr:nvSpPr>
            <xdr:cNvPr id="11" name="文本框 10">
              <a:extLst>
                <a:ext uri="{FF2B5EF4-FFF2-40B4-BE49-F238E27FC236}">
                  <a16:creationId xmlns:a16="http://schemas.microsoft.com/office/drawing/2014/main" id="{00000000-0008-0000-0300-00000B000000}"/>
                </a:ext>
              </a:extLst>
            </xdr:cNvPr>
            <xdr:cNvSpPr txBox="1"/>
          </xdr:nvSpPr>
          <xdr:spPr>
            <a:xfrm>
              <a:off x="8268335" y="742950"/>
              <a:ext cx="25654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TX</a:t>
              </a:r>
            </a:p>
          </xdr:txBody>
        </xdr:sp>
        <xdr:sp macro="" textlink="">
          <xdr:nvSpPr>
            <xdr:cNvPr id="12" name="文本框 11">
              <a:extLst>
                <a:ext uri="{FF2B5EF4-FFF2-40B4-BE49-F238E27FC236}">
                  <a16:creationId xmlns:a16="http://schemas.microsoft.com/office/drawing/2014/main" id="{00000000-0008-0000-0300-00000C000000}"/>
                </a:ext>
              </a:extLst>
            </xdr:cNvPr>
            <xdr:cNvSpPr txBox="1"/>
          </xdr:nvSpPr>
          <xdr:spPr>
            <a:xfrm>
              <a:off x="9260206" y="1219200"/>
              <a:ext cx="23622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0" rIns="36195" rtlCol="0" anchor="t"/>
            <a:lstStyle/>
            <a:p>
              <a:pPr algn="l"/>
              <a:r>
                <a:rPr lang="en-US" altLang="zh-CN" sz="1100" b="1"/>
                <a:t>RX1</a:t>
              </a:r>
            </a:p>
          </xdr:txBody>
        </xdr:sp>
        <xdr:sp macro="" textlink="">
          <xdr:nvSpPr>
            <xdr:cNvPr id="13" name="文本框 12">
              <a:extLst>
                <a:ext uri="{FF2B5EF4-FFF2-40B4-BE49-F238E27FC236}">
                  <a16:creationId xmlns:a16="http://schemas.microsoft.com/office/drawing/2014/main" id="{00000000-0008-0000-0300-00000D000000}"/>
                </a:ext>
              </a:extLst>
            </xdr:cNvPr>
            <xdr:cNvSpPr txBox="1"/>
          </xdr:nvSpPr>
          <xdr:spPr>
            <a:xfrm>
              <a:off x="9810749" y="1219200"/>
              <a:ext cx="219076"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lIns="107950" rIns="36195" rtlCol="0" anchor="t">
              <a:noAutofit/>
            </a:bodyPr>
            <a:lstStyle/>
            <a:p>
              <a:pPr algn="l"/>
              <a:r>
                <a:rPr lang="en-US" altLang="zh-CN" sz="1100" b="1"/>
                <a:t>RX2</a:t>
              </a:r>
            </a:p>
          </xdr:txBody>
        </xdr:sp>
        <xdr:sp macro="" textlink="">
          <xdr:nvSpPr>
            <xdr:cNvPr id="14" name="文本框 13">
              <a:extLst>
                <a:ext uri="{FF2B5EF4-FFF2-40B4-BE49-F238E27FC236}">
                  <a16:creationId xmlns:a16="http://schemas.microsoft.com/office/drawing/2014/main" id="{00000000-0008-0000-0300-00000E000000}"/>
                </a:ext>
              </a:extLst>
            </xdr:cNvPr>
            <xdr:cNvSpPr txBox="1"/>
          </xdr:nvSpPr>
          <xdr:spPr>
            <a:xfrm>
              <a:off x="10601325" y="1552575"/>
              <a:ext cx="28575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zh-CN" b="1">
                  <a:sym typeface="+mn-ea"/>
                </a:rPr>
                <a:t>W</a:t>
              </a:r>
              <a:r>
                <a:rPr lang="en-US" b="1">
                  <a:sym typeface="+mn-ea"/>
                </a:rPr>
                <a:t>D</a:t>
              </a:r>
              <a:endParaRPr lang="en-US" sz="1100" b="1"/>
            </a:p>
          </xdr:txBody>
        </xdr:sp>
        <xdr:cxnSp macro="">
          <xdr:nvCxnSpPr>
            <xdr:cNvPr id="15" name="直接箭头连接符 14">
              <a:extLst>
                <a:ext uri="{FF2B5EF4-FFF2-40B4-BE49-F238E27FC236}">
                  <a16:creationId xmlns:a16="http://schemas.microsoft.com/office/drawing/2014/main" id="{00000000-0008-0000-0300-00000F000000}"/>
                </a:ext>
              </a:extLst>
            </xdr:cNvPr>
            <xdr:cNvCxnSpPr/>
          </xdr:nvCxnSpPr>
          <xdr:spPr>
            <a:xfrm>
              <a:off x="6781800" y="2095500"/>
              <a:ext cx="8896350" cy="0"/>
            </a:xfrm>
            <a:prstGeom prst="straightConnector1">
              <a:avLst/>
            </a:prstGeom>
            <a:ln>
              <a:headEnd type="none" w="med" len="med"/>
              <a:tailEnd type="triangle" w="med" len="med"/>
            </a:ln>
          </xdr:spPr>
          <xdr:style>
            <a:lnRef idx="3">
              <a:schemeClr val="dk1"/>
            </a:lnRef>
            <a:fillRef idx="0">
              <a:schemeClr val="dk1"/>
            </a:fillRef>
            <a:effectRef idx="2">
              <a:schemeClr val="dk1"/>
            </a:effectRef>
            <a:fontRef idx="minor">
              <a:schemeClr val="tx1"/>
            </a:fontRef>
          </xdr:style>
        </xdr:cxnSp>
        <xdr:sp macro="" textlink="">
          <xdr:nvSpPr>
            <xdr:cNvPr id="16" name="文本框 15">
              <a:extLst>
                <a:ext uri="{FF2B5EF4-FFF2-40B4-BE49-F238E27FC236}">
                  <a16:creationId xmlns:a16="http://schemas.microsoft.com/office/drawing/2014/main" id="{00000000-0008-0000-0300-000010000000}"/>
                </a:ext>
              </a:extLst>
            </xdr:cNvPr>
            <xdr:cNvSpPr txBox="1"/>
          </xdr:nvSpPr>
          <xdr:spPr>
            <a:xfrm>
              <a:off x="10896599" y="1905000"/>
              <a:ext cx="885825" cy="17843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tIns="0" bIns="0" rtlCol="0" anchor="t"/>
            <a:lstStyle/>
            <a:p>
              <a:pPr algn="ctr"/>
              <a:r>
                <a:rPr lang="en-US" altLang="zh-CN" sz="1100" b="1"/>
                <a:t>sleep</a:t>
              </a:r>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95885</xdr:colOff>
      <xdr:row>0</xdr:row>
      <xdr:rowOff>39370</xdr:rowOff>
    </xdr:from>
    <xdr:to>
      <xdr:col>1</xdr:col>
      <xdr:colOff>986006</xdr:colOff>
      <xdr:row>2</xdr:row>
      <xdr:rowOff>146050</xdr:rowOff>
    </xdr:to>
    <xdr:pic>
      <xdr:nvPicPr>
        <xdr:cNvPr id="2" name="图片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885" y="39370"/>
          <a:ext cx="2099310" cy="4876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95885</xdr:colOff>
      <xdr:row>0</xdr:row>
      <xdr:rowOff>39370</xdr:rowOff>
    </xdr:from>
    <xdr:to>
      <xdr:col>1</xdr:col>
      <xdr:colOff>450365</xdr:colOff>
      <xdr:row>3</xdr:row>
      <xdr:rowOff>12700</xdr:rowOff>
    </xdr:to>
    <xdr:pic>
      <xdr:nvPicPr>
        <xdr:cNvPr id="2" name="图片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885" y="39370"/>
          <a:ext cx="2097405" cy="544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95885</xdr:colOff>
      <xdr:row>0</xdr:row>
      <xdr:rowOff>39370</xdr:rowOff>
    </xdr:from>
    <xdr:to>
      <xdr:col>1</xdr:col>
      <xdr:colOff>450215</xdr:colOff>
      <xdr:row>3</xdr:row>
      <xdr:rowOff>12700</xdr:rowOff>
    </xdr:to>
    <xdr:pic>
      <xdr:nvPicPr>
        <xdr:cNvPr id="2" name="图片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885" y="39370"/>
          <a:ext cx="2097405" cy="54483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54"/>
  <sheetViews>
    <sheetView tabSelected="1" topLeftCell="A14" zoomScale="85" zoomScaleNormal="85" workbookViewId="0">
      <selection activeCell="C128" sqref="C128:D128"/>
    </sheetView>
  </sheetViews>
  <sheetFormatPr defaultColWidth="9" defaultRowHeight="15"/>
  <cols>
    <col min="1" max="1" width="21.85546875" style="1" customWidth="1"/>
    <col min="2" max="2" width="17.140625" style="1" customWidth="1"/>
    <col min="3" max="3" width="19.7109375" style="1" customWidth="1"/>
    <col min="4" max="4" width="24.28515625" style="1" customWidth="1"/>
    <col min="5" max="5" width="18.85546875" style="1" customWidth="1"/>
    <col min="6" max="6" width="18" style="1" customWidth="1"/>
    <col min="7" max="7" width="17.7109375" style="1" customWidth="1"/>
    <col min="8" max="8" width="20" style="1" customWidth="1"/>
    <col min="9" max="13" width="19.85546875" style="1" customWidth="1"/>
    <col min="14" max="14" width="21.140625" style="1" customWidth="1"/>
    <col min="15" max="15" width="14.42578125" style="1" hidden="1" customWidth="1"/>
    <col min="16" max="16" width="12.7109375" style="1" hidden="1" customWidth="1"/>
    <col min="17" max="17" width="15.85546875" style="1" customWidth="1"/>
    <col min="18" max="18" width="14.7109375" style="1" customWidth="1"/>
    <col min="19" max="19" width="13.42578125" style="1" customWidth="1"/>
    <col min="20" max="21" width="9" style="1" customWidth="1"/>
    <col min="22" max="22" width="12.5703125" style="1" customWidth="1"/>
    <col min="23" max="23" width="11.5703125" style="1" customWidth="1"/>
    <col min="24" max="25" width="12.42578125" style="1" customWidth="1"/>
    <col min="26" max="26" width="13.140625" style="1" customWidth="1"/>
    <col min="27" max="27" width="9" style="1"/>
    <col min="28" max="28" width="12" style="1" customWidth="1"/>
    <col min="29" max="16384" width="9" style="1"/>
  </cols>
  <sheetData>
    <row r="1" spans="1:16 16384:16384" ht="15" customHeight="1">
      <c r="A1" s="2"/>
      <c r="B1" s="2"/>
      <c r="C1" s="54" t="s">
        <v>0</v>
      </c>
      <c r="D1" s="54"/>
      <c r="E1" s="54"/>
      <c r="F1" s="54"/>
      <c r="G1" s="54"/>
      <c r="H1" s="54"/>
      <c r="I1" s="54"/>
      <c r="J1" s="54"/>
      <c r="K1" s="2"/>
      <c r="L1" s="2"/>
      <c r="XFD1"/>
    </row>
    <row r="2" spans="1:16 16384:16384">
      <c r="A2" s="2"/>
      <c r="B2" s="2"/>
      <c r="C2" s="54"/>
      <c r="D2" s="54"/>
      <c r="E2" s="54"/>
      <c r="F2" s="54"/>
      <c r="G2" s="54"/>
      <c r="H2" s="54"/>
      <c r="I2" s="54"/>
      <c r="J2" s="54"/>
      <c r="K2" s="2"/>
      <c r="L2" s="2"/>
      <c r="XFD2"/>
    </row>
    <row r="3" spans="1:16 16384:16384">
      <c r="A3" s="2"/>
      <c r="B3" s="2"/>
      <c r="C3" s="54"/>
      <c r="D3" s="54"/>
      <c r="E3" s="54"/>
      <c r="F3" s="54"/>
      <c r="G3" s="54"/>
      <c r="H3" s="54"/>
      <c r="I3" s="54"/>
      <c r="J3" s="54"/>
      <c r="K3" s="2"/>
      <c r="L3" s="2"/>
      <c r="XFD3"/>
    </row>
    <row r="4" spans="1:16 16384:16384" ht="66.75" customHeight="1">
      <c r="A4" s="2"/>
      <c r="B4" s="2"/>
      <c r="C4" s="54"/>
      <c r="D4" s="54"/>
      <c r="E4" s="54"/>
      <c r="F4" s="54"/>
      <c r="G4" s="54"/>
      <c r="H4" s="54"/>
      <c r="I4" s="54"/>
      <c r="J4" s="54"/>
      <c r="K4" s="2"/>
      <c r="L4" s="2"/>
      <c r="XFD4"/>
    </row>
    <row r="5" spans="1:16 16384:16384">
      <c r="A5" s="2" t="s">
        <v>1</v>
      </c>
      <c r="B5" s="2"/>
      <c r="C5" s="48"/>
      <c r="D5" s="2"/>
      <c r="E5" s="2"/>
      <c r="F5" s="2"/>
      <c r="G5" s="2"/>
      <c r="H5" s="2"/>
      <c r="I5" s="2"/>
      <c r="J5" s="2"/>
      <c r="K5" s="2"/>
      <c r="L5" s="2"/>
      <c r="M5" s="21"/>
      <c r="XFD5"/>
    </row>
    <row r="6" spans="1:16 16384:16384">
      <c r="A6" s="3"/>
      <c r="B6" s="4" t="s">
        <v>2</v>
      </c>
      <c r="C6" s="5" t="s">
        <v>3</v>
      </c>
      <c r="D6" s="3"/>
      <c r="E6" s="3"/>
      <c r="F6" s="3"/>
      <c r="G6" s="3"/>
      <c r="H6" s="3"/>
      <c r="I6" s="3"/>
      <c r="J6" s="3"/>
      <c r="K6" s="3"/>
      <c r="L6" s="3"/>
      <c r="XFD6"/>
    </row>
    <row r="7" spans="1:16 16384:16384">
      <c r="A7" s="3"/>
      <c r="B7" s="56" t="s">
        <v>4</v>
      </c>
      <c r="C7" s="59">
        <f>VLOOKUP(B7,M42:N72,2,0)</f>
        <v>8500</v>
      </c>
      <c r="D7" s="3"/>
      <c r="E7" s="3"/>
      <c r="F7" s="3"/>
      <c r="G7" s="3"/>
      <c r="H7" s="3"/>
      <c r="I7" s="3"/>
      <c r="J7" s="3"/>
      <c r="K7" s="3"/>
      <c r="L7" s="3"/>
      <c r="XFD7"/>
    </row>
    <row r="8" spans="1:16 16384:16384">
      <c r="A8" s="3"/>
      <c r="B8" s="56"/>
      <c r="C8" s="59"/>
      <c r="D8" s="3"/>
      <c r="E8" s="3"/>
      <c r="F8" s="3"/>
      <c r="G8" s="3"/>
      <c r="H8" s="3"/>
      <c r="I8" s="3"/>
      <c r="J8" s="3"/>
      <c r="K8" s="3"/>
      <c r="L8" s="3"/>
      <c r="XFD8"/>
    </row>
    <row r="9" spans="1:16 16384:16384">
      <c r="A9" s="3"/>
      <c r="B9" s="56"/>
      <c r="C9" s="59"/>
      <c r="D9" s="3"/>
      <c r="E9" s="3"/>
      <c r="F9" s="3"/>
      <c r="G9" s="3"/>
      <c r="H9" s="3"/>
      <c r="I9" s="3"/>
      <c r="J9" s="3"/>
      <c r="K9" s="3"/>
      <c r="L9" s="3"/>
      <c r="XFD9"/>
    </row>
    <row r="10" spans="1:16 16384:16384">
      <c r="A10" s="3"/>
      <c r="B10" s="6" t="s">
        <v>5</v>
      </c>
      <c r="C10" s="6" t="s">
        <v>6</v>
      </c>
      <c r="D10" s="7" t="s">
        <v>7</v>
      </c>
      <c r="E10" s="3"/>
      <c r="F10" s="3"/>
      <c r="G10" s="3"/>
      <c r="H10" s="3"/>
      <c r="I10" s="3"/>
      <c r="J10" s="3"/>
      <c r="K10" s="3"/>
      <c r="L10" s="3"/>
      <c r="O10" s="22" t="s">
        <v>8</v>
      </c>
      <c r="P10" s="22">
        <v>1</v>
      </c>
      <c r="XFD10"/>
    </row>
    <row r="11" spans="1:16 16384:16384">
      <c r="A11" s="3"/>
      <c r="B11" s="57" t="s">
        <v>9</v>
      </c>
      <c r="C11" s="60">
        <v>20</v>
      </c>
      <c r="D11" s="62" t="s">
        <v>10</v>
      </c>
      <c r="E11" s="3"/>
      <c r="F11" s="3"/>
      <c r="G11" s="3"/>
      <c r="H11" s="3"/>
      <c r="I11" s="3"/>
      <c r="J11" s="3"/>
      <c r="K11" s="3"/>
      <c r="L11" s="3"/>
      <c r="O11" s="22" t="s">
        <v>11</v>
      </c>
      <c r="P11" s="22">
        <f>P10*1000</f>
        <v>1000</v>
      </c>
      <c r="XFD11"/>
    </row>
    <row r="12" spans="1:16 16384:16384">
      <c r="A12" s="3"/>
      <c r="B12" s="58"/>
      <c r="C12" s="61"/>
      <c r="D12" s="63"/>
      <c r="E12" s="3"/>
      <c r="F12" s="3"/>
      <c r="G12" s="3"/>
      <c r="H12" s="3"/>
      <c r="I12" s="3"/>
      <c r="J12" s="3"/>
      <c r="K12" s="3"/>
      <c r="L12" s="3"/>
      <c r="O12" s="22" t="s">
        <v>9</v>
      </c>
      <c r="P12" s="22">
        <f>P11*60</f>
        <v>60000</v>
      </c>
      <c r="XFD12"/>
    </row>
    <row r="13" spans="1:16 16384:16384">
      <c r="A13" s="3"/>
      <c r="B13" s="3"/>
      <c r="C13" s="9" t="s">
        <v>12</v>
      </c>
      <c r="D13" s="9" t="s">
        <v>13</v>
      </c>
      <c r="E13" s="9" t="s">
        <v>14</v>
      </c>
      <c r="F13" s="9" t="s">
        <v>15</v>
      </c>
      <c r="G13" s="9" t="s">
        <v>16</v>
      </c>
      <c r="H13" s="9" t="s">
        <v>17</v>
      </c>
      <c r="I13" s="9" t="s">
        <v>18</v>
      </c>
      <c r="J13" s="9" t="s">
        <v>19</v>
      </c>
      <c r="K13" s="9" t="s">
        <v>20</v>
      </c>
      <c r="L13" s="9" t="s">
        <v>21</v>
      </c>
      <c r="O13" s="22" t="s">
        <v>22</v>
      </c>
      <c r="P13" s="22">
        <f>P12*60</f>
        <v>3600000</v>
      </c>
      <c r="XFD13"/>
    </row>
    <row r="14" spans="1:16 16384:16384" ht="18.75">
      <c r="A14" s="30" t="s">
        <v>23</v>
      </c>
      <c r="B14" s="30" t="s">
        <v>24</v>
      </c>
      <c r="C14" s="31">
        <f t="array" ref="C14">VLOOKUP($B$7&amp;$D$11,IF({1,0},$A$42:$A$106&amp;$B$42:$B$106,$G$42:$G$106),2,0)</f>
        <v>13440</v>
      </c>
      <c r="D14" s="31">
        <f t="array" ref="D14">VLOOKUP($B$7&amp;$D$11,IF({1,0},$A$42:$A$106&amp;$B$42:$B$106,$H$42:$H$106),2,0)</f>
        <v>13015.08</v>
      </c>
      <c r="E14" s="31">
        <f t="shared" ref="E14:E19" si="0">VLOOKUP(B28,B27:R33,13,0)</f>
        <v>7898.4587682000001</v>
      </c>
      <c r="F14" s="31">
        <f t="shared" ref="F14:F19" si="1">VLOOKUP(B28,B27:T33,14,0)</f>
        <v>863.59083504</v>
      </c>
      <c r="G14" s="31">
        <f t="shared" ref="G14:G19" si="2">VLOOKUP(B28,B27:T33,15,0)</f>
        <v>4107.5144468000008</v>
      </c>
      <c r="H14" s="31">
        <f t="shared" ref="H14:H19" si="3">VLOOKUP(B28,B27:T33,16,0)</f>
        <v>757.17066666666665</v>
      </c>
      <c r="I14" s="31">
        <f t="array" ref="I14">(C14+D14+E14+F14+G14+H14+J14+K14)/((VLOOKUP($B$7&amp;$D$11,IF({1,0},$A$42:$A$106&amp;$B$42:$B$106,$I$42:$I$106),2,0))+(((VLOOKUP($B$7&amp;$D$11,IF({1,0},$A$42:$A$106&amp;$B$42:$B$106,$C$42:$C$106),2,0)))+((VLOOKUP($B$7&amp;$D$11,IF({1,0},$A$42:$A$106&amp;$B$42:$B$106,$E$42:$E$106),2,0)))+(VLOOKUP(B28,$B$27:$F$33,2,0))+(VLOOKUP(B28,$B$27:$F$33,3,0))+(VLOOKUP(B28,$B$27:$F$33,4,0))+(VLOOKUP(B28,$B$27:$F$33,5,0))))</f>
        <v>3.7905191215453014E-2</v>
      </c>
      <c r="J14" s="31">
        <f t="array" ref="J14">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14" s="31">
        <f>IF($B$7="LSN50_V2____Waterproof_Long_Range_Wireless_LoRa_Sensor_Node",VLOOKUP(B28,B27:T33,17,0),0)</f>
        <v>0</v>
      </c>
      <c r="L14" s="38">
        <f>$C$7/(I14*8760+($C$7*0.02))</f>
        <v>16.93060230607357</v>
      </c>
      <c r="O14" s="22" t="s">
        <v>25</v>
      </c>
      <c r="P14" s="22">
        <f>P13*24</f>
        <v>86400000</v>
      </c>
      <c r="XFD14"/>
    </row>
    <row r="15" spans="1:16 16384:16384" ht="18.75">
      <c r="A15" s="3"/>
      <c r="B15" s="30" t="s">
        <v>26</v>
      </c>
      <c r="C15" s="31">
        <f t="array" ref="C15">VLOOKUP($B$7&amp;$D$11,IF({1,0},$A$42:$A$106&amp;$B$42:$B$106,$G$42:$G$106),2,0)</f>
        <v>13440</v>
      </c>
      <c r="D15" s="31">
        <f t="array" ref="D15">VLOOKUP($B$7&amp;$D$11,IF({1,0},$A$42:$A$106&amp;$B$42:$B$106,$H$42:$H$106),2,0)</f>
        <v>13015.08</v>
      </c>
      <c r="E15" s="31">
        <f t="shared" si="0"/>
        <v>14192.380000000001</v>
      </c>
      <c r="F15" s="31">
        <f t="shared" si="1"/>
        <v>899.43861919999995</v>
      </c>
      <c r="G15" s="31">
        <f t="shared" si="2"/>
        <v>4112.6677811999998</v>
      </c>
      <c r="H15" s="31">
        <f t="shared" si="3"/>
        <v>757.17066666666665</v>
      </c>
      <c r="I15" s="31">
        <f t="array" ref="I15">(C15+D15+E15+F15+G15+H15+J15+K15)/((VLOOKUP($B$7&amp;$D$11,IF({1,0},$A$42:$A$106&amp;$B$42:$B$106,$I$42:$I$106),2,0))+(((VLOOKUP($B$7&amp;$D$11,IF({1,0},$A$42:$A$106&amp;$B$42:$B$106,$C$42:$C$106),2,0)))+((VLOOKUP($B$7&amp;$D$11,IF({1,0},$A$42:$A$106&amp;$B$42:$B$106,$E$42:$E$106),2,0)))+(VLOOKUP(B29,$B$27:$F$33,2,0))+(VLOOKUP(B29,$B$27:$F$33,3,0))+(VLOOKUP(B29,$B$27:$F$33,4,0))+(VLOOKUP(B29,$B$27:$F$33,5,0))))</f>
        <v>4.3175301401286163E-2</v>
      </c>
      <c r="J15" s="31">
        <f t="array" ref="J15">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15" s="31">
        <f t="array" ref="K15">IF($B$7="LSN50_V2____Waterproof_Long_Range_Wireless_LoRa_Sensor_Node",VLOOKUP(B29,B28:T34,17,0),0)</f>
        <v>0</v>
      </c>
      <c r="L15" s="38">
        <f t="shared" ref="L15:L19" si="4">$C$7/(I15*8760+($C$7*0.02))</f>
        <v>15.50484768317086</v>
      </c>
      <c r="O15" s="22" t="s">
        <v>27</v>
      </c>
      <c r="P15" s="22">
        <f>P16/12</f>
        <v>2629800000</v>
      </c>
      <c r="XFD15"/>
    </row>
    <row r="16" spans="1:16 16384:16384" ht="18.75">
      <c r="A16" s="3"/>
      <c r="B16" s="30" t="s">
        <v>28</v>
      </c>
      <c r="C16" s="31">
        <f t="array" ref="C16">VLOOKUP($B$7&amp;$D$11,IF({1,0},$A$42:$A$106&amp;$B$42:$B$106,$G$42:$G$106),2,0)</f>
        <v>13440</v>
      </c>
      <c r="D16" s="31">
        <f t="array" ref="D16">VLOOKUP($B$7&amp;$D$11,IF({1,0},$A$42:$A$106&amp;$B$42:$B$106,$H$42:$H$106),2,0)</f>
        <v>13015.08</v>
      </c>
      <c r="E16" s="31">
        <f t="shared" si="0"/>
        <v>25593.898329999996</v>
      </c>
      <c r="F16" s="31">
        <f t="shared" si="1"/>
        <v>1043.4325664</v>
      </c>
      <c r="G16" s="31">
        <f t="shared" si="2"/>
        <v>4124.4347143999994</v>
      </c>
      <c r="H16" s="31">
        <f t="shared" si="3"/>
        <v>757.17066666666665</v>
      </c>
      <c r="I16" s="31">
        <f t="array" ref="I16">(C16+D16+E16+F16+G16+H16+J16+K16)/((VLOOKUP($B$7&amp;$D$11,IF({1,0},$A$42:$A$106&amp;$B$42:$B$106,$I$42:$I$106),2,0))+(((VLOOKUP($B$7&amp;$D$11,IF({1,0},$A$42:$A$106&amp;$B$42:$B$106,$C$42:$C$106),2,0)))+((VLOOKUP($B$7&amp;$D$11,IF({1,0},$A$42:$A$106&amp;$B$42:$B$106,$E$42:$E$106),2,0)))+(VLOOKUP(B30,$B$27:$F$33,2,0))+(VLOOKUP(B30,$B$27:$F$33,3,0))+(VLOOKUP(B30,$B$27:$F$33,4,0))+(VLOOKUP(B30,$B$27:$F$33,5,0))))</f>
        <v>5.278825886427687E-2</v>
      </c>
      <c r="J16" s="31">
        <f t="array" ref="J16">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16" s="31">
        <f t="array" ref="K16">IF($B$7="LSN50_V2____Waterproof_Long_Range_Wireless_LoRa_Sensor_Node",VLOOKUP(B30,B29:T35,17,0),0)</f>
        <v>0</v>
      </c>
      <c r="L16" s="38">
        <f t="shared" si="4"/>
        <v>13.440325754866718</v>
      </c>
      <c r="O16" s="22" t="s">
        <v>29</v>
      </c>
      <c r="P16" s="22">
        <f>P14*365.25</f>
        <v>31557600000</v>
      </c>
      <c r="XFD16"/>
    </row>
    <row r="17" spans="1:18 16384:16384" ht="18.75">
      <c r="A17" s="3"/>
      <c r="B17" s="30" t="s">
        <v>30</v>
      </c>
      <c r="C17" s="31">
        <f t="array" ref="C17">VLOOKUP($B$7&amp;$D$11,IF({1,0},$A$42:$A$106&amp;$B$42:$B$106,$G$42:$G$106),2,0)</f>
        <v>13440</v>
      </c>
      <c r="D17" s="31">
        <f t="array" ref="D17">VLOOKUP($B$7&amp;$D$11,IF({1,0},$A$42:$A$106&amp;$B$42:$B$106,$H$42:$H$106),2,0)</f>
        <v>13015.08</v>
      </c>
      <c r="E17" s="31">
        <f t="shared" si="0"/>
        <v>45792.059760000004</v>
      </c>
      <c r="F17" s="31">
        <f t="shared" si="1"/>
        <v>1423.0441949999999</v>
      </c>
      <c r="G17" s="31">
        <f t="shared" si="2"/>
        <v>4091.8098080000004</v>
      </c>
      <c r="H17" s="31">
        <f t="shared" si="3"/>
        <v>757.17066666666665</v>
      </c>
      <c r="I17" s="31">
        <f t="array" ref="I17">(C17+D17+E17+F17+G17+H17+J17+K17)/((VLOOKUP($B$7&amp;$D$11,IF({1,0},$A$42:$A$106&amp;$B$42:$B$106,$I$42:$I$106),2,0))+(((VLOOKUP($B$7&amp;$D$11,IF({1,0},$A$42:$A$106&amp;$B$42:$B$106,$C$42:$C$106),2,0)))+((VLOOKUP($B$7&amp;$D$11,IF({1,0},$A$42:$A$106&amp;$B$42:$B$106,$E$42:$E$106),2,0)))+(VLOOKUP(B31,$B$27:$F$33,2,0))+(VLOOKUP(B31,$B$27:$F$33,3,0))+(VLOOKUP(B31,$B$27:$F$33,4,0))+(VLOOKUP(B31,$B$27:$F$33,5,0))))</f>
        <v>6.9873123548494259E-2</v>
      </c>
      <c r="J17" s="31">
        <f t="array" ref="J17">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17" s="31">
        <f t="array" ref="K17">IF($B$7="LSN50_V2____Waterproof_Long_Range_Wireless_LoRa_Sensor_Node",VLOOKUP(B31,B30:T36,17,0),0)</f>
        <v>0</v>
      </c>
      <c r="L17" s="38">
        <f t="shared" si="4"/>
        <v>10.868334367616788</v>
      </c>
      <c r="XFD17"/>
    </row>
    <row r="18" spans="1:18 16384:16384" ht="18.75">
      <c r="A18" s="3"/>
      <c r="B18" s="30" t="s">
        <v>31</v>
      </c>
      <c r="C18" s="31">
        <f t="array" ref="C18">VLOOKUP($B$7&amp;$D$11,IF({1,0},$A$42:$A$106&amp;$B$42:$B$106,$G$42:$G$106),2,0)</f>
        <v>13440</v>
      </c>
      <c r="D18" s="31">
        <f t="array" ref="D18">VLOOKUP($B$7&amp;$D$11,IF({1,0},$A$42:$A$106&amp;$B$42:$B$106,$H$42:$H$106),2,0)</f>
        <v>13015.08</v>
      </c>
      <c r="E18" s="31">
        <f t="shared" si="0"/>
        <v>93138.667361999993</v>
      </c>
      <c r="F18" s="31">
        <f t="shared" si="1"/>
        <v>2217.1815041999998</v>
      </c>
      <c r="G18" s="31">
        <f t="shared" si="2"/>
        <v>4086.4441596000001</v>
      </c>
      <c r="H18" s="31">
        <f t="shared" si="3"/>
        <v>757.17066666666665</v>
      </c>
      <c r="I18" s="31">
        <f t="array" ref="I18">(C18+D18+E18+F18+G18+H18+J18+K18)/((VLOOKUP($B$7&amp;$D$11,IF({1,0},$A$42:$A$106&amp;$B$42:$B$106,$I$42:$I$106),2,0))+(((VLOOKUP($B$7&amp;$D$11,IF({1,0},$A$42:$A$106&amp;$B$42:$B$106,$C$42:$C$106),2,0)))+((VLOOKUP($B$7&amp;$D$11,IF({1,0},$A$42:$A$106&amp;$B$42:$B$106,$E$42:$E$106),2,0)))+(VLOOKUP(B32,$B$27:$F$33,2,0))+(VLOOKUP(B32,$B$27:$F$33,3,0))+(VLOOKUP(B32,$B$27:$F$33,4,0))+(VLOOKUP(B32,$B$27:$F$33,5,0))))</f>
        <v>0.10988083761716573</v>
      </c>
      <c r="J18" s="31">
        <f t="array" ref="J18">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18" s="31">
        <f t="array" ref="K18">IF($B$7="LSN50_V2____Waterproof_Long_Range_Wireless_LoRa_Sensor_Node",VLOOKUP(B32,B31:T37,17,0),0)</f>
        <v>0</v>
      </c>
      <c r="L18" s="38">
        <f t="shared" si="4"/>
        <v>7.5051467369775962</v>
      </c>
      <c r="XFD18"/>
    </row>
    <row r="19" spans="1:18 16384:16384" ht="18.75">
      <c r="A19" s="3"/>
      <c r="B19" s="30" t="s">
        <v>32</v>
      </c>
      <c r="C19" s="31">
        <f t="array" ref="C19">VLOOKUP($B$7&amp;$D$11,IF({1,0},$A$42:$A$106&amp;$B$42:$B$106,$G$42:$G$106),2,0)</f>
        <v>13440</v>
      </c>
      <c r="D19" s="31">
        <f t="array" ref="D19">VLOOKUP($B$7&amp;$D$11,IF({1,0},$A$42:$A$106&amp;$B$42:$B$106,$H$42:$H$106),2,0)</f>
        <v>13015.08</v>
      </c>
      <c r="E19" s="31">
        <f t="shared" si="0"/>
        <v>174411.45</v>
      </c>
      <c r="F19" s="31">
        <f t="shared" si="1"/>
        <v>4091.6060611999997</v>
      </c>
      <c r="G19" s="31">
        <f t="shared" si="2"/>
        <v>4100.7277310999998</v>
      </c>
      <c r="H19" s="31">
        <f t="shared" si="3"/>
        <v>757.17066666666665</v>
      </c>
      <c r="I19" s="31">
        <f t="array" ref="I19">(C19+D19+E19+F19+G19+H19+J19+K19)/((VLOOKUP($B$7&amp;$D$11,IF({1,0},$A$42:$A$106&amp;$B$42:$B$106,$I$42:$I$106),2,0))+(((VLOOKUP($B$7&amp;$D$11,IF({1,0},$A$42:$A$106&amp;$B$42:$B$106,$C$42:$C$106),2,0)))+((VLOOKUP($B$7&amp;$D$11,IF({1,0},$A$42:$A$106&amp;$B$42:$B$106,$E$42:$E$106),2,0)))+(VLOOKUP(B33,$B$27:$F$33,2,0))+(VLOOKUP(B33,$B$27:$F$33,3,0))+(VLOOKUP(B33,$B$27:$F$33,4,0))+(VLOOKUP(B33,$B$27:$F$33,5,0))))</f>
        <v>0.17893052883376634</v>
      </c>
      <c r="J19" s="31">
        <f t="array" ref="J19">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19" s="31">
        <f t="array" ref="K19">IF($B$7="LSN50_V2____Waterproof_Long_Range_Wireless_LoRa_Sensor_Node",VLOOKUP(B33,B32:T38,17,0),0)</f>
        <v>0</v>
      </c>
      <c r="L19" s="38">
        <f t="shared" si="4"/>
        <v>4.8922793962345681</v>
      </c>
      <c r="XFD19"/>
    </row>
    <row r="20" spans="1:18 16384:16384" ht="18.75">
      <c r="A20" s="3"/>
      <c r="B20" s="3"/>
      <c r="C20" s="32"/>
      <c r="D20" s="32"/>
      <c r="E20" s="3"/>
      <c r="F20" s="3"/>
      <c r="G20" s="3"/>
      <c r="H20" s="3"/>
      <c r="I20" s="3"/>
      <c r="J20" s="39"/>
      <c r="K20" s="39"/>
      <c r="L20" s="40"/>
      <c r="O20" s="1" t="s">
        <v>33</v>
      </c>
      <c r="P20" s="1">
        <v>8</v>
      </c>
      <c r="XFD20"/>
    </row>
    <row r="21" spans="1:18 16384:16384" ht="18.75">
      <c r="A21" s="33" t="s">
        <v>34</v>
      </c>
      <c r="B21" s="34" t="s">
        <v>35</v>
      </c>
      <c r="C21" s="35">
        <f t="array" ref="C21">VLOOKUP($B$7&amp;$D$11,IF({1,0},$A$42:$A$106&amp;$B$42:$B$106,$G$42:$G$106),2,0)</f>
        <v>13440</v>
      </c>
      <c r="D21" s="35">
        <f t="array" ref="D21">VLOOKUP($B$7&amp;$D$11,IF({1,0},$A$42:$A$106&amp;$B$42:$B$106,$H$42:$H$106),2,0)</f>
        <v>13015.08</v>
      </c>
      <c r="E21" s="36">
        <f>VLOOKUP(B35,B35:R38,13,0)</f>
        <v>7945.3928688000005</v>
      </c>
      <c r="F21" s="36">
        <f>VLOOKUP(B35,B35:T38,14,0)</f>
        <v>872.79486000000009</v>
      </c>
      <c r="G21" s="36">
        <f>VLOOKUP(B35,B35:T38,15,0)</f>
        <v>1573.0448262</v>
      </c>
      <c r="H21" s="36">
        <f>VLOOKUP(B35,B35:T38,16,0)</f>
        <v>757.17066666666665</v>
      </c>
      <c r="I21" s="36">
        <f t="array" ref="I21">(C21+D21+E21+F21+G21+H21+J21+K21)/((VLOOKUP($B$7&amp;$D$11,IF({1,0},$A$42:$A$106&amp;$B$42:$B$106,$I$42:$I$106),2,0))+(((VLOOKUP($B$7&amp;$D$11,IF({1,0},$A$42:$A$106&amp;$B$42:$B$106,$C$42:$C$106),2,0)))+((VLOOKUP($B$7&amp;$D$11,IF({1,0},$A$42:$A$106&amp;$B$42:$B$106,$E$42:$E$106),2,0)))+(VLOOKUP(B35,$B$35:$F$38,2,0))+(VLOOKUP(B35,$B$35:$F$38,3,0))+(VLOOKUP(B35,$B$35:$F$38,4,0))+(VLOOKUP(B35,$B$35:$F$38,5,0))))</f>
        <v>3.5846867969054459E-2</v>
      </c>
      <c r="J21"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21" s="35">
        <f>IF($B$7="LSN50_V2____Waterproof_Long_Range_Wireless_LoRa_Sensor_Node",VLOOKUP(B28,B27:T33,17,0),0)</f>
        <v>0</v>
      </c>
      <c r="L21" s="41">
        <f>$C$7/(I21*8760+($C$7*0.02))</f>
        <v>17.561309921947931</v>
      </c>
      <c r="N21" s="1" t="s">
        <v>36</v>
      </c>
      <c r="XFD21"/>
    </row>
    <row r="22" spans="1:18 16384:16384" ht="18.75">
      <c r="A22" s="3"/>
      <c r="B22" s="34" t="s">
        <v>37</v>
      </c>
      <c r="C22" s="35">
        <f t="array" ref="C22">VLOOKUP($B$7&amp;$D$11,IF({1,0},$A$42:$A$106&amp;$B$42:$B$106,$G$42:$G$106),2,0)</f>
        <v>13440</v>
      </c>
      <c r="D22" s="35">
        <f t="array" ref="D22">VLOOKUP($B$7&amp;$D$11,IF({1,0},$A$42:$A$106&amp;$B$42:$B$106,$H$42:$H$106),2,0)</f>
        <v>13015.08</v>
      </c>
      <c r="E22" s="36">
        <f>VLOOKUP(B36,B36:T39,13,0)</f>
        <v>14301.75843</v>
      </c>
      <c r="F22" s="36">
        <f>VLOOKUP(B36,B36:U39,14,0)</f>
        <v>899.0674782000001</v>
      </c>
      <c r="G22" s="36">
        <f>VLOOKUP(B36,B36:U39,15,0)</f>
        <v>1557.0308364</v>
      </c>
      <c r="H22" s="36">
        <f>VLOOKUP(B36,B36:U39,16,0)</f>
        <v>757.17066666666665</v>
      </c>
      <c r="I22" s="36">
        <f t="array" ref="I22">(C22+D22+E22+F22+G22+H22+J22+K22)/((VLOOKUP($B$7&amp;$D$11,IF({1,0},$A$42:$A$106&amp;$B$42:$B$106,$I$42:$I$106),2,0))+(((VLOOKUP($B$7&amp;$D$11,IF({1,0},$A$42:$A$106&amp;$B$42:$B$106,$C$42:$C$106),2,0)))+((VLOOKUP($B$7&amp;$D$11,IF({1,0},$A$42:$A$106&amp;$B$42:$B$106,$E$42:$E$106),2,0)))+(VLOOKUP(B36,$B$35:$F$38,2,0))+(VLOOKUP(B36,$B$35:$F$38,3,0))+(VLOOKUP(B36,$B$35:$F$38,4,0))+(VLOOKUP(B36,$B$35:$F$38,5,0))))</f>
        <v>4.1143972475758489E-2</v>
      </c>
      <c r="J22"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22" s="35">
        <f>IF($B$7="LSN50_V2____Waterproof_Long_Range_Wireless_LoRa_Sensor_Node",VLOOKUP(B29,B28:T34,17,0),0)</f>
        <v>0</v>
      </c>
      <c r="L22" s="41">
        <f>$C$7/(I22*8760+($C$7*0.02))</f>
        <v>16.025000542635741</v>
      </c>
      <c r="XFD22"/>
    </row>
    <row r="23" spans="1:18 16384:16384" ht="18.75">
      <c r="A23" s="3"/>
      <c r="B23" s="34" t="s">
        <v>38</v>
      </c>
      <c r="C23" s="35">
        <f t="array" ref="C23">VLOOKUP($B$7&amp;$D$11,IF({1,0},$A$42:$A$106&amp;$B$42:$B$106,$G$42:$G$106),2,0)</f>
        <v>13440</v>
      </c>
      <c r="D23" s="35">
        <f t="array" ref="D23">VLOOKUP($B$7&amp;$D$11,IF({1,0},$A$42:$A$106&amp;$B$42:$B$106,$H$42:$H$106),2,0)</f>
        <v>13015.08</v>
      </c>
      <c r="E23" s="36">
        <f>VLOOKUP(B37,B37:T40,13,0)</f>
        <v>25752.802767000001</v>
      </c>
      <c r="F23" s="36">
        <f>VLOOKUP(B37,B37:U40,14,0)</f>
        <v>936.08589600000005</v>
      </c>
      <c r="G23" s="36">
        <f>VLOOKUP(B37,B37:U40,15,0)</f>
        <v>1543.022663</v>
      </c>
      <c r="H23" s="36">
        <f>VLOOKUP(B37,B37:U40,16,0)</f>
        <v>757.17066666666665</v>
      </c>
      <c r="I23" s="36">
        <f t="array" ref="I23">(C23+D23+E23+F23+G23+H23+J23+K23)/((VLOOKUP($B$7&amp;$D$11,IF({1,0},$A$42:$A$106&amp;$B$42:$B$106,$I$42:$I$106),2,0))+(((VLOOKUP($B$7&amp;$D$11,IF({1,0},$A$42:$A$106&amp;$B$42:$B$106,$C$42:$C$106),2,0)))+((VLOOKUP($B$7&amp;$D$11,IF({1,0},$A$42:$A$106&amp;$B$42:$B$106,$E$42:$E$106),2,0)))+(VLOOKUP(B37,$B$35:$F$38,2,0))+(VLOOKUP(B37,$B$35:$F$38,3,0))+(VLOOKUP(B37,$B$35:$F$38,4,0))+(VLOOKUP(B37,$B$35:$F$38,5,0))))</f>
        <v>5.0689333669542327E-2</v>
      </c>
      <c r="J23"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23" s="35">
        <f>IF($B$7="LSN50_V2____Waterproof_Long_Range_Wireless_LoRa_Sensor_Node",VLOOKUP(B30,B29:T35,17,0),0)</f>
        <v>0</v>
      </c>
      <c r="L23" s="41">
        <f>$C$7/(I23*8760+($C$7*0.02))</f>
        <v>13.842778797524337</v>
      </c>
      <c r="XFD23"/>
    </row>
    <row r="24" spans="1:18 16384:16384" ht="18.75">
      <c r="A24" s="3"/>
      <c r="B24" s="34" t="s">
        <v>39</v>
      </c>
      <c r="C24" s="35">
        <f t="array" ref="C24">VLOOKUP($B$7&amp;$D$11,IF({1,0},$A$42:$A$106&amp;$B$42:$B$106,$G$42:$G$106),2,0)</f>
        <v>13440</v>
      </c>
      <c r="D24" s="35">
        <f t="array" ref="D24">VLOOKUP($B$7&amp;$D$11,IF({1,0},$A$42:$A$106&amp;$B$42:$B$106,$H$42:$H$106),2,0)</f>
        <v>13015.08</v>
      </c>
      <c r="E24" s="36">
        <f>VLOOKUP(B38,B38:T41,13,0)</f>
        <v>46113.325663999996</v>
      </c>
      <c r="F24" s="36">
        <f>VLOOKUP(B38,B38:U41,14,0)</f>
        <v>980.32681949999994</v>
      </c>
      <c r="G24" s="36">
        <f>VLOOKUP(B38,B38:U41,15,0)</f>
        <v>1556.6318549</v>
      </c>
      <c r="H24" s="36">
        <f>VLOOKUP(B38,B38:U41,16,0)</f>
        <v>757.17066666666665</v>
      </c>
      <c r="I24" s="36">
        <f t="array" ref="I24">(C24+D24+E24+F24+G24+H24+J24+K24)/((VLOOKUP($B$7&amp;$D$11,IF({1,0},$A$42:$A$106&amp;$B$42:$B$106,$I$42:$I$106),2,0))+(((VLOOKUP($B$7&amp;$D$11,IF({1,0},$A$42:$A$106&amp;$B$42:$B$106,$C$42:$C$106),2,0)))+((VLOOKUP($B$7&amp;$D$11,IF({1,0},$A$42:$A$106&amp;$B$42:$B$106,$E$42:$E$106),2,0)))+(VLOOKUP(B38,$B$35:$F$38,2,0))+(VLOOKUP(B38,$B$35:$F$38,3,0))+(VLOOKUP(B38,$B$35:$F$38,4,0))+(VLOOKUP(B38,$B$35:$F$38,5,0))))</f>
        <v>6.7672010618622755E-2</v>
      </c>
      <c r="J24"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DS18B20,WMOD=1"))),VLOOKUP($B$7,$A$42:$L$82,12,0),0)</f>
        <v>5467.05</v>
      </c>
      <c r="K24" s="35">
        <f>IF($B$7="LSN50_V2____Waterproof_Long_Range_Wireless_LoRa_Sensor_Node",VLOOKUP(B31,B30:T36,17,0),0)</f>
        <v>0</v>
      </c>
      <c r="L24" s="41">
        <f>$C$7/(I24*8760+($C$7*0.02))</f>
        <v>11.143057265518646</v>
      </c>
      <c r="XFD24"/>
    </row>
    <row r="25" spans="1:18 16384:16384" ht="21" customHeight="1">
      <c r="A25" s="1" t="s">
        <v>40</v>
      </c>
    </row>
    <row r="26" spans="1:18 16384:16384" hidden="1"/>
    <row r="27" spans="1:18 16384:16384" hidden="1">
      <c r="C27" s="1" t="s">
        <v>41</v>
      </c>
      <c r="D27" s="1" t="s">
        <v>42</v>
      </c>
      <c r="E27" s="1" t="s">
        <v>43</v>
      </c>
      <c r="F27" s="1" t="s">
        <v>44</v>
      </c>
      <c r="G27" s="1" t="s">
        <v>45</v>
      </c>
      <c r="H27" s="1" t="s">
        <v>46</v>
      </c>
      <c r="I27" s="1" t="s">
        <v>47</v>
      </c>
      <c r="J27" s="42" t="s">
        <v>48</v>
      </c>
      <c r="K27" s="42"/>
      <c r="L27" s="1" t="s">
        <v>49</v>
      </c>
      <c r="N27" s="1" t="s">
        <v>50</v>
      </c>
      <c r="O27" s="1" t="s">
        <v>51</v>
      </c>
      <c r="P27" s="1" t="s">
        <v>52</v>
      </c>
      <c r="Q27" s="1" t="s">
        <v>53</v>
      </c>
      <c r="R27" s="42"/>
    </row>
    <row r="28" spans="1:18 16384:16384" hidden="1">
      <c r="A28" s="1" t="s">
        <v>23</v>
      </c>
      <c r="B28" s="1" t="s">
        <v>24</v>
      </c>
      <c r="C28" s="1">
        <v>74.073999999999998</v>
      </c>
      <c r="D28" s="1">
        <v>48.353999999999999</v>
      </c>
      <c r="E28" s="1">
        <v>213.99100000000001</v>
      </c>
      <c r="F28" s="1">
        <v>1</v>
      </c>
      <c r="G28" s="1">
        <v>98.629300000000001</v>
      </c>
      <c r="H28" s="1">
        <v>9.8597599999999996</v>
      </c>
      <c r="I28" s="1">
        <v>11.194800000000001</v>
      </c>
      <c r="J28" s="1">
        <v>10</v>
      </c>
      <c r="L28" s="1">
        <v>3.3575599999999999</v>
      </c>
      <c r="N28" s="1">
        <f>C28*(G28+P20)</f>
        <v>7898.4587682000001</v>
      </c>
      <c r="O28" s="1">
        <f>D28*(H28+P20)</f>
        <v>863.59083504</v>
      </c>
      <c r="P28" s="1">
        <f>E28*(I28+P20)</f>
        <v>4107.5144468000008</v>
      </c>
      <c r="Q28" s="1">
        <f t="shared" ref="Q28:Q33" si="5">(F28*(L28+$P$20))*($C$11*VLOOKUP($B$11,$O$10:$P$16,2,0)/18000)</f>
        <v>757.17066666666665</v>
      </c>
    </row>
    <row r="29" spans="1:18 16384:16384" hidden="1">
      <c r="A29" s="1" t="s">
        <v>23</v>
      </c>
      <c r="B29" s="1" t="s">
        <v>26</v>
      </c>
      <c r="C29" s="1">
        <v>123.41200000000001</v>
      </c>
      <c r="D29" s="1">
        <v>47.308</v>
      </c>
      <c r="E29" s="1">
        <v>213.91399999999999</v>
      </c>
      <c r="F29" s="1">
        <v>1</v>
      </c>
      <c r="G29" s="1">
        <v>107</v>
      </c>
      <c r="H29" s="1">
        <v>11.0124</v>
      </c>
      <c r="I29" s="1">
        <v>11.2258</v>
      </c>
      <c r="J29" s="1">
        <v>10</v>
      </c>
      <c r="L29" s="1">
        <v>3.3575599999999999</v>
      </c>
      <c r="N29" s="1">
        <f>C29*(G29+P20)</f>
        <v>14192.380000000001</v>
      </c>
      <c r="O29" s="1">
        <f>D29*(H29+P20)</f>
        <v>899.43861919999995</v>
      </c>
      <c r="P29" s="1">
        <f>E29*(I29+P20)</f>
        <v>4112.6677811999998</v>
      </c>
      <c r="Q29" s="1">
        <f t="shared" si="5"/>
        <v>757.17066666666665</v>
      </c>
    </row>
    <row r="30" spans="1:18 16384:16384" hidden="1">
      <c r="A30" s="1" t="s">
        <v>23</v>
      </c>
      <c r="B30" s="1" t="s">
        <v>28</v>
      </c>
      <c r="C30" s="1">
        <v>217.06299999999999</v>
      </c>
      <c r="D30" s="1">
        <v>53.494</v>
      </c>
      <c r="E30" s="1">
        <v>216.03399999999999</v>
      </c>
      <c r="F30" s="1">
        <v>1</v>
      </c>
      <c r="G30" s="1">
        <v>109.91</v>
      </c>
      <c r="H30" s="1">
        <v>11.505599999999999</v>
      </c>
      <c r="I30" s="1">
        <v>11.0916</v>
      </c>
      <c r="J30" s="1">
        <v>10</v>
      </c>
      <c r="L30" s="1">
        <v>3.3575599999999999</v>
      </c>
      <c r="N30" s="1">
        <f>C30*(G30+P20)</f>
        <v>25593.898329999996</v>
      </c>
      <c r="O30" s="1">
        <f>D30*(H30+P20)</f>
        <v>1043.4325664</v>
      </c>
      <c r="P30" s="1">
        <f>E30*(I30+P20)</f>
        <v>4124.4347143999994</v>
      </c>
      <c r="Q30" s="1">
        <f t="shared" si="5"/>
        <v>757.17066666666665</v>
      </c>
    </row>
    <row r="31" spans="1:18 16384:16384" hidden="1">
      <c r="A31" s="1" t="s">
        <v>23</v>
      </c>
      <c r="B31" s="1" t="s">
        <v>30</v>
      </c>
      <c r="C31" s="1">
        <v>380.53500000000003</v>
      </c>
      <c r="D31" s="1">
        <v>72.825000000000003</v>
      </c>
      <c r="E31" s="1">
        <v>212.32</v>
      </c>
      <c r="F31" s="1">
        <v>1</v>
      </c>
      <c r="G31" s="1">
        <v>112.336</v>
      </c>
      <c r="H31" s="1">
        <v>11.5406</v>
      </c>
      <c r="I31" s="1">
        <v>11.2719</v>
      </c>
      <c r="J31" s="1">
        <v>10</v>
      </c>
      <c r="L31" s="1">
        <v>3.3575599999999999</v>
      </c>
      <c r="N31" s="1">
        <f>C31*(G31+P20)</f>
        <v>45792.059760000004</v>
      </c>
      <c r="O31" s="1">
        <f>D31*(H31+P20)</f>
        <v>1423.0441949999999</v>
      </c>
      <c r="P31" s="1">
        <f>E31*(I31+P20)</f>
        <v>4091.8098080000004</v>
      </c>
      <c r="Q31" s="1">
        <f t="shared" si="5"/>
        <v>757.17066666666665</v>
      </c>
    </row>
    <row r="32" spans="1:18 16384:16384" hidden="1">
      <c r="A32" s="1" t="s">
        <v>23</v>
      </c>
      <c r="B32" s="1" t="s">
        <v>31</v>
      </c>
      <c r="C32" s="1">
        <v>765.60299999999995</v>
      </c>
      <c r="D32" s="1">
        <v>114.943</v>
      </c>
      <c r="E32" s="1">
        <v>211.41300000000001</v>
      </c>
      <c r="F32" s="1">
        <v>1</v>
      </c>
      <c r="G32" s="1">
        <v>113.654</v>
      </c>
      <c r="H32" s="1">
        <v>11.289400000000001</v>
      </c>
      <c r="I32" s="1">
        <v>11.3292</v>
      </c>
      <c r="J32" s="1">
        <v>10</v>
      </c>
      <c r="L32" s="1">
        <v>3.3575599999999999</v>
      </c>
      <c r="N32" s="1">
        <f>C32*(G32+P20)</f>
        <v>93138.667361999993</v>
      </c>
      <c r="O32" s="1">
        <f>D32*(H32+P20)</f>
        <v>2217.1815041999998</v>
      </c>
      <c r="P32" s="1">
        <f>E32*(I32+P20)</f>
        <v>4086.4441596000001</v>
      </c>
      <c r="Q32" s="1">
        <f t="shared" si="5"/>
        <v>757.17066666666665</v>
      </c>
    </row>
    <row r="33" spans="1:17" hidden="1">
      <c r="A33" s="1" t="s">
        <v>23</v>
      </c>
      <c r="B33" s="1" t="s">
        <v>32</v>
      </c>
      <c r="C33" s="1">
        <v>1425</v>
      </c>
      <c r="D33" s="1">
        <v>211.86199999999999</v>
      </c>
      <c r="E33" s="1">
        <v>212.89099999999999</v>
      </c>
      <c r="F33" s="1">
        <v>1</v>
      </c>
      <c r="G33" s="1">
        <v>114.39400000000001</v>
      </c>
      <c r="H33" s="1">
        <v>11.3126</v>
      </c>
      <c r="I33" s="1">
        <v>11.2621</v>
      </c>
      <c r="J33" s="1">
        <v>10</v>
      </c>
      <c r="L33" s="1">
        <v>3.3575599999999999</v>
      </c>
      <c r="N33" s="1">
        <f>C33*(G33+P20)</f>
        <v>174411.45</v>
      </c>
      <c r="O33" s="1">
        <f>D33*(H33+P20)</f>
        <v>4091.6060611999997</v>
      </c>
      <c r="P33" s="1">
        <f>E33*(I33+P20)</f>
        <v>4100.7277310999998</v>
      </c>
      <c r="Q33" s="1">
        <f t="shared" si="5"/>
        <v>757.17066666666665</v>
      </c>
    </row>
    <row r="34" spans="1:17" hidden="1"/>
    <row r="35" spans="1:17" hidden="1">
      <c r="A35" s="1" t="s">
        <v>34</v>
      </c>
      <c r="B35" s="1" t="s">
        <v>35</v>
      </c>
      <c r="C35" s="1">
        <v>74.067999999999998</v>
      </c>
      <c r="D35" s="1">
        <v>48.35</v>
      </c>
      <c r="E35" s="1">
        <v>76.126000000000005</v>
      </c>
      <c r="F35" s="1">
        <v>1</v>
      </c>
      <c r="G35" s="1">
        <v>99.271600000000007</v>
      </c>
      <c r="H35" s="1">
        <v>10.051600000000001</v>
      </c>
      <c r="I35" s="1">
        <v>12.6637</v>
      </c>
      <c r="J35" s="1">
        <v>10</v>
      </c>
      <c r="L35" s="1">
        <v>3.3575599999999999</v>
      </c>
      <c r="N35" s="1">
        <f>C35*(G35+P20)</f>
        <v>7945.3928688000005</v>
      </c>
      <c r="O35" s="1">
        <f>D35*(H35+P20)</f>
        <v>872.79486000000009</v>
      </c>
      <c r="P35" s="1">
        <f>E35*(I35+P20)</f>
        <v>1573.0448262</v>
      </c>
      <c r="Q35" s="1">
        <f>(F35*(L35+$P$20))*($C$11*VLOOKUP($B$11,$O$10:$P$16,2,0)/18000)</f>
        <v>757.17066666666665</v>
      </c>
    </row>
    <row r="36" spans="1:17" hidden="1">
      <c r="A36" s="1" t="s">
        <v>34</v>
      </c>
      <c r="B36" s="1" t="s">
        <v>37</v>
      </c>
      <c r="C36" s="1">
        <v>125.53</v>
      </c>
      <c r="D36" s="1">
        <v>49.389000000000003</v>
      </c>
      <c r="E36" s="1">
        <v>74.084000000000003</v>
      </c>
      <c r="F36" s="1">
        <v>1</v>
      </c>
      <c r="G36" s="1">
        <v>105.931</v>
      </c>
      <c r="H36" s="1">
        <v>10.203799999999999</v>
      </c>
      <c r="I36" s="1">
        <v>13.017099999999999</v>
      </c>
      <c r="J36" s="1">
        <v>10</v>
      </c>
      <c r="L36" s="1">
        <v>3.3575599999999999</v>
      </c>
      <c r="N36" s="1">
        <f>C36*(G36+P20)</f>
        <v>14301.75843</v>
      </c>
      <c r="O36" s="1">
        <f>D36*(H36+P20)</f>
        <v>899.0674782000001</v>
      </c>
      <c r="P36" s="1">
        <f>E36*(I36+P20)</f>
        <v>1557.0308364</v>
      </c>
      <c r="Q36" s="1">
        <f>(F36*(L36+$P$20))*($C$11*VLOOKUP($B$11,$O$10:$P$16,2,0)/18000)</f>
        <v>757.17066666666665</v>
      </c>
    </row>
    <row r="37" spans="1:17" hidden="1">
      <c r="A37" s="1" t="s">
        <v>34</v>
      </c>
      <c r="B37" s="1" t="s">
        <v>38</v>
      </c>
      <c r="C37" s="1">
        <v>217.99100000000001</v>
      </c>
      <c r="D37" s="1">
        <v>49.356000000000002</v>
      </c>
      <c r="E37" s="1">
        <v>74.034999999999997</v>
      </c>
      <c r="F37" s="1">
        <v>1</v>
      </c>
      <c r="G37" s="1">
        <v>110.137</v>
      </c>
      <c r="H37" s="1">
        <v>10.965999999999999</v>
      </c>
      <c r="I37" s="1">
        <v>12.841799999999999</v>
      </c>
      <c r="J37" s="1">
        <v>10</v>
      </c>
      <c r="L37" s="1">
        <v>3.3575599999999999</v>
      </c>
      <c r="N37" s="1">
        <f>C37*(G37+P20)</f>
        <v>25752.802767000001</v>
      </c>
      <c r="O37" s="1">
        <f>D37*(H37+P20)</f>
        <v>936.08589600000005</v>
      </c>
      <c r="P37" s="1">
        <f>E37*(I37+P20)</f>
        <v>1543.022663</v>
      </c>
      <c r="Q37" s="1">
        <f>(F37*(L37+$P$20))*($C$11*VLOOKUP($B$11,$O$10:$P$16,2,0)/18000)</f>
        <v>757.17066666666665</v>
      </c>
    </row>
    <row r="38" spans="1:17" hidden="1">
      <c r="A38" s="1" t="s">
        <v>34</v>
      </c>
      <c r="B38" s="1" t="s">
        <v>39</v>
      </c>
      <c r="C38" s="1">
        <v>380.67399999999998</v>
      </c>
      <c r="D38" s="1">
        <v>49.384999999999998</v>
      </c>
      <c r="E38" s="1">
        <v>74.076999999999998</v>
      </c>
      <c r="F38" s="1">
        <v>1</v>
      </c>
      <c r="G38" s="1">
        <v>113.136</v>
      </c>
      <c r="H38" s="1">
        <v>11.8507</v>
      </c>
      <c r="I38" s="1">
        <v>13.0137</v>
      </c>
      <c r="J38" s="1">
        <v>10</v>
      </c>
      <c r="L38" s="1">
        <v>3.3575599999999999</v>
      </c>
      <c r="N38" s="1">
        <f>C38*(G38+P20)</f>
        <v>46113.325663999996</v>
      </c>
      <c r="O38" s="1">
        <f>D38*(H38+P20)</f>
        <v>980.32681949999994</v>
      </c>
      <c r="P38" s="1">
        <f>E38*(I38+P20)</f>
        <v>1556.6318549</v>
      </c>
      <c r="Q38" s="1">
        <f>(F38*(L38+$P$20))*($C$11*VLOOKUP($B$11,$O$10:$P$16,2,0)/18000)</f>
        <v>757.17066666666665</v>
      </c>
    </row>
    <row r="39" spans="1:17" hidden="1"/>
    <row r="40" spans="1:17" hidden="1"/>
    <row r="41" spans="1:17" hidden="1">
      <c r="C41" s="16" t="s">
        <v>54</v>
      </c>
      <c r="D41" s="16" t="s">
        <v>55</v>
      </c>
      <c r="E41" s="16" t="s">
        <v>56</v>
      </c>
      <c r="F41" s="16" t="s">
        <v>57</v>
      </c>
      <c r="G41" s="17" t="s">
        <v>58</v>
      </c>
      <c r="H41" s="17" t="s">
        <v>59</v>
      </c>
      <c r="I41" s="24" t="s">
        <v>60</v>
      </c>
      <c r="J41" s="16" t="s">
        <v>61</v>
      </c>
      <c r="K41" s="24" t="s">
        <v>62</v>
      </c>
      <c r="L41" s="19" t="s">
        <v>63</v>
      </c>
      <c r="M41" s="1">
        <f>VLOOKUP(B7,M42:Q88,2,0)</f>
        <v>8500</v>
      </c>
    </row>
    <row r="42" spans="1:17" hidden="1">
      <c r="A42" s="1" t="s">
        <v>64</v>
      </c>
      <c r="B42" s="1" t="s">
        <v>65</v>
      </c>
      <c r="C42" s="16">
        <v>122</v>
      </c>
      <c r="D42" s="16">
        <v>9.6883800000000004</v>
      </c>
      <c r="E42" s="16">
        <f t="shared" ref="E42:E73" si="6">$C$11*VLOOKUP($B$11,$O$10:$P$16,2,0)</f>
        <v>1200000</v>
      </c>
      <c r="F42" s="16">
        <v>4.0000000000000001E-3</v>
      </c>
      <c r="G42" s="17">
        <f>E42*F42</f>
        <v>4800</v>
      </c>
      <c r="H42" s="17">
        <f t="shared" ref="H42:H93" si="7">C42*D42</f>
        <v>1181.98236</v>
      </c>
      <c r="I42" s="25">
        <v>71</v>
      </c>
      <c r="J42" s="16">
        <v>10.610300000000001</v>
      </c>
      <c r="K42" s="16"/>
      <c r="L42" s="19">
        <f t="array" ref="L42">(I42*(J42+$P$20))*($C$11*VLOOKUP($B$11,$O$10:$P$16,2,0)/60000)</f>
        <v>26426.626</v>
      </c>
      <c r="M42" s="1" t="s">
        <v>64</v>
      </c>
      <c r="N42" s="1">
        <v>2400</v>
      </c>
    </row>
    <row r="43" spans="1:17" hidden="1">
      <c r="A43" s="1" t="s">
        <v>64</v>
      </c>
      <c r="B43" s="1" t="s">
        <v>66</v>
      </c>
      <c r="C43" s="16">
        <v>112</v>
      </c>
      <c r="D43" s="16">
        <v>9.7470700000000008</v>
      </c>
      <c r="E43" s="16">
        <f t="shared" si="6"/>
        <v>1200000</v>
      </c>
      <c r="F43" s="16">
        <v>4.0000000000000001E-3</v>
      </c>
      <c r="G43" s="17">
        <f t="shared" ref="G43:G98" si="8">E43*F43</f>
        <v>4800</v>
      </c>
      <c r="H43" s="17">
        <f t="shared" si="7"/>
        <v>1091.67184</v>
      </c>
      <c r="I43" s="25">
        <v>71</v>
      </c>
      <c r="J43" s="16">
        <v>10.610300000000001</v>
      </c>
      <c r="K43" s="16"/>
      <c r="L43" s="19">
        <f t="array" ref="L43">(I43*(J43+$P$20))*($C$11*VLOOKUP($B$11,$O$10:$P$16,2,0)/60000)</f>
        <v>26426.626</v>
      </c>
      <c r="M43" s="1" t="s">
        <v>67</v>
      </c>
      <c r="N43" s="1">
        <v>4000</v>
      </c>
    </row>
    <row r="44" spans="1:17" hidden="1">
      <c r="A44" s="1" t="s">
        <v>64</v>
      </c>
      <c r="B44" s="1" t="s">
        <v>68</v>
      </c>
      <c r="C44" s="16">
        <v>321</v>
      </c>
      <c r="D44" s="16">
        <v>9.42957</v>
      </c>
      <c r="E44" s="16">
        <f t="shared" si="6"/>
        <v>1200000</v>
      </c>
      <c r="F44" s="16">
        <v>4.0000000000000001E-3</v>
      </c>
      <c r="G44" s="17">
        <f t="shared" si="8"/>
        <v>4800</v>
      </c>
      <c r="H44" s="17">
        <f t="shared" si="7"/>
        <v>3026.8919700000001</v>
      </c>
      <c r="I44" s="25">
        <v>71</v>
      </c>
      <c r="J44" s="16">
        <v>10.610300000000001</v>
      </c>
      <c r="K44" s="16"/>
      <c r="L44" s="19">
        <f t="array" ref="L44">(I44*(J44+$P$20))*($C$11*VLOOKUP($B$11,$O$10:$P$16,2,0)/60000)</f>
        <v>26426.626</v>
      </c>
      <c r="M44" s="1" t="s">
        <v>69</v>
      </c>
      <c r="N44" s="1">
        <v>4000</v>
      </c>
    </row>
    <row r="45" spans="1:17" hidden="1">
      <c r="A45" s="1" t="s">
        <v>64</v>
      </c>
      <c r="B45" s="1" t="s">
        <v>70</v>
      </c>
      <c r="C45" s="16">
        <v>312</v>
      </c>
      <c r="D45" s="16">
        <v>9.3896499999999996</v>
      </c>
      <c r="E45" s="16">
        <f t="shared" si="6"/>
        <v>1200000</v>
      </c>
      <c r="F45" s="16">
        <v>4.0000000000000001E-3</v>
      </c>
      <c r="G45" s="17">
        <f t="shared" si="8"/>
        <v>4800</v>
      </c>
      <c r="H45" s="17">
        <f t="shared" si="7"/>
        <v>2929.5708</v>
      </c>
      <c r="I45" s="25">
        <v>71</v>
      </c>
      <c r="J45" s="16">
        <v>10.610300000000001</v>
      </c>
      <c r="K45" s="16"/>
      <c r="L45" s="19">
        <f t="array" ref="L45">(I45*(J45+$P$20))*($C$11*VLOOKUP($B$11,$O$10:$P$16,2,0)/60000)</f>
        <v>26426.626</v>
      </c>
      <c r="M45" s="1" t="s">
        <v>71</v>
      </c>
      <c r="N45" s="1">
        <v>8500</v>
      </c>
    </row>
    <row r="46" spans="1:17" hidden="1">
      <c r="A46" s="1" t="s">
        <v>64</v>
      </c>
      <c r="B46" s="1" t="s">
        <v>72</v>
      </c>
      <c r="C46" s="16">
        <v>112</v>
      </c>
      <c r="D46" s="16">
        <v>9.6659199999999998</v>
      </c>
      <c r="E46" s="16">
        <f t="shared" si="6"/>
        <v>1200000</v>
      </c>
      <c r="F46" s="16">
        <v>4.0000000000000001E-3</v>
      </c>
      <c r="G46" s="17">
        <f t="shared" si="8"/>
        <v>4800</v>
      </c>
      <c r="H46" s="17">
        <f t="shared" si="7"/>
        <v>1082.58304</v>
      </c>
      <c r="I46" s="25">
        <v>71</v>
      </c>
      <c r="J46" s="16">
        <v>10.610300000000001</v>
      </c>
      <c r="K46" s="16"/>
      <c r="L46" s="19">
        <f t="array" ref="L46">(I46*(J46+$P$20))*($C$11*VLOOKUP($B$11,$O$10:$P$16,2,0)/60000)</f>
        <v>26426.626</v>
      </c>
      <c r="M46" s="1" t="s">
        <v>73</v>
      </c>
      <c r="N46" s="1">
        <v>8500</v>
      </c>
    </row>
    <row r="47" spans="1:17" hidden="1">
      <c r="A47" s="1" t="s">
        <v>64</v>
      </c>
      <c r="B47" s="1" t="s">
        <v>74</v>
      </c>
      <c r="C47" s="16">
        <v>950</v>
      </c>
      <c r="D47" s="16">
        <v>9.8300800000000006</v>
      </c>
      <c r="E47" s="16">
        <f t="shared" si="6"/>
        <v>1200000</v>
      </c>
      <c r="F47" s="16">
        <v>4.0000000000000001E-3</v>
      </c>
      <c r="G47" s="17">
        <f t="shared" si="8"/>
        <v>4800</v>
      </c>
      <c r="H47" s="17">
        <f t="shared" si="7"/>
        <v>9338.5760000000009</v>
      </c>
      <c r="I47" s="25">
        <v>71</v>
      </c>
      <c r="J47" s="16">
        <v>10.610300000000001</v>
      </c>
      <c r="K47" s="16"/>
      <c r="L47" s="19">
        <f t="array" ref="L47">(I47*(J47+$P$20))*($C$11*VLOOKUP($B$11,$O$10:$P$16,2,0)/60000)</f>
        <v>26426.626</v>
      </c>
      <c r="M47" s="1" t="s">
        <v>75</v>
      </c>
      <c r="N47" s="1">
        <v>8500</v>
      </c>
    </row>
    <row r="48" spans="1:17" hidden="1">
      <c r="A48" s="1" t="s">
        <v>64</v>
      </c>
      <c r="B48" s="1" t="s">
        <v>76</v>
      </c>
      <c r="C48" s="16">
        <v>950</v>
      </c>
      <c r="D48" s="16">
        <v>9.7011400000000005</v>
      </c>
      <c r="E48" s="16">
        <f t="shared" si="6"/>
        <v>1200000</v>
      </c>
      <c r="F48" s="16">
        <v>3.5999999999999999E-3</v>
      </c>
      <c r="G48" s="17">
        <f t="shared" si="8"/>
        <v>4320</v>
      </c>
      <c r="H48" s="17">
        <f t="shared" si="7"/>
        <v>9216.0830000000005</v>
      </c>
      <c r="I48" s="25">
        <v>71</v>
      </c>
      <c r="J48" s="16">
        <v>10.610300000000001</v>
      </c>
      <c r="K48" s="16"/>
      <c r="L48" s="19">
        <f t="array" ref="L48">(I48*(J48+$P$20))*($C$11*VLOOKUP($B$11,$O$10:$P$16,2,0)/60000)</f>
        <v>26426.626</v>
      </c>
      <c r="M48" s="1" t="s">
        <v>77</v>
      </c>
      <c r="N48" s="1">
        <v>240</v>
      </c>
    </row>
    <row r="49" spans="1:14" hidden="1">
      <c r="A49" s="1" t="s">
        <v>69</v>
      </c>
      <c r="B49" s="1" t="s">
        <v>10</v>
      </c>
      <c r="C49" s="16">
        <v>112</v>
      </c>
      <c r="D49" s="16">
        <v>10.192600000000001</v>
      </c>
      <c r="E49" s="16">
        <f t="shared" si="6"/>
        <v>1200000</v>
      </c>
      <c r="F49" s="16">
        <v>6.0000000000000001E-3</v>
      </c>
      <c r="G49" s="19">
        <f t="shared" si="8"/>
        <v>7200</v>
      </c>
      <c r="H49" s="19">
        <f t="shared" si="7"/>
        <v>1141.5712000000001</v>
      </c>
      <c r="I49" s="25">
        <v>1700</v>
      </c>
      <c r="J49" s="16">
        <v>11.7713</v>
      </c>
      <c r="K49" s="16"/>
      <c r="L49" s="19">
        <f t="array" ref="L49">(I49*(J49+$P$20))*($C$11*VLOOKUP($B$11,$O$10:$P$16,2,0)/60000)</f>
        <v>672224.2</v>
      </c>
      <c r="M49" s="1" t="s">
        <v>78</v>
      </c>
      <c r="N49" s="1">
        <v>240</v>
      </c>
    </row>
    <row r="50" spans="1:14" hidden="1">
      <c r="A50" s="1" t="s">
        <v>67</v>
      </c>
      <c r="B50" s="1" t="s">
        <v>10</v>
      </c>
      <c r="C50" s="16">
        <v>998</v>
      </c>
      <c r="D50" s="16">
        <v>10.5007</v>
      </c>
      <c r="E50" s="16">
        <f t="shared" si="6"/>
        <v>1200000</v>
      </c>
      <c r="F50" s="16">
        <v>3.4000000000000002E-2</v>
      </c>
      <c r="G50" s="19">
        <f t="shared" si="8"/>
        <v>40800</v>
      </c>
      <c r="H50" s="19">
        <f t="shared" si="7"/>
        <v>10479.6986</v>
      </c>
      <c r="I50" s="25"/>
      <c r="J50" s="16"/>
      <c r="K50" s="16"/>
      <c r="L50" s="19"/>
      <c r="M50" s="1" t="s">
        <v>79</v>
      </c>
      <c r="N50" s="1">
        <v>8500</v>
      </c>
    </row>
    <row r="51" spans="1:14" hidden="1">
      <c r="A51" s="1" t="s">
        <v>67</v>
      </c>
      <c r="B51" s="1" t="s">
        <v>80</v>
      </c>
      <c r="C51" s="16">
        <v>1250</v>
      </c>
      <c r="D51" s="16">
        <v>120.172</v>
      </c>
      <c r="E51" s="16">
        <f t="shared" si="6"/>
        <v>1200000</v>
      </c>
      <c r="F51" s="16">
        <v>5.4000000000000003E-3</v>
      </c>
      <c r="G51" s="19">
        <f t="shared" si="8"/>
        <v>6480</v>
      </c>
      <c r="H51" s="19">
        <f t="shared" si="7"/>
        <v>150215</v>
      </c>
      <c r="I51" s="25"/>
      <c r="J51" s="16"/>
      <c r="K51" s="16"/>
      <c r="L51" s="19"/>
      <c r="M51" s="1" t="s">
        <v>4</v>
      </c>
      <c r="N51" s="1">
        <v>8500</v>
      </c>
    </row>
    <row r="52" spans="1:14" hidden="1">
      <c r="A52" s="1" t="s">
        <v>67</v>
      </c>
      <c r="B52" s="1" t="s">
        <v>81</v>
      </c>
      <c r="C52" s="16">
        <v>1250</v>
      </c>
      <c r="D52" s="16">
        <v>24.0487</v>
      </c>
      <c r="E52" s="16">
        <f t="shared" si="6"/>
        <v>1200000</v>
      </c>
      <c r="F52" s="16">
        <v>5.7999999999999996E-3</v>
      </c>
      <c r="G52" s="19">
        <f t="shared" si="8"/>
        <v>6959.9999999999991</v>
      </c>
      <c r="H52" s="19">
        <f t="shared" si="7"/>
        <v>30060.875</v>
      </c>
      <c r="I52" s="25"/>
      <c r="J52" s="16"/>
      <c r="K52" s="16"/>
      <c r="L52" s="19"/>
      <c r="M52" s="1" t="s">
        <v>82</v>
      </c>
      <c r="N52" s="1">
        <v>8500</v>
      </c>
    </row>
    <row r="53" spans="1:14" hidden="1">
      <c r="A53" s="1" t="s">
        <v>67</v>
      </c>
      <c r="B53" s="1" t="s">
        <v>83</v>
      </c>
      <c r="C53" s="16">
        <v>3200</v>
      </c>
      <c r="D53" s="16">
        <v>36.373100000000001</v>
      </c>
      <c r="E53" s="16">
        <f t="shared" si="6"/>
        <v>1200000</v>
      </c>
      <c r="F53" s="16">
        <v>6.7000000000000002E-3</v>
      </c>
      <c r="G53" s="19">
        <f t="shared" si="8"/>
        <v>8040</v>
      </c>
      <c r="H53" s="19">
        <f t="shared" si="7"/>
        <v>116393.92</v>
      </c>
      <c r="I53" s="25"/>
      <c r="J53" s="16"/>
      <c r="K53" s="16"/>
      <c r="L53" s="19"/>
      <c r="M53" s="1" t="s">
        <v>84</v>
      </c>
      <c r="N53" s="1">
        <v>1000</v>
      </c>
    </row>
    <row r="54" spans="1:14" hidden="1">
      <c r="A54" s="1" t="s">
        <v>67</v>
      </c>
      <c r="B54" s="1" t="s">
        <v>85</v>
      </c>
      <c r="C54" s="16">
        <v>1250</v>
      </c>
      <c r="D54" s="16">
        <v>9.9774399999999996</v>
      </c>
      <c r="E54" s="16">
        <f t="shared" si="6"/>
        <v>1200000</v>
      </c>
      <c r="F54" s="16">
        <v>4.0000000000000001E-3</v>
      </c>
      <c r="G54" s="19">
        <f t="shared" si="8"/>
        <v>4800</v>
      </c>
      <c r="H54" s="19">
        <f t="shared" si="7"/>
        <v>12471.8</v>
      </c>
      <c r="I54" s="25"/>
      <c r="J54" s="16"/>
      <c r="K54" s="16"/>
      <c r="L54" s="19"/>
      <c r="M54" s="1" t="s">
        <v>86</v>
      </c>
      <c r="N54" s="1">
        <v>1000</v>
      </c>
    </row>
    <row r="55" spans="1:14" hidden="1">
      <c r="A55" s="1" t="s">
        <v>67</v>
      </c>
      <c r="B55" s="1" t="s">
        <v>87</v>
      </c>
      <c r="C55" s="16">
        <v>2600</v>
      </c>
      <c r="D55" s="16">
        <v>9.5276800000000001</v>
      </c>
      <c r="E55" s="16">
        <f t="shared" si="6"/>
        <v>1200000</v>
      </c>
      <c r="F55" s="16">
        <v>1.37E-2</v>
      </c>
      <c r="G55" s="19">
        <f t="shared" si="8"/>
        <v>16440</v>
      </c>
      <c r="H55" s="19">
        <f t="shared" si="7"/>
        <v>24771.968000000001</v>
      </c>
      <c r="I55" s="25"/>
      <c r="J55" s="16"/>
      <c r="K55" s="16"/>
      <c r="L55" s="19"/>
      <c r="M55" s="1" t="s">
        <v>88</v>
      </c>
      <c r="N55" s="1">
        <v>8500</v>
      </c>
    </row>
    <row r="56" spans="1:14" hidden="1">
      <c r="A56" s="1" t="s">
        <v>67</v>
      </c>
      <c r="B56" s="1" t="s">
        <v>89</v>
      </c>
      <c r="C56" s="16">
        <v>1300</v>
      </c>
      <c r="D56" s="16">
        <v>26.4084</v>
      </c>
      <c r="E56" s="16">
        <f t="shared" si="6"/>
        <v>1200000</v>
      </c>
      <c r="F56" s="16">
        <v>8.0000000000000002E-3</v>
      </c>
      <c r="G56" s="19">
        <f t="shared" si="8"/>
        <v>9600</v>
      </c>
      <c r="H56" s="19">
        <f t="shared" si="7"/>
        <v>34330.92</v>
      </c>
      <c r="I56" s="25"/>
      <c r="J56" s="16"/>
      <c r="K56" s="16"/>
      <c r="L56" s="19"/>
      <c r="M56" s="1" t="s">
        <v>90</v>
      </c>
      <c r="N56" s="1">
        <v>8500</v>
      </c>
    </row>
    <row r="57" spans="1:14" hidden="1">
      <c r="A57" s="1" t="s">
        <v>67</v>
      </c>
      <c r="B57" s="1" t="s">
        <v>91</v>
      </c>
      <c r="C57" s="16">
        <v>1300</v>
      </c>
      <c r="D57" s="16">
        <v>9.7314900000000009</v>
      </c>
      <c r="E57" s="16">
        <f t="shared" si="6"/>
        <v>1200000</v>
      </c>
      <c r="F57" s="16">
        <v>6.0000000000000001E-3</v>
      </c>
      <c r="G57" s="19">
        <f t="shared" si="8"/>
        <v>7200</v>
      </c>
      <c r="H57" s="19">
        <f t="shared" si="7"/>
        <v>12650.937000000002</v>
      </c>
      <c r="I57" s="25"/>
      <c r="J57" s="16"/>
      <c r="K57" s="16"/>
      <c r="L57" s="19"/>
      <c r="M57" s="1" t="s">
        <v>92</v>
      </c>
      <c r="N57" s="1">
        <v>8500</v>
      </c>
    </row>
    <row r="58" spans="1:14" hidden="1">
      <c r="A58" s="1" t="s">
        <v>71</v>
      </c>
      <c r="B58" s="1" t="s">
        <v>10</v>
      </c>
      <c r="C58" s="16">
        <v>7000</v>
      </c>
      <c r="D58" s="16">
        <v>24.6066</v>
      </c>
      <c r="E58" s="16">
        <f t="shared" si="6"/>
        <v>1200000</v>
      </c>
      <c r="F58" s="16">
        <v>5.0000000000000001E-3</v>
      </c>
      <c r="G58" s="19">
        <f t="shared" si="8"/>
        <v>6000</v>
      </c>
      <c r="H58" s="19">
        <f t="shared" si="7"/>
        <v>172246.2</v>
      </c>
      <c r="I58" s="25"/>
      <c r="J58" s="16"/>
      <c r="K58" s="16"/>
      <c r="L58" s="19"/>
      <c r="M58" s="1" t="s">
        <v>93</v>
      </c>
      <c r="N58" s="1">
        <v>4000</v>
      </c>
    </row>
    <row r="59" spans="1:14" hidden="1">
      <c r="A59" s="1" t="s">
        <v>73</v>
      </c>
      <c r="B59" s="1" t="s">
        <v>10</v>
      </c>
      <c r="C59" s="16">
        <v>14000</v>
      </c>
      <c r="D59" s="16">
        <v>14.523</v>
      </c>
      <c r="E59" s="16">
        <f t="shared" si="6"/>
        <v>1200000</v>
      </c>
      <c r="F59" s="16">
        <v>5.0000000000000001E-3</v>
      </c>
      <c r="G59" s="19">
        <f t="shared" si="8"/>
        <v>6000</v>
      </c>
      <c r="H59" s="19">
        <f t="shared" si="7"/>
        <v>203322</v>
      </c>
      <c r="I59" s="25"/>
      <c r="J59" s="16"/>
      <c r="K59" s="16"/>
      <c r="L59" s="19"/>
      <c r="M59" s="1" t="s">
        <v>94</v>
      </c>
      <c r="N59" s="1">
        <v>1000</v>
      </c>
    </row>
    <row r="60" spans="1:14" hidden="1">
      <c r="A60" s="1" t="s">
        <v>75</v>
      </c>
      <c r="B60" s="1" t="s">
        <v>10</v>
      </c>
      <c r="C60" s="16">
        <v>5500</v>
      </c>
      <c r="D60" s="16">
        <v>27.6523</v>
      </c>
      <c r="E60" s="16">
        <f t="shared" si="6"/>
        <v>1200000</v>
      </c>
      <c r="F60" s="16">
        <v>5.0000000000000001E-3</v>
      </c>
      <c r="G60" s="19">
        <f t="shared" si="8"/>
        <v>6000</v>
      </c>
      <c r="H60" s="19">
        <f t="shared" si="7"/>
        <v>152087.65</v>
      </c>
      <c r="I60" s="25"/>
      <c r="J60" s="16"/>
      <c r="K60" s="16"/>
      <c r="L60" s="19"/>
      <c r="M60" s="1" t="s">
        <v>95</v>
      </c>
      <c r="N60" s="1">
        <v>1000</v>
      </c>
    </row>
    <row r="61" spans="1:14" hidden="1">
      <c r="A61" s="1" t="s">
        <v>79</v>
      </c>
      <c r="B61" s="1" t="s">
        <v>10</v>
      </c>
      <c r="C61" s="16">
        <v>1300</v>
      </c>
      <c r="D61" s="16">
        <v>10.635400000000001</v>
      </c>
      <c r="E61" s="16">
        <f t="shared" si="6"/>
        <v>1200000</v>
      </c>
      <c r="F61" s="16">
        <v>1.26E-2</v>
      </c>
      <c r="G61" s="19">
        <f t="shared" si="8"/>
        <v>15120</v>
      </c>
      <c r="H61" s="19">
        <f t="shared" si="7"/>
        <v>13826.02</v>
      </c>
      <c r="I61" s="25">
        <v>610</v>
      </c>
      <c r="J61" s="16">
        <v>2.2327300000000001</v>
      </c>
      <c r="K61" s="16"/>
      <c r="L61" s="19">
        <f t="array" ref="L61">(I61*(J61+$P$20))*($C$11*VLOOKUP($B$11,$O$10:$P$16,2,0)/60000)</f>
        <v>124839.306</v>
      </c>
      <c r="M61" s="1" t="s">
        <v>96</v>
      </c>
      <c r="N61" s="1">
        <v>8500</v>
      </c>
    </row>
    <row r="62" spans="1:14" hidden="1">
      <c r="A62" s="1" t="s">
        <v>4</v>
      </c>
      <c r="B62" s="1" t="s">
        <v>10</v>
      </c>
      <c r="C62" s="16">
        <v>1300</v>
      </c>
      <c r="D62" s="16">
        <v>10.0116</v>
      </c>
      <c r="E62" s="16">
        <f t="shared" si="6"/>
        <v>1200000</v>
      </c>
      <c r="F62" s="16">
        <v>1.12E-2</v>
      </c>
      <c r="G62" s="19">
        <f t="shared" si="8"/>
        <v>13440</v>
      </c>
      <c r="H62" s="19">
        <f t="shared" si="7"/>
        <v>13015.08</v>
      </c>
      <c r="I62" s="25">
        <v>15</v>
      </c>
      <c r="J62" s="16">
        <v>10.2235</v>
      </c>
      <c r="K62" s="16"/>
      <c r="L62" s="19">
        <f t="array" ref="L62">(I62*(J62+$P$20))*($C$11*VLOOKUP($B$11,$O$10:$P$16,2,0)/60000)</f>
        <v>5467.05</v>
      </c>
      <c r="M62" s="1" t="s">
        <v>97</v>
      </c>
      <c r="N62" s="1">
        <v>8500</v>
      </c>
    </row>
    <row r="63" spans="1:14" hidden="1">
      <c r="A63" s="1" t="s">
        <v>77</v>
      </c>
      <c r="B63" s="1" t="s">
        <v>10</v>
      </c>
      <c r="C63" s="16">
        <v>68</v>
      </c>
      <c r="D63" s="16">
        <v>6.2818300000000002</v>
      </c>
      <c r="E63" s="16">
        <f t="shared" si="6"/>
        <v>1200000</v>
      </c>
      <c r="F63" s="16">
        <v>7.0000000000000001E-3</v>
      </c>
      <c r="G63" s="19">
        <f t="shared" si="8"/>
        <v>8400</v>
      </c>
      <c r="H63" s="19">
        <f t="shared" si="7"/>
        <v>427.16444000000001</v>
      </c>
      <c r="I63" s="25"/>
      <c r="J63" s="16"/>
      <c r="K63" s="16"/>
      <c r="L63" s="19"/>
      <c r="M63" s="1" t="s">
        <v>98</v>
      </c>
      <c r="N63" s="1">
        <v>8500</v>
      </c>
    </row>
    <row r="64" spans="1:14" hidden="1">
      <c r="A64" s="1" t="s">
        <v>78</v>
      </c>
      <c r="B64" s="1" t="s">
        <v>99</v>
      </c>
      <c r="C64" s="16">
        <v>68</v>
      </c>
      <c r="D64" s="16">
        <v>6.2818300000000002</v>
      </c>
      <c r="E64" s="16">
        <f t="shared" si="6"/>
        <v>1200000</v>
      </c>
      <c r="F64" s="16">
        <v>7.0000000000000001E-3</v>
      </c>
      <c r="G64" s="19">
        <f t="shared" si="8"/>
        <v>8400</v>
      </c>
      <c r="H64" s="19">
        <f t="shared" si="7"/>
        <v>427.16444000000001</v>
      </c>
      <c r="I64" s="25"/>
      <c r="J64" s="16"/>
      <c r="K64" s="16"/>
      <c r="L64" s="19"/>
      <c r="M64" s="1" t="s">
        <v>100</v>
      </c>
      <c r="N64" s="1">
        <v>8500</v>
      </c>
    </row>
    <row r="65" spans="1:14" hidden="1">
      <c r="A65" s="1" t="s">
        <v>82</v>
      </c>
      <c r="B65" s="1" t="s">
        <v>101</v>
      </c>
      <c r="C65" s="16">
        <v>697</v>
      </c>
      <c r="D65" s="16">
        <v>13.4643</v>
      </c>
      <c r="E65" s="16">
        <f t="shared" si="6"/>
        <v>1200000</v>
      </c>
      <c r="F65" s="16">
        <v>0.01</v>
      </c>
      <c r="G65" s="19">
        <f t="shared" si="8"/>
        <v>12000</v>
      </c>
      <c r="H65" s="19">
        <f t="shared" si="7"/>
        <v>9384.6170999999995</v>
      </c>
      <c r="I65" s="25">
        <v>684</v>
      </c>
      <c r="J65" s="16">
        <v>13.4816</v>
      </c>
      <c r="K65" s="16"/>
      <c r="L65" s="19">
        <f t="array" ref="L65">(I65*(J65+$P$20))*($C$11*VLOOKUP($B$11,$O$10:$P$16,2,0)/60000)</f>
        <v>293868.288</v>
      </c>
      <c r="M65" s="1" t="s">
        <v>102</v>
      </c>
      <c r="N65" s="1">
        <v>8500</v>
      </c>
    </row>
    <row r="66" spans="1:14" hidden="1">
      <c r="A66" s="1" t="s">
        <v>82</v>
      </c>
      <c r="B66" s="1" t="s">
        <v>103</v>
      </c>
      <c r="C66" s="16">
        <v>697</v>
      </c>
      <c r="D66" s="16">
        <v>13.4643</v>
      </c>
      <c r="E66" s="16">
        <f t="shared" si="6"/>
        <v>1200000</v>
      </c>
      <c r="F66" s="16">
        <v>0.01</v>
      </c>
      <c r="G66" s="19">
        <f t="shared" si="8"/>
        <v>12000</v>
      </c>
      <c r="H66" s="19">
        <f t="shared" si="7"/>
        <v>9384.6170999999995</v>
      </c>
      <c r="I66" s="25"/>
      <c r="J66" s="16"/>
      <c r="K66" s="16"/>
      <c r="L66" s="19"/>
      <c r="M66" s="1" t="s">
        <v>104</v>
      </c>
      <c r="N66" s="1">
        <v>8500</v>
      </c>
    </row>
    <row r="67" spans="1:14" hidden="1">
      <c r="A67" s="1" t="s">
        <v>82</v>
      </c>
      <c r="B67" s="1" t="s">
        <v>105</v>
      </c>
      <c r="C67" s="16">
        <v>697</v>
      </c>
      <c r="D67" s="16">
        <v>13.4643</v>
      </c>
      <c r="E67" s="16">
        <f t="shared" si="6"/>
        <v>1200000</v>
      </c>
      <c r="F67" s="16">
        <v>0.01</v>
      </c>
      <c r="G67" s="19">
        <f t="shared" si="8"/>
        <v>12000</v>
      </c>
      <c r="H67" s="19">
        <f t="shared" si="7"/>
        <v>9384.6170999999995</v>
      </c>
      <c r="I67" s="25"/>
      <c r="J67" s="16"/>
      <c r="K67" s="16"/>
      <c r="L67" s="19"/>
      <c r="M67" s="1" t="s">
        <v>106</v>
      </c>
      <c r="N67" s="1">
        <v>8500</v>
      </c>
    </row>
    <row r="68" spans="1:14" hidden="1">
      <c r="A68" s="1" t="s">
        <v>82</v>
      </c>
      <c r="B68" s="1" t="s">
        <v>107</v>
      </c>
      <c r="C68" s="16">
        <v>697</v>
      </c>
      <c r="D68" s="16">
        <v>13.4643</v>
      </c>
      <c r="E68" s="16">
        <f t="shared" si="6"/>
        <v>1200000</v>
      </c>
      <c r="F68" s="16">
        <v>0.01</v>
      </c>
      <c r="G68" s="19">
        <f t="shared" si="8"/>
        <v>12000</v>
      </c>
      <c r="H68" s="19">
        <f t="shared" si="7"/>
        <v>9384.6170999999995</v>
      </c>
      <c r="I68" s="25"/>
      <c r="J68" s="16"/>
      <c r="K68" s="16"/>
      <c r="L68" s="19"/>
      <c r="M68" s="1" t="s">
        <v>108</v>
      </c>
      <c r="N68" s="1">
        <v>1000</v>
      </c>
    </row>
    <row r="69" spans="1:14" hidden="1">
      <c r="A69" s="1" t="s">
        <v>64</v>
      </c>
      <c r="B69" s="1" t="s">
        <v>103</v>
      </c>
      <c r="C69" s="16">
        <v>122</v>
      </c>
      <c r="D69" s="16">
        <v>9.6883800000000004</v>
      </c>
      <c r="E69" s="16">
        <f t="shared" si="6"/>
        <v>1200000</v>
      </c>
      <c r="F69" s="16">
        <v>3.0000000000000001E-3</v>
      </c>
      <c r="G69" s="19">
        <f t="shared" si="8"/>
        <v>3600</v>
      </c>
      <c r="H69" s="19">
        <f t="shared" si="7"/>
        <v>1181.98236</v>
      </c>
      <c r="I69" s="25"/>
      <c r="J69" s="16"/>
      <c r="K69" s="16"/>
      <c r="L69" s="19"/>
      <c r="M69" s="1" t="s">
        <v>109</v>
      </c>
      <c r="N69" s="1">
        <v>3000</v>
      </c>
    </row>
    <row r="70" spans="1:14" hidden="1">
      <c r="A70" s="1" t="s">
        <v>64</v>
      </c>
      <c r="B70" s="1" t="s">
        <v>110</v>
      </c>
      <c r="C70" s="16">
        <v>112</v>
      </c>
      <c r="D70" s="16">
        <v>9.7470700000000008</v>
      </c>
      <c r="E70" s="16">
        <f t="shared" si="6"/>
        <v>1200000</v>
      </c>
      <c r="F70" s="16">
        <v>3.5999999999999999E-3</v>
      </c>
      <c r="G70" s="19">
        <f t="shared" si="8"/>
        <v>4320</v>
      </c>
      <c r="H70" s="19">
        <f t="shared" si="7"/>
        <v>1091.67184</v>
      </c>
      <c r="I70" s="25"/>
      <c r="J70" s="16"/>
      <c r="K70" s="16"/>
      <c r="L70" s="19"/>
      <c r="M70" s="1" t="s">
        <v>111</v>
      </c>
      <c r="N70" s="1">
        <v>8500</v>
      </c>
    </row>
    <row r="71" spans="1:14" hidden="1">
      <c r="A71" s="1" t="s">
        <v>64</v>
      </c>
      <c r="B71" s="1" t="s">
        <v>112</v>
      </c>
      <c r="C71" s="16">
        <v>321</v>
      </c>
      <c r="D71" s="16">
        <v>9.42957</v>
      </c>
      <c r="E71" s="16">
        <f t="shared" si="6"/>
        <v>1200000</v>
      </c>
      <c r="F71" s="16">
        <v>3.0000000000000001E-3</v>
      </c>
      <c r="G71" s="19">
        <f t="shared" si="8"/>
        <v>3600</v>
      </c>
      <c r="H71" s="19">
        <f t="shared" si="7"/>
        <v>3026.8919700000001</v>
      </c>
      <c r="I71" s="25"/>
      <c r="J71" s="16"/>
      <c r="K71" s="16"/>
      <c r="L71" s="19"/>
      <c r="M71" s="1" t="s">
        <v>113</v>
      </c>
      <c r="N71" s="1">
        <v>8500</v>
      </c>
    </row>
    <row r="72" spans="1:14" hidden="1">
      <c r="A72" s="1" t="s">
        <v>64</v>
      </c>
      <c r="B72" s="1" t="s">
        <v>114</v>
      </c>
      <c r="C72" s="16">
        <v>312</v>
      </c>
      <c r="D72" s="16">
        <v>9.3896499999999996</v>
      </c>
      <c r="E72" s="16">
        <f t="shared" si="6"/>
        <v>1200000</v>
      </c>
      <c r="F72" s="16">
        <v>3.0000000000000001E-3</v>
      </c>
      <c r="G72" s="19">
        <f t="shared" si="8"/>
        <v>3600</v>
      </c>
      <c r="H72" s="19">
        <f t="shared" si="7"/>
        <v>2929.5708</v>
      </c>
      <c r="I72" s="25"/>
      <c r="J72" s="16"/>
      <c r="K72" s="16"/>
      <c r="L72" s="19"/>
      <c r="M72" s="1" t="s">
        <v>115</v>
      </c>
      <c r="N72" s="1">
        <v>8500</v>
      </c>
    </row>
    <row r="73" spans="1:14" hidden="1">
      <c r="A73" s="1" t="s">
        <v>64</v>
      </c>
      <c r="B73" s="1" t="s">
        <v>116</v>
      </c>
      <c r="C73" s="16">
        <v>112</v>
      </c>
      <c r="D73" s="16">
        <v>9.6659199999999998</v>
      </c>
      <c r="E73" s="16">
        <f t="shared" si="6"/>
        <v>1200000</v>
      </c>
      <c r="F73" s="16">
        <v>3.0000000000000001E-3</v>
      </c>
      <c r="G73" s="19">
        <f t="shared" si="8"/>
        <v>3600</v>
      </c>
      <c r="H73" s="19">
        <f t="shared" si="7"/>
        <v>1082.58304</v>
      </c>
      <c r="I73" s="25"/>
      <c r="J73" s="16"/>
      <c r="K73" s="16"/>
      <c r="L73" s="19"/>
    </row>
    <row r="74" spans="1:14" hidden="1">
      <c r="A74" s="1" t="s">
        <v>64</v>
      </c>
      <c r="B74" s="1" t="s">
        <v>117</v>
      </c>
      <c r="C74" s="16">
        <v>950</v>
      </c>
      <c r="D74" s="16">
        <v>9.8300800000000006</v>
      </c>
      <c r="E74" s="16">
        <f t="shared" ref="E74:E106" si="9">$C$11*VLOOKUP($B$11,$O$10:$P$16,2,0)</f>
        <v>1200000</v>
      </c>
      <c r="F74" s="16">
        <v>3.0000000000000001E-3</v>
      </c>
      <c r="G74" s="19">
        <f t="shared" si="8"/>
        <v>3600</v>
      </c>
      <c r="H74" s="19">
        <f t="shared" si="7"/>
        <v>9338.5760000000009</v>
      </c>
      <c r="I74" s="25"/>
      <c r="J74" s="16"/>
      <c r="K74" s="16"/>
      <c r="L74" s="19"/>
    </row>
    <row r="75" spans="1:14" hidden="1">
      <c r="A75" s="1" t="s">
        <v>64</v>
      </c>
      <c r="B75" s="1" t="s">
        <v>118</v>
      </c>
      <c r="C75" s="16">
        <v>950</v>
      </c>
      <c r="D75" s="16">
        <v>9.7011400000000005</v>
      </c>
      <c r="E75" s="16">
        <f t="shared" si="9"/>
        <v>1200000</v>
      </c>
      <c r="F75" s="16">
        <v>3.5999999999999999E-3</v>
      </c>
      <c r="G75" s="19">
        <f t="shared" si="8"/>
        <v>4320</v>
      </c>
      <c r="H75" s="19">
        <f t="shared" si="7"/>
        <v>9216.0830000000005</v>
      </c>
      <c r="I75" s="25"/>
      <c r="J75" s="16"/>
      <c r="K75" s="16"/>
      <c r="L75" s="19"/>
    </row>
    <row r="76" spans="1:14" hidden="1">
      <c r="A76" s="1" t="s">
        <v>86</v>
      </c>
      <c r="B76" s="1" t="s">
        <v>99</v>
      </c>
      <c r="C76" s="16">
        <v>68</v>
      </c>
      <c r="D76" s="16">
        <v>6.2818300000000002</v>
      </c>
      <c r="E76" s="16">
        <f t="shared" si="9"/>
        <v>1200000</v>
      </c>
      <c r="F76" s="16">
        <v>7.0000000000000001E-3</v>
      </c>
      <c r="G76" s="19">
        <f t="shared" si="8"/>
        <v>8400</v>
      </c>
      <c r="H76" s="19">
        <f t="shared" si="7"/>
        <v>427.16444000000001</v>
      </c>
      <c r="I76" s="25"/>
      <c r="J76" s="16"/>
      <c r="K76" s="16"/>
      <c r="L76" s="19"/>
    </row>
    <row r="77" spans="1:14" hidden="1">
      <c r="A77" s="1" t="s">
        <v>84</v>
      </c>
      <c r="B77" s="1" t="s">
        <v>10</v>
      </c>
      <c r="C77" s="16">
        <v>68</v>
      </c>
      <c r="D77" s="16">
        <v>6.2818300000000002</v>
      </c>
      <c r="E77" s="16">
        <f t="shared" si="9"/>
        <v>1200000</v>
      </c>
      <c r="F77" s="16">
        <v>7.0000000000000001E-3</v>
      </c>
      <c r="G77" s="19">
        <f t="shared" si="8"/>
        <v>8400</v>
      </c>
      <c r="H77" s="19">
        <f t="shared" si="7"/>
        <v>427.16444000000001</v>
      </c>
      <c r="I77" s="25"/>
      <c r="J77" s="16"/>
      <c r="K77" s="16"/>
      <c r="L77" s="19"/>
    </row>
    <row r="78" spans="1:14" hidden="1">
      <c r="A78" s="1" t="s">
        <v>88</v>
      </c>
      <c r="B78" s="1" t="s">
        <v>10</v>
      </c>
      <c r="C78" s="16">
        <v>7000</v>
      </c>
      <c r="D78" s="16">
        <v>19.4375</v>
      </c>
      <c r="E78" s="16">
        <f t="shared" si="9"/>
        <v>1200000</v>
      </c>
      <c r="F78" s="16">
        <v>5.0000000000000001E-3</v>
      </c>
      <c r="G78" s="19">
        <f t="shared" si="8"/>
        <v>6000</v>
      </c>
      <c r="H78" s="19">
        <f t="shared" si="7"/>
        <v>136062.5</v>
      </c>
      <c r="I78" s="25"/>
      <c r="J78" s="16"/>
      <c r="K78" s="16"/>
      <c r="L78" s="19"/>
    </row>
    <row r="79" spans="1:14" hidden="1">
      <c r="A79" s="1" t="s">
        <v>90</v>
      </c>
      <c r="B79" s="1" t="s">
        <v>10</v>
      </c>
      <c r="C79" s="16">
        <v>10000</v>
      </c>
      <c r="D79" s="16">
        <v>29.462499999999999</v>
      </c>
      <c r="E79" s="16">
        <f t="shared" si="9"/>
        <v>1200000</v>
      </c>
      <c r="F79" s="16">
        <v>5.0000000000000001E-3</v>
      </c>
      <c r="G79" s="19">
        <f t="shared" si="8"/>
        <v>6000</v>
      </c>
      <c r="H79" s="19">
        <f t="shared" si="7"/>
        <v>294625</v>
      </c>
      <c r="I79" s="25"/>
      <c r="J79" s="16"/>
      <c r="K79" s="16"/>
      <c r="L79" s="19"/>
    </row>
    <row r="80" spans="1:14" hidden="1">
      <c r="A80" s="1" t="s">
        <v>92</v>
      </c>
      <c r="B80" s="1" t="s">
        <v>10</v>
      </c>
      <c r="C80" s="16">
        <v>7000</v>
      </c>
      <c r="D80" s="16">
        <v>22.889299999999999</v>
      </c>
      <c r="E80" s="16">
        <f t="shared" si="9"/>
        <v>1200000</v>
      </c>
      <c r="F80" s="16">
        <v>5.0000000000000001E-3</v>
      </c>
      <c r="G80" s="19">
        <f t="shared" si="8"/>
        <v>6000</v>
      </c>
      <c r="H80" s="19">
        <f t="shared" si="7"/>
        <v>160225.09999999998</v>
      </c>
      <c r="I80" s="25"/>
      <c r="J80" s="16"/>
      <c r="K80" s="16"/>
      <c r="L80" s="19"/>
    </row>
    <row r="81" spans="1:12" hidden="1">
      <c r="A81" s="1" t="s">
        <v>93</v>
      </c>
      <c r="B81" s="1" t="s">
        <v>10</v>
      </c>
      <c r="C81" s="16">
        <v>24</v>
      </c>
      <c r="D81" s="16">
        <v>8.7273099999999992</v>
      </c>
      <c r="E81" s="16">
        <f t="shared" si="9"/>
        <v>1200000</v>
      </c>
      <c r="F81" s="16">
        <v>7.0000000000000001E-3</v>
      </c>
      <c r="G81" s="19">
        <f t="shared" si="8"/>
        <v>8400</v>
      </c>
      <c r="H81" s="19">
        <f t="shared" si="7"/>
        <v>209.45543999999998</v>
      </c>
      <c r="I81" s="25"/>
      <c r="J81" s="16"/>
      <c r="K81" s="16"/>
      <c r="L81" s="19"/>
    </row>
    <row r="82" spans="1:12" hidden="1">
      <c r="A82" s="1" t="s">
        <v>94</v>
      </c>
      <c r="B82" s="1" t="s">
        <v>119</v>
      </c>
      <c r="C82" s="16">
        <v>900</v>
      </c>
      <c r="D82" s="16">
        <v>5.9743700000000004</v>
      </c>
      <c r="E82" s="16">
        <f t="shared" si="9"/>
        <v>1200000</v>
      </c>
      <c r="F82" s="16">
        <v>8.0000000000000002E-3</v>
      </c>
      <c r="G82" s="19">
        <f t="shared" si="8"/>
        <v>9600</v>
      </c>
      <c r="H82" s="19">
        <f t="shared" si="7"/>
        <v>5376.933</v>
      </c>
      <c r="I82" s="25"/>
      <c r="J82" s="16"/>
      <c r="K82" s="16"/>
      <c r="L82" s="19"/>
    </row>
    <row r="83" spans="1:12" hidden="1">
      <c r="A83" s="1" t="s">
        <v>94</v>
      </c>
      <c r="B83" s="1" t="s">
        <v>103</v>
      </c>
      <c r="C83" s="16">
        <v>136</v>
      </c>
      <c r="D83" s="16">
        <v>5.7890800000000002</v>
      </c>
      <c r="E83" s="16">
        <f t="shared" si="9"/>
        <v>1200000</v>
      </c>
      <c r="F83" s="16">
        <v>7.0000000000000001E-3</v>
      </c>
      <c r="G83" s="19">
        <f t="shared" si="8"/>
        <v>8400</v>
      </c>
      <c r="H83" s="19">
        <f t="shared" si="7"/>
        <v>787.31488000000002</v>
      </c>
      <c r="I83" s="25"/>
      <c r="J83" s="16"/>
      <c r="K83" s="16"/>
      <c r="L83" s="19"/>
    </row>
    <row r="84" spans="1:12" hidden="1">
      <c r="A84" s="1" t="s">
        <v>95</v>
      </c>
      <c r="B84" s="1" t="s">
        <v>120</v>
      </c>
      <c r="C84" s="16">
        <v>41056</v>
      </c>
      <c r="D84" s="16">
        <v>82.9191</v>
      </c>
      <c r="E84" s="16">
        <f t="shared" si="9"/>
        <v>1200000</v>
      </c>
      <c r="F84" s="16">
        <v>6.2552999999999997E-2</v>
      </c>
      <c r="G84" s="19">
        <f t="shared" si="8"/>
        <v>75063.599999999991</v>
      </c>
      <c r="H84" s="19">
        <f t="shared" si="7"/>
        <v>3404326.5696</v>
      </c>
      <c r="I84" s="25"/>
      <c r="J84" s="16"/>
      <c r="K84" s="16"/>
      <c r="L84" s="19"/>
    </row>
    <row r="85" spans="1:12" hidden="1">
      <c r="A85" s="1" t="s">
        <v>95</v>
      </c>
      <c r="B85" s="1" t="s">
        <v>121</v>
      </c>
      <c r="C85" s="16">
        <v>6156</v>
      </c>
      <c r="D85" s="16">
        <v>120.39100000000001</v>
      </c>
      <c r="E85" s="16">
        <f t="shared" si="9"/>
        <v>1200000</v>
      </c>
      <c r="F85" s="16">
        <v>6.2552999999999997E-2</v>
      </c>
      <c r="G85" s="19">
        <f t="shared" si="8"/>
        <v>75063.599999999991</v>
      </c>
      <c r="H85" s="19">
        <f t="shared" si="7"/>
        <v>741126.99600000004</v>
      </c>
      <c r="I85" s="25"/>
      <c r="J85" s="16"/>
      <c r="K85" s="16"/>
      <c r="L85" s="19"/>
    </row>
    <row r="86" spans="1:12" hidden="1">
      <c r="A86" s="1" t="s">
        <v>95</v>
      </c>
      <c r="B86" s="1" t="s">
        <v>122</v>
      </c>
      <c r="C86" s="16">
        <v>5866</v>
      </c>
      <c r="D86" s="16">
        <v>118.226</v>
      </c>
      <c r="E86" s="16">
        <f t="shared" si="9"/>
        <v>1200000</v>
      </c>
      <c r="F86" s="16">
        <v>6.2552999999999997E-2</v>
      </c>
      <c r="G86" s="19">
        <f t="shared" si="8"/>
        <v>75063.599999999991</v>
      </c>
      <c r="H86" s="19">
        <f t="shared" si="7"/>
        <v>693513.71600000001</v>
      </c>
      <c r="I86" s="25"/>
      <c r="J86" s="16"/>
      <c r="K86" s="16"/>
      <c r="L86" s="19"/>
    </row>
    <row r="87" spans="1:12" hidden="1">
      <c r="A87" s="1" t="s">
        <v>95</v>
      </c>
      <c r="B87" s="1" t="s">
        <v>123</v>
      </c>
      <c r="C87" s="16">
        <v>186895</v>
      </c>
      <c r="D87" s="16">
        <v>74.511899999999997</v>
      </c>
      <c r="E87" s="16">
        <f t="shared" si="9"/>
        <v>1200000</v>
      </c>
      <c r="F87" s="16">
        <v>6.2552999999999997E-2</v>
      </c>
      <c r="G87" s="19">
        <f t="shared" si="8"/>
        <v>75063.599999999991</v>
      </c>
      <c r="H87" s="19">
        <f t="shared" si="7"/>
        <v>13925901.5505</v>
      </c>
      <c r="I87" s="25"/>
      <c r="J87" s="16"/>
      <c r="K87" s="16"/>
      <c r="L87" s="19"/>
    </row>
    <row r="88" spans="1:12" hidden="1">
      <c r="A88" s="1" t="s">
        <v>96</v>
      </c>
      <c r="B88" s="1" t="s">
        <v>10</v>
      </c>
      <c r="C88" s="16">
        <v>1563</v>
      </c>
      <c r="D88" s="16">
        <v>9.5245099999999994</v>
      </c>
      <c r="E88" s="16">
        <f t="shared" si="9"/>
        <v>1200000</v>
      </c>
      <c r="F88" s="16">
        <v>2.5683000000000001E-2</v>
      </c>
      <c r="G88" s="19">
        <f t="shared" si="8"/>
        <v>30819.600000000002</v>
      </c>
      <c r="H88" s="19">
        <f t="shared" si="7"/>
        <v>14886.80913</v>
      </c>
      <c r="I88" s="25">
        <v>610</v>
      </c>
      <c r="J88" s="16">
        <v>2.2327300000000001</v>
      </c>
      <c r="K88" s="16"/>
      <c r="L88" s="19">
        <f t="array" ref="L88">(I88*(J88+$P$20))*($C$11*VLOOKUP($B$11,$O$10:$P$16,2,0)/60000)</f>
        <v>124839.306</v>
      </c>
    </row>
    <row r="89" spans="1:12" ht="17.100000000000001" hidden="1" customHeight="1">
      <c r="A89" s="1" t="s">
        <v>97</v>
      </c>
      <c r="B89" s="1" t="s">
        <v>10</v>
      </c>
      <c r="C89" s="16">
        <v>2341</v>
      </c>
      <c r="D89" s="16">
        <v>10.086399999999999</v>
      </c>
      <c r="E89" s="16">
        <f t="shared" si="9"/>
        <v>1200000</v>
      </c>
      <c r="F89" s="16">
        <v>1.7802999999999999E-2</v>
      </c>
      <c r="G89" s="19">
        <f t="shared" si="8"/>
        <v>21363.599999999999</v>
      </c>
      <c r="H89" s="19">
        <f t="shared" si="7"/>
        <v>23612.2624</v>
      </c>
      <c r="I89" s="25">
        <v>610</v>
      </c>
      <c r="J89" s="16">
        <v>2.2327300000000001</v>
      </c>
      <c r="K89" s="16"/>
      <c r="L89" s="19">
        <f t="array" ref="L89">(I89*(J89+$P$20))*($C$11*VLOOKUP($B$11,$O$10:$P$16,2,0)/60000)</f>
        <v>124839.306</v>
      </c>
    </row>
    <row r="90" spans="1:12" hidden="1">
      <c r="A90" s="1" t="s">
        <v>98</v>
      </c>
      <c r="B90" s="1" t="s">
        <v>124</v>
      </c>
      <c r="C90" s="16">
        <v>22.696000000000002</v>
      </c>
      <c r="D90" s="16">
        <v>8.9883299999999995</v>
      </c>
      <c r="E90" s="16">
        <f t="shared" si="9"/>
        <v>1200000</v>
      </c>
      <c r="F90" s="16">
        <v>5.6836999999999999E-2</v>
      </c>
      <c r="G90" s="19">
        <f t="shared" si="8"/>
        <v>68204.399999999994</v>
      </c>
      <c r="H90" s="19">
        <f t="shared" si="7"/>
        <v>203.99913767999999</v>
      </c>
      <c r="I90" s="25"/>
      <c r="J90" s="16"/>
      <c r="K90" s="16"/>
      <c r="L90" s="19"/>
    </row>
    <row r="91" spans="1:12" hidden="1">
      <c r="A91" s="1" t="s">
        <v>100</v>
      </c>
      <c r="B91" s="1" t="s">
        <v>125</v>
      </c>
      <c r="C91" s="16">
        <v>12745</v>
      </c>
      <c r="D91" s="16">
        <v>57.821599999999997</v>
      </c>
      <c r="E91" s="16">
        <f t="shared" si="9"/>
        <v>1200000</v>
      </c>
      <c r="F91" s="16">
        <v>6.0946000000000004E-3</v>
      </c>
      <c r="G91" s="19">
        <f t="shared" si="8"/>
        <v>7313.52</v>
      </c>
      <c r="H91" s="19">
        <f t="shared" si="7"/>
        <v>736936.2919999999</v>
      </c>
      <c r="I91" s="25"/>
      <c r="J91" s="16"/>
      <c r="K91" s="16"/>
      <c r="L91" s="19"/>
    </row>
    <row r="92" spans="1:12" hidden="1">
      <c r="A92" s="1" t="s">
        <v>102</v>
      </c>
      <c r="B92" s="1" t="s">
        <v>10</v>
      </c>
      <c r="C92" s="16">
        <v>5389</v>
      </c>
      <c r="D92" s="16">
        <v>9.4983900000000006</v>
      </c>
      <c r="E92" s="16">
        <f t="shared" si="9"/>
        <v>1200000</v>
      </c>
      <c r="F92" s="16">
        <v>3.3200999999999999E-3</v>
      </c>
      <c r="G92" s="19">
        <f t="shared" si="8"/>
        <v>3984.12</v>
      </c>
      <c r="H92" s="19">
        <f t="shared" si="7"/>
        <v>51186.823710000004</v>
      </c>
      <c r="I92" s="25"/>
      <c r="J92" s="16"/>
      <c r="K92" s="16"/>
      <c r="L92" s="19"/>
    </row>
    <row r="93" spans="1:12" hidden="1">
      <c r="A93" s="1" t="s">
        <v>102</v>
      </c>
      <c r="B93" s="1" t="s">
        <v>99</v>
      </c>
      <c r="C93" s="16">
        <v>5382</v>
      </c>
      <c r="D93" s="16">
        <v>9.4745699999999999</v>
      </c>
      <c r="E93" s="16">
        <f t="shared" si="9"/>
        <v>1200000</v>
      </c>
      <c r="F93" s="16">
        <v>3.3200999999999999E-3</v>
      </c>
      <c r="G93" s="19">
        <f t="shared" si="8"/>
        <v>3984.12</v>
      </c>
      <c r="H93" s="19">
        <f t="shared" si="7"/>
        <v>50992.135739999998</v>
      </c>
      <c r="I93" s="25"/>
      <c r="J93" s="16"/>
      <c r="K93" s="16"/>
      <c r="L93" s="19"/>
    </row>
    <row r="94" spans="1:12" hidden="1">
      <c r="A94" s="1" t="s">
        <v>104</v>
      </c>
      <c r="B94" s="1" t="s">
        <v>10</v>
      </c>
      <c r="C94" s="16">
        <v>5164</v>
      </c>
      <c r="D94" s="16">
        <v>35.450899999999997</v>
      </c>
      <c r="E94" s="16">
        <f t="shared" si="9"/>
        <v>1200000</v>
      </c>
      <c r="F94" s="16">
        <v>3.6451999999999999E-3</v>
      </c>
      <c r="G94" s="19">
        <f t="shared" si="8"/>
        <v>4374.24</v>
      </c>
      <c r="H94" s="19">
        <f t="shared" ref="H94:H103" si="10">C94*D94</f>
        <v>183068.44759999998</v>
      </c>
      <c r="I94" s="25"/>
      <c r="J94" s="16"/>
      <c r="K94" s="16"/>
      <c r="L94" s="19"/>
    </row>
    <row r="95" spans="1:12" hidden="1">
      <c r="A95" s="1" t="s">
        <v>106</v>
      </c>
      <c r="B95" s="1" t="s">
        <v>10</v>
      </c>
      <c r="C95" s="16">
        <v>6759</v>
      </c>
      <c r="D95" s="16">
        <v>21.927700000000002</v>
      </c>
      <c r="E95" s="16">
        <f t="shared" si="9"/>
        <v>1200000</v>
      </c>
      <c r="F95" s="16">
        <v>3.5988000000000001E-3</v>
      </c>
      <c r="G95" s="19">
        <f t="shared" si="8"/>
        <v>4318.5600000000004</v>
      </c>
      <c r="H95" s="19">
        <f t="shared" si="10"/>
        <v>148209.32430000001</v>
      </c>
      <c r="I95" s="25"/>
      <c r="J95" s="16"/>
      <c r="K95" s="16"/>
      <c r="L95" s="19"/>
    </row>
    <row r="96" spans="1:12" hidden="1">
      <c r="A96" s="1" t="s">
        <v>108</v>
      </c>
      <c r="B96" s="1" t="s">
        <v>126</v>
      </c>
      <c r="C96" s="16">
        <v>41147</v>
      </c>
      <c r="D96" s="16">
        <v>70.929599999999994</v>
      </c>
      <c r="E96" s="16">
        <f t="shared" si="9"/>
        <v>1200000</v>
      </c>
      <c r="F96" s="16">
        <v>9.6395999999999996E-2</v>
      </c>
      <c r="G96" s="19">
        <f t="shared" si="8"/>
        <v>115675.2</v>
      </c>
      <c r="H96" s="19">
        <f t="shared" si="10"/>
        <v>2918540.2511999998</v>
      </c>
      <c r="I96" s="25"/>
      <c r="J96" s="16"/>
      <c r="K96" s="16"/>
      <c r="L96" s="19"/>
    </row>
    <row r="97" spans="1:33" hidden="1">
      <c r="A97" s="1" t="s">
        <v>108</v>
      </c>
      <c r="B97" s="1" t="s">
        <v>127</v>
      </c>
      <c r="C97" s="16">
        <v>181059</v>
      </c>
      <c r="D97" s="16">
        <v>70.991</v>
      </c>
      <c r="E97" s="16">
        <f t="shared" si="9"/>
        <v>1200000</v>
      </c>
      <c r="F97" s="16">
        <v>9.6395999999999996E-2</v>
      </c>
      <c r="G97" s="19">
        <f t="shared" si="8"/>
        <v>115675.2</v>
      </c>
      <c r="H97" s="19">
        <f t="shared" si="10"/>
        <v>12853559.469000001</v>
      </c>
      <c r="I97" s="25"/>
      <c r="J97" s="16"/>
      <c r="K97" s="16"/>
      <c r="L97" s="19"/>
    </row>
    <row r="98" spans="1:33" hidden="1">
      <c r="A98" s="1" t="s">
        <v>108</v>
      </c>
      <c r="B98" s="1" t="s">
        <v>128</v>
      </c>
      <c r="C98" s="16">
        <v>82927</v>
      </c>
      <c r="D98" s="16">
        <v>141.0719</v>
      </c>
      <c r="E98" s="16">
        <f t="shared" si="9"/>
        <v>1200000</v>
      </c>
      <c r="F98" s="16">
        <v>9.6395999999999996E-2</v>
      </c>
      <c r="G98" s="19">
        <f t="shared" si="8"/>
        <v>115675.2</v>
      </c>
      <c r="H98" s="19">
        <f t="shared" si="10"/>
        <v>11698669.451300001</v>
      </c>
      <c r="I98" s="25"/>
      <c r="J98" s="16"/>
      <c r="K98" s="16"/>
      <c r="L98" s="19"/>
    </row>
    <row r="99" spans="1:33" hidden="1">
      <c r="A99" s="1" t="s">
        <v>108</v>
      </c>
      <c r="B99" s="1" t="s">
        <v>129</v>
      </c>
      <c r="C99" s="16">
        <v>362760</v>
      </c>
      <c r="D99" s="16">
        <v>142.5359</v>
      </c>
      <c r="E99" s="16">
        <f t="shared" si="9"/>
        <v>1200000</v>
      </c>
      <c r="F99" s="16">
        <v>9.6395999999999996E-2</v>
      </c>
      <c r="G99" s="19">
        <f t="shared" ref="G99:G106" si="11">E99*F99</f>
        <v>115675.2</v>
      </c>
      <c r="H99" s="19">
        <f t="shared" si="10"/>
        <v>51706323.083999999</v>
      </c>
      <c r="I99" s="25"/>
      <c r="J99" s="16"/>
      <c r="K99" s="16"/>
      <c r="L99" s="19"/>
    </row>
    <row r="100" spans="1:33" hidden="1">
      <c r="A100" s="1" t="s">
        <v>109</v>
      </c>
      <c r="B100" s="1" t="s">
        <v>126</v>
      </c>
      <c r="C100" s="16">
        <v>41147</v>
      </c>
      <c r="D100" s="16">
        <v>70.929599999999994</v>
      </c>
      <c r="E100" s="16">
        <f t="shared" si="9"/>
        <v>1200000</v>
      </c>
      <c r="F100" s="16">
        <v>8.0485000000000001E-2</v>
      </c>
      <c r="G100" s="19">
        <f t="shared" si="11"/>
        <v>96582</v>
      </c>
      <c r="H100" s="19">
        <f t="shared" si="10"/>
        <v>2918540.2511999998</v>
      </c>
      <c r="I100" s="25"/>
      <c r="J100" s="16"/>
      <c r="K100" s="16"/>
      <c r="L100" s="19"/>
    </row>
    <row r="101" spans="1:33" hidden="1">
      <c r="A101" s="1" t="s">
        <v>109</v>
      </c>
      <c r="B101" s="1" t="s">
        <v>127</v>
      </c>
      <c r="C101" s="16">
        <v>181059</v>
      </c>
      <c r="D101" s="16">
        <v>70.991</v>
      </c>
      <c r="E101" s="16">
        <f t="shared" si="9"/>
        <v>1200000</v>
      </c>
      <c r="F101" s="16">
        <v>8.0485000000000001E-2</v>
      </c>
      <c r="G101" s="19">
        <f t="shared" si="11"/>
        <v>96582</v>
      </c>
      <c r="H101" s="19">
        <f t="shared" si="10"/>
        <v>12853559.469000001</v>
      </c>
      <c r="I101" s="25"/>
      <c r="J101" s="16"/>
      <c r="K101" s="16"/>
      <c r="L101" s="19"/>
    </row>
    <row r="102" spans="1:33" hidden="1">
      <c r="A102" s="1" t="s">
        <v>109</v>
      </c>
      <c r="B102" s="1" t="s">
        <v>130</v>
      </c>
      <c r="C102" s="16">
        <v>82927</v>
      </c>
      <c r="D102" s="16">
        <v>141.0719</v>
      </c>
      <c r="E102" s="16">
        <f t="shared" si="9"/>
        <v>1200000</v>
      </c>
      <c r="F102" s="16">
        <v>8.0485000000000001E-2</v>
      </c>
      <c r="G102" s="19">
        <f t="shared" si="11"/>
        <v>96582</v>
      </c>
      <c r="H102" s="19">
        <f t="shared" si="10"/>
        <v>11698669.451300001</v>
      </c>
      <c r="I102" s="25"/>
      <c r="J102" s="16"/>
      <c r="K102" s="16"/>
      <c r="L102" s="19"/>
    </row>
    <row r="103" spans="1:33" hidden="1">
      <c r="A103" s="1" t="s">
        <v>109</v>
      </c>
      <c r="B103" s="1" t="s">
        <v>129</v>
      </c>
      <c r="C103" s="16">
        <v>362760</v>
      </c>
      <c r="D103" s="16">
        <v>142.5359</v>
      </c>
      <c r="E103" s="16">
        <f t="shared" si="9"/>
        <v>1200000</v>
      </c>
      <c r="F103" s="16">
        <v>8.0485000000000001E-2</v>
      </c>
      <c r="G103" s="19">
        <f t="shared" si="11"/>
        <v>96582</v>
      </c>
      <c r="H103" s="19">
        <f t="shared" si="10"/>
        <v>51706323.083999999</v>
      </c>
      <c r="I103" s="25"/>
      <c r="J103" s="16"/>
      <c r="K103" s="16"/>
      <c r="L103" s="19"/>
    </row>
    <row r="104" spans="1:33" hidden="1">
      <c r="A104" s="1" t="s">
        <v>111</v>
      </c>
      <c r="B104" s="1" t="s">
        <v>131</v>
      </c>
      <c r="C104" s="16">
        <v>21.626000000000001</v>
      </c>
      <c r="D104" s="16">
        <v>8.7499300000000009</v>
      </c>
      <c r="E104" s="16">
        <f t="shared" si="9"/>
        <v>1200000</v>
      </c>
      <c r="F104" s="16">
        <v>8.4793000000000004E-3</v>
      </c>
      <c r="G104" s="19">
        <f t="shared" si="11"/>
        <v>10175.16</v>
      </c>
      <c r="H104" s="19">
        <f>C104*D104+K104</f>
        <v>8756.1659861799981</v>
      </c>
      <c r="I104" s="25"/>
      <c r="J104" s="16"/>
      <c r="K104" s="16">
        <f>0.856694*10000</f>
        <v>8566.9399999999987</v>
      </c>
      <c r="L104" s="19"/>
    </row>
    <row r="105" spans="1:33" hidden="1">
      <c r="A105" s="1" t="s">
        <v>113</v>
      </c>
      <c r="B105" s="1" t="s">
        <v>125</v>
      </c>
      <c r="C105" s="16">
        <v>9106</v>
      </c>
      <c r="D105" s="16">
        <v>198.096</v>
      </c>
      <c r="E105" s="16">
        <f t="shared" si="9"/>
        <v>1200000</v>
      </c>
      <c r="F105" s="16">
        <v>5.0000000000000001E-3</v>
      </c>
      <c r="G105" s="19">
        <f t="shared" si="11"/>
        <v>6000</v>
      </c>
      <c r="H105" s="19">
        <f>C105*D105+K105</f>
        <v>1803862.176</v>
      </c>
      <c r="I105" s="25"/>
      <c r="J105" s="16"/>
      <c r="K105" s="16"/>
      <c r="L105" s="19"/>
    </row>
    <row r="106" spans="1:33" hidden="1">
      <c r="A106" s="1" t="s">
        <v>115</v>
      </c>
      <c r="B106" s="1" t="s">
        <v>132</v>
      </c>
      <c r="C106" s="16">
        <v>3499</v>
      </c>
      <c r="D106" s="16">
        <v>66.623599999999996</v>
      </c>
      <c r="E106" s="16">
        <f t="shared" si="9"/>
        <v>1200000</v>
      </c>
      <c r="F106" s="16">
        <v>4.3842000000000004E-3</v>
      </c>
      <c r="G106" s="19">
        <f t="shared" si="11"/>
        <v>5261.0400000000009</v>
      </c>
      <c r="H106" s="19">
        <f>C106*D106+K106</f>
        <v>233115.97639999999</v>
      </c>
      <c r="I106" s="25"/>
      <c r="J106" s="16"/>
      <c r="K106" s="16"/>
      <c r="L106" s="19"/>
    </row>
    <row r="107" spans="1:33" hidden="1">
      <c r="C107" s="1" t="s">
        <v>64</v>
      </c>
      <c r="D107" s="1" t="s">
        <v>67</v>
      </c>
      <c r="E107" s="1" t="s">
        <v>69</v>
      </c>
      <c r="F107" s="1" t="s">
        <v>71</v>
      </c>
      <c r="G107" s="1" t="s">
        <v>73</v>
      </c>
      <c r="H107" s="1" t="s">
        <v>75</v>
      </c>
      <c r="I107" s="1" t="s">
        <v>77</v>
      </c>
      <c r="J107" s="1" t="s">
        <v>78</v>
      </c>
      <c r="K107" s="1" t="s">
        <v>79</v>
      </c>
      <c r="L107" s="1" t="s">
        <v>4</v>
      </c>
      <c r="M107" s="1" t="s">
        <v>82</v>
      </c>
      <c r="N107" s="1" t="s">
        <v>86</v>
      </c>
      <c r="O107" s="1" t="s">
        <v>84</v>
      </c>
      <c r="P107" s="1" t="s">
        <v>88</v>
      </c>
      <c r="Q107" s="1" t="s">
        <v>90</v>
      </c>
      <c r="R107" s="1" t="s">
        <v>92</v>
      </c>
      <c r="S107" s="1" t="s">
        <v>93</v>
      </c>
      <c r="T107" s="1" t="s">
        <v>94</v>
      </c>
      <c r="U107" s="1" t="s">
        <v>95</v>
      </c>
      <c r="V107" s="1" t="s">
        <v>96</v>
      </c>
      <c r="W107" s="1" t="s">
        <v>97</v>
      </c>
      <c r="X107" s="1" t="s">
        <v>98</v>
      </c>
      <c r="Y107" s="1" t="s">
        <v>100</v>
      </c>
      <c r="Z107" s="1" t="s">
        <v>102</v>
      </c>
      <c r="AA107" s="1" t="s">
        <v>104</v>
      </c>
      <c r="AB107" s="1" t="s">
        <v>106</v>
      </c>
      <c r="AC107" s="1" t="s">
        <v>108</v>
      </c>
      <c r="AD107" s="1" t="s">
        <v>109</v>
      </c>
      <c r="AE107" s="1" t="s">
        <v>111</v>
      </c>
      <c r="AF107" s="1" t="s">
        <v>113</v>
      </c>
      <c r="AG107" s="1" t="s">
        <v>115</v>
      </c>
    </row>
    <row r="108" spans="1:33" hidden="1">
      <c r="C108" s="1" t="s">
        <v>103</v>
      </c>
      <c r="D108" s="1" t="s">
        <v>10</v>
      </c>
      <c r="E108" s="1" t="s">
        <v>10</v>
      </c>
      <c r="F108" s="1" t="s">
        <v>10</v>
      </c>
      <c r="G108" s="1" t="s">
        <v>10</v>
      </c>
      <c r="H108" s="1" t="s">
        <v>10</v>
      </c>
      <c r="I108" s="1" t="s">
        <v>10</v>
      </c>
      <c r="J108" s="1" t="s">
        <v>99</v>
      </c>
      <c r="K108" s="1" t="s">
        <v>10</v>
      </c>
      <c r="L108" s="1" t="s">
        <v>10</v>
      </c>
      <c r="M108" s="1" t="s">
        <v>103</v>
      </c>
      <c r="N108" s="1" t="s">
        <v>99</v>
      </c>
      <c r="O108" s="1" t="s">
        <v>10</v>
      </c>
      <c r="P108" s="1" t="s">
        <v>10</v>
      </c>
      <c r="Q108" s="1" t="s">
        <v>10</v>
      </c>
      <c r="R108" s="1" t="s">
        <v>10</v>
      </c>
      <c r="S108" s="1" t="s">
        <v>10</v>
      </c>
      <c r="T108" s="1" t="s">
        <v>119</v>
      </c>
      <c r="U108" s="1" t="s">
        <v>120</v>
      </c>
      <c r="V108" s="1" t="s">
        <v>10</v>
      </c>
      <c r="W108" s="1" t="s">
        <v>10</v>
      </c>
      <c r="X108" s="1" t="s">
        <v>124</v>
      </c>
      <c r="Y108" s="1" t="s">
        <v>125</v>
      </c>
      <c r="Z108" s="1" t="s">
        <v>10</v>
      </c>
      <c r="AA108" s="1" t="s">
        <v>10</v>
      </c>
      <c r="AB108" s="1" t="s">
        <v>10</v>
      </c>
      <c r="AC108" s="1" t="s">
        <v>126</v>
      </c>
      <c r="AD108" s="1" t="s">
        <v>126</v>
      </c>
      <c r="AE108" s="1" t="s">
        <v>131</v>
      </c>
      <c r="AF108" s="1" t="s">
        <v>125</v>
      </c>
      <c r="AG108" s="1" t="s">
        <v>132</v>
      </c>
    </row>
    <row r="109" spans="1:33" hidden="1">
      <c r="C109" s="1" t="s">
        <v>110</v>
      </c>
      <c r="D109" s="1" t="s">
        <v>80</v>
      </c>
      <c r="M109" s="1" t="s">
        <v>105</v>
      </c>
      <c r="T109" s="1" t="s">
        <v>103</v>
      </c>
      <c r="U109" s="1" t="s">
        <v>121</v>
      </c>
      <c r="Z109" s="1" t="s">
        <v>99</v>
      </c>
      <c r="AC109" s="1" t="s">
        <v>128</v>
      </c>
      <c r="AD109" s="1" t="s">
        <v>127</v>
      </c>
    </row>
    <row r="110" spans="1:33" hidden="1">
      <c r="C110" s="1" t="s">
        <v>112</v>
      </c>
      <c r="D110" s="1" t="s">
        <v>81</v>
      </c>
      <c r="M110" s="1" t="s">
        <v>107</v>
      </c>
      <c r="U110" s="1" t="s">
        <v>122</v>
      </c>
      <c r="AC110" s="1" t="s">
        <v>127</v>
      </c>
      <c r="AD110" s="1" t="s">
        <v>130</v>
      </c>
    </row>
    <row r="111" spans="1:33" hidden="1">
      <c r="C111" s="1" t="s">
        <v>114</v>
      </c>
      <c r="D111" s="1" t="s">
        <v>83</v>
      </c>
      <c r="M111" s="1" t="s">
        <v>101</v>
      </c>
      <c r="U111" s="1" t="s">
        <v>123</v>
      </c>
      <c r="AC111" s="1" t="s">
        <v>129</v>
      </c>
      <c r="AD111" s="1" t="s">
        <v>129</v>
      </c>
    </row>
    <row r="112" spans="1:33" hidden="1">
      <c r="C112" s="1" t="s">
        <v>116</v>
      </c>
      <c r="D112" s="1" t="s">
        <v>85</v>
      </c>
    </row>
    <row r="113" spans="2:4" hidden="1">
      <c r="C113" s="1" t="s">
        <v>117</v>
      </c>
      <c r="D113" s="1" t="s">
        <v>87</v>
      </c>
    </row>
    <row r="114" spans="2:4" hidden="1">
      <c r="C114" s="1" t="s">
        <v>118</v>
      </c>
      <c r="D114" s="1" t="s">
        <v>89</v>
      </c>
    </row>
    <row r="115" spans="2:4" hidden="1">
      <c r="C115" s="1" t="s">
        <v>65</v>
      </c>
      <c r="D115" s="1" t="s">
        <v>91</v>
      </c>
    </row>
    <row r="116" spans="2:4" hidden="1">
      <c r="C116" s="1" t="s">
        <v>66</v>
      </c>
    </row>
    <row r="117" spans="2:4" hidden="1">
      <c r="C117" s="1" t="s">
        <v>68</v>
      </c>
    </row>
    <row r="118" spans="2:4" hidden="1">
      <c r="C118" s="1" t="s">
        <v>70</v>
      </c>
    </row>
    <row r="119" spans="2:4" hidden="1">
      <c r="C119" s="1" t="s">
        <v>72</v>
      </c>
    </row>
    <row r="120" spans="2:4" hidden="1">
      <c r="C120" s="1" t="s">
        <v>74</v>
      </c>
    </row>
    <row r="121" spans="2:4" hidden="1">
      <c r="C121" s="1" t="s">
        <v>76</v>
      </c>
    </row>
    <row r="122" spans="2:4" hidden="1"/>
    <row r="127" spans="2:4">
      <c r="B127" s="1" t="s">
        <v>133</v>
      </c>
    </row>
    <row r="128" spans="2:4">
      <c r="B128" s="1" t="s">
        <v>367</v>
      </c>
      <c r="C128" s="52" t="s">
        <v>368</v>
      </c>
      <c r="D128" s="52"/>
    </row>
    <row r="129" spans="2:6">
      <c r="B129" s="1" t="s">
        <v>134</v>
      </c>
      <c r="C129" s="52" t="s">
        <v>135</v>
      </c>
      <c r="D129" s="52"/>
    </row>
    <row r="130" spans="2:6" ht="53.25" customHeight="1">
      <c r="B130" s="1" t="s">
        <v>136</v>
      </c>
      <c r="C130" s="53" t="s">
        <v>137</v>
      </c>
      <c r="D130" s="52"/>
    </row>
    <row r="131" spans="2:6" ht="48.75" customHeight="1">
      <c r="B131" s="1" t="s">
        <v>138</v>
      </c>
      <c r="C131" s="53" t="s">
        <v>139</v>
      </c>
      <c r="D131" s="52"/>
    </row>
    <row r="132" spans="2:6" ht="76.5" customHeight="1">
      <c r="B132" s="1" t="s">
        <v>140</v>
      </c>
      <c r="C132" s="53" t="s">
        <v>141</v>
      </c>
      <c r="D132" s="53"/>
    </row>
    <row r="133" spans="2:6" ht="121.5" customHeight="1">
      <c r="B133" s="1" t="s">
        <v>142</v>
      </c>
      <c r="C133" s="51" t="s">
        <v>143</v>
      </c>
      <c r="D133" s="51"/>
    </row>
    <row r="134" spans="2:6" ht="185.1" customHeight="1">
      <c r="B134" s="1" t="s">
        <v>144</v>
      </c>
      <c r="C134" s="53" t="s">
        <v>145</v>
      </c>
      <c r="D134" s="53"/>
    </row>
    <row r="135" spans="2:6" ht="78.95" customHeight="1">
      <c r="B135" s="1" t="s">
        <v>146</v>
      </c>
      <c r="C135" s="53" t="s">
        <v>147</v>
      </c>
      <c r="D135" s="52"/>
    </row>
    <row r="136" spans="2:6" ht="45" customHeight="1">
      <c r="B136" s="1" t="s">
        <v>148</v>
      </c>
      <c r="C136" s="51" t="s">
        <v>149</v>
      </c>
      <c r="D136" s="51"/>
    </row>
    <row r="137" spans="2:6" ht="75.75" customHeight="1">
      <c r="B137" s="1" t="s">
        <v>150</v>
      </c>
      <c r="C137" s="51" t="s">
        <v>151</v>
      </c>
      <c r="D137" s="51"/>
      <c r="E137" s="18"/>
      <c r="F137" s="18"/>
    </row>
    <row r="138" spans="2:6" ht="65.25" customHeight="1">
      <c r="B138" s="1" t="s">
        <v>152</v>
      </c>
      <c r="C138" s="51" t="s">
        <v>153</v>
      </c>
      <c r="D138" s="51"/>
    </row>
    <row r="139" spans="2:6" ht="65.25" customHeight="1">
      <c r="B139" s="1" t="s">
        <v>154</v>
      </c>
      <c r="C139" s="51" t="s">
        <v>155</v>
      </c>
      <c r="D139" s="51"/>
    </row>
    <row r="140" spans="2:6" ht="40.5" customHeight="1">
      <c r="B140" s="1" t="s">
        <v>156</v>
      </c>
      <c r="C140" s="51" t="s">
        <v>157</v>
      </c>
      <c r="D140" s="51"/>
    </row>
    <row r="141" spans="2:6" ht="30" customHeight="1">
      <c r="B141" s="1" t="s">
        <v>158</v>
      </c>
      <c r="C141" s="51" t="s">
        <v>159</v>
      </c>
      <c r="D141" s="51"/>
    </row>
    <row r="142" spans="2:6" ht="36.75" customHeight="1">
      <c r="B142" s="44" t="s">
        <v>160</v>
      </c>
      <c r="C142" s="51" t="s">
        <v>161</v>
      </c>
      <c r="D142" s="51"/>
    </row>
    <row r="143" spans="2:6" ht="30" customHeight="1">
      <c r="B143" s="1" t="s">
        <v>162</v>
      </c>
      <c r="C143" s="51" t="s">
        <v>163</v>
      </c>
      <c r="D143" s="51"/>
    </row>
    <row r="144" spans="2:6" ht="34.5" customHeight="1">
      <c r="B144" s="1" t="s">
        <v>164</v>
      </c>
      <c r="C144" s="51" t="s">
        <v>165</v>
      </c>
      <c r="D144" s="51"/>
    </row>
    <row r="145" spans="1:20" ht="30" customHeight="1">
      <c r="B145" s="44" t="s">
        <v>166</v>
      </c>
      <c r="C145" s="53" t="s">
        <v>167</v>
      </c>
      <c r="D145" s="53"/>
      <c r="E145" s="53"/>
      <c r="F145" s="53"/>
      <c r="G145" s="53"/>
      <c r="H145" s="53"/>
    </row>
    <row r="146" spans="1:20">
      <c r="B146" s="1" t="s">
        <v>168</v>
      </c>
      <c r="C146" s="55" t="s">
        <v>169</v>
      </c>
      <c r="D146" s="55"/>
    </row>
    <row r="147" spans="1:20" ht="15" customHeight="1"/>
    <row r="151" spans="1:20">
      <c r="A151"/>
      <c r="B151"/>
      <c r="C151"/>
      <c r="D151"/>
      <c r="E151"/>
      <c r="F151"/>
      <c r="G151"/>
      <c r="H151"/>
      <c r="I151"/>
      <c r="J151"/>
      <c r="K151"/>
      <c r="L151"/>
      <c r="M151"/>
      <c r="N151"/>
    </row>
    <row r="152" spans="1:20" ht="15" customHeight="1">
      <c r="A152"/>
      <c r="B152"/>
      <c r="C152"/>
      <c r="D152"/>
      <c r="E152"/>
      <c r="F152"/>
      <c r="G152"/>
      <c r="H152"/>
      <c r="I152"/>
      <c r="J152"/>
      <c r="K152"/>
      <c r="L152"/>
      <c r="M152"/>
      <c r="N152"/>
      <c r="O152"/>
      <c r="P152"/>
      <c r="Q152"/>
      <c r="R152"/>
      <c r="S152"/>
      <c r="T152"/>
    </row>
    <row r="153" spans="1:20" ht="15" customHeight="1">
      <c r="J153" s="42"/>
      <c r="K153" s="42"/>
      <c r="L153" s="42"/>
      <c r="M153" s="42"/>
      <c r="O153"/>
      <c r="P153"/>
      <c r="Q153"/>
      <c r="R153"/>
      <c r="S153"/>
      <c r="T153"/>
    </row>
    <row r="154" spans="1:20">
      <c r="O154" s="42"/>
      <c r="T154" s="42"/>
    </row>
  </sheetData>
  <mergeCells count="25">
    <mergeCell ref="C129:D129"/>
    <mergeCell ref="C128:D128"/>
    <mergeCell ref="C1:J4"/>
    <mergeCell ref="C144:D144"/>
    <mergeCell ref="C145:H145"/>
    <mergeCell ref="C146:D146"/>
    <mergeCell ref="B7:B9"/>
    <mergeCell ref="B11:B12"/>
    <mergeCell ref="C7:C9"/>
    <mergeCell ref="C11:C12"/>
    <mergeCell ref="D11:D12"/>
    <mergeCell ref="C139:D139"/>
    <mergeCell ref="C140:D140"/>
    <mergeCell ref="C141:D141"/>
    <mergeCell ref="C142:D142"/>
    <mergeCell ref="C143:D143"/>
    <mergeCell ref="C134:D134"/>
    <mergeCell ref="C135:D135"/>
    <mergeCell ref="C136:D136"/>
    <mergeCell ref="C137:D137"/>
    <mergeCell ref="C138:D138"/>
    <mergeCell ref="C130:D130"/>
    <mergeCell ref="C131:D131"/>
    <mergeCell ref="C132:D132"/>
    <mergeCell ref="C133:D133"/>
  </mergeCells>
  <phoneticPr fontId="18" type="noConversion"/>
  <dataValidations count="4">
    <dataValidation type="list" allowBlank="1" showInputMessage="1" showErrorMessage="1" sqref="B11" xr:uid="{00000000-0002-0000-0000-000000000000}">
      <formula1>"ms,s,min,hr,day,mo,yr"</formula1>
    </dataValidation>
    <dataValidation allowBlank="1" showInputMessage="1" showErrorMessage="1" sqref="E11" xr:uid="{00000000-0002-0000-0000-000001000000}"/>
    <dataValidation type="list" allowBlank="1" showInputMessage="1" showErrorMessage="1" sqref="B7:B9" xr:uid="{00000000-0002-0000-0000-000002000000}">
      <formula1>$C$107:$AG$107</formula1>
    </dataValidation>
    <dataValidation type="list" showInputMessage="1" showErrorMessage="1" sqref="D11:D12" xr:uid="{00000000-0002-0000-0000-000003000000}">
      <formula1>INDIRECT($B$7)</formula1>
    </dataValidation>
  </dataValidations>
  <pageMargins left="0.75" right="0.75" top="1" bottom="1"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0"/>
  <sheetViews>
    <sheetView topLeftCell="A8" zoomScale="85" zoomScaleNormal="85" workbookViewId="0">
      <selection activeCell="A25" sqref="A25:XFD107"/>
    </sheetView>
  </sheetViews>
  <sheetFormatPr defaultColWidth="9" defaultRowHeight="15"/>
  <cols>
    <col min="1" max="1" width="21.85546875" style="1" customWidth="1"/>
    <col min="2" max="2" width="17.140625" style="1" customWidth="1"/>
    <col min="3" max="3" width="20.5703125" style="1" customWidth="1"/>
    <col min="4" max="4" width="19.42578125" style="1" customWidth="1"/>
    <col min="5" max="5" width="19.7109375" style="1" customWidth="1"/>
    <col min="6" max="6" width="23.140625" style="1" customWidth="1"/>
    <col min="7" max="7" width="18.85546875" style="1" customWidth="1"/>
    <col min="8" max="8" width="18" style="1" customWidth="1"/>
    <col min="9" max="9" width="17.7109375" style="1" customWidth="1"/>
    <col min="10" max="12" width="20" style="1" customWidth="1"/>
    <col min="13" max="13" width="18.42578125" style="1" customWidth="1"/>
    <col min="14" max="15" width="19.85546875" style="1" customWidth="1"/>
    <col min="16" max="16" width="21.140625" style="1" customWidth="1"/>
    <col min="17" max="17" width="18.42578125" style="1" customWidth="1"/>
    <col min="18" max="18" width="12.7109375" style="1" hidden="1" customWidth="1"/>
    <col min="19" max="19" width="15.85546875" style="1" hidden="1" customWidth="1"/>
    <col min="20" max="20" width="14.7109375" style="1" customWidth="1"/>
    <col min="21" max="21" width="13.42578125" style="1" customWidth="1"/>
    <col min="22" max="24" width="9" style="1"/>
    <col min="25" max="25" width="16.42578125" style="1" customWidth="1"/>
    <col min="26" max="26" width="7.85546875" style="1" customWidth="1"/>
    <col min="27" max="16384" width="9" style="1"/>
  </cols>
  <sheetData>
    <row r="1" spans="1:19">
      <c r="A1" s="2"/>
      <c r="B1" s="2"/>
      <c r="C1" s="2"/>
      <c r="D1" s="54" t="s">
        <v>170</v>
      </c>
      <c r="E1" s="54"/>
      <c r="F1" s="54"/>
      <c r="G1" s="54"/>
      <c r="H1" s="54"/>
      <c r="I1" s="54"/>
      <c r="J1" s="54"/>
      <c r="K1" s="54"/>
      <c r="L1" s="54"/>
      <c r="M1"/>
      <c r="N1"/>
    </row>
    <row r="2" spans="1:19">
      <c r="A2" s="2"/>
      <c r="B2" s="2"/>
      <c r="C2" s="2"/>
      <c r="D2" s="54"/>
      <c r="E2" s="54"/>
      <c r="F2" s="54"/>
      <c r="G2" s="54"/>
      <c r="H2" s="54"/>
      <c r="I2" s="54"/>
      <c r="J2" s="54"/>
      <c r="K2" s="54"/>
      <c r="L2" s="54"/>
      <c r="M2"/>
      <c r="N2"/>
    </row>
    <row r="3" spans="1:19">
      <c r="A3" s="2"/>
      <c r="B3" s="2"/>
      <c r="C3" s="2"/>
      <c r="D3" s="54"/>
      <c r="E3" s="54"/>
      <c r="F3" s="54"/>
      <c r="G3" s="54"/>
      <c r="H3" s="54"/>
      <c r="I3" s="54"/>
      <c r="J3" s="54"/>
      <c r="K3" s="54"/>
      <c r="L3" s="54"/>
      <c r="M3"/>
      <c r="N3"/>
    </row>
    <row r="4" spans="1:19" ht="81.75" customHeight="1">
      <c r="A4" s="2"/>
      <c r="B4" s="2"/>
      <c r="C4" s="2"/>
      <c r="D4" s="54"/>
      <c r="E4" s="54"/>
      <c r="F4" s="54"/>
      <c r="G4" s="54"/>
      <c r="H4" s="54"/>
      <c r="I4" s="54"/>
      <c r="J4" s="54"/>
      <c r="K4" s="54"/>
      <c r="L4" s="54"/>
    </row>
    <row r="5" spans="1:19">
      <c r="A5" s="2" t="s">
        <v>1</v>
      </c>
      <c r="B5" s="2"/>
      <c r="C5" s="2"/>
      <c r="D5" s="47"/>
      <c r="E5" s="2"/>
      <c r="F5" s="2"/>
      <c r="G5" s="2"/>
      <c r="H5" s="2"/>
      <c r="I5" s="2"/>
      <c r="J5" s="2"/>
      <c r="K5" s="2"/>
      <c r="L5" s="2"/>
    </row>
    <row r="6" spans="1:19">
      <c r="A6" s="3"/>
      <c r="B6" s="4" t="s">
        <v>2</v>
      </c>
      <c r="C6" s="5" t="s">
        <v>3</v>
      </c>
      <c r="D6" s="3"/>
      <c r="E6" s="3"/>
      <c r="F6" s="3"/>
      <c r="G6" s="3"/>
      <c r="H6" s="3"/>
      <c r="I6" s="3"/>
      <c r="J6" s="3"/>
      <c r="K6" s="3"/>
      <c r="L6" s="3"/>
    </row>
    <row r="7" spans="1:19">
      <c r="A7" s="3"/>
      <c r="B7" s="56" t="s">
        <v>226</v>
      </c>
      <c r="C7" s="64">
        <f>VLOOKUP(B7,P42:S125,2,0)</f>
        <v>8500</v>
      </c>
      <c r="D7" s="3"/>
      <c r="E7" s="3"/>
      <c r="F7" s="3"/>
      <c r="G7" s="3"/>
      <c r="H7" s="3"/>
      <c r="I7" s="3"/>
      <c r="J7" s="3"/>
      <c r="K7" s="3"/>
      <c r="L7" s="3"/>
    </row>
    <row r="8" spans="1:19">
      <c r="A8" s="3"/>
      <c r="B8" s="56"/>
      <c r="C8" s="59"/>
      <c r="D8" s="3"/>
      <c r="E8" s="3"/>
      <c r="F8" s="3"/>
      <c r="G8" s="3"/>
      <c r="H8" s="3"/>
      <c r="I8" s="3"/>
      <c r="J8" s="3"/>
      <c r="K8" s="3"/>
      <c r="L8" s="3"/>
      <c r="M8"/>
    </row>
    <row r="9" spans="1:19">
      <c r="A9" s="3"/>
      <c r="B9" s="56"/>
      <c r="C9" s="65"/>
      <c r="D9" s="3"/>
      <c r="E9" s="3"/>
      <c r="F9" s="3"/>
      <c r="G9" s="3"/>
      <c r="H9" s="3"/>
      <c r="I9" s="3"/>
      <c r="J9" s="3"/>
      <c r="K9" s="3"/>
      <c r="L9" s="3"/>
      <c r="M9"/>
    </row>
    <row r="10" spans="1:19">
      <c r="A10" s="3"/>
      <c r="B10" s="6" t="s">
        <v>5</v>
      </c>
      <c r="C10" s="6" t="s">
        <v>6</v>
      </c>
      <c r="D10" s="7" t="s">
        <v>7</v>
      </c>
      <c r="E10" s="3"/>
      <c r="F10" s="3"/>
      <c r="G10" s="3"/>
      <c r="H10" s="3"/>
      <c r="I10" s="3"/>
      <c r="J10" s="3"/>
      <c r="K10" s="3"/>
      <c r="L10" s="3"/>
      <c r="M10"/>
      <c r="R10" s="22" t="s">
        <v>8</v>
      </c>
      <c r="S10" s="22">
        <v>1</v>
      </c>
    </row>
    <row r="11" spans="1:19" ht="15" customHeight="1">
      <c r="A11" s="3"/>
      <c r="B11" s="57" t="s">
        <v>9</v>
      </c>
      <c r="C11" s="60">
        <v>20</v>
      </c>
      <c r="D11" s="67" t="s">
        <v>235</v>
      </c>
      <c r="E11" s="3"/>
      <c r="F11" s="3"/>
      <c r="G11" s="3"/>
      <c r="H11" s="3"/>
      <c r="I11" s="3"/>
      <c r="J11" s="3"/>
      <c r="K11" s="3"/>
      <c r="L11" s="3"/>
      <c r="M11"/>
      <c r="R11" s="22" t="s">
        <v>11</v>
      </c>
      <c r="S11" s="22">
        <f>S10*1000</f>
        <v>1000</v>
      </c>
    </row>
    <row r="12" spans="1:19" ht="25.5" customHeight="1">
      <c r="A12" s="3"/>
      <c r="B12" s="58"/>
      <c r="C12" s="66"/>
      <c r="D12" s="68"/>
      <c r="E12" s="3"/>
      <c r="F12" s="3"/>
      <c r="G12" s="3"/>
      <c r="H12" s="3"/>
      <c r="I12" s="3"/>
      <c r="J12" s="3"/>
      <c r="K12" s="3"/>
      <c r="L12" s="3"/>
      <c r="M12"/>
      <c r="R12" s="22" t="s">
        <v>9</v>
      </c>
      <c r="S12" s="22">
        <f>S11*60</f>
        <v>60000</v>
      </c>
    </row>
    <row r="13" spans="1:19">
      <c r="A13" s="3"/>
      <c r="B13" s="3"/>
      <c r="C13" s="9" t="s">
        <v>12</v>
      </c>
      <c r="D13" s="9" t="s">
        <v>13</v>
      </c>
      <c r="E13" s="9" t="s">
        <v>14</v>
      </c>
      <c r="F13" s="9" t="s">
        <v>15</v>
      </c>
      <c r="G13" s="9" t="s">
        <v>16</v>
      </c>
      <c r="H13" s="9" t="s">
        <v>17</v>
      </c>
      <c r="I13" s="9" t="s">
        <v>172</v>
      </c>
      <c r="J13" s="9" t="s">
        <v>19</v>
      </c>
      <c r="K13" s="9" t="s">
        <v>20</v>
      </c>
      <c r="L13" s="9" t="s">
        <v>21</v>
      </c>
      <c r="M13"/>
      <c r="N13"/>
      <c r="R13" s="22" t="s">
        <v>22</v>
      </c>
      <c r="S13" s="22">
        <f>S12*60</f>
        <v>3600000</v>
      </c>
    </row>
    <row r="14" spans="1:19" ht="18.75">
      <c r="A14" s="30" t="s">
        <v>23</v>
      </c>
      <c r="B14" s="30" t="s">
        <v>24</v>
      </c>
      <c r="C14" s="31">
        <f t="array" ref="C14">VLOOKUP($B$7&amp;$D$11,IF({1,0},$A$42:$A$136&amp;$B$42:$B$136,$G$42:$G$129),2,0)</f>
        <v>6435.36</v>
      </c>
      <c r="D14" s="31">
        <f t="array" ref="D14">VLOOKUP($B$7&amp;$D$11,IF({1,0},$A$42:$A$136&amp;$B$42:$B$136,$H$42:$H$136),2,0)</f>
        <v>396588.6</v>
      </c>
      <c r="E14" s="31">
        <f t="array" ref="E14">VLOOKUP(B28,B27:S33,13,0)</f>
        <v>5907.3058148</v>
      </c>
      <c r="F14" s="31">
        <f t="shared" ref="F14:F19" si="0">VLOOKUP(B28,B27:W33,14,0)</f>
        <v>692.76022730999989</v>
      </c>
      <c r="G14" s="31">
        <f t="shared" ref="G14:G19" si="1">VLOOKUP(B28,B27:W33,15,0)</f>
        <v>3604.7036715999998</v>
      </c>
      <c r="H14" s="31">
        <f t="shared" ref="H14:H19" si="2">VLOOKUP(B28,B27:W33,16,0)</f>
        <v>623.83733333333339</v>
      </c>
      <c r="I14" s="31">
        <f t="array" ref="I14">(C14+D14+E14+F14+G14+H14+J14+K14)/((VLOOKUP($B$7&amp;$D$11,IF({1,0},$A$42:$A$96&amp;$B$42:$B$96,$L$42:$L$96),2,0))+(((VLOOKUP($B$7&amp;$D$11,IF({1,0},$A$42:$A$96&amp;$B$42:$B$96,$C$42:$C$96),2,0)))+((VLOOKUP($B$7&amp;$D$11,IF({1,0},$A$42:$A$96&amp;$B$42:$B$96,$E$42:$E$96),2,0)))+(VLOOKUP(B28,$B$27:$F$33,2,0))+(VLOOKUP(B28,$B$27:$F$33,3,0))+(VLOOKUP(B28,$B$27:$F$33,4,0))+(VLOOKUP(B28,$B$27:$F$33,5,0))))</f>
        <v>0.34391889947120408</v>
      </c>
      <c r="J14" s="31">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14" s="31">
        <f>IF($B$7="LSN50_V2____Waterproof_Long_Range_Wireless_LoRa_Sensor_Node",VLOOKUP(B28,B27:W33,17,0),0)</f>
        <v>0</v>
      </c>
      <c r="L14" s="38">
        <f>$C$7/(I14*(60/C11)*8760+($C$7*0.02))</f>
        <v>0.92309142407265277</v>
      </c>
      <c r="M14"/>
      <c r="N14"/>
      <c r="R14" s="22" t="s">
        <v>25</v>
      </c>
      <c r="S14" s="22">
        <f>S13*24</f>
        <v>86400000</v>
      </c>
    </row>
    <row r="15" spans="1:19" ht="18.75">
      <c r="A15" s="3"/>
      <c r="B15" s="30" t="s">
        <v>26</v>
      </c>
      <c r="C15" s="31">
        <f t="array" ref="C15">VLOOKUP($B$7&amp;$D$11,IF({1,0},$A$42:$A$136&amp;$B$42:$B$136,$G$42:$G$129),2,0)</f>
        <v>6435.36</v>
      </c>
      <c r="D15" s="31">
        <f t="array" ref="D15">VLOOKUP($B$7&amp;$D$11,IF({1,0},$A$42:$A$136&amp;$B$42:$B$136,$H$42:$H$136),2,0)</f>
        <v>396588.6</v>
      </c>
      <c r="E15" s="31">
        <f t="array" ref="E15">VLOOKUP(B29,B28:S34,13,0)</f>
        <v>10694.801165999999</v>
      </c>
      <c r="F15" s="31">
        <f t="shared" si="0"/>
        <v>736.62979908</v>
      </c>
      <c r="G15" s="31">
        <f t="shared" si="1"/>
        <v>3576.7589399999997</v>
      </c>
      <c r="H15" s="31">
        <f t="shared" si="2"/>
        <v>623.83733333333339</v>
      </c>
      <c r="I15" s="31">
        <f t="array" ref="I15">(C15+D15+E15+F15+G15+H15+J15+K15)/((VLOOKUP($B$7&amp;$D$11,IF({1,0},$A$42:$A$96&amp;$B$42:$B$96,$L$42:$L$96),2,0))+(((VLOOKUP($B$7&amp;$D$11,IF({1,0},$A$42:$A$96&amp;$B$42:$B$96,$C$42:$C$96),2,0)))+((VLOOKUP($B$7&amp;$D$11,IF({1,0},$A$42:$A$96&amp;$B$42:$B$96,$E$42:$E$96),2,0)))+(VLOOKUP(B29,$B$27:$F$33,2,0))+(VLOOKUP(B29,$B$27:$F$33,3,0))+(VLOOKUP(B29,$B$27:$F$33,4,0))+(VLOOKUP(B29,$B$27:$F$33,5,0))))</f>
        <v>0.34789624113489254</v>
      </c>
      <c r="J15" s="31">
        <f t="array" ref="J15">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15" s="31">
        <f t="array" ref="K15">IF($B$7="LSN50_V2____Waterproof_Long_Range_Wireless_LoRa_Sensor_Node",VLOOKUP(B29,B28:W34,17,0),0)</f>
        <v>0</v>
      </c>
      <c r="L15" s="38">
        <f>$C$7/(I15*(60/C11)*8760+($C$7*0.02))</f>
        <v>0.91273078016198106</v>
      </c>
      <c r="M15"/>
      <c r="N15"/>
      <c r="R15" s="22" t="s">
        <v>27</v>
      </c>
      <c r="S15" s="22">
        <f>S16/12</f>
        <v>2629800000</v>
      </c>
    </row>
    <row r="16" spans="1:19" ht="18.75">
      <c r="A16" s="3"/>
      <c r="B16" s="30" t="s">
        <v>28</v>
      </c>
      <c r="C16" s="31">
        <f t="array" ref="C16">VLOOKUP($B$7&amp;$D$11,IF({1,0},$A$42:$A$136&amp;$B$42:$B$136,$G$42:$G$129),2,0)</f>
        <v>6435.36</v>
      </c>
      <c r="D16" s="31">
        <f t="array" ref="D16">VLOOKUP($B$7&amp;$D$11,IF({1,0},$A$42:$A$136&amp;$B$42:$B$136,$H$42:$H$136),2,0)</f>
        <v>396588.6</v>
      </c>
      <c r="E16" s="31">
        <f t="array" ref="E16">VLOOKUP(B30,B29:S35,13,0)</f>
        <v>19470.238055999998</v>
      </c>
      <c r="F16" s="31">
        <f t="shared" si="0"/>
        <v>819.28740712000001</v>
      </c>
      <c r="G16" s="31">
        <f t="shared" si="1"/>
        <v>3600.7803702000001</v>
      </c>
      <c r="H16" s="31">
        <f t="shared" si="2"/>
        <v>623.83733333333339</v>
      </c>
      <c r="I16" s="31">
        <f t="array" ref="I16">(C16+D16+E16+F16+G16+H16+J16+K16)/((VLOOKUP($B$7&amp;$D$11,IF({1,0},$A$42:$A$96&amp;$B$42:$B$96,$L$42:$L$96),2,0))+(((VLOOKUP($B$7&amp;$D$11,IF({1,0},$A$42:$A$96&amp;$B$42:$B$96,$C$42:$C$96),2,0)))+((VLOOKUP($B$7&amp;$D$11,IF({1,0},$A$42:$A$96&amp;$B$42:$B$96,$E$42:$E$96),2,0)))+(VLOOKUP(B30,$B$27:$F$33,2,0))+(VLOOKUP(B30,$B$27:$F$33,3,0))+(VLOOKUP(B30,$B$27:$F$33,4,0))+(VLOOKUP(B30,$B$27:$F$33,5,0))))</f>
        <v>0.35524763476714227</v>
      </c>
      <c r="J16" s="31">
        <f t="array" ref="J16">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16" s="31">
        <f t="array" ref="K16">IF($B$7="LSN50_V2____Waterproof_Long_Range_Wireless_LoRa_Sensor_Node",VLOOKUP(B30,B29:W35,17,0),0)</f>
        <v>0</v>
      </c>
      <c r="L16" s="38">
        <f>$C$7/(I16*(60/C11)*8760+($C$7*0.02))</f>
        <v>0.89418077069189539</v>
      </c>
      <c r="M16"/>
      <c r="N16"/>
      <c r="R16" s="22" t="s">
        <v>29</v>
      </c>
      <c r="S16" s="22">
        <f>S14*365.25</f>
        <v>31557600000</v>
      </c>
    </row>
    <row r="17" spans="1:22" ht="18.75">
      <c r="A17" s="3"/>
      <c r="B17" s="30" t="s">
        <v>30</v>
      </c>
      <c r="C17" s="31">
        <f t="array" ref="C17">VLOOKUP($B$7&amp;$D$11,IF({1,0},$A$42:$A$136&amp;$B$42:$B$136,$G$42:$G$129),2,0)</f>
        <v>6435.36</v>
      </c>
      <c r="D17" s="31">
        <f t="array" ref="D17">VLOOKUP($B$7&amp;$D$11,IF({1,0},$A$42:$A$136&amp;$B$42:$B$136,$H$42:$H$136),2,0)</f>
        <v>396588.6</v>
      </c>
      <c r="E17" s="31">
        <f t="array" ref="E17">VLOOKUP(B31,B30:S36,13,0)</f>
        <v>39192.715512000002</v>
      </c>
      <c r="F17" s="31">
        <f t="shared" si="0"/>
        <v>1098.2065788</v>
      </c>
      <c r="G17" s="31">
        <f t="shared" si="1"/>
        <v>3613.4190128</v>
      </c>
      <c r="H17" s="31">
        <f t="shared" si="2"/>
        <v>623.83733333333339</v>
      </c>
      <c r="I17" s="31">
        <f t="array" ref="I17">(C17+D17+E17+F17+G17+H17+J17+K17)/((VLOOKUP($B$7&amp;$D$11,IF({1,0},$A$42:$A$96&amp;$B$42:$B$96,$L$42:$L$96),2,0))+(((VLOOKUP($B$7&amp;$D$11,IF({1,0},$A$42:$A$96&amp;$B$42:$B$96,$C$42:$C$96),2,0)))+((VLOOKUP($B$7&amp;$D$11,IF({1,0},$A$42:$A$96&amp;$B$42:$B$96,$E$42:$E$96),2,0)))+(VLOOKUP(B31,$B$27:$F$33,2,0))+(VLOOKUP(B31,$B$27:$F$33,3,0))+(VLOOKUP(B31,$B$27:$F$33,4,0))+(VLOOKUP(B31,$B$27:$F$33,5,0))))</f>
        <v>0.37180683284626642</v>
      </c>
      <c r="J17" s="31">
        <f t="array" ref="J17">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17" s="31">
        <f t="array" ref="K17">IF($B$7="LSN50_V2____Waterproof_Long_Range_Wireless_LoRa_Sensor_Node",VLOOKUP(B31,B30:W36,17,0),0)</f>
        <v>0</v>
      </c>
      <c r="L17" s="38">
        <f>$C$7/(I17*(60/C11)*8760+($C$7*0.02))</f>
        <v>0.85503757639110234</v>
      </c>
      <c r="M17"/>
      <c r="N17"/>
    </row>
    <row r="18" spans="1:22" ht="18.75">
      <c r="A18" s="3"/>
      <c r="B18" s="30" t="s">
        <v>31</v>
      </c>
      <c r="C18" s="31">
        <f t="array" ref="C18">VLOOKUP($B$7&amp;$D$11,IF({1,0},$A$42:$A$136&amp;$B$42:$B$136,$G$42:$G$129),2,0)</f>
        <v>6435.36</v>
      </c>
      <c r="D18" s="31">
        <f t="array" ref="D18">VLOOKUP($B$7&amp;$D$11,IF({1,0},$A$42:$A$136&amp;$B$42:$B$136,$H$42:$H$136),2,0)</f>
        <v>396588.6</v>
      </c>
      <c r="E18" s="31">
        <f t="array" ref="E18">VLOOKUP(B32,B31:S37,13,0)</f>
        <v>78402.097799999989</v>
      </c>
      <c r="F18" s="31">
        <f t="shared" si="0"/>
        <v>1925.5877064000001</v>
      </c>
      <c r="G18" s="31">
        <f t="shared" si="1"/>
        <v>3579.0190740000003</v>
      </c>
      <c r="H18" s="31">
        <f t="shared" si="2"/>
        <v>623.83733333333339</v>
      </c>
      <c r="I18" s="31">
        <f t="array" ref="I18">(C18+D18+E18+F18+G18+H18+J18+K18)/((VLOOKUP($B$7&amp;$D$11,IF({1,0},$A$42:$A$96&amp;$B$42:$B$96,$L$42:$L$96),2,0))+(((VLOOKUP($B$7&amp;$D$11,IF({1,0},$A$42:$A$96&amp;$B$42:$B$96,$C$42:$C$96),2,0)))+((VLOOKUP($B$7&amp;$D$11,IF({1,0},$A$42:$A$96&amp;$B$42:$B$96,$E$42:$E$96),2,0)))+(VLOOKUP(B32,$B$27:$F$33,2,0))+(VLOOKUP(B32,$B$27:$F$33,3,0))+(VLOOKUP(B32,$B$27:$F$33,4,0))+(VLOOKUP(B32,$B$27:$F$33,5,0))))</f>
        <v>0.40488588531743491</v>
      </c>
      <c r="J18" s="31">
        <f t="array" ref="J18">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18" s="31">
        <f t="array" ref="K18">IF($B$7="LSN50_V2____Waterproof_Long_Range_Wireless_LoRa_Sensor_Node",VLOOKUP(B32,B31:W37,17,0),0)</f>
        <v>0</v>
      </c>
      <c r="L18" s="38">
        <f>$C$7/(I18*(60/C11)*8760+($C$7*0.02))</f>
        <v>0.78627980109098006</v>
      </c>
      <c r="M18"/>
      <c r="N18"/>
    </row>
    <row r="19" spans="1:22" ht="18.75">
      <c r="A19" s="3"/>
      <c r="B19" s="30" t="s">
        <v>32</v>
      </c>
      <c r="C19" s="31">
        <f t="array" ref="C19">VLOOKUP($B$7&amp;$D$11,IF({1,0},$A$42:$A$136&amp;$B$42:$B$136,$G$42:$G$129),2,0)</f>
        <v>6435.36</v>
      </c>
      <c r="D19" s="31">
        <f t="array" ref="D19">VLOOKUP($B$7&amp;$D$11,IF({1,0},$A$42:$A$136&amp;$B$42:$B$136,$H$42:$H$136),2,0)</f>
        <v>396588.6</v>
      </c>
      <c r="E19" s="31">
        <f t="array" ref="E19">VLOOKUP(B33,B32:S38,13,0)</f>
        <v>202854.402</v>
      </c>
      <c r="F19" s="31">
        <f t="shared" si="0"/>
        <v>3719.3802107999995</v>
      </c>
      <c r="G19" s="31">
        <f t="shared" si="1"/>
        <v>3601.7756062000003</v>
      </c>
      <c r="H19" s="31">
        <f t="shared" si="2"/>
        <v>623.83733333333339</v>
      </c>
      <c r="I19" s="31">
        <f t="array" ref="I19">(C19+D19+E19+F19+G19+H19+J19+K19)/((VLOOKUP($B$7&amp;$D$11,IF({1,0},$A$42:$A$96&amp;$B$42:$B$96,$L$42:$L$96),2,0))+(((VLOOKUP($B$7&amp;$D$11,IF({1,0},$A$42:$A$96&amp;$B$42:$B$96,$C$42:$C$96),2,0)))+((VLOOKUP($B$7&amp;$D$11,IF({1,0},$A$42:$A$96&amp;$B$42:$B$96,$E$42:$E$96),2,0)))+(VLOOKUP(B33,$B$27:$F$33,2,0))+(VLOOKUP(B33,$B$27:$F$33,3,0))+(VLOOKUP(B33,$B$27:$F$33,4,0))+(VLOOKUP(B33,$B$27:$F$33,5,0))))</f>
        <v>0.509360968269157</v>
      </c>
      <c r="J19" s="31">
        <f t="array" ref="J19">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19" s="31">
        <f t="array" ref="K19">IF($B$7="LSN50_V2____Waterproof_Long_Range_Wireless_LoRa_Sensor_Node",VLOOKUP(B33,B32:W38,17,0),0)</f>
        <v>0</v>
      </c>
      <c r="L19" s="38">
        <f>$C$7/(I19*(60/C11)*8760+($C$7*0.02))</f>
        <v>0.62702833310046446</v>
      </c>
      <c r="M19"/>
      <c r="N19"/>
    </row>
    <row r="20" spans="1:22" ht="18.75">
      <c r="A20" s="3"/>
      <c r="B20" s="3"/>
      <c r="C20" s="32"/>
      <c r="D20" s="32"/>
      <c r="E20" s="3"/>
      <c r="F20" s="3"/>
      <c r="G20" s="3"/>
      <c r="H20" s="3"/>
      <c r="I20" s="3"/>
      <c r="J20" s="39"/>
      <c r="K20" s="39"/>
      <c r="L20" s="40"/>
      <c r="M20"/>
      <c r="N20"/>
    </row>
    <row r="21" spans="1:22" ht="18.75">
      <c r="A21" s="33" t="s">
        <v>173</v>
      </c>
      <c r="B21" s="34" t="s">
        <v>35</v>
      </c>
      <c r="C21" s="35">
        <f t="array" ref="C21">VLOOKUP($B$7&amp;$D$11,IF({1,0},$A$42:$A$136&amp;$B$42:$B$136,$G$42:$G$129),2,0)</f>
        <v>6435.36</v>
      </c>
      <c r="D21" s="35">
        <f t="array" ref="D21">VLOOKUP($B$7&amp;$D$11,IF({1,0},$A$42:$A$136&amp;$B$42:$B$136,$H$42:$H$136),2,0)</f>
        <v>396588.6</v>
      </c>
      <c r="E21" s="36">
        <f>VLOOKUP(B35,B35:S38,13,0)</f>
        <v>6034.2754471999997</v>
      </c>
      <c r="F21" s="36">
        <f>VLOOKUP(B35,B35:W38,14,0)</f>
        <v>972.78497735999997</v>
      </c>
      <c r="G21" s="36">
        <f>VLOOKUP(B35,B35:W38,15,0)</f>
        <v>1107.9558582</v>
      </c>
      <c r="H21" s="36">
        <f>VLOOKUP(B35,B35:W38,16,0)</f>
        <v>623.83733333333339</v>
      </c>
      <c r="I21" s="36">
        <f t="array" ref="I21">(C21+D21+E21+F21+G21+H21+J21+K21)/((VLOOKUP($B$7&amp;$D$11,IF({1,0},$A$42:$A$96&amp;$B$42:$B$96,$L$42:$L$96),2,0))+(((VLOOKUP($B$7&amp;$D$11,IF({1,0},$A$42:$A$96&amp;$B$42:$B$96,$C$42:$C$96),2,0)))+((VLOOKUP($B$7&amp;$D$11,IF({1,0},$A$42:$A$96&amp;$B$42:$B$96,$E$42:$E$96),2,0)))+(VLOOKUP(B35,$B$35:$F$38,2,0))+(VLOOKUP(B35,$B$35:$F$38,3,0))+(VLOOKUP(B35,$B$35:$F$38,4,0))+(VLOOKUP(B35,$B$35:$F$38,5,0))))</f>
        <v>0.3422202821066781</v>
      </c>
      <c r="J21"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21" s="35">
        <f>IF($B$7="LSN50_V2____Waterproof_Long_Range_Wireless_LoRa_Sensor_Node",VLOOKUP(B28,B27:W33,17,0),0)</f>
        <v>0</v>
      </c>
      <c r="L21" s="41">
        <f>$C$7/(I21*(60/C11)*8760+($C$7*0.02))</f>
        <v>0.92758820706182077</v>
      </c>
      <c r="M21"/>
      <c r="N21"/>
      <c r="P21" s="1" t="s">
        <v>36</v>
      </c>
      <c r="R21" s="1" t="s">
        <v>174</v>
      </c>
      <c r="S21" s="1">
        <v>6</v>
      </c>
    </row>
    <row r="22" spans="1:22" ht="18.75">
      <c r="A22" s="3"/>
      <c r="B22" s="34" t="s">
        <v>37</v>
      </c>
      <c r="C22" s="35">
        <f t="array" ref="C22">VLOOKUP($B$7&amp;$D$11,IF({1,0},$A$42:$A$136&amp;$B$42:$B$136,$G$42:$G$129),2,0)</f>
        <v>6435.36</v>
      </c>
      <c r="D22" s="35">
        <f t="array" ref="D22">VLOOKUP($B$7&amp;$D$11,IF({1,0},$A$42:$A$136&amp;$B$42:$B$136,$H$42:$H$136),2,0)</f>
        <v>396588.6</v>
      </c>
      <c r="E22" s="36">
        <f>VLOOKUP(B36,B36:V39,13,0)</f>
        <v>11038.6193134</v>
      </c>
      <c r="F22" s="36">
        <f>VLOOKUP(B36,B36:W39,14,0)</f>
        <v>707.90110274999995</v>
      </c>
      <c r="G22" s="36">
        <f>VLOOKUP(B36,B36:W39,15,0)</f>
        <v>1115.0495974399998</v>
      </c>
      <c r="H22" s="36">
        <f>VLOOKUP(B36,B36:W39,16,0)</f>
        <v>623.83733333333339</v>
      </c>
      <c r="I22" s="36">
        <f t="array" ref="I22">(C22+D22+E22+F22+G22+H22+J22+K22)/((VLOOKUP($B$7&amp;$D$11,IF({1,0},$A$42:$A$96&amp;$B$42:$B$96,$L$42:$L$96),2,0))+(((VLOOKUP($B$7&amp;$D$11,IF({1,0},$A$42:$A$96&amp;$B$42:$B$96,$C$42:$C$96),2,0)))+((VLOOKUP($B$7&amp;$D$11,IF({1,0},$A$42:$A$96&amp;$B$42:$B$96,$E$42:$E$96),2,0)))+(VLOOKUP(B36,$B$35:$F$38,2,0))+(VLOOKUP(B36,$B$35:$F$38,3,0))+(VLOOKUP(B36,$B$35:$F$38,4,0))+(VLOOKUP(B36,$B$35:$F$38,5,0))))</f>
        <v>0.34615392855957922</v>
      </c>
      <c r="J22"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22" s="35">
        <f>IF($B$7="LSN50_V2____Waterproof_Long_Range_Wireless_LoRa_Sensor_Node",VLOOKUP(B29,B28:W34,17,0),0)</f>
        <v>0</v>
      </c>
      <c r="L22" s="41">
        <f>$C$7/(I22*(60/C11)*8760+($C$7*0.02))</f>
        <v>0.91724059248641809</v>
      </c>
      <c r="M22"/>
      <c r="N22"/>
    </row>
    <row r="23" spans="1:22" ht="18.75">
      <c r="A23" s="3"/>
      <c r="B23" s="34" t="s">
        <v>38</v>
      </c>
      <c r="C23" s="35">
        <f t="array" ref="C23">VLOOKUP($B$7&amp;$D$11,IF({1,0},$A$42:$A$136&amp;$B$42:$B$136,$G$42:$G$129),2,0)</f>
        <v>6435.36</v>
      </c>
      <c r="D23" s="35">
        <f t="array" ref="D23">VLOOKUP($B$7&amp;$D$11,IF({1,0},$A$42:$A$136&amp;$B$42:$B$136,$H$42:$H$136),2,0)</f>
        <v>396588.6</v>
      </c>
      <c r="E23" s="36">
        <f>VLOOKUP(B37,B37:V40,13,0)</f>
        <v>19885.992679999999</v>
      </c>
      <c r="F23" s="36">
        <f>VLOOKUP(B37,B37:W40,14,0)</f>
        <v>714.3206756400001</v>
      </c>
      <c r="G23" s="36">
        <f>VLOOKUP(B37,B37:W40,15,0)</f>
        <v>1115.4435636400001</v>
      </c>
      <c r="H23" s="36">
        <f>VLOOKUP(B37,B37:W40,16,0)</f>
        <v>623.83733333333339</v>
      </c>
      <c r="I23" s="36">
        <f t="array" ref="I23">(C23+D23+E23+F23+G23+H23+J23+K23)/((VLOOKUP($B$7&amp;$D$11,IF({1,0},$A$42:$A$96&amp;$B$42:$B$96,$L$42:$L$96),2,0))+(((VLOOKUP($B$7&amp;$D$11,IF({1,0},$A$42:$A$96&amp;$B$42:$B$96,$C$42:$C$96),2,0)))+((VLOOKUP($B$7&amp;$D$11,IF({1,0},$A$42:$A$96&amp;$B$42:$B$96,$E$42:$E$96),2,0)))+(VLOOKUP(B37,$B$35:$F$38,2,0))+(VLOOKUP(B37,$B$35:$F$38,3,0))+(VLOOKUP(B37,$B$35:$F$38,4,0))+(VLOOKUP(B37,$B$35:$F$38,5,0))))</f>
        <v>0.35348587587841701</v>
      </c>
      <c r="J23"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23" s="35">
        <f>IF($B$7="LSN50_V2____Waterproof_Long_Range_Wireless_LoRa_Sensor_Node",VLOOKUP(B30,B29:W35,17,0),0)</f>
        <v>0</v>
      </c>
      <c r="L23" s="41">
        <f>$C$7/(I23*(60/C11)*8760+($C$7*0.02))</f>
        <v>0.89855724094528855</v>
      </c>
      <c r="M23"/>
      <c r="N23"/>
    </row>
    <row r="24" spans="1:22" ht="18.75">
      <c r="A24" s="3"/>
      <c r="B24" s="34" t="s">
        <v>39</v>
      </c>
      <c r="C24" s="35">
        <f t="array" ref="C24">VLOOKUP($B$7&amp;$D$11,IF({1,0},$A$42:$A$136&amp;$B$42:$B$136,$G$42:$G$129),2,0)</f>
        <v>6435.36</v>
      </c>
      <c r="D24" s="35">
        <f t="array" ref="D24">VLOOKUP($B$7&amp;$D$11,IF({1,0},$A$42:$A$136&amp;$B$42:$B$136,$H$42:$H$136),2,0)</f>
        <v>396588.6</v>
      </c>
      <c r="E24" s="36">
        <f>VLOOKUP(B38,B38:V41,13,0)</f>
        <v>35862.796011500002</v>
      </c>
      <c r="F24" s="36">
        <f>VLOOKUP(B38,B38:W41,14,0)</f>
        <v>766.91291939999996</v>
      </c>
      <c r="G24" s="36">
        <f>VLOOKUP(B38,B38:W41,15,0)</f>
        <v>1115.05638189</v>
      </c>
      <c r="H24" s="36">
        <f>VLOOKUP(B38,B38:W41,16,0)</f>
        <v>623.83733333333339</v>
      </c>
      <c r="I24" s="36">
        <f t="array" ref="I24">(C24+D24+E24+F24+G24+H24+J24+K24)/((VLOOKUP($B$7&amp;$D$11,IF({1,0},$A$42:$A$96&amp;$B$42:$B$96,$L$42:$L$96),2,0))+(((VLOOKUP($B$7&amp;$D$11,IF({1,0},$A$42:$A$96&amp;$B$42:$B$96,$C$42:$C$96),2,0)))+((VLOOKUP($B$7&amp;$D$11,IF({1,0},$A$42:$A$96&amp;$B$42:$B$96,$E$42:$E$96),2,0)))+(VLOOKUP(B38,$B$35:$F$38,2,0))+(VLOOKUP(B38,$B$35:$F$38,3,0))+(VLOOKUP(B38,$B$35:$F$38,4,0))+(VLOOKUP(B38,$B$35:$F$38,5,0))))</f>
        <v>0.36675487905449877</v>
      </c>
      <c r="J24"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DS18B20,WMOD=1"))),VLOOKUP($B$7,$A$42:$P$125,12,0),0)</f>
        <v>0</v>
      </c>
      <c r="K24" s="35">
        <f>IF($B$7="LSN50_V2____Waterproof_Long_Range_Wireless_LoRa_Sensor_Node",VLOOKUP(B31,B30:W36,17,0),0)</f>
        <v>0</v>
      </c>
      <c r="L24" s="41">
        <f>$C$7/(I24*(60/C11)*8760+($C$7*0.02))</f>
        <v>0.86661136068389322</v>
      </c>
      <c r="M24"/>
      <c r="N24"/>
    </row>
    <row r="25" spans="1:22" ht="21" customHeight="1">
      <c r="A25" s="37"/>
      <c r="B25" s="37"/>
      <c r="C25" s="37"/>
      <c r="D25" s="37"/>
      <c r="E25" s="37"/>
      <c r="F25" s="37"/>
      <c r="G25" s="37"/>
      <c r="H25" s="37"/>
      <c r="I25" s="37"/>
      <c r="J25" s="37"/>
      <c r="K25" s="37"/>
      <c r="L25" s="37"/>
      <c r="M25" s="37"/>
      <c r="N25" s="37"/>
      <c r="O25"/>
      <c r="P25"/>
      <c r="Q25" s="37"/>
      <c r="R25" s="37"/>
      <c r="S25" s="37"/>
      <c r="T25" s="37"/>
      <c r="U25" s="37"/>
      <c r="V25" s="37"/>
    </row>
    <row r="26" spans="1:22" ht="15" hidden="1" customHeight="1">
      <c r="A26" s="37"/>
      <c r="B26" s="37"/>
      <c r="C26" s="37"/>
      <c r="D26" s="37"/>
      <c r="E26" s="37"/>
      <c r="F26" s="37"/>
      <c r="G26" s="37"/>
      <c r="H26" s="37"/>
      <c r="I26" s="37"/>
      <c r="J26" s="37"/>
      <c r="K26" s="37"/>
      <c r="L26" s="37"/>
      <c r="M26" s="37"/>
      <c r="N26" s="37"/>
      <c r="O26" s="37"/>
      <c r="P26" s="37"/>
      <c r="Q26" s="37"/>
      <c r="R26" s="37"/>
      <c r="S26" s="37"/>
      <c r="T26" s="37"/>
      <c r="U26" s="37"/>
      <c r="V26" s="37"/>
    </row>
    <row r="27" spans="1:22" hidden="1">
      <c r="C27" s="1" t="s">
        <v>41</v>
      </c>
      <c r="D27" s="1" t="s">
        <v>42</v>
      </c>
      <c r="E27" s="1" t="s">
        <v>43</v>
      </c>
      <c r="F27" s="1" t="s">
        <v>44</v>
      </c>
      <c r="G27" s="1" t="s">
        <v>45</v>
      </c>
      <c r="H27" s="1" t="s">
        <v>46</v>
      </c>
      <c r="I27" s="1" t="s">
        <v>47</v>
      </c>
      <c r="J27" s="42"/>
      <c r="K27" s="42"/>
      <c r="L27" s="1" t="s">
        <v>49</v>
      </c>
      <c r="M27" s="42"/>
      <c r="N27" s="1" t="s">
        <v>50</v>
      </c>
      <c r="O27" s="1" t="s">
        <v>51</v>
      </c>
      <c r="P27" s="1" t="s">
        <v>52</v>
      </c>
      <c r="Q27" s="1" t="s">
        <v>53</v>
      </c>
      <c r="S27" s="42"/>
    </row>
    <row r="28" spans="1:22" hidden="1">
      <c r="A28" s="1" t="s">
        <v>23</v>
      </c>
      <c r="B28" s="1" t="s">
        <v>24</v>
      </c>
      <c r="C28" s="1">
        <v>75.078999999999994</v>
      </c>
      <c r="D28" s="1">
        <v>48.338999999999999</v>
      </c>
      <c r="E28" s="1">
        <v>219.06700000000001</v>
      </c>
      <c r="F28" s="1">
        <v>1</v>
      </c>
      <c r="G28" s="1">
        <v>72.681200000000004</v>
      </c>
      <c r="H28" s="1">
        <v>8.3312899999999992</v>
      </c>
      <c r="I28" s="1">
        <v>10.454800000000001</v>
      </c>
      <c r="L28" s="1">
        <v>3.3575599999999999</v>
      </c>
      <c r="N28" s="1">
        <f>C28*(G28+S21)</f>
        <v>5907.3058148</v>
      </c>
      <c r="O28" s="1">
        <f>D28*(H28+S21)</f>
        <v>692.76022730999989</v>
      </c>
      <c r="P28" s="1">
        <f>E28*(I28+S21)</f>
        <v>3604.7036715999998</v>
      </c>
      <c r="Q28" s="1">
        <f t="array" ref="Q28">(F28*(L28+$S$21))*($C$11*VLOOKUP($B$11,$R$10:$S$16,2,0)/18000)</f>
        <v>623.83733333333339</v>
      </c>
    </row>
    <row r="29" spans="1:22" hidden="1">
      <c r="A29" s="1" t="s">
        <v>23</v>
      </c>
      <c r="B29" s="1" t="s">
        <v>26</v>
      </c>
      <c r="C29" s="1">
        <v>124.62</v>
      </c>
      <c r="D29" s="1">
        <v>50.052</v>
      </c>
      <c r="E29" s="1">
        <v>217.57499999999999</v>
      </c>
      <c r="F29" s="1">
        <v>1</v>
      </c>
      <c r="G29" s="1">
        <v>79.819299999999998</v>
      </c>
      <c r="H29" s="1">
        <v>8.7172900000000002</v>
      </c>
      <c r="I29" s="1">
        <v>10.4392</v>
      </c>
      <c r="L29" s="1">
        <v>3.3575599999999999</v>
      </c>
      <c r="N29" s="1">
        <f>C29*(G29+S21)</f>
        <v>10694.801165999999</v>
      </c>
      <c r="O29" s="1">
        <f>D29*(H29+S21)</f>
        <v>736.62979908</v>
      </c>
      <c r="P29" s="1">
        <f>E29*(I29+S21)</f>
        <v>3576.7589399999997</v>
      </c>
      <c r="Q29" s="1">
        <f t="array" ref="Q29">(F29*(L29+$S$21))*($C$11*VLOOKUP($B$11,$R$10:$S$16,2,0)/18000)</f>
        <v>623.83733333333339</v>
      </c>
    </row>
    <row r="30" spans="1:22" hidden="1">
      <c r="A30" s="1" t="s">
        <v>23</v>
      </c>
      <c r="B30" s="1" t="s">
        <v>28</v>
      </c>
      <c r="C30" s="1">
        <v>218.286</v>
      </c>
      <c r="D30" s="1">
        <v>55.600999999999999</v>
      </c>
      <c r="E30" s="1">
        <v>218.286</v>
      </c>
      <c r="F30" s="1">
        <v>1</v>
      </c>
      <c r="G30" s="1">
        <v>83.195999999999998</v>
      </c>
      <c r="H30" s="1">
        <v>8.7351200000000002</v>
      </c>
      <c r="I30" s="1">
        <v>10.495699999999999</v>
      </c>
      <c r="L30" s="1">
        <v>3.3575599999999999</v>
      </c>
      <c r="N30" s="1">
        <f>C30*(G30+S21)</f>
        <v>19470.238055999998</v>
      </c>
      <c r="O30" s="1">
        <f>D30*(H30+S21)</f>
        <v>819.28740712000001</v>
      </c>
      <c r="P30" s="1">
        <f>E30*(I30+S21)</f>
        <v>3600.7803702000001</v>
      </c>
      <c r="Q30" s="1">
        <f t="array" ref="Q30">(F30*(L30+$S$21))*($C$11*VLOOKUP($B$11,$R$10:$S$16,2,0)/18000)</f>
        <v>623.83733333333339</v>
      </c>
    </row>
    <row r="31" spans="1:22" hidden="1">
      <c r="A31" s="1" t="s">
        <v>23</v>
      </c>
      <c r="B31" s="1" t="s">
        <v>30</v>
      </c>
      <c r="C31" s="1">
        <v>428.59800000000001</v>
      </c>
      <c r="D31" s="1">
        <v>72.12</v>
      </c>
      <c r="E31" s="1">
        <v>220.48099999999999</v>
      </c>
      <c r="F31" s="1">
        <v>1</v>
      </c>
      <c r="G31" s="1">
        <v>85.444000000000003</v>
      </c>
      <c r="H31" s="1">
        <v>9.2274899999999995</v>
      </c>
      <c r="I31" s="1">
        <v>10.3888</v>
      </c>
      <c r="L31" s="1">
        <v>3.3575599999999999</v>
      </c>
      <c r="N31" s="1">
        <f>C31*(G31+S21)</f>
        <v>39192.715512000002</v>
      </c>
      <c r="O31" s="1">
        <f>D31*(H31+S21)</f>
        <v>1098.2065788</v>
      </c>
      <c r="P31" s="1">
        <f>E31*(I31+S21)</f>
        <v>3613.4190128</v>
      </c>
      <c r="Q31" s="1">
        <f t="array" ref="Q31">(F31*(L31+$S$21))*($C$11*VLOOKUP($B$11,$R$10:$S$16,2,0)/18000)</f>
        <v>623.83733333333339</v>
      </c>
    </row>
    <row r="32" spans="1:22" hidden="1">
      <c r="A32" s="1" t="s">
        <v>23</v>
      </c>
      <c r="B32" s="1" t="s">
        <v>31</v>
      </c>
      <c r="C32" s="1">
        <v>838.5</v>
      </c>
      <c r="D32" s="1">
        <v>120.226</v>
      </c>
      <c r="E32" s="1">
        <v>217.845</v>
      </c>
      <c r="F32" s="1">
        <v>1</v>
      </c>
      <c r="G32" s="1">
        <v>87.502799999999993</v>
      </c>
      <c r="H32" s="1">
        <v>10.016400000000001</v>
      </c>
      <c r="I32" s="1">
        <v>10.4292</v>
      </c>
      <c r="L32" s="1">
        <v>3.3575599999999999</v>
      </c>
      <c r="N32" s="1">
        <f>C32*(G32+S21)</f>
        <v>78402.097799999989</v>
      </c>
      <c r="O32" s="1">
        <f>D32*(H32+S21)</f>
        <v>1925.5877064000001</v>
      </c>
      <c r="P32" s="1">
        <f>E32*(I32+S21)</f>
        <v>3579.0190740000003</v>
      </c>
      <c r="Q32" s="1">
        <f t="array" ref="Q32">(F32*(L32+$S$21))*($C$11*VLOOKUP($B$11,$R$10:$S$16,2,0)/18000)</f>
        <v>623.83733333333339</v>
      </c>
    </row>
    <row r="33" spans="1:18" hidden="1">
      <c r="A33" s="1" t="s">
        <v>23</v>
      </c>
      <c r="B33" s="1" t="s">
        <v>32</v>
      </c>
      <c r="C33" s="1">
        <v>1647</v>
      </c>
      <c r="D33" s="1">
        <v>219.108</v>
      </c>
      <c r="E33" s="1">
        <v>218.07400000000001</v>
      </c>
      <c r="F33" s="1">
        <v>1</v>
      </c>
      <c r="G33" s="1">
        <v>117.166</v>
      </c>
      <c r="H33" s="1">
        <v>10.975099999999999</v>
      </c>
      <c r="I33" s="1">
        <v>10.516299999999999</v>
      </c>
      <c r="L33" s="1">
        <v>3.3575599999999999</v>
      </c>
      <c r="N33" s="1">
        <f>C33*(G33+S21)</f>
        <v>202854.402</v>
      </c>
      <c r="O33" s="1">
        <f>D33*(H33+S21)</f>
        <v>3719.3802107999995</v>
      </c>
      <c r="P33" s="1">
        <f>E33*(I33+S21)</f>
        <v>3601.7756062000003</v>
      </c>
      <c r="Q33" s="1">
        <f t="array" ref="Q33">(F33*(L33+$S$21))*($C$11*VLOOKUP($B$11,$R$10:$S$16,2,0)/18000)</f>
        <v>623.83733333333339</v>
      </c>
    </row>
    <row r="34" spans="1:18" hidden="1"/>
    <row r="35" spans="1:18" hidden="1">
      <c r="A35" s="1" t="s">
        <v>173</v>
      </c>
      <c r="B35" s="1" t="s">
        <v>35</v>
      </c>
      <c r="C35" s="1">
        <v>74.073999999999998</v>
      </c>
      <c r="D35" s="1">
        <v>63.786000000000001</v>
      </c>
      <c r="E35" s="1">
        <v>70.988</v>
      </c>
      <c r="F35" s="1">
        <v>1</v>
      </c>
      <c r="G35" s="1">
        <v>75.462800000000001</v>
      </c>
      <c r="H35" s="1">
        <v>9.2507599999999996</v>
      </c>
      <c r="I35" s="1">
        <v>9.6076499999999996</v>
      </c>
      <c r="L35" s="1">
        <v>3.3575599999999999</v>
      </c>
      <c r="N35" s="1">
        <f>C35*(G35+S21)</f>
        <v>6034.2754471999997</v>
      </c>
      <c r="O35" s="1">
        <f>D35*(H35+S21)</f>
        <v>972.78497735999997</v>
      </c>
      <c r="P35" s="1">
        <f>E35*(I35+S21)</f>
        <v>1107.9558582</v>
      </c>
      <c r="Q35" s="1">
        <f t="array" ref="Q35">(F35*(L35+$S$21))*($C$11*VLOOKUP($B$11,$R$10:$S$16,2,0)/18000)</f>
        <v>623.83733333333339</v>
      </c>
    </row>
    <row r="36" spans="1:18" hidden="1">
      <c r="A36" s="1" t="s">
        <v>173</v>
      </c>
      <c r="B36" s="1" t="s">
        <v>37</v>
      </c>
      <c r="C36" s="1">
        <v>125.542</v>
      </c>
      <c r="D36" s="1">
        <v>50.423000000000002</v>
      </c>
      <c r="E36" s="1">
        <v>72.031999999999996</v>
      </c>
      <c r="F36" s="1">
        <v>1</v>
      </c>
      <c r="G36" s="1">
        <v>81.927700000000002</v>
      </c>
      <c r="H36" s="1">
        <v>8.0392499999999991</v>
      </c>
      <c r="I36" s="1">
        <v>9.4799199999999999</v>
      </c>
      <c r="L36" s="1">
        <v>3.3575599999999999</v>
      </c>
      <c r="N36" s="1">
        <f>C36*(G36+S21)</f>
        <v>11038.6193134</v>
      </c>
      <c r="O36" s="1">
        <f>D36*(H36+S21)</f>
        <v>707.90110274999995</v>
      </c>
      <c r="P36" s="1">
        <f>E36*(I36+S21)</f>
        <v>1115.0495974399998</v>
      </c>
      <c r="Q36" s="1">
        <f t="array" ref="Q36">(F36*(L36+$S$21))*($C$11*VLOOKUP($B$11,$R$10:$S$16,2,0)/18000)</f>
        <v>623.83733333333339</v>
      </c>
    </row>
    <row r="37" spans="1:18" hidden="1">
      <c r="A37" s="1" t="s">
        <v>173</v>
      </c>
      <c r="B37" s="1" t="s">
        <v>38</v>
      </c>
      <c r="C37" s="1">
        <v>217.16</v>
      </c>
      <c r="D37" s="1">
        <v>49.401000000000003</v>
      </c>
      <c r="E37" s="1">
        <v>72.043999999999997</v>
      </c>
      <c r="F37" s="1">
        <v>1</v>
      </c>
      <c r="G37" s="1">
        <v>85.572999999999993</v>
      </c>
      <c r="H37" s="1">
        <v>8.4596400000000003</v>
      </c>
      <c r="I37" s="1">
        <v>9.4828100000000006</v>
      </c>
      <c r="L37" s="1">
        <v>3.3575599999999999</v>
      </c>
      <c r="N37" s="1">
        <f>C37*(G37+S21)</f>
        <v>19885.992679999999</v>
      </c>
      <c r="O37" s="1">
        <f>D37*(H37+S21)</f>
        <v>714.3206756400001</v>
      </c>
      <c r="P37" s="1">
        <f>E37*(I37+S21)</f>
        <v>1115.4435636400001</v>
      </c>
      <c r="Q37" s="1">
        <f t="array" ref="Q37">(F37*(L37+$S$21))*($C$11*VLOOKUP($B$11,$R$10:$S$16,2,0)/18000)</f>
        <v>623.83733333333339</v>
      </c>
    </row>
    <row r="38" spans="1:18" hidden="1">
      <c r="A38" s="1" t="s">
        <v>173</v>
      </c>
      <c r="B38" s="1" t="s">
        <v>39</v>
      </c>
      <c r="C38" s="1">
        <v>382.83499999999998</v>
      </c>
      <c r="D38" s="1">
        <v>52.484999999999999</v>
      </c>
      <c r="E38" s="1">
        <v>72.039000000000001</v>
      </c>
      <c r="F38" s="1">
        <v>1</v>
      </c>
      <c r="G38" s="1">
        <v>87.676900000000003</v>
      </c>
      <c r="H38" s="1">
        <v>8.6120400000000004</v>
      </c>
      <c r="I38" s="1">
        <v>9.47851</v>
      </c>
      <c r="L38" s="1">
        <v>3.3575599999999999</v>
      </c>
      <c r="N38" s="1">
        <f>C38*(G38+S21)</f>
        <v>35862.796011500002</v>
      </c>
      <c r="O38" s="1">
        <f>D38*(H38+S21)</f>
        <v>766.91291939999996</v>
      </c>
      <c r="P38" s="1">
        <f>E38*(I38+S21)</f>
        <v>1115.05638189</v>
      </c>
      <c r="Q38" s="1">
        <f t="array" ref="Q38">(F38*(L38+$S$21))*($C$11*VLOOKUP($B$11,$R$10:$S$16,2,0)/18000)</f>
        <v>623.83733333333339</v>
      </c>
    </row>
    <row r="39" spans="1:18" hidden="1"/>
    <row r="40" spans="1:18" hidden="1"/>
    <row r="41" spans="1:18" hidden="1">
      <c r="C41" s="16" t="s">
        <v>54</v>
      </c>
      <c r="D41" s="16" t="s">
        <v>55</v>
      </c>
      <c r="E41" s="16" t="s">
        <v>56</v>
      </c>
      <c r="F41" s="16" t="s">
        <v>57</v>
      </c>
      <c r="G41" s="17" t="s">
        <v>58</v>
      </c>
      <c r="H41" s="17" t="s">
        <v>59</v>
      </c>
      <c r="I41" s="46" t="s">
        <v>175</v>
      </c>
      <c r="J41" s="46" t="s">
        <v>176</v>
      </c>
      <c r="K41" s="43" t="s">
        <v>177</v>
      </c>
      <c r="L41" s="24" t="s">
        <v>60</v>
      </c>
      <c r="M41" s="16" t="s">
        <v>61</v>
      </c>
      <c r="N41" s="24" t="s">
        <v>62</v>
      </c>
      <c r="O41" s="19" t="s">
        <v>63</v>
      </c>
      <c r="P41" s="1">
        <f>VLOOKUP(B7,P42:Q114,2,0)</f>
        <v>8500</v>
      </c>
      <c r="R41" s="1">
        <f>VLOOKUP(B7,P42:Q114,2,0)</f>
        <v>8500</v>
      </c>
    </row>
    <row r="42" spans="1:18" hidden="1">
      <c r="A42" s="1" t="s">
        <v>178</v>
      </c>
      <c r="B42" s="1" t="s">
        <v>103</v>
      </c>
      <c r="C42" s="16">
        <v>63</v>
      </c>
      <c r="D42" s="16">
        <v>5.5304000000000002</v>
      </c>
      <c r="E42" s="16">
        <f t="array" ref="E42">$C$11*VLOOKUP($B$11,$R$10:$S$16,2,0)</f>
        <v>1200000</v>
      </c>
      <c r="F42" s="16">
        <v>2.3999999999999998E-3</v>
      </c>
      <c r="G42" s="19">
        <f t="shared" ref="G42:G53" si="3">E42*F42</f>
        <v>2879.9999999999995</v>
      </c>
      <c r="H42" s="19">
        <f t="shared" ref="H42:H65" si="4">C42*D42</f>
        <v>348.41520000000003</v>
      </c>
      <c r="I42" s="25"/>
      <c r="J42" s="25"/>
      <c r="K42" s="19"/>
      <c r="L42" s="25"/>
      <c r="M42" s="16"/>
      <c r="N42" s="16"/>
      <c r="O42" s="19"/>
      <c r="P42" s="1" t="s">
        <v>178</v>
      </c>
      <c r="Q42" s="1">
        <v>2400</v>
      </c>
    </row>
    <row r="43" spans="1:18" hidden="1">
      <c r="A43" s="1" t="s">
        <v>178</v>
      </c>
      <c r="B43" s="1" t="s">
        <v>119</v>
      </c>
      <c r="C43" s="16">
        <v>820</v>
      </c>
      <c r="D43" s="16">
        <v>5.6314000000000002</v>
      </c>
      <c r="E43" s="16">
        <f t="array" ref="E43">$C$11*VLOOKUP($B$11,$R$10:$S$16,2,0)</f>
        <v>1200000</v>
      </c>
      <c r="F43" s="16">
        <v>2.3999999999999998E-3</v>
      </c>
      <c r="G43" s="19">
        <f t="shared" si="3"/>
        <v>2879.9999999999995</v>
      </c>
      <c r="H43" s="19">
        <f t="shared" si="4"/>
        <v>4617.7480000000005</v>
      </c>
      <c r="I43" s="25"/>
      <c r="J43" s="25"/>
      <c r="K43" s="19"/>
      <c r="L43" s="25"/>
      <c r="M43" s="16"/>
      <c r="N43" s="16"/>
      <c r="O43" s="19"/>
      <c r="P43" s="1" t="s">
        <v>179</v>
      </c>
      <c r="Q43" s="1">
        <v>8500</v>
      </c>
      <c r="R43" s="1">
        <v>3000</v>
      </c>
    </row>
    <row r="44" spans="1:18" hidden="1">
      <c r="A44" s="1" t="s">
        <v>178</v>
      </c>
      <c r="B44" s="1" t="s">
        <v>180</v>
      </c>
      <c r="C44" s="16">
        <v>190</v>
      </c>
      <c r="D44" s="16">
        <v>6.5407099999999998</v>
      </c>
      <c r="E44" s="16">
        <f t="array" ref="E44">$C$11*VLOOKUP($B$11,$R$10:$S$16,2,0)</f>
        <v>1200000</v>
      </c>
      <c r="F44" s="16">
        <v>2.5000000000000001E-3</v>
      </c>
      <c r="G44" s="19">
        <f t="shared" si="3"/>
        <v>3000</v>
      </c>
      <c r="H44" s="19">
        <f t="shared" si="4"/>
        <v>1242.7348999999999</v>
      </c>
      <c r="I44" s="25"/>
      <c r="J44" s="25"/>
      <c r="K44" s="19"/>
      <c r="L44" s="25"/>
      <c r="M44" s="16"/>
      <c r="N44" s="16"/>
      <c r="O44" s="19"/>
      <c r="P44" s="1" t="s">
        <v>181</v>
      </c>
      <c r="Q44" s="1">
        <v>8500</v>
      </c>
      <c r="R44" s="1">
        <v>3000</v>
      </c>
    </row>
    <row r="45" spans="1:18" hidden="1">
      <c r="A45" s="1" t="s">
        <v>178</v>
      </c>
      <c r="B45" s="1" t="s">
        <v>182</v>
      </c>
      <c r="C45" s="16">
        <v>38.116</v>
      </c>
      <c r="D45" s="16">
        <v>6.7594500000000002</v>
      </c>
      <c r="E45" s="16">
        <f t="array" ref="E45">$C$11*VLOOKUP($B$11,$R$10:$S$16,2,0)</f>
        <v>1200000</v>
      </c>
      <c r="F45" s="16">
        <v>1.643E-2</v>
      </c>
      <c r="G45" s="19">
        <f t="shared" si="3"/>
        <v>19716</v>
      </c>
      <c r="H45" s="19">
        <f>C45*D45+K45</f>
        <v>2484.1786222000005</v>
      </c>
      <c r="I45" s="25">
        <v>5.0780000000000003</v>
      </c>
      <c r="J45" s="25">
        <v>0.438467</v>
      </c>
      <c r="K45" s="19">
        <f>I45*J45*1000</f>
        <v>2226.5354260000004</v>
      </c>
      <c r="L45" s="25"/>
      <c r="M45" s="16"/>
      <c r="N45" s="16"/>
      <c r="O45" s="19"/>
      <c r="P45" s="1" t="s">
        <v>183</v>
      </c>
      <c r="Q45" s="1">
        <v>8500</v>
      </c>
      <c r="R45" s="1">
        <v>3000</v>
      </c>
    </row>
    <row r="46" spans="1:18" hidden="1">
      <c r="A46" s="1" t="s">
        <v>178</v>
      </c>
      <c r="B46" s="1" t="s">
        <v>184</v>
      </c>
      <c r="C46" s="16">
        <v>38.116</v>
      </c>
      <c r="D46" s="16">
        <v>6.7594500000000002</v>
      </c>
      <c r="E46" s="16">
        <f t="array" ref="E46">$C$11*VLOOKUP($B$11,$R$10:$S$16,2,0)</f>
        <v>1200000</v>
      </c>
      <c r="F46" s="16">
        <v>1.643E-2</v>
      </c>
      <c r="G46" s="19">
        <f t="shared" si="3"/>
        <v>19716</v>
      </c>
      <c r="H46" s="19">
        <f>C46*D46+K46</f>
        <v>1370.9109092000001</v>
      </c>
      <c r="I46" s="25">
        <v>5.0780000000000003</v>
      </c>
      <c r="J46" s="25">
        <v>0.438467</v>
      </c>
      <c r="K46" s="19">
        <f>I46*J46*500</f>
        <v>1113.2677130000002</v>
      </c>
      <c r="L46" s="25"/>
      <c r="M46" s="16"/>
      <c r="N46" s="16"/>
      <c r="O46" s="19"/>
      <c r="P46" s="1" t="s">
        <v>185</v>
      </c>
      <c r="Q46" s="1">
        <v>8500</v>
      </c>
      <c r="R46" s="1">
        <v>3000</v>
      </c>
    </row>
    <row r="47" spans="1:18" hidden="1">
      <c r="A47" s="1" t="s">
        <v>178</v>
      </c>
      <c r="B47" s="1" t="s">
        <v>186</v>
      </c>
      <c r="C47" s="16">
        <v>248.97300000000001</v>
      </c>
      <c r="D47" s="16">
        <v>6.5732400000000002</v>
      </c>
      <c r="E47" s="16">
        <f t="array" ref="E47">$C$11*VLOOKUP($B$11,$R$10:$S$16,2,0)</f>
        <v>1200000</v>
      </c>
      <c r="F47" s="16">
        <v>3.4908000000000001E-3</v>
      </c>
      <c r="G47" s="19">
        <f t="shared" si="3"/>
        <v>4188.96</v>
      </c>
      <c r="H47" s="19">
        <f>C47*D47+K47</f>
        <v>1636.5592825200001</v>
      </c>
      <c r="I47" s="25"/>
      <c r="J47" s="25"/>
      <c r="K47" s="19"/>
      <c r="L47" s="25"/>
      <c r="M47" s="16"/>
      <c r="N47" s="16"/>
      <c r="O47" s="19"/>
      <c r="P47" s="1" t="s">
        <v>187</v>
      </c>
      <c r="Q47" s="1">
        <v>8500</v>
      </c>
      <c r="R47" s="1">
        <v>3000</v>
      </c>
    </row>
    <row r="48" spans="1:18" hidden="1">
      <c r="A48" s="1" t="s">
        <v>178</v>
      </c>
      <c r="B48" s="1" t="s">
        <v>188</v>
      </c>
      <c r="C48" s="16">
        <v>69.94</v>
      </c>
      <c r="D48" s="16">
        <v>7.3943099999999999</v>
      </c>
      <c r="E48" s="16">
        <f t="array" ref="E48">$C$11*VLOOKUP($B$11,$R$10:$S$16,2,0)</f>
        <v>1200000</v>
      </c>
      <c r="F48" s="16">
        <v>5.0051000000000002E-3</v>
      </c>
      <c r="G48" s="19">
        <f t="shared" si="3"/>
        <v>6006.12</v>
      </c>
      <c r="H48" s="19">
        <f>C48*D48+K48</f>
        <v>517.1580414</v>
      </c>
      <c r="I48" s="25"/>
      <c r="J48" s="25"/>
      <c r="K48" s="19"/>
      <c r="L48" s="25"/>
      <c r="M48" s="16"/>
      <c r="N48" s="16"/>
      <c r="O48" s="19"/>
      <c r="P48" s="1" t="s">
        <v>189</v>
      </c>
      <c r="Q48" s="1">
        <v>8500</v>
      </c>
      <c r="R48" s="1">
        <v>3000</v>
      </c>
    </row>
    <row r="49" spans="1:19" hidden="1">
      <c r="A49" s="1" t="s">
        <v>179</v>
      </c>
      <c r="B49" s="1" t="s">
        <v>190</v>
      </c>
      <c r="C49" s="25">
        <v>2993</v>
      </c>
      <c r="D49" s="16">
        <v>17.217700000000001</v>
      </c>
      <c r="E49" s="16">
        <f t="array" ref="E49">$C$11*VLOOKUP($B$11,$R$10:$S$16,2,0)</f>
        <v>1200000</v>
      </c>
      <c r="F49" s="25">
        <v>5.1533000000000004E-3</v>
      </c>
      <c r="G49" s="19">
        <f t="shared" si="3"/>
        <v>6183.9600000000009</v>
      </c>
      <c r="H49" s="19">
        <f t="shared" si="4"/>
        <v>51532.576099999998</v>
      </c>
      <c r="I49" s="25"/>
      <c r="J49" s="25"/>
      <c r="K49" s="19"/>
      <c r="L49" s="25"/>
      <c r="M49" s="16"/>
      <c r="N49" s="16"/>
      <c r="O49" s="19"/>
      <c r="P49" s="1" t="s">
        <v>191</v>
      </c>
      <c r="Q49" s="1">
        <v>8500</v>
      </c>
      <c r="R49" s="1">
        <v>3000</v>
      </c>
    </row>
    <row r="50" spans="1:19" hidden="1">
      <c r="A50" s="1" t="s">
        <v>179</v>
      </c>
      <c r="B50" s="1" t="s">
        <v>192</v>
      </c>
      <c r="C50" s="25">
        <v>1825</v>
      </c>
      <c r="D50" s="16">
        <v>20.976199999999999</v>
      </c>
      <c r="E50" s="16">
        <f t="array" ref="E50">$C$11*VLOOKUP($B$11,$R$10:$S$16,2,0)</f>
        <v>1200000</v>
      </c>
      <c r="F50" s="25">
        <v>5.6438E-3</v>
      </c>
      <c r="G50" s="19">
        <f t="shared" si="3"/>
        <v>6772.56</v>
      </c>
      <c r="H50" s="19">
        <f t="shared" si="4"/>
        <v>38281.564999999995</v>
      </c>
      <c r="I50" s="25"/>
      <c r="J50" s="25"/>
      <c r="K50" s="19"/>
      <c r="L50" s="25"/>
      <c r="M50" s="16"/>
      <c r="N50" s="16"/>
      <c r="O50" s="19"/>
      <c r="P50" s="1" t="s">
        <v>193</v>
      </c>
      <c r="Q50" s="1">
        <v>8500</v>
      </c>
      <c r="R50" s="1">
        <v>3000</v>
      </c>
    </row>
    <row r="51" spans="1:19" hidden="1">
      <c r="A51" s="1" t="s">
        <v>179</v>
      </c>
      <c r="B51" s="1" t="s">
        <v>194</v>
      </c>
      <c r="C51" s="25">
        <v>2995</v>
      </c>
      <c r="D51" s="16">
        <v>17.203600000000002</v>
      </c>
      <c r="E51" s="16">
        <f t="array" ref="E51">$C$11*VLOOKUP($B$11,$R$10:$S$16,2,0)</f>
        <v>1200000</v>
      </c>
      <c r="F51" s="25">
        <v>5.0200000000000002E-3</v>
      </c>
      <c r="G51" s="19">
        <f t="shared" si="3"/>
        <v>6024</v>
      </c>
      <c r="H51" s="19">
        <f t="shared" si="4"/>
        <v>51524.782000000007</v>
      </c>
      <c r="I51" s="25"/>
      <c r="J51" s="25"/>
      <c r="K51" s="19"/>
      <c r="L51" s="25"/>
      <c r="M51" s="16"/>
      <c r="N51" s="16"/>
      <c r="O51" s="19"/>
      <c r="P51" s="1" t="s">
        <v>195</v>
      </c>
      <c r="Q51" s="1">
        <v>8500</v>
      </c>
      <c r="R51" s="1">
        <v>3000</v>
      </c>
    </row>
    <row r="52" spans="1:19" hidden="1">
      <c r="A52" s="1" t="s">
        <v>181</v>
      </c>
      <c r="B52" s="1" t="s">
        <v>132</v>
      </c>
      <c r="C52" s="25">
        <v>3343</v>
      </c>
      <c r="D52" s="16">
        <v>5.9027700000000003</v>
      </c>
      <c r="E52" s="16">
        <f t="array" ref="E52">$C$11*VLOOKUP($B$11,$R$10:$S$16,2,0)</f>
        <v>1200000</v>
      </c>
      <c r="F52" s="25">
        <v>5.2335999999999997E-3</v>
      </c>
      <c r="G52" s="19">
        <f t="shared" si="3"/>
        <v>6280.32</v>
      </c>
      <c r="H52" s="19">
        <f t="shared" si="4"/>
        <v>19732.96011</v>
      </c>
      <c r="I52" s="25"/>
      <c r="J52" s="25"/>
      <c r="K52" s="19"/>
      <c r="L52" s="25"/>
      <c r="M52" s="16"/>
      <c r="N52" s="16"/>
      <c r="O52" s="19"/>
      <c r="P52" s="1" t="s">
        <v>196</v>
      </c>
      <c r="Q52" s="1">
        <v>8500</v>
      </c>
      <c r="R52" s="1">
        <v>3000</v>
      </c>
    </row>
    <row r="53" spans="1:19" hidden="1">
      <c r="A53" s="1" t="s">
        <v>183</v>
      </c>
      <c r="B53" s="1" t="s">
        <v>197</v>
      </c>
      <c r="C53" s="25">
        <v>2338</v>
      </c>
      <c r="D53" s="25">
        <v>5.6102299999999996</v>
      </c>
      <c r="E53" s="16">
        <f t="array" ref="E53">$C$11*VLOOKUP($B$11,$R$10:$S$16,2,0)</f>
        <v>1200000</v>
      </c>
      <c r="F53" s="25">
        <v>9.7129E-3</v>
      </c>
      <c r="G53" s="19">
        <f t="shared" si="3"/>
        <v>11655.48</v>
      </c>
      <c r="H53" s="19">
        <f t="shared" si="4"/>
        <v>13116.717739999998</v>
      </c>
      <c r="I53" s="25"/>
      <c r="J53" s="25"/>
      <c r="K53" s="19"/>
      <c r="L53" s="25"/>
      <c r="M53" s="16"/>
      <c r="N53" s="16"/>
      <c r="O53" s="19"/>
      <c r="P53" s="1" t="s">
        <v>198</v>
      </c>
      <c r="Q53" s="1">
        <v>8500</v>
      </c>
      <c r="R53" s="1">
        <v>3000</v>
      </c>
      <c r="S53"/>
    </row>
    <row r="54" spans="1:19" hidden="1">
      <c r="A54" s="1" t="s">
        <v>185</v>
      </c>
      <c r="B54" s="1" t="s">
        <v>197</v>
      </c>
      <c r="C54" s="25">
        <v>1570</v>
      </c>
      <c r="D54" s="25">
        <v>5.5150199999999998</v>
      </c>
      <c r="E54" s="16">
        <f t="array" ref="E54">$C$11*VLOOKUP($B$11,$R$10:$S$16,2,0)</f>
        <v>1200000</v>
      </c>
      <c r="F54" s="25">
        <v>7.7381000000000004E-3</v>
      </c>
      <c r="G54" s="19">
        <f t="shared" ref="G54:G65" si="5">E54*F54</f>
        <v>9285.7200000000012</v>
      </c>
      <c r="H54" s="19">
        <f t="shared" si="4"/>
        <v>8658.5813999999991</v>
      </c>
      <c r="I54" s="25"/>
      <c r="J54" s="25"/>
      <c r="K54" s="19"/>
      <c r="L54" s="25"/>
      <c r="M54" s="25"/>
      <c r="N54" s="25"/>
      <c r="O54" s="19"/>
      <c r="P54" s="1" t="s">
        <v>199</v>
      </c>
      <c r="Q54" s="1">
        <v>8500</v>
      </c>
      <c r="R54" s="1">
        <v>3000</v>
      </c>
      <c r="S54"/>
    </row>
    <row r="55" spans="1:19" hidden="1">
      <c r="A55" s="1" t="s">
        <v>187</v>
      </c>
      <c r="B55" s="1" t="s">
        <v>197</v>
      </c>
      <c r="C55" s="25">
        <v>790.08199999999999</v>
      </c>
      <c r="D55" s="25">
        <v>5.5072799999999997</v>
      </c>
      <c r="E55" s="16">
        <f t="array" ref="E55">$C$11*VLOOKUP($B$11,$R$10:$S$16,2,0)</f>
        <v>1200000</v>
      </c>
      <c r="F55" s="25">
        <v>6.2249999999999996E-3</v>
      </c>
      <c r="G55" s="19">
        <f t="shared" si="5"/>
        <v>7470</v>
      </c>
      <c r="H55" s="19">
        <f t="shared" si="4"/>
        <v>4351.2027969599994</v>
      </c>
      <c r="I55" s="25"/>
      <c r="J55" s="25"/>
      <c r="K55" s="19"/>
      <c r="L55" s="25"/>
      <c r="M55" s="25"/>
      <c r="N55" s="25"/>
      <c r="O55" s="19"/>
      <c r="P55" s="1" t="s">
        <v>200</v>
      </c>
      <c r="Q55" s="1">
        <v>8500</v>
      </c>
      <c r="R55" s="1">
        <v>3000</v>
      </c>
      <c r="S55"/>
    </row>
    <row r="56" spans="1:19" hidden="1">
      <c r="A56" s="1" t="s">
        <v>189</v>
      </c>
      <c r="B56" s="1" t="s">
        <v>197</v>
      </c>
      <c r="C56" s="25">
        <v>43.274999999999999</v>
      </c>
      <c r="D56" s="25">
        <v>7.0658000000000003</v>
      </c>
      <c r="E56" s="16">
        <f t="array" ref="E56">$C$11*VLOOKUP($B$11,$R$10:$S$16,2,0)</f>
        <v>1200000</v>
      </c>
      <c r="F56" s="25">
        <v>5.2135000000000003E-3</v>
      </c>
      <c r="G56" s="19">
        <f t="shared" si="5"/>
        <v>6256.2000000000007</v>
      </c>
      <c r="H56" s="19">
        <f t="shared" si="4"/>
        <v>305.77249499999999</v>
      </c>
      <c r="I56" s="25"/>
      <c r="J56" s="25"/>
      <c r="K56" s="19"/>
      <c r="L56" s="25"/>
      <c r="M56" s="25"/>
      <c r="N56" s="25"/>
      <c r="O56" s="19"/>
      <c r="P56" s="1" t="s">
        <v>201</v>
      </c>
      <c r="Q56" s="1">
        <v>8500</v>
      </c>
      <c r="R56" s="1">
        <v>3000</v>
      </c>
      <c r="S56"/>
    </row>
    <row r="57" spans="1:19" hidden="1">
      <c r="A57" s="1" t="s">
        <v>191</v>
      </c>
      <c r="B57" s="1" t="s">
        <v>202</v>
      </c>
      <c r="C57" s="25">
        <v>865.11900000000003</v>
      </c>
      <c r="D57" s="25">
        <v>6.5193000000000003</v>
      </c>
      <c r="E57" s="16">
        <f t="array" ref="E57">$C$11*VLOOKUP($B$11,$R$10:$S$16,2,0)</f>
        <v>1200000</v>
      </c>
      <c r="F57" s="25">
        <v>6.5830999999999997E-3</v>
      </c>
      <c r="G57" s="19">
        <f t="shared" si="5"/>
        <v>7899.7199999999993</v>
      </c>
      <c r="H57" s="19">
        <f t="shared" si="4"/>
        <v>5639.9702967000003</v>
      </c>
      <c r="I57" s="25"/>
      <c r="J57" s="25"/>
      <c r="K57" s="19"/>
      <c r="L57" s="25"/>
      <c r="M57" s="25"/>
      <c r="N57" s="25"/>
      <c r="O57" s="19"/>
      <c r="P57" s="1" t="s">
        <v>203</v>
      </c>
      <c r="Q57" s="1">
        <v>8500</v>
      </c>
      <c r="R57" s="1">
        <v>3000</v>
      </c>
      <c r="S57"/>
    </row>
    <row r="58" spans="1:19" hidden="1">
      <c r="A58" s="1" t="s">
        <v>191</v>
      </c>
      <c r="B58" s="1" t="s">
        <v>204</v>
      </c>
      <c r="C58" s="25">
        <v>665.37699999999995</v>
      </c>
      <c r="D58" s="25">
        <v>98.951300000000003</v>
      </c>
      <c r="E58" s="16">
        <f t="array" ref="E58">$C$11*VLOOKUP($B$11,$R$10:$S$16,2,0)</f>
        <v>1200000</v>
      </c>
      <c r="F58" s="25">
        <v>4.9538999999999998E-3</v>
      </c>
      <c r="G58" s="19">
        <f t="shared" si="5"/>
        <v>5944.6799999999994</v>
      </c>
      <c r="H58" s="19">
        <f t="shared" si="4"/>
        <v>65839.919140099999</v>
      </c>
      <c r="I58" s="25"/>
      <c r="J58" s="25"/>
      <c r="K58" s="19"/>
      <c r="L58" s="25"/>
      <c r="M58" s="25"/>
      <c r="N58" s="25"/>
      <c r="O58" s="19"/>
      <c r="P58" s="1" t="s">
        <v>205</v>
      </c>
      <c r="Q58" s="1">
        <v>8500</v>
      </c>
      <c r="R58" s="1">
        <v>3000</v>
      </c>
      <c r="S58"/>
    </row>
    <row r="59" spans="1:19" hidden="1">
      <c r="A59" s="1" t="s">
        <v>191</v>
      </c>
      <c r="B59" s="1" t="s">
        <v>206</v>
      </c>
      <c r="C59" s="25">
        <v>660.524</v>
      </c>
      <c r="D59" s="25">
        <v>21.619199999999999</v>
      </c>
      <c r="E59" s="16">
        <f t="array" ref="E59">$C$11*VLOOKUP($B$11,$R$10:$S$16,2,0)</f>
        <v>1200000</v>
      </c>
      <c r="F59" s="25">
        <v>0.29568</v>
      </c>
      <c r="G59" s="19">
        <f t="shared" si="5"/>
        <v>354816</v>
      </c>
      <c r="H59" s="19">
        <f t="shared" si="4"/>
        <v>14280.0004608</v>
      </c>
      <c r="I59" s="25"/>
      <c r="J59" s="25"/>
      <c r="K59" s="19"/>
      <c r="L59" s="25"/>
      <c r="M59" s="25"/>
      <c r="N59" s="25"/>
      <c r="O59" s="19"/>
      <c r="P59" s="1" t="s">
        <v>207</v>
      </c>
      <c r="Q59" s="1">
        <v>8500</v>
      </c>
      <c r="R59" s="1">
        <v>3000</v>
      </c>
      <c r="S59"/>
    </row>
    <row r="60" spans="1:19" hidden="1">
      <c r="A60" s="1" t="s">
        <v>191</v>
      </c>
      <c r="B60" s="1" t="s">
        <v>208</v>
      </c>
      <c r="C60" s="25">
        <v>3678</v>
      </c>
      <c r="D60" s="25">
        <v>28.311299999999999</v>
      </c>
      <c r="E60" s="16">
        <f t="array" ref="E60">$C$11*VLOOKUP($B$11,$R$10:$S$16,2,0)</f>
        <v>1200000</v>
      </c>
      <c r="F60" s="25">
        <v>0.38695000000000002</v>
      </c>
      <c r="G60" s="19">
        <f t="shared" si="5"/>
        <v>464340</v>
      </c>
      <c r="H60" s="19">
        <f t="shared" si="4"/>
        <v>104128.9614</v>
      </c>
      <c r="I60" s="25"/>
      <c r="J60" s="25"/>
      <c r="K60" s="19"/>
      <c r="L60" s="25"/>
      <c r="M60" s="25"/>
      <c r="N60" s="25"/>
      <c r="O60" s="19"/>
      <c r="P60" s="1" t="s">
        <v>209</v>
      </c>
      <c r="Q60" s="1">
        <v>8500</v>
      </c>
      <c r="R60" s="1">
        <v>3000</v>
      </c>
      <c r="S60"/>
    </row>
    <row r="61" spans="1:19" hidden="1">
      <c r="A61" s="1" t="s">
        <v>191</v>
      </c>
      <c r="B61" s="1" t="s">
        <v>210</v>
      </c>
      <c r="C61" s="25">
        <v>824.05200000000002</v>
      </c>
      <c r="D61" s="25">
        <v>7.0938400000000001</v>
      </c>
      <c r="E61" s="16">
        <f t="array" ref="E61">$C$11*VLOOKUP($B$11,$R$10:$S$16,2,0)</f>
        <v>1200000</v>
      </c>
      <c r="F61" s="25">
        <v>4.7907999999999996E-3</v>
      </c>
      <c r="G61" s="19">
        <f t="shared" si="5"/>
        <v>5748.9599999999991</v>
      </c>
      <c r="H61" s="19">
        <f t="shared" si="4"/>
        <v>5845.6930396799999</v>
      </c>
      <c r="I61" s="25"/>
      <c r="J61" s="25"/>
      <c r="K61" s="19"/>
      <c r="L61" s="25"/>
      <c r="M61" s="25"/>
      <c r="N61" s="25"/>
      <c r="O61" s="19"/>
      <c r="P61" s="1" t="s">
        <v>211</v>
      </c>
      <c r="Q61" s="1">
        <v>8500</v>
      </c>
      <c r="R61" s="1">
        <v>3000</v>
      </c>
      <c r="S61"/>
    </row>
    <row r="62" spans="1:19" hidden="1">
      <c r="A62" s="1" t="s">
        <v>191</v>
      </c>
      <c r="B62" s="1" t="s">
        <v>212</v>
      </c>
      <c r="C62" s="25">
        <v>2338</v>
      </c>
      <c r="D62" s="25">
        <v>5.6102299999999996</v>
      </c>
      <c r="E62" s="16">
        <f t="array" ref="E62">$C$11*VLOOKUP($B$11,$R$10:$S$16,2,0)</f>
        <v>1200000</v>
      </c>
      <c r="F62" s="25">
        <v>9.7129E-3</v>
      </c>
      <c r="G62" s="19">
        <f t="shared" si="5"/>
        <v>11655.48</v>
      </c>
      <c r="H62" s="19">
        <f t="shared" si="4"/>
        <v>13116.717739999998</v>
      </c>
      <c r="I62" s="25"/>
      <c r="J62" s="25"/>
      <c r="K62" s="19"/>
      <c r="L62" s="25"/>
      <c r="M62" s="25"/>
      <c r="N62" s="25"/>
      <c r="O62" s="19"/>
      <c r="P62" s="1" t="s">
        <v>213</v>
      </c>
      <c r="Q62" s="1">
        <v>8500</v>
      </c>
      <c r="R62" s="1">
        <v>3000</v>
      </c>
      <c r="S62"/>
    </row>
    <row r="63" spans="1:19" hidden="1">
      <c r="A63" s="1" t="s">
        <v>191</v>
      </c>
      <c r="B63" s="1" t="s">
        <v>214</v>
      </c>
      <c r="C63" s="25">
        <v>1051</v>
      </c>
      <c r="D63" s="25">
        <v>12.379200000000001</v>
      </c>
      <c r="E63" s="16">
        <f t="array" ref="E63">$C$11*VLOOKUP($B$11,$R$10:$S$16,2,0)</f>
        <v>1200000</v>
      </c>
      <c r="F63" s="25">
        <v>7.8469000000000004E-3</v>
      </c>
      <c r="G63" s="19">
        <f t="shared" si="5"/>
        <v>9416.2800000000007</v>
      </c>
      <c r="H63" s="19">
        <f t="shared" si="4"/>
        <v>13010.539200000001</v>
      </c>
      <c r="I63" s="25"/>
      <c r="J63" s="25"/>
      <c r="K63" s="19"/>
      <c r="L63" s="25"/>
      <c r="M63" s="25"/>
      <c r="N63" s="25"/>
      <c r="O63" s="19"/>
      <c r="P63" s="1" t="s">
        <v>215</v>
      </c>
      <c r="Q63" s="1">
        <v>8500</v>
      </c>
      <c r="R63" s="1">
        <v>3000</v>
      </c>
      <c r="S63"/>
    </row>
    <row r="64" spans="1:19" hidden="1">
      <c r="A64" s="1" t="s">
        <v>191</v>
      </c>
      <c r="B64" s="1" t="s">
        <v>216</v>
      </c>
      <c r="C64" s="25">
        <v>654.33799999999997</v>
      </c>
      <c r="D64" s="25">
        <v>7.3745700000000003</v>
      </c>
      <c r="E64" s="16">
        <f t="array" ref="E64">$C$11*VLOOKUP($B$11,$R$10:$S$16,2,0)</f>
        <v>1200000</v>
      </c>
      <c r="F64" s="25">
        <v>1.8296E-2</v>
      </c>
      <c r="G64" s="19">
        <f t="shared" si="5"/>
        <v>21955.200000000001</v>
      </c>
      <c r="H64" s="19">
        <f t="shared" si="4"/>
        <v>4825.4613846599996</v>
      </c>
      <c r="I64" s="25"/>
      <c r="J64" s="25"/>
      <c r="K64" s="19"/>
      <c r="L64" s="25"/>
      <c r="M64" s="25"/>
      <c r="N64" s="25"/>
      <c r="O64" s="19"/>
      <c r="P64" s="1" t="s">
        <v>217</v>
      </c>
      <c r="Q64" s="1">
        <v>8500</v>
      </c>
      <c r="R64" s="1">
        <v>3000</v>
      </c>
      <c r="S64"/>
    </row>
    <row r="65" spans="1:19" hidden="1">
      <c r="A65" s="1" t="s">
        <v>193</v>
      </c>
      <c r="B65" s="1" t="s">
        <v>194</v>
      </c>
      <c r="C65" s="25">
        <v>1845</v>
      </c>
      <c r="D65" s="25">
        <v>15.4184</v>
      </c>
      <c r="E65" s="16">
        <f t="array" ref="E65">$C$11*VLOOKUP($B$11,$R$10:$S$16,2,0)</f>
        <v>1200000</v>
      </c>
      <c r="F65" s="25">
        <v>7.6816999999999996E-3</v>
      </c>
      <c r="G65" s="19">
        <f t="shared" si="5"/>
        <v>9218.0399999999991</v>
      </c>
      <c r="H65" s="19">
        <f t="shared" si="4"/>
        <v>28446.948</v>
      </c>
      <c r="I65" s="25"/>
      <c r="J65" s="25"/>
      <c r="K65" s="19"/>
      <c r="L65" s="25"/>
      <c r="M65" s="25"/>
      <c r="N65" s="25"/>
      <c r="O65" s="19"/>
      <c r="P65" s="1" t="s">
        <v>218</v>
      </c>
      <c r="Q65" s="1">
        <v>8500</v>
      </c>
      <c r="R65" s="1">
        <v>3000</v>
      </c>
      <c r="S65"/>
    </row>
    <row r="66" spans="1:19" hidden="1">
      <c r="A66" s="1" t="s">
        <v>195</v>
      </c>
      <c r="B66" s="1" t="s">
        <v>10</v>
      </c>
      <c r="C66" s="25">
        <v>2620</v>
      </c>
      <c r="D66" s="25">
        <v>19.860600000000002</v>
      </c>
      <c r="E66" s="16">
        <f t="array" ref="E66">$C$11*VLOOKUP($B$11,$R$10:$S$16,2,0)</f>
        <v>1200000</v>
      </c>
      <c r="F66" s="25">
        <v>6.0797000000000004E-3</v>
      </c>
      <c r="G66" s="19">
        <f t="shared" ref="G66:G76" si="6">E66*F66</f>
        <v>7295.64</v>
      </c>
      <c r="H66" s="19">
        <f t="shared" ref="H66:H72" si="7">C66*D66</f>
        <v>52034.772000000004</v>
      </c>
      <c r="I66" s="25"/>
      <c r="J66" s="25"/>
      <c r="K66" s="19"/>
      <c r="L66" s="25"/>
      <c r="M66" s="25"/>
      <c r="N66" s="25"/>
      <c r="O66" s="19"/>
      <c r="P66" s="1" t="s">
        <v>219</v>
      </c>
      <c r="Q66" s="1">
        <v>8500</v>
      </c>
      <c r="R66" s="1">
        <v>3000</v>
      </c>
      <c r="S66"/>
    </row>
    <row r="67" spans="1:19" hidden="1">
      <c r="A67" s="1" t="s">
        <v>196</v>
      </c>
      <c r="B67" s="1" t="s">
        <v>10</v>
      </c>
      <c r="C67" s="25">
        <v>5128</v>
      </c>
      <c r="D67" s="25">
        <v>22.553799999999999</v>
      </c>
      <c r="E67" s="25">
        <f t="array" ref="E67">$C$11*VLOOKUP($B$11,$R$10:$S$16,2,0)</f>
        <v>1200000</v>
      </c>
      <c r="F67" s="25">
        <v>5.9709999999999997E-3</v>
      </c>
      <c r="G67" s="19">
        <f t="shared" si="6"/>
        <v>7165.2</v>
      </c>
      <c r="H67" s="19">
        <f t="shared" si="7"/>
        <v>115655.88639999999</v>
      </c>
      <c r="I67" s="25"/>
      <c r="J67" s="25"/>
      <c r="K67" s="19"/>
      <c r="L67" s="25"/>
      <c r="M67" s="25"/>
      <c r="N67" s="25"/>
      <c r="O67" s="19"/>
      <c r="P67" s="1" t="s">
        <v>220</v>
      </c>
      <c r="Q67" s="1">
        <v>8500</v>
      </c>
      <c r="R67" s="1">
        <v>3000</v>
      </c>
    </row>
    <row r="68" spans="1:19" hidden="1">
      <c r="A68" s="1" t="s">
        <v>198</v>
      </c>
      <c r="B68" s="1" t="s">
        <v>10</v>
      </c>
      <c r="C68" s="25">
        <v>5125</v>
      </c>
      <c r="D68" s="25">
        <v>39.277200000000001</v>
      </c>
      <c r="E68" s="25">
        <f t="array" ref="E68">$C$11*VLOOKUP($B$11,$R$10:$S$16,2,0)</f>
        <v>1200000</v>
      </c>
      <c r="F68" s="25">
        <v>6.4495000000000004E-3</v>
      </c>
      <c r="G68" s="19">
        <f t="shared" si="6"/>
        <v>7739.4000000000005</v>
      </c>
      <c r="H68" s="19">
        <f t="shared" si="7"/>
        <v>201295.65</v>
      </c>
      <c r="I68" s="25"/>
      <c r="J68" s="25"/>
      <c r="K68" s="19"/>
      <c r="L68" s="25"/>
      <c r="M68" s="25"/>
      <c r="N68" s="25"/>
      <c r="O68" s="19"/>
      <c r="P68" s="1" t="s">
        <v>221</v>
      </c>
      <c r="Q68" s="1">
        <v>8500</v>
      </c>
      <c r="R68" s="1">
        <v>3000</v>
      </c>
    </row>
    <row r="69" spans="1:19" hidden="1">
      <c r="A69" s="1" t="s">
        <v>199</v>
      </c>
      <c r="B69" s="1" t="s">
        <v>125</v>
      </c>
      <c r="C69" s="25">
        <v>1237</v>
      </c>
      <c r="D69" s="25">
        <v>181.37299999999999</v>
      </c>
      <c r="E69" s="25">
        <f t="array" ref="E69">$C$11*VLOOKUP($B$11,$R$10:$S$16,2,0)</f>
        <v>1200000</v>
      </c>
      <c r="F69" s="25">
        <v>7.6813000000000003E-3</v>
      </c>
      <c r="G69" s="19">
        <f t="shared" si="6"/>
        <v>9217.56</v>
      </c>
      <c r="H69" s="19">
        <f t="shared" si="7"/>
        <v>224358.40099999998</v>
      </c>
      <c r="I69" s="25"/>
      <c r="J69" s="25"/>
      <c r="K69" s="19"/>
      <c r="L69" s="25"/>
      <c r="M69" s="25"/>
      <c r="N69" s="25"/>
      <c r="O69" s="19"/>
      <c r="P69" s="1" t="s">
        <v>222</v>
      </c>
      <c r="Q69" s="1">
        <v>2400</v>
      </c>
      <c r="R69" s="1">
        <v>3000</v>
      </c>
    </row>
    <row r="70" spans="1:19" hidden="1">
      <c r="A70" s="1" t="s">
        <v>200</v>
      </c>
      <c r="B70" s="1" t="s">
        <v>10</v>
      </c>
      <c r="C70" s="25">
        <v>5118</v>
      </c>
      <c r="D70" s="25">
        <v>21.651599999999998</v>
      </c>
      <c r="E70" s="25">
        <f t="array" ref="E70">$C$11*VLOOKUP($B$11,$R$10:$S$16,2,0)</f>
        <v>1200000</v>
      </c>
      <c r="F70" s="25">
        <v>6.0159999999999996E-3</v>
      </c>
      <c r="G70" s="19">
        <f t="shared" si="6"/>
        <v>7219.2</v>
      </c>
      <c r="H70" s="19">
        <f t="shared" si="7"/>
        <v>110812.88879999999</v>
      </c>
      <c r="I70" s="25"/>
      <c r="J70" s="25"/>
      <c r="K70" s="19"/>
      <c r="L70" s="25"/>
      <c r="M70" s="25"/>
      <c r="N70" s="25"/>
      <c r="O70" s="19"/>
      <c r="P70" s="1" t="s">
        <v>223</v>
      </c>
      <c r="Q70" s="1">
        <v>8500</v>
      </c>
      <c r="R70" s="1">
        <v>3000</v>
      </c>
    </row>
    <row r="71" spans="1:19" hidden="1">
      <c r="A71" s="1" t="s">
        <v>201</v>
      </c>
      <c r="B71" s="1" t="s">
        <v>124</v>
      </c>
      <c r="C71" s="25">
        <v>21.63</v>
      </c>
      <c r="D71" s="25">
        <v>6.7059800000000003</v>
      </c>
      <c r="E71" s="25">
        <f t="array" ref="E71">$C$11*VLOOKUP($B$11,$R$10:$S$16,2,0)</f>
        <v>1200000</v>
      </c>
      <c r="F71" s="25">
        <v>5.0689000000000003E-3</v>
      </c>
      <c r="G71" s="19">
        <f t="shared" si="6"/>
        <v>6082.68</v>
      </c>
      <c r="H71" s="19">
        <f t="shared" si="7"/>
        <v>145.05034739999999</v>
      </c>
      <c r="I71" s="25"/>
      <c r="J71" s="25"/>
      <c r="K71" s="19"/>
      <c r="L71" s="25"/>
      <c r="M71" s="25"/>
      <c r="N71" s="25"/>
      <c r="O71" s="19"/>
      <c r="P71" s="1" t="s">
        <v>224</v>
      </c>
      <c r="Q71" s="1">
        <v>4000</v>
      </c>
      <c r="R71" s="1">
        <v>3000</v>
      </c>
    </row>
    <row r="72" spans="1:19" hidden="1">
      <c r="A72" s="1" t="s">
        <v>203</v>
      </c>
      <c r="B72" s="1" t="s">
        <v>125</v>
      </c>
      <c r="C72" s="25">
        <v>4118</v>
      </c>
      <c r="D72" s="25">
        <v>17.215199999999999</v>
      </c>
      <c r="E72" s="25">
        <f t="array" ref="E72">$C$11*VLOOKUP($B$11,$R$10:$S$16,2,0)</f>
        <v>1200000</v>
      </c>
      <c r="F72" s="25">
        <v>5.3626999999999998E-3</v>
      </c>
      <c r="G72" s="19">
        <f t="shared" si="6"/>
        <v>6435.24</v>
      </c>
      <c r="H72" s="19">
        <f t="shared" si="7"/>
        <v>70892.193599999999</v>
      </c>
      <c r="I72" s="25"/>
      <c r="J72" s="25"/>
      <c r="K72" s="19"/>
      <c r="L72" s="25"/>
      <c r="M72" s="25"/>
      <c r="N72" s="25"/>
      <c r="O72" s="19"/>
      <c r="P72" s="1" t="s">
        <v>225</v>
      </c>
      <c r="Q72" s="1">
        <v>8500</v>
      </c>
      <c r="R72" s="1">
        <v>3000</v>
      </c>
    </row>
    <row r="73" spans="1:19" hidden="1">
      <c r="A73" s="1" t="s">
        <v>205</v>
      </c>
      <c r="B73" s="1" t="s">
        <v>131</v>
      </c>
      <c r="C73" s="25">
        <v>20.564</v>
      </c>
      <c r="D73" s="25">
        <v>6.4391999999999996</v>
      </c>
      <c r="E73" s="25">
        <f t="array" ref="E73">$C$11*VLOOKUP($B$11,$R$10:$S$16,2,0)</f>
        <v>1200000</v>
      </c>
      <c r="F73" s="25">
        <v>6.7254000000000003E-3</v>
      </c>
      <c r="G73" s="19">
        <f t="shared" si="6"/>
        <v>8070.4800000000005</v>
      </c>
      <c r="H73" s="19">
        <f>C73*D73+N73</f>
        <v>3348.3057088</v>
      </c>
      <c r="I73" s="25"/>
      <c r="J73" s="25"/>
      <c r="K73" s="19"/>
      <c r="L73" s="25"/>
      <c r="M73" s="25"/>
      <c r="N73" s="25">
        <f>0.321589*10000</f>
        <v>3215.89</v>
      </c>
      <c r="O73" s="19"/>
      <c r="P73" s="1" t="s">
        <v>226</v>
      </c>
      <c r="Q73" s="1">
        <v>8500</v>
      </c>
      <c r="R73" s="1">
        <v>3000</v>
      </c>
    </row>
    <row r="74" spans="1:19" hidden="1">
      <c r="A74" s="1" t="s">
        <v>207</v>
      </c>
      <c r="B74" s="1" t="s">
        <v>132</v>
      </c>
      <c r="C74" s="25">
        <v>3008</v>
      </c>
      <c r="D74" s="25">
        <v>28.574300000000001</v>
      </c>
      <c r="E74" s="25">
        <f t="array" ref="E74">$C$11*VLOOKUP($B$11,$R$10:$S$16,2,0)</f>
        <v>1200000</v>
      </c>
      <c r="F74" s="25">
        <v>6.1909E-3</v>
      </c>
      <c r="G74" s="19">
        <f t="shared" si="6"/>
        <v>7429.08</v>
      </c>
      <c r="H74" s="19">
        <f>C74*D74+N74</f>
        <v>85951.494399999996</v>
      </c>
      <c r="I74" s="25"/>
      <c r="J74" s="25"/>
      <c r="K74" s="19"/>
      <c r="L74" s="25"/>
      <c r="M74" s="25"/>
      <c r="N74" s="25"/>
      <c r="O74" s="19"/>
      <c r="P74" s="1" t="s">
        <v>227</v>
      </c>
      <c r="Q74" s="1">
        <v>8500</v>
      </c>
      <c r="R74" s="1">
        <v>3000</v>
      </c>
    </row>
    <row r="75" spans="1:19" hidden="1">
      <c r="A75" s="1" t="s">
        <v>209</v>
      </c>
      <c r="B75" s="1" t="s">
        <v>132</v>
      </c>
      <c r="C75" s="25">
        <v>5525</v>
      </c>
      <c r="D75" s="25">
        <v>28.506599999999999</v>
      </c>
      <c r="E75" s="25">
        <f t="array" ref="E75">$C$11*VLOOKUP($B$11,$R$10:$S$16,2,0)</f>
        <v>1200000</v>
      </c>
      <c r="F75" s="25">
        <v>6.4589000000000001E-3</v>
      </c>
      <c r="G75" s="19">
        <f t="shared" si="6"/>
        <v>7750.68</v>
      </c>
      <c r="H75" s="19">
        <f>C75*D75+N75</f>
        <v>157498.965</v>
      </c>
      <c r="I75" s="25"/>
      <c r="J75" s="25"/>
      <c r="K75" s="19"/>
      <c r="L75" s="25"/>
      <c r="M75" s="25"/>
      <c r="N75" s="25"/>
      <c r="O75" s="19"/>
      <c r="P75" s="1" t="s">
        <v>228</v>
      </c>
      <c r="Q75" s="1">
        <v>8500</v>
      </c>
    </row>
    <row r="76" spans="1:19" hidden="1">
      <c r="A76" s="1" t="s">
        <v>211</v>
      </c>
      <c r="B76" s="1" t="s">
        <v>10</v>
      </c>
      <c r="C76" s="25">
        <v>5014</v>
      </c>
      <c r="D76" s="25">
        <v>106.98699999999999</v>
      </c>
      <c r="E76" s="25">
        <f t="array" ref="E76">$C$11*VLOOKUP($B$11,$R$10:$S$16,2,0)</f>
        <v>1200000</v>
      </c>
      <c r="F76" s="25">
        <v>5.5037000000000003E-3</v>
      </c>
      <c r="G76" s="19">
        <f t="shared" si="6"/>
        <v>6604.4400000000005</v>
      </c>
      <c r="H76" s="19">
        <f>C76*D76+N76</f>
        <v>536432.81799999997</v>
      </c>
      <c r="I76" s="25"/>
      <c r="J76" s="25"/>
      <c r="K76" s="19"/>
      <c r="L76" s="25"/>
      <c r="M76" s="25"/>
      <c r="N76" s="25"/>
      <c r="O76" s="19"/>
      <c r="P76" s="1" t="s">
        <v>229</v>
      </c>
      <c r="Q76" s="1">
        <v>8500</v>
      </c>
    </row>
    <row r="77" spans="1:19" hidden="1">
      <c r="A77" s="1" t="s">
        <v>213</v>
      </c>
      <c r="B77" s="1" t="s">
        <v>230</v>
      </c>
      <c r="C77" s="25">
        <v>20.596</v>
      </c>
      <c r="D77" s="25">
        <v>6.9531299999999998</v>
      </c>
      <c r="E77" s="25">
        <f t="array" ref="E77">$C$11*VLOOKUP($B$11,$R$10:$S$16,2,0)</f>
        <v>1200000</v>
      </c>
      <c r="F77" s="25">
        <v>8.9764000000000007E-3</v>
      </c>
      <c r="G77" s="19">
        <f t="shared" ref="G77:G89" si="8">E77*F77</f>
        <v>10771.68</v>
      </c>
      <c r="H77" s="19">
        <f t="shared" ref="H77:H87" si="9">C77*D77+N77</f>
        <v>143.20666548</v>
      </c>
      <c r="I77" s="25">
        <v>9.1470000000000006E-3</v>
      </c>
      <c r="J77" s="25">
        <v>0.82840499999999995</v>
      </c>
      <c r="K77" s="19">
        <f>I77*J77*1000</f>
        <v>7.5774205349999999</v>
      </c>
      <c r="L77" s="25"/>
      <c r="M77" s="25"/>
      <c r="N77" s="25"/>
      <c r="O77" s="19"/>
      <c r="P77" s="1" t="s">
        <v>171</v>
      </c>
      <c r="Q77" s="1">
        <v>8500</v>
      </c>
    </row>
    <row r="78" spans="1:19" hidden="1">
      <c r="A78" s="1" t="s">
        <v>215</v>
      </c>
      <c r="B78" s="1" t="s">
        <v>230</v>
      </c>
      <c r="C78" s="25">
        <v>20.469000000000001</v>
      </c>
      <c r="D78" s="25">
        <v>6.5157400000000001</v>
      </c>
      <c r="E78" s="25">
        <f t="array" ref="E78">$C$11*VLOOKUP($B$11,$R$10:$S$16,2,0)</f>
        <v>1200000</v>
      </c>
      <c r="F78" s="25">
        <v>1.2675000000000001E-2</v>
      </c>
      <c r="G78" s="19">
        <f t="shared" si="8"/>
        <v>15210</v>
      </c>
      <c r="H78" s="19">
        <f t="shared" si="9"/>
        <v>133.37068206000001</v>
      </c>
      <c r="I78" s="25">
        <v>2.034E-2</v>
      </c>
      <c r="J78" s="25">
        <v>1.6345099999999999</v>
      </c>
      <c r="K78" s="19">
        <f>I78*J78*1000</f>
        <v>33.245933399999998</v>
      </c>
      <c r="L78" s="25"/>
      <c r="M78" s="25"/>
      <c r="N78" s="25"/>
      <c r="O78" s="19"/>
    </row>
    <row r="79" spans="1:19" hidden="1">
      <c r="A79" s="1" t="s">
        <v>217</v>
      </c>
      <c r="B79" s="1" t="s">
        <v>10</v>
      </c>
      <c r="C79" s="25">
        <v>5521</v>
      </c>
      <c r="D79" s="25">
        <v>29.770099999999999</v>
      </c>
      <c r="E79" s="25">
        <f t="array" ref="E79">$C$11*VLOOKUP($B$11,$R$10:$S$16,2,0)</f>
        <v>1200000</v>
      </c>
      <c r="F79" s="25">
        <v>6.1517999999999998E-3</v>
      </c>
      <c r="G79" s="19">
        <f t="shared" si="8"/>
        <v>7382.16</v>
      </c>
      <c r="H79" s="19">
        <f t="shared" si="9"/>
        <v>164360.72209999998</v>
      </c>
      <c r="I79" s="25"/>
      <c r="J79" s="25"/>
      <c r="K79" s="19"/>
      <c r="L79" s="25"/>
      <c r="M79" s="25"/>
      <c r="N79" s="25"/>
      <c r="O79" s="19"/>
    </row>
    <row r="80" spans="1:19" hidden="1">
      <c r="A80" s="1" t="s">
        <v>218</v>
      </c>
      <c r="B80" s="1" t="s">
        <v>231</v>
      </c>
      <c r="C80" s="25">
        <v>19.556000000000001</v>
      </c>
      <c r="D80" s="25">
        <v>6.7923200000000001</v>
      </c>
      <c r="E80" s="25">
        <f t="array" ref="E80">$C$11*VLOOKUP($B$11,$R$10:$S$16,2,0)</f>
        <v>1200000</v>
      </c>
      <c r="F80" s="25">
        <v>5.5187999999999999E-3</v>
      </c>
      <c r="G80" s="19">
        <f t="shared" si="8"/>
        <v>6622.5599999999995</v>
      </c>
      <c r="H80" s="19">
        <f>C80*D80+N80+K80</f>
        <v>132963.44052991999</v>
      </c>
      <c r="I80" s="25">
        <v>19.556000000000001</v>
      </c>
      <c r="J80" s="25">
        <v>6.7923200000000001</v>
      </c>
      <c r="K80" s="19">
        <f>I80*J80*1000</f>
        <v>132830.60991999999</v>
      </c>
      <c r="L80" s="25"/>
      <c r="M80" s="25"/>
      <c r="N80" s="25"/>
      <c r="O80" s="19"/>
    </row>
    <row r="81" spans="1:37" hidden="1">
      <c r="A81" s="1" t="s">
        <v>218</v>
      </c>
      <c r="B81" s="1" t="s">
        <v>232</v>
      </c>
      <c r="C81" s="25">
        <v>20.59</v>
      </c>
      <c r="D81" s="25">
        <v>6.9095700000000004</v>
      </c>
      <c r="E81" s="25">
        <f t="array" ref="E81">$C$11*VLOOKUP($B$11,$R$10:$S$16,2,0)</f>
        <v>1200000</v>
      </c>
      <c r="F81" s="25">
        <v>5.5187999999999999E-3</v>
      </c>
      <c r="G81" s="19">
        <f t="shared" si="8"/>
        <v>6622.5599999999995</v>
      </c>
      <c r="H81" s="19">
        <f>C81*D81+N81+K81</f>
        <v>16434.879108300003</v>
      </c>
      <c r="I81" s="25">
        <v>5.0830000000000002</v>
      </c>
      <c r="J81" s="25">
        <v>0.534219</v>
      </c>
      <c r="K81" s="19">
        <f>I81*J81*6*1000</f>
        <v>16292.611062000002</v>
      </c>
      <c r="L81" s="25"/>
      <c r="M81" s="25"/>
      <c r="N81" s="25"/>
      <c r="O81" s="19"/>
    </row>
    <row r="82" spans="1:37" hidden="1">
      <c r="A82" s="1" t="s">
        <v>219</v>
      </c>
      <c r="B82" s="1" t="s">
        <v>125</v>
      </c>
      <c r="C82" s="25">
        <v>5801</v>
      </c>
      <c r="D82" s="25">
        <v>14.6457</v>
      </c>
      <c r="E82" s="25">
        <f t="array" ref="E82">$C$11*VLOOKUP($B$11,$R$10:$S$16,2,0)</f>
        <v>1200000</v>
      </c>
      <c r="F82" s="25">
        <v>6.9214000000000003E-3</v>
      </c>
      <c r="G82" s="19">
        <f t="shared" si="8"/>
        <v>8305.68</v>
      </c>
      <c r="H82" s="19">
        <f t="shared" si="9"/>
        <v>84959.705699999991</v>
      </c>
      <c r="I82" s="25"/>
      <c r="J82" s="25"/>
      <c r="K82" s="19"/>
      <c r="L82" s="25"/>
      <c r="M82" s="25"/>
      <c r="N82" s="25"/>
      <c r="O82" s="19"/>
    </row>
    <row r="83" spans="1:37" hidden="1">
      <c r="A83" s="1" t="s">
        <v>220</v>
      </c>
      <c r="B83" s="1" t="s">
        <v>132</v>
      </c>
      <c r="C83" s="25">
        <v>3510</v>
      </c>
      <c r="D83" s="25">
        <v>58.353900000000003</v>
      </c>
      <c r="E83" s="25">
        <f t="array" ref="E83">$C$11*VLOOKUP($B$11,$R$10:$S$16,2,0)</f>
        <v>1200000</v>
      </c>
      <c r="F83" s="25">
        <v>5.2516000000000004E-3</v>
      </c>
      <c r="G83" s="19">
        <f t="shared" si="8"/>
        <v>6301.92</v>
      </c>
      <c r="H83" s="19">
        <f t="shared" si="9"/>
        <v>204822.18900000001</v>
      </c>
      <c r="I83" s="25"/>
      <c r="J83" s="25"/>
      <c r="K83" s="19"/>
      <c r="L83" s="25"/>
      <c r="M83" s="25"/>
      <c r="N83" s="25"/>
      <c r="O83" s="19"/>
    </row>
    <row r="84" spans="1:37" hidden="1">
      <c r="A84" s="1" t="s">
        <v>221</v>
      </c>
      <c r="B84" s="1" t="s">
        <v>10</v>
      </c>
      <c r="C84" s="25">
        <v>3853</v>
      </c>
      <c r="D84" s="25">
        <v>8.0917200000000005</v>
      </c>
      <c r="E84" s="25">
        <f t="array" ref="E84">$C$11*VLOOKUP($B$11,$R$10:$S$16,2,0)</f>
        <v>1200000</v>
      </c>
      <c r="F84" s="25">
        <v>5.3628E-3</v>
      </c>
      <c r="G84" s="19">
        <f t="shared" si="8"/>
        <v>6435.36</v>
      </c>
      <c r="H84" s="19">
        <f t="shared" si="9"/>
        <v>31177.39716</v>
      </c>
      <c r="I84" s="25"/>
      <c r="J84" s="25"/>
      <c r="K84" s="19"/>
      <c r="L84" s="25"/>
      <c r="M84" s="25"/>
      <c r="N84" s="25"/>
      <c r="O84" s="19"/>
    </row>
    <row r="85" spans="1:37" hidden="1">
      <c r="A85" s="1" t="s">
        <v>222</v>
      </c>
      <c r="B85" s="1" t="s">
        <v>10</v>
      </c>
      <c r="C85" s="25">
        <v>649.029</v>
      </c>
      <c r="D85" s="25">
        <v>20.273399999999999</v>
      </c>
      <c r="E85" s="25">
        <f t="array" ref="E85">$C$11*VLOOKUP($B$11,$R$10:$S$16,2,0)</f>
        <v>1200000</v>
      </c>
      <c r="F85" s="25">
        <v>2.7973999999999998E-3</v>
      </c>
      <c r="G85" s="19">
        <f t="shared" si="8"/>
        <v>3356.8799999999997</v>
      </c>
      <c r="H85" s="19">
        <f t="shared" si="9"/>
        <v>13158.024528599999</v>
      </c>
      <c r="I85" s="25"/>
      <c r="J85" s="25"/>
      <c r="K85" s="19"/>
      <c r="L85" s="25"/>
      <c r="M85" s="25"/>
      <c r="N85" s="25"/>
      <c r="O85" s="19"/>
    </row>
    <row r="86" spans="1:37" hidden="1">
      <c r="A86" s="1" t="s">
        <v>223</v>
      </c>
      <c r="B86" s="1" t="s">
        <v>10</v>
      </c>
      <c r="C86" s="25">
        <v>778.98099999999999</v>
      </c>
      <c r="D86" s="25">
        <v>7.4310299999999998</v>
      </c>
      <c r="E86" s="25">
        <f t="array" ref="E86">$C$11*VLOOKUP($B$11,$R$10:$S$16,2,0)</f>
        <v>1200000</v>
      </c>
      <c r="F86" s="25">
        <v>5.3658000000000004E-3</v>
      </c>
      <c r="G86" s="19">
        <f t="shared" si="8"/>
        <v>6438.9600000000009</v>
      </c>
      <c r="H86" s="19">
        <f t="shared" si="9"/>
        <v>5788.6311804299994</v>
      </c>
      <c r="I86" s="25"/>
      <c r="J86" s="25"/>
      <c r="K86" s="19"/>
      <c r="L86" s="25"/>
      <c r="M86" s="25"/>
      <c r="N86" s="25"/>
      <c r="O86" s="19"/>
    </row>
    <row r="87" spans="1:37" hidden="1">
      <c r="A87" s="1" t="s">
        <v>224</v>
      </c>
      <c r="B87" s="1" t="s">
        <v>233</v>
      </c>
      <c r="C87" s="25">
        <v>4337</v>
      </c>
      <c r="D87" s="25">
        <v>6.6525100000000004</v>
      </c>
      <c r="E87" s="25">
        <f t="array" ref="E87">$C$11*VLOOKUP($B$11,$R$10:$S$16,2,0)</f>
        <v>1200000</v>
      </c>
      <c r="F87" s="25">
        <v>5.2535000000000004E-3</v>
      </c>
      <c r="G87" s="19">
        <f t="shared" si="8"/>
        <v>6304.2000000000007</v>
      </c>
      <c r="H87" s="19">
        <f t="shared" si="9"/>
        <v>28851.935870000001</v>
      </c>
      <c r="I87" s="25"/>
      <c r="J87" s="25"/>
      <c r="K87" s="19"/>
      <c r="L87" s="25"/>
      <c r="M87" s="25"/>
      <c r="N87" s="25"/>
      <c r="O87" s="19"/>
    </row>
    <row r="88" spans="1:37" hidden="1">
      <c r="A88" s="1" t="s">
        <v>226</v>
      </c>
      <c r="B88" s="1" t="s">
        <v>234</v>
      </c>
      <c r="C88" s="25">
        <v>1814</v>
      </c>
      <c r="D88" s="25">
        <v>20.822700000000001</v>
      </c>
      <c r="E88" s="25">
        <f t="array" ref="E88">$C$11*VLOOKUP($B$11,$R$10:$S$16,2,0)</f>
        <v>1200000</v>
      </c>
      <c r="F88" s="25">
        <v>5.3628E-3</v>
      </c>
      <c r="G88" s="19">
        <f t="shared" si="8"/>
        <v>6435.36</v>
      </c>
      <c r="H88" s="19">
        <f>(C88*D88+N88)</f>
        <v>37772.377800000002</v>
      </c>
      <c r="I88" s="25"/>
      <c r="J88" s="25"/>
      <c r="K88" s="19"/>
      <c r="L88" s="25"/>
      <c r="M88" s="25"/>
      <c r="N88" s="25"/>
      <c r="O88" s="19"/>
    </row>
    <row r="89" spans="1:37" hidden="1">
      <c r="A89" s="1" t="s">
        <v>226</v>
      </c>
      <c r="B89" s="1" t="s">
        <v>235</v>
      </c>
      <c r="C89" s="25">
        <v>3000</v>
      </c>
      <c r="D89" s="25">
        <v>22.032699999999998</v>
      </c>
      <c r="E89" s="25">
        <f t="array" ref="E89">$C$11*VLOOKUP($B$11,$R$10:$S$16,2,0)</f>
        <v>1200000</v>
      </c>
      <c r="F89" s="25">
        <v>5.3628E-3</v>
      </c>
      <c r="G89" s="19">
        <f t="shared" si="8"/>
        <v>6435.36</v>
      </c>
      <c r="H89" s="19">
        <f>(C89*D89)*6</f>
        <v>396588.6</v>
      </c>
      <c r="I89" s="25"/>
      <c r="J89" s="25"/>
      <c r="K89" s="19"/>
      <c r="L89" s="25"/>
      <c r="M89" s="25"/>
      <c r="N89" s="25"/>
      <c r="O89" s="19"/>
    </row>
    <row r="90" spans="1:37" hidden="1">
      <c r="A90" s="1" t="s">
        <v>225</v>
      </c>
      <c r="B90" s="1" t="s">
        <v>236</v>
      </c>
      <c r="C90" s="25">
        <v>6537</v>
      </c>
      <c r="D90" s="25">
        <v>27.283300000000001</v>
      </c>
      <c r="E90" s="25">
        <f t="array" ref="E90">$C$11*VLOOKUP($B$11,$R$10:$S$16,2,0)</f>
        <v>1200000</v>
      </c>
      <c r="F90" s="25">
        <v>6.0112999999999998E-3</v>
      </c>
      <c r="G90" s="19">
        <f t="shared" ref="G90" si="10">E90*F90</f>
        <v>7213.5599999999995</v>
      </c>
      <c r="H90" s="19">
        <f>C90*D90+N90</f>
        <v>178350.93210000001</v>
      </c>
      <c r="I90" s="25"/>
      <c r="J90" s="25"/>
      <c r="K90" s="19"/>
      <c r="L90" s="25"/>
      <c r="M90" s="25"/>
      <c r="N90" s="25"/>
      <c r="O90" s="19"/>
    </row>
    <row r="91" spans="1:37" hidden="1">
      <c r="A91" s="1" t="s">
        <v>227</v>
      </c>
      <c r="B91" s="1" t="s">
        <v>10</v>
      </c>
      <c r="C91" s="25">
        <v>55289</v>
      </c>
      <c r="D91" s="25">
        <v>16.252700000000001</v>
      </c>
      <c r="E91" s="25">
        <f>$C$11*VLOOKUP($B$11,$R$10:$S$16,2,0)</f>
        <v>1200000</v>
      </c>
      <c r="F91" s="25">
        <v>0.25983000000000001</v>
      </c>
      <c r="G91" s="19">
        <f t="shared" ref="G91" si="11">E91*F91</f>
        <v>311796</v>
      </c>
      <c r="H91" s="19">
        <f t="shared" ref="H91" si="12">C91*D91+N91</f>
        <v>898595.5303000001</v>
      </c>
      <c r="I91" s="25"/>
      <c r="J91" s="25"/>
      <c r="K91" s="19"/>
      <c r="L91" s="25"/>
      <c r="M91" s="25"/>
      <c r="N91" s="25"/>
      <c r="O91" s="19"/>
    </row>
    <row r="92" spans="1:37" hidden="1">
      <c r="A92" s="1" t="s">
        <v>228</v>
      </c>
      <c r="B92" s="1" t="s">
        <v>125</v>
      </c>
      <c r="C92" s="25">
        <v>3024</v>
      </c>
      <c r="D92" s="25">
        <v>41.068100000000001</v>
      </c>
      <c r="E92" s="25">
        <f t="shared" ref="E92:E95" si="13">$C$11*VLOOKUP($B$11,$R$10:$S$16,2,0)</f>
        <v>1200000</v>
      </c>
      <c r="F92" s="25">
        <v>5.8309E-3</v>
      </c>
      <c r="G92" s="19">
        <f t="shared" ref="G92" si="14">E92*F92</f>
        <v>6997.08</v>
      </c>
      <c r="H92" s="19">
        <f t="shared" ref="H92" si="15">C92*D92+N92</f>
        <v>124189.9344</v>
      </c>
      <c r="I92" s="25"/>
      <c r="J92" s="25"/>
      <c r="K92" s="19"/>
      <c r="L92" s="25"/>
      <c r="M92" s="25"/>
      <c r="N92" s="25"/>
      <c r="O92" s="19"/>
    </row>
    <row r="93" spans="1:37" hidden="1">
      <c r="A93" s="1" t="s">
        <v>228</v>
      </c>
      <c r="B93" s="1" t="s">
        <v>10</v>
      </c>
      <c r="C93" s="25">
        <v>5477</v>
      </c>
      <c r="D93" s="25">
        <v>49.665100000000002</v>
      </c>
      <c r="E93" s="25">
        <f t="shared" si="13"/>
        <v>1200000</v>
      </c>
      <c r="F93" s="25">
        <v>5.8309E-3</v>
      </c>
      <c r="G93" s="19">
        <f t="shared" ref="G93:G94" si="16">E93*F93</f>
        <v>6997.08</v>
      </c>
      <c r="H93" s="19">
        <f t="shared" ref="H93:H94" si="17">C93*D93+N93</f>
        <v>272015.75270000001</v>
      </c>
      <c r="I93" s="25"/>
      <c r="J93" s="25"/>
      <c r="K93" s="19"/>
      <c r="L93" s="25"/>
      <c r="M93" s="25"/>
      <c r="N93" s="25"/>
      <c r="O93" s="19"/>
    </row>
    <row r="94" spans="1:37" hidden="1">
      <c r="A94" s="1" t="s">
        <v>229</v>
      </c>
      <c r="B94" s="1" t="s">
        <v>10</v>
      </c>
      <c r="C94" s="25">
        <v>3716</v>
      </c>
      <c r="D94" s="25">
        <v>73.674400000000006</v>
      </c>
      <c r="E94" s="25">
        <f t="shared" si="13"/>
        <v>1200000</v>
      </c>
      <c r="F94" s="25">
        <v>4.8869999999999999E-3</v>
      </c>
      <c r="G94" s="19">
        <f t="shared" si="16"/>
        <v>5864.4</v>
      </c>
      <c r="H94" s="19">
        <f t="shared" si="17"/>
        <v>273774.07040000003</v>
      </c>
      <c r="I94" s="25"/>
      <c r="J94" s="25"/>
      <c r="K94" s="19"/>
      <c r="L94" s="25"/>
      <c r="M94" s="25"/>
      <c r="N94" s="25"/>
      <c r="O94" s="19"/>
    </row>
    <row r="95" spans="1:37" hidden="1">
      <c r="A95" s="1" t="s">
        <v>171</v>
      </c>
      <c r="B95" s="1" t="s">
        <v>10</v>
      </c>
      <c r="C95" s="25">
        <v>435.26600000000002</v>
      </c>
      <c r="D95" s="25">
        <v>38.717599999999997</v>
      </c>
      <c r="E95" s="25">
        <f t="shared" si="13"/>
        <v>1200000</v>
      </c>
      <c r="F95" s="25">
        <v>5.0000000000000001E-3</v>
      </c>
      <c r="G95" s="19">
        <f t="shared" ref="G95" si="18">E95*F95</f>
        <v>6000</v>
      </c>
      <c r="H95" s="19">
        <f t="shared" ref="H95" si="19">C95*D95+N95</f>
        <v>16852.454881599999</v>
      </c>
      <c r="I95" s="25"/>
      <c r="J95" s="25"/>
      <c r="K95" s="19"/>
      <c r="L95" s="25"/>
      <c r="M95" s="25"/>
      <c r="N95" s="25"/>
      <c r="O95" s="19"/>
    </row>
    <row r="96" spans="1:37" hidden="1">
      <c r="B96" s="1" t="s">
        <v>178</v>
      </c>
      <c r="C96" s="1" t="s">
        <v>179</v>
      </c>
      <c r="D96" s="1" t="s">
        <v>181</v>
      </c>
      <c r="E96" s="1" t="s">
        <v>183</v>
      </c>
      <c r="F96" s="1" t="s">
        <v>185</v>
      </c>
      <c r="G96" s="1" t="s">
        <v>187</v>
      </c>
      <c r="H96" s="1" t="s">
        <v>189</v>
      </c>
      <c r="I96" s="1" t="s">
        <v>191</v>
      </c>
      <c r="J96" s="1" t="s">
        <v>193</v>
      </c>
      <c r="K96" s="1" t="s">
        <v>195</v>
      </c>
      <c r="L96" s="1" t="s">
        <v>196</v>
      </c>
      <c r="M96" s="1" t="s">
        <v>198</v>
      </c>
      <c r="N96" s="1" t="s">
        <v>199</v>
      </c>
      <c r="O96" s="1" t="s">
        <v>200</v>
      </c>
      <c r="P96" s="1" t="s">
        <v>201</v>
      </c>
      <c r="Q96" s="1" t="s">
        <v>203</v>
      </c>
      <c r="R96" s="1" t="s">
        <v>205</v>
      </c>
      <c r="S96" s="1" t="s">
        <v>207</v>
      </c>
      <c r="T96" s="1" t="s">
        <v>220</v>
      </c>
      <c r="U96" s="1" t="s">
        <v>211</v>
      </c>
      <c r="V96" s="1" t="s">
        <v>213</v>
      </c>
      <c r="W96" s="1" t="s">
        <v>215</v>
      </c>
      <c r="X96" s="1" t="s">
        <v>217</v>
      </c>
      <c r="Y96" s="1" t="s">
        <v>218</v>
      </c>
      <c r="Z96" s="1" t="s">
        <v>219</v>
      </c>
      <c r="AA96" s="1" t="s">
        <v>220</v>
      </c>
      <c r="AB96" s="1" t="s">
        <v>221</v>
      </c>
      <c r="AC96" s="1" t="s">
        <v>222</v>
      </c>
      <c r="AD96" s="1" t="s">
        <v>223</v>
      </c>
      <c r="AE96" s="1" t="s">
        <v>224</v>
      </c>
      <c r="AF96" s="1" t="s">
        <v>225</v>
      </c>
      <c r="AG96" s="1" t="s">
        <v>226</v>
      </c>
      <c r="AH96" s="1" t="s">
        <v>227</v>
      </c>
      <c r="AI96" s="1" t="s">
        <v>228</v>
      </c>
      <c r="AJ96" s="1" t="s">
        <v>229</v>
      </c>
      <c r="AK96" s="1" t="s">
        <v>171</v>
      </c>
    </row>
    <row r="97" spans="2:37" hidden="1">
      <c r="B97" s="1" t="s">
        <v>103</v>
      </c>
      <c r="C97" s="1" t="s">
        <v>190</v>
      </c>
      <c r="D97" s="1" t="s">
        <v>132</v>
      </c>
      <c r="E97" s="1" t="s">
        <v>197</v>
      </c>
      <c r="F97" s="1" t="s">
        <v>197</v>
      </c>
      <c r="G97" s="1" t="s">
        <v>197</v>
      </c>
      <c r="H97" s="1" t="s">
        <v>197</v>
      </c>
      <c r="I97" s="1" t="s">
        <v>202</v>
      </c>
      <c r="J97" s="1" t="s">
        <v>194</v>
      </c>
      <c r="K97" s="1" t="s">
        <v>10</v>
      </c>
      <c r="L97" s="1" t="s">
        <v>10</v>
      </c>
      <c r="M97" s="1" t="s">
        <v>10</v>
      </c>
      <c r="N97" s="1" t="s">
        <v>125</v>
      </c>
      <c r="O97" s="1" t="s">
        <v>10</v>
      </c>
      <c r="P97" s="1" t="s">
        <v>124</v>
      </c>
      <c r="Q97" s="1" t="s">
        <v>125</v>
      </c>
      <c r="R97" s="1" t="s">
        <v>131</v>
      </c>
      <c r="S97" s="1" t="s">
        <v>132</v>
      </c>
      <c r="T97" s="1" t="s">
        <v>132</v>
      </c>
      <c r="U97" s="1" t="s">
        <v>10</v>
      </c>
      <c r="V97" s="1" t="s">
        <v>230</v>
      </c>
      <c r="W97" s="1" t="s">
        <v>230</v>
      </c>
      <c r="X97" s="1" t="s">
        <v>10</v>
      </c>
      <c r="Y97" s="1" t="s">
        <v>231</v>
      </c>
      <c r="Z97" s="1" t="s">
        <v>125</v>
      </c>
      <c r="AA97" s="1" t="s">
        <v>132</v>
      </c>
      <c r="AB97" s="1" t="s">
        <v>10</v>
      </c>
      <c r="AC97" s="1" t="s">
        <v>10</v>
      </c>
      <c r="AD97" s="1" t="s">
        <v>10</v>
      </c>
      <c r="AE97" s="1" t="s">
        <v>233</v>
      </c>
      <c r="AF97" s="1" t="s">
        <v>236</v>
      </c>
      <c r="AG97" s="1" t="s">
        <v>234</v>
      </c>
      <c r="AH97" s="1" t="s">
        <v>10</v>
      </c>
      <c r="AI97" s="1" t="s">
        <v>125</v>
      </c>
      <c r="AJ97" s="1" t="s">
        <v>10</v>
      </c>
      <c r="AK97" s="1" t="s">
        <v>10</v>
      </c>
    </row>
    <row r="98" spans="2:37" hidden="1">
      <c r="B98" s="1" t="s">
        <v>119</v>
      </c>
      <c r="C98" s="1" t="s">
        <v>192</v>
      </c>
      <c r="D98"/>
      <c r="G98"/>
      <c r="H98"/>
      <c r="I98" s="1" t="s">
        <v>204</v>
      </c>
      <c r="J98"/>
      <c r="K98"/>
      <c r="L98"/>
      <c r="M98"/>
      <c r="N98"/>
      <c r="O98"/>
      <c r="P98"/>
      <c r="Y98" s="1" t="s">
        <v>232</v>
      </c>
      <c r="AG98" s="1" t="s">
        <v>235</v>
      </c>
      <c r="AI98" s="1" t="s">
        <v>10</v>
      </c>
    </row>
    <row r="99" spans="2:37" hidden="1">
      <c r="B99" s="1" t="s">
        <v>180</v>
      </c>
      <c r="C99" s="1" t="s">
        <v>194</v>
      </c>
      <c r="D99"/>
      <c r="G99"/>
      <c r="H99"/>
      <c r="I99" s="1" t="s">
        <v>206</v>
      </c>
      <c r="J99"/>
      <c r="K99"/>
      <c r="L99"/>
      <c r="M99"/>
      <c r="N99"/>
      <c r="O99"/>
      <c r="P99"/>
    </row>
    <row r="100" spans="2:37" hidden="1">
      <c r="B100" s="1" t="s">
        <v>182</v>
      </c>
      <c r="C100"/>
      <c r="D100"/>
      <c r="G100"/>
      <c r="H100"/>
      <c r="I100" s="1" t="s">
        <v>208</v>
      </c>
      <c r="J100"/>
      <c r="K100"/>
      <c r="L100"/>
      <c r="M100"/>
      <c r="N100"/>
      <c r="O100"/>
      <c r="P100"/>
    </row>
    <row r="101" spans="2:37" hidden="1">
      <c r="B101" s="1" t="s">
        <v>184</v>
      </c>
      <c r="E101"/>
      <c r="F101"/>
      <c r="G101"/>
      <c r="H101"/>
      <c r="I101" s="1" t="s">
        <v>210</v>
      </c>
      <c r="J101"/>
      <c r="K101"/>
      <c r="L101"/>
      <c r="M101"/>
      <c r="N101"/>
      <c r="O101"/>
      <c r="P101"/>
    </row>
    <row r="102" spans="2:37" hidden="1">
      <c r="B102" s="1" t="s">
        <v>186</v>
      </c>
      <c r="E102"/>
      <c r="F102"/>
      <c r="G102"/>
      <c r="H102"/>
      <c r="I102" s="1" t="s">
        <v>212</v>
      </c>
      <c r="J102"/>
      <c r="K102"/>
      <c r="L102"/>
      <c r="M102"/>
      <c r="N102"/>
      <c r="O102"/>
      <c r="P102"/>
    </row>
    <row r="103" spans="2:37" ht="18" hidden="1" customHeight="1">
      <c r="B103" s="1" t="s">
        <v>188</v>
      </c>
      <c r="E103"/>
      <c r="F103"/>
      <c r="G103"/>
      <c r="H103"/>
      <c r="I103" s="1" t="s">
        <v>214</v>
      </c>
      <c r="J103"/>
      <c r="K103"/>
      <c r="L103"/>
      <c r="M103"/>
      <c r="N103"/>
      <c r="O103"/>
      <c r="P103"/>
    </row>
    <row r="104" spans="2:37" ht="18" hidden="1" customHeight="1">
      <c r="I104" s="1" t="s">
        <v>216</v>
      </c>
      <c r="M104"/>
      <c r="N104"/>
      <c r="O104"/>
      <c r="P104"/>
    </row>
    <row r="105" spans="2:37" hidden="1">
      <c r="M105"/>
      <c r="N105"/>
      <c r="O105"/>
      <c r="P105"/>
    </row>
    <row r="106" spans="2:37">
      <c r="E106" s="18"/>
      <c r="M106"/>
      <c r="N106"/>
      <c r="O106"/>
      <c r="P106"/>
    </row>
    <row r="107" spans="2:37">
      <c r="M107"/>
      <c r="N107"/>
      <c r="O107"/>
      <c r="P107"/>
    </row>
    <row r="108" spans="2:37">
      <c r="E108" s="18"/>
      <c r="M108"/>
      <c r="N108"/>
      <c r="O108"/>
      <c r="P108"/>
    </row>
    <row r="109" spans="2:37">
      <c r="B109" s="44"/>
      <c r="C109" s="44"/>
      <c r="D109" s="44"/>
      <c r="E109" s="18"/>
      <c r="F109" s="18"/>
      <c r="G109" s="18"/>
      <c r="H109" s="18"/>
      <c r="I109" s="18"/>
      <c r="J109" s="18"/>
      <c r="K109" s="18"/>
      <c r="L109" s="18"/>
      <c r="M109"/>
      <c r="N109"/>
      <c r="O109"/>
      <c r="P109"/>
    </row>
    <row r="110" spans="2:37">
      <c r="M110"/>
      <c r="N110"/>
      <c r="O110"/>
      <c r="P110"/>
    </row>
    <row r="111" spans="2:37">
      <c r="E111"/>
      <c r="F111"/>
      <c r="G111"/>
      <c r="H111"/>
      <c r="I111"/>
      <c r="J111"/>
      <c r="K111"/>
      <c r="L111"/>
      <c r="M111"/>
      <c r="N111"/>
      <c r="O111"/>
      <c r="P111"/>
    </row>
    <row r="112" spans="2:37">
      <c r="E112"/>
      <c r="F112"/>
      <c r="G112"/>
      <c r="H112"/>
      <c r="I112"/>
      <c r="J112"/>
      <c r="K112"/>
      <c r="L112"/>
      <c r="M112"/>
      <c r="N112"/>
      <c r="O112"/>
      <c r="P112"/>
    </row>
    <row r="113" spans="5:16">
      <c r="E113"/>
      <c r="F113"/>
      <c r="G113"/>
      <c r="H113"/>
      <c r="I113"/>
      <c r="J113"/>
      <c r="K113"/>
      <c r="L113"/>
      <c r="M113"/>
      <c r="N113"/>
      <c r="O113"/>
      <c r="P113"/>
    </row>
    <row r="114" spans="5:16">
      <c r="E114"/>
      <c r="F114"/>
      <c r="G114"/>
      <c r="H114"/>
      <c r="I114"/>
      <c r="J114" t="s">
        <v>366</v>
      </c>
      <c r="K114"/>
      <c r="L114"/>
      <c r="M114"/>
      <c r="N114"/>
      <c r="O114"/>
      <c r="P114"/>
    </row>
    <row r="115" spans="5:16">
      <c r="E115"/>
      <c r="F115"/>
      <c r="G115"/>
      <c r="H115"/>
      <c r="I115"/>
      <c r="J115"/>
      <c r="K115"/>
      <c r="L115"/>
      <c r="M115"/>
      <c r="N115"/>
      <c r="O115"/>
      <c r="P115"/>
    </row>
    <row r="116" spans="5:16">
      <c r="E116"/>
      <c r="F116"/>
      <c r="G116"/>
      <c r="H116"/>
      <c r="I116"/>
      <c r="J116"/>
      <c r="K116"/>
      <c r="L116"/>
      <c r="M116"/>
      <c r="N116"/>
      <c r="O116"/>
      <c r="P116"/>
    </row>
    <row r="117" spans="5:16">
      <c r="E117"/>
      <c r="F117"/>
      <c r="G117"/>
      <c r="H117"/>
      <c r="I117"/>
      <c r="J117"/>
      <c r="K117"/>
      <c r="L117"/>
      <c r="M117"/>
      <c r="N117"/>
      <c r="O117"/>
      <c r="P117"/>
    </row>
    <row r="118" spans="5:16">
      <c r="E118"/>
      <c r="F118"/>
      <c r="G118"/>
      <c r="H118"/>
      <c r="I118"/>
      <c r="J118"/>
      <c r="K118"/>
      <c r="L118"/>
      <c r="M118"/>
      <c r="N118"/>
      <c r="O118"/>
      <c r="P118"/>
    </row>
    <row r="119" spans="5:16">
      <c r="E119"/>
      <c r="F119"/>
      <c r="G119"/>
      <c r="H119"/>
      <c r="I119"/>
      <c r="J119"/>
      <c r="K119"/>
      <c r="L119"/>
      <c r="M119"/>
      <c r="N119"/>
      <c r="O119"/>
      <c r="P119"/>
    </row>
    <row r="120" spans="5:16">
      <c r="E120"/>
      <c r="F120"/>
      <c r="G120"/>
      <c r="H120"/>
      <c r="I120"/>
      <c r="J120"/>
      <c r="K120"/>
      <c r="L120"/>
      <c r="M120"/>
      <c r="N120"/>
      <c r="O120"/>
      <c r="P120"/>
    </row>
    <row r="121" spans="5:16">
      <c r="E121"/>
      <c r="F121"/>
      <c r="G121"/>
      <c r="H121"/>
      <c r="I121"/>
      <c r="J121"/>
      <c r="K121"/>
      <c r="L121"/>
      <c r="M121"/>
      <c r="N121"/>
      <c r="O121"/>
      <c r="P121"/>
    </row>
    <row r="122" spans="5:16">
      <c r="E122"/>
      <c r="F122"/>
      <c r="G122"/>
      <c r="H122"/>
      <c r="I122"/>
      <c r="J122"/>
      <c r="K122"/>
      <c r="L122"/>
      <c r="M122"/>
      <c r="N122"/>
      <c r="O122"/>
      <c r="P122"/>
    </row>
    <row r="123" spans="5:16">
      <c r="E123"/>
      <c r="F123"/>
      <c r="G123"/>
      <c r="H123"/>
      <c r="I123"/>
      <c r="J123"/>
      <c r="K123"/>
      <c r="L123"/>
      <c r="M123"/>
      <c r="N123"/>
      <c r="O123"/>
      <c r="P123"/>
    </row>
    <row r="124" spans="5:16">
      <c r="E124"/>
      <c r="F124"/>
      <c r="G124"/>
      <c r="H124"/>
      <c r="I124"/>
      <c r="J124"/>
      <c r="K124"/>
      <c r="L124"/>
      <c r="M124"/>
      <c r="N124"/>
      <c r="O124"/>
      <c r="P124"/>
    </row>
    <row r="125" spans="5:16">
      <c r="E125"/>
      <c r="F125"/>
      <c r="G125"/>
      <c r="H125"/>
      <c r="I125"/>
      <c r="J125"/>
      <c r="K125"/>
      <c r="L125"/>
      <c r="M125"/>
      <c r="N125"/>
      <c r="O125"/>
      <c r="P125"/>
    </row>
    <row r="126" spans="5:16">
      <c r="E126"/>
      <c r="F126"/>
      <c r="G126"/>
      <c r="H126"/>
      <c r="I126"/>
      <c r="J126"/>
      <c r="K126"/>
      <c r="L126"/>
      <c r="M126"/>
      <c r="N126"/>
      <c r="O126"/>
      <c r="P126"/>
    </row>
    <row r="127" spans="5:16">
      <c r="E127"/>
      <c r="F127"/>
      <c r="G127"/>
      <c r="H127"/>
      <c r="I127"/>
      <c r="J127"/>
      <c r="K127"/>
      <c r="L127"/>
      <c r="M127"/>
      <c r="N127"/>
      <c r="O127"/>
      <c r="P127"/>
    </row>
    <row r="128" spans="5:16">
      <c r="E128"/>
      <c r="F128"/>
      <c r="G128"/>
      <c r="H128"/>
      <c r="I128"/>
      <c r="J128"/>
      <c r="K128"/>
      <c r="L128"/>
      <c r="M128"/>
      <c r="N128"/>
      <c r="O128"/>
      <c r="P128"/>
    </row>
    <row r="129" spans="5:16">
      <c r="E129"/>
      <c r="F129"/>
      <c r="G129"/>
      <c r="H129"/>
      <c r="I129"/>
      <c r="J129"/>
      <c r="K129"/>
      <c r="L129"/>
      <c r="M129"/>
      <c r="N129"/>
      <c r="O129"/>
      <c r="P129"/>
    </row>
    <row r="130" spans="5:16" ht="17.100000000000001" customHeight="1">
      <c r="E130"/>
      <c r="F130"/>
      <c r="G130"/>
      <c r="H130"/>
      <c r="I130"/>
      <c r="J130"/>
      <c r="K130"/>
      <c r="L130"/>
      <c r="M130"/>
      <c r="N130"/>
      <c r="O130"/>
      <c r="P130"/>
    </row>
    <row r="131" spans="5:16">
      <c r="E131"/>
      <c r="F131"/>
      <c r="G131"/>
      <c r="H131"/>
      <c r="I131"/>
      <c r="J131"/>
      <c r="K131"/>
      <c r="L131"/>
      <c r="M131"/>
      <c r="N131"/>
      <c r="O131"/>
      <c r="P131"/>
    </row>
    <row r="132" spans="5:16">
      <c r="E132"/>
      <c r="F132"/>
      <c r="G132"/>
      <c r="H132"/>
      <c r="I132"/>
      <c r="J132"/>
      <c r="K132"/>
      <c r="L132"/>
      <c r="M132"/>
      <c r="N132"/>
      <c r="O132"/>
      <c r="P132"/>
    </row>
    <row r="133" spans="5:16">
      <c r="E133"/>
      <c r="F133"/>
      <c r="G133"/>
      <c r="H133"/>
      <c r="I133"/>
      <c r="J133"/>
      <c r="K133"/>
      <c r="L133"/>
      <c r="M133"/>
      <c r="N133"/>
      <c r="O133"/>
      <c r="P133"/>
    </row>
    <row r="134" spans="5:16">
      <c r="E134"/>
      <c r="F134"/>
      <c r="G134"/>
      <c r="H134"/>
      <c r="I134"/>
      <c r="J134"/>
      <c r="K134"/>
      <c r="L134"/>
      <c r="M134"/>
      <c r="N134"/>
      <c r="O134"/>
      <c r="P134"/>
    </row>
    <row r="135" spans="5:16">
      <c r="E135"/>
      <c r="F135"/>
      <c r="G135"/>
      <c r="H135"/>
      <c r="I135"/>
      <c r="J135"/>
      <c r="K135"/>
      <c r="L135"/>
      <c r="M135"/>
      <c r="N135"/>
      <c r="O135"/>
      <c r="P135"/>
    </row>
    <row r="136" spans="5:16">
      <c r="E136"/>
      <c r="F136"/>
      <c r="G136"/>
      <c r="H136"/>
      <c r="I136"/>
      <c r="J136"/>
      <c r="K136"/>
      <c r="L136"/>
      <c r="M136"/>
      <c r="N136"/>
      <c r="O136"/>
      <c r="P136"/>
    </row>
    <row r="168" spans="1:22" ht="1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row>
    <row r="169" spans="1:22" ht="1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row>
    <row r="170" spans="1:22">
      <c r="N170" s="42"/>
      <c r="O170" s="42"/>
      <c r="Q170" s="42"/>
      <c r="V170" s="42"/>
    </row>
  </sheetData>
  <mergeCells count="6">
    <mergeCell ref="D1:L4"/>
    <mergeCell ref="B7:B9"/>
    <mergeCell ref="B11:B12"/>
    <mergeCell ref="C7:C9"/>
    <mergeCell ref="C11:C12"/>
    <mergeCell ref="D11:D12"/>
  </mergeCells>
  <phoneticPr fontId="18" type="noConversion"/>
  <dataValidations count="3">
    <dataValidation type="list" allowBlank="1" showInputMessage="1" showErrorMessage="1" sqref="B11" xr:uid="{00000000-0002-0000-0100-000000000000}">
      <formula1>"ms,s,min,hr,day,mo,yr"</formula1>
    </dataValidation>
    <dataValidation type="list" showInputMessage="1" showErrorMessage="1" sqref="D11" xr:uid="{00000000-0002-0000-0100-000001000000}">
      <formula1>INDIRECT($B$7)</formula1>
    </dataValidation>
    <dataValidation type="list" allowBlank="1" showInputMessage="1" showErrorMessage="1" sqref="B7:B9" xr:uid="{00000000-0002-0000-0100-000002000000}">
      <formula1>$B$96:$AO$96</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6"/>
  <sheetViews>
    <sheetView zoomScale="85" zoomScaleNormal="85" workbookViewId="0">
      <selection activeCell="N15" sqref="N15"/>
    </sheetView>
  </sheetViews>
  <sheetFormatPr defaultColWidth="9" defaultRowHeight="15"/>
  <cols>
    <col min="1" max="1" width="21.85546875" style="1" customWidth="1"/>
    <col min="2" max="3" width="17.140625" style="1" customWidth="1"/>
    <col min="4" max="4" width="19.42578125" style="1" customWidth="1"/>
    <col min="5" max="5" width="19.7109375" style="1" customWidth="1"/>
    <col min="6" max="6" width="23.140625" style="1" customWidth="1"/>
    <col min="7" max="7" width="18.85546875" style="1" customWidth="1"/>
    <col min="8" max="8" width="18" style="1" customWidth="1"/>
    <col min="9" max="9" width="17.7109375" style="1" customWidth="1"/>
    <col min="10" max="12" width="20" style="1" customWidth="1"/>
    <col min="13" max="13" width="18.42578125" style="1" customWidth="1"/>
    <col min="14" max="15" width="19.85546875" style="1" customWidth="1"/>
    <col min="16" max="16" width="21.140625" style="1" customWidth="1"/>
    <col min="17" max="17" width="18.42578125" style="1" customWidth="1"/>
    <col min="18" max="18" width="12.7109375" style="1" hidden="1" customWidth="1"/>
    <col min="19" max="19" width="15.85546875" style="1" hidden="1" customWidth="1"/>
    <col min="20" max="20" width="14.7109375" style="1" customWidth="1"/>
    <col min="21" max="21" width="13.42578125" style="1" customWidth="1"/>
    <col min="22" max="24" width="9" style="1"/>
    <col min="25" max="25" width="16.42578125" style="1" customWidth="1"/>
    <col min="26" max="26" width="7.85546875" style="1" customWidth="1"/>
    <col min="27" max="16384" width="9" style="1"/>
  </cols>
  <sheetData>
    <row r="1" spans="1:19">
      <c r="A1" s="2"/>
      <c r="B1" s="2"/>
      <c r="C1" s="2"/>
      <c r="D1" s="54" t="s">
        <v>170</v>
      </c>
      <c r="E1" s="54"/>
      <c r="F1" s="54"/>
      <c r="G1" s="54"/>
      <c r="H1" s="54"/>
      <c r="I1" s="54"/>
      <c r="J1" s="54"/>
      <c r="K1" s="54"/>
      <c r="L1" s="54"/>
      <c r="M1"/>
      <c r="N1"/>
    </row>
    <row r="2" spans="1:19">
      <c r="A2" s="2"/>
      <c r="B2" s="2"/>
      <c r="C2" s="2"/>
      <c r="D2" s="54"/>
      <c r="E2" s="54"/>
      <c r="F2" s="54"/>
      <c r="G2" s="54"/>
      <c r="H2" s="54"/>
      <c r="I2" s="54"/>
      <c r="J2" s="54"/>
      <c r="K2" s="54"/>
      <c r="L2" s="54"/>
      <c r="M2"/>
      <c r="N2"/>
    </row>
    <row r="3" spans="1:19">
      <c r="A3" s="2"/>
      <c r="B3" s="2"/>
      <c r="C3" s="2"/>
      <c r="D3" s="54"/>
      <c r="E3" s="54"/>
      <c r="F3" s="54"/>
      <c r="G3" s="54"/>
      <c r="H3" s="54"/>
      <c r="I3" s="54"/>
      <c r="J3" s="54"/>
      <c r="K3" s="54"/>
      <c r="L3" s="54"/>
      <c r="M3"/>
      <c r="N3"/>
    </row>
    <row r="4" spans="1:19" ht="81.75" customHeight="1">
      <c r="A4" s="2"/>
      <c r="B4" s="2"/>
      <c r="C4" s="2"/>
      <c r="D4" s="54"/>
      <c r="E4" s="54"/>
      <c r="F4" s="54"/>
      <c r="G4" s="54"/>
      <c r="H4" s="54"/>
      <c r="I4" s="54"/>
      <c r="J4" s="54"/>
      <c r="K4" s="54"/>
      <c r="L4" s="54"/>
    </row>
    <row r="5" spans="1:19" ht="15.75">
      <c r="A5" s="2" t="s">
        <v>1</v>
      </c>
      <c r="B5" s="2"/>
      <c r="C5" s="2"/>
      <c r="D5" s="69" t="s">
        <v>237</v>
      </c>
      <c r="E5" s="69"/>
      <c r="F5" s="69"/>
      <c r="G5" s="69"/>
      <c r="H5" s="69"/>
      <c r="I5" s="69"/>
      <c r="J5" s="69"/>
      <c r="K5" s="69"/>
      <c r="L5" s="69"/>
    </row>
    <row r="6" spans="1:19">
      <c r="A6" s="3"/>
      <c r="B6" s="4" t="s">
        <v>2</v>
      </c>
      <c r="C6" s="5" t="s">
        <v>3</v>
      </c>
      <c r="D6" s="3"/>
      <c r="E6" s="3"/>
      <c r="F6" s="3"/>
      <c r="G6" s="3"/>
      <c r="H6" s="3"/>
      <c r="I6" s="3"/>
      <c r="J6" s="3"/>
      <c r="K6" s="3"/>
      <c r="L6" s="3"/>
    </row>
    <row r="7" spans="1:19">
      <c r="A7" s="3"/>
      <c r="B7" s="56" t="s">
        <v>238</v>
      </c>
      <c r="C7" s="64">
        <f>VLOOKUP(B7,P42:Q69,2,0)</f>
        <v>3000</v>
      </c>
      <c r="D7" s="3"/>
      <c r="E7" s="3"/>
      <c r="F7" s="3"/>
      <c r="G7" s="3"/>
      <c r="H7" s="3"/>
      <c r="I7" s="3"/>
      <c r="J7" s="3"/>
      <c r="K7" s="3"/>
      <c r="L7" s="3"/>
    </row>
    <row r="8" spans="1:19">
      <c r="A8" s="3"/>
      <c r="B8" s="56"/>
      <c r="C8" s="59"/>
      <c r="D8" s="3"/>
      <c r="E8" s="3"/>
      <c r="F8" s="3"/>
      <c r="G8" s="3"/>
      <c r="H8" s="3"/>
      <c r="I8" s="3"/>
      <c r="J8" s="3"/>
      <c r="K8" s="3"/>
      <c r="L8" s="3"/>
      <c r="M8"/>
    </row>
    <row r="9" spans="1:19">
      <c r="A9" s="3"/>
      <c r="B9" s="56"/>
      <c r="C9" s="65"/>
      <c r="D9" s="3"/>
      <c r="E9" s="3"/>
      <c r="F9" s="3"/>
      <c r="G9" s="3"/>
      <c r="H9" s="3"/>
      <c r="I9" s="3"/>
      <c r="J9" s="3"/>
      <c r="K9" s="3"/>
      <c r="L9" s="3"/>
      <c r="M9"/>
    </row>
    <row r="10" spans="1:19">
      <c r="A10" s="3"/>
      <c r="B10" s="6" t="s">
        <v>5</v>
      </c>
      <c r="C10" s="6" t="s">
        <v>6</v>
      </c>
      <c r="D10" s="7" t="s">
        <v>7</v>
      </c>
      <c r="E10" s="3"/>
      <c r="F10" s="3"/>
      <c r="G10" s="3"/>
      <c r="H10" s="3"/>
      <c r="I10" s="3"/>
      <c r="J10" s="3"/>
      <c r="K10" s="3"/>
      <c r="L10" s="3"/>
      <c r="M10"/>
      <c r="R10" s="22" t="s">
        <v>8</v>
      </c>
      <c r="S10" s="22">
        <v>1</v>
      </c>
    </row>
    <row r="11" spans="1:19" ht="15" customHeight="1">
      <c r="A11" s="3"/>
      <c r="B11" s="57" t="s">
        <v>9</v>
      </c>
      <c r="C11" s="60">
        <v>20</v>
      </c>
      <c r="D11" s="67" t="s">
        <v>132</v>
      </c>
      <c r="E11" s="3"/>
      <c r="F11" s="3"/>
      <c r="G11" s="3"/>
      <c r="H11" s="3"/>
      <c r="I11" s="3"/>
      <c r="J11" s="3"/>
      <c r="K11" s="3"/>
      <c r="L11" s="3"/>
      <c r="M11"/>
      <c r="R11" s="22" t="s">
        <v>11</v>
      </c>
      <c r="S11" s="22">
        <f>S10*1000</f>
        <v>1000</v>
      </c>
    </row>
    <row r="12" spans="1:19" ht="25.5" customHeight="1">
      <c r="A12" s="3"/>
      <c r="B12" s="58"/>
      <c r="C12" s="66"/>
      <c r="D12" s="68"/>
      <c r="E12" s="3"/>
      <c r="F12" s="3"/>
      <c r="G12" s="3"/>
      <c r="H12" s="3"/>
      <c r="I12" s="3"/>
      <c r="J12" s="3"/>
      <c r="K12" s="3"/>
      <c r="L12" s="3"/>
      <c r="M12"/>
      <c r="R12" s="22" t="s">
        <v>9</v>
      </c>
      <c r="S12" s="22">
        <f>S11*60</f>
        <v>60000</v>
      </c>
    </row>
    <row r="13" spans="1:19">
      <c r="A13" s="3"/>
      <c r="B13" s="3"/>
      <c r="C13" s="9" t="s">
        <v>12</v>
      </c>
      <c r="D13" s="9" t="s">
        <v>13</v>
      </c>
      <c r="E13" s="9" t="s">
        <v>14</v>
      </c>
      <c r="F13" s="9" t="s">
        <v>15</v>
      </c>
      <c r="G13" s="9" t="s">
        <v>16</v>
      </c>
      <c r="H13" s="9" t="s">
        <v>17</v>
      </c>
      <c r="I13" s="9" t="s">
        <v>172</v>
      </c>
      <c r="J13" s="9" t="s">
        <v>19</v>
      </c>
      <c r="K13" s="9" t="s">
        <v>20</v>
      </c>
      <c r="L13" s="9" t="s">
        <v>21</v>
      </c>
      <c r="M13"/>
      <c r="N13"/>
      <c r="R13" s="22" t="s">
        <v>22</v>
      </c>
      <c r="S13" s="22">
        <f>S12*60</f>
        <v>3600000</v>
      </c>
    </row>
    <row r="14" spans="1:19" ht="18.75">
      <c r="A14" s="30" t="s">
        <v>23</v>
      </c>
      <c r="B14" s="30" t="s">
        <v>24</v>
      </c>
      <c r="C14" s="31">
        <f t="array" ref="C14">VLOOKUP($B$7&amp;$D$11,IF({1,0},$A$42:$A$132&amp;$B$42:$B$132,$G$42:$G$125),2,0)</f>
        <v>43471.199999999997</v>
      </c>
      <c r="D14" s="31">
        <f t="array" ref="D14">VLOOKUP($B$7&amp;$D$11,IF({1,0},$A$42:$A$132&amp;$B$42:$B$132,$H$42:$H$132),2,0)</f>
        <v>204822.18900000001</v>
      </c>
      <c r="E14" s="31">
        <f t="array" ref="E14">VLOOKUP(B28,B27:S33,13,0)</f>
        <v>5907.3058148</v>
      </c>
      <c r="F14" s="31">
        <f t="shared" ref="F14:F19" si="0">VLOOKUP(B28,B27:W33,14,0)</f>
        <v>692.76022731</v>
      </c>
      <c r="G14" s="31">
        <f t="shared" ref="G14:G19" si="1">VLOOKUP(B28,B27:W33,15,0)</f>
        <v>3604.7036715999998</v>
      </c>
      <c r="H14" s="31">
        <f t="shared" ref="H14:H19" si="2">VLOOKUP(B28,B27:W33,16,0)</f>
        <v>623.83733333333305</v>
      </c>
      <c r="I14" s="31" cm="1">
        <f t="array" ref="I14">(C14+D14+E14+F14+G14+H14+J14+K14)/((VLOOKUP($B$7&amp;$D$11,IF({1,0},$A$42:$A$92&amp;$B$42:$B$92,$L$42:$L$92),2,0))+(((VLOOKUP($B$7&amp;$D$11,IF({1,0},$A$42:$A$92&amp;$B$42:$B$92,$C$42:$C$92),2,0)))+((VLOOKUP($B$7&amp;$D$11,IF({1,0},$A$42:$A$92&amp;$B$42:$B$92,$E$42:$E$92),2,0)))+(VLOOKUP(B28,$B$27:$F$33,2,0))+(VLOOKUP(B28,$B$27:$F$33,3,0))+(VLOOKUP(B28,$B$27:$F$33,4,0))+(VLOOKUP(B28,$B$27:$F$33,5,0))))</f>
        <v>0.215243797750889</v>
      </c>
      <c r="J14" s="31">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14" s="31">
        <f>IF($B$7="LSN50_V2____Waterproof_Long_Range_Wireless_LoRa_Sensor_Node",VLOOKUP(B28,B27:W33,17,0),0)</f>
        <v>0</v>
      </c>
      <c r="L14" s="38">
        <f t="shared" ref="L14:L19" si="3">$C$7/(I14*8760+($C$7*0.02))</f>
        <v>1.54199177577905</v>
      </c>
      <c r="M14"/>
      <c r="N14"/>
      <c r="R14" s="22" t="s">
        <v>25</v>
      </c>
      <c r="S14" s="22">
        <f>S13*24</f>
        <v>86400000</v>
      </c>
    </row>
    <row r="15" spans="1:19" ht="18.75">
      <c r="A15" s="3"/>
      <c r="B15" s="30" t="s">
        <v>26</v>
      </c>
      <c r="C15" s="31">
        <f t="array" ref="C15">VLOOKUP($B$7&amp;$D$11,IF({1,0},$A$42:$A$132&amp;$B$42:$B$132,$G$42:$G$125),2,0)</f>
        <v>43471.199999999997</v>
      </c>
      <c r="D15" s="31">
        <f t="array" ref="D15">VLOOKUP($B$7&amp;$D$11,IF({1,0},$A$42:$A$132&amp;$B$42:$B$132,$H$42:$H$132),2,0)</f>
        <v>204822.18900000001</v>
      </c>
      <c r="E15" s="31">
        <f t="array" ref="E15">VLOOKUP(B29,B28:S34,13,0)</f>
        <v>10694.801165999999</v>
      </c>
      <c r="F15" s="31">
        <f t="shared" si="0"/>
        <v>736.62979908</v>
      </c>
      <c r="G15" s="31">
        <f t="shared" si="1"/>
        <v>3576.7589400000002</v>
      </c>
      <c r="H15" s="31">
        <f t="shared" si="2"/>
        <v>623.83733333333305</v>
      </c>
      <c r="I15" s="31">
        <f t="array" ref="I15">(C15+D15+E15+F15+G15+H15+J15+K15)/((VLOOKUP($B$7&amp;$D$11,IF({1,0},$A$42:$A$92&amp;$B$42:$B$92,$L$42:$L$92),2,0))+(((VLOOKUP($B$7&amp;$D$11,IF({1,0},$A$42:$A$92&amp;$B$42:$B$92,$C$42:$C$92),2,0)))+((VLOOKUP($B$7&amp;$D$11,IF({1,0},$A$42:$A$92&amp;$B$42:$B$92,$E$42:$E$92),2,0)))+(VLOOKUP(B29,$B$27:$F$33,2,0))+(VLOOKUP(B29,$B$27:$F$33,3,0))+(VLOOKUP(B29,$B$27:$F$33,4,0))+(VLOOKUP(B29,$B$27:$F$33,5,0))))</f>
        <v>0.21922477316685299</v>
      </c>
      <c r="J15" s="31">
        <f t="array" ref="J15">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15" s="31">
        <f t="array" ref="K15">IF($B$7="LSN50_V2____Waterproof_Long_Range_Wireless_LoRa_Sensor_Node",VLOOKUP(B29,B28:W34,17,0),0)</f>
        <v>0</v>
      </c>
      <c r="L15" s="38">
        <f t="shared" si="3"/>
        <v>1.51483859162199</v>
      </c>
      <c r="M15"/>
      <c r="N15"/>
      <c r="R15" s="22" t="s">
        <v>27</v>
      </c>
      <c r="S15" s="22">
        <f>S16/12</f>
        <v>2629800000</v>
      </c>
    </row>
    <row r="16" spans="1:19" ht="18.75">
      <c r="A16" s="3"/>
      <c r="B16" s="30" t="s">
        <v>28</v>
      </c>
      <c r="C16" s="31">
        <f t="array" ref="C16">VLOOKUP($B$7&amp;$D$11,IF({1,0},$A$42:$A$132&amp;$B$42:$B$132,$G$42:$G$125),2,0)</f>
        <v>43471.199999999997</v>
      </c>
      <c r="D16" s="31">
        <f t="array" ref="D16">VLOOKUP($B$7&amp;$D$11,IF({1,0},$A$42:$A$132&amp;$B$42:$B$132,$H$42:$H$132),2,0)</f>
        <v>204822.18900000001</v>
      </c>
      <c r="E16" s="31">
        <f t="array" ref="E16">VLOOKUP(B30,B29:S35,13,0)</f>
        <v>19470.238055999998</v>
      </c>
      <c r="F16" s="31">
        <f t="shared" si="0"/>
        <v>819.28740712000001</v>
      </c>
      <c r="G16" s="31">
        <f t="shared" si="1"/>
        <v>3600.7803702000001</v>
      </c>
      <c r="H16" s="31">
        <f t="shared" si="2"/>
        <v>623.83733333333305</v>
      </c>
      <c r="I16" s="31">
        <f t="array" ref="I16">(C16+D16+E16+F16+G16+H16+J16+K16)/((VLOOKUP($B$7&amp;$D$11,IF({1,0},$A$42:$A$92&amp;$B$42:$B$92,$L$42:$L$92),2,0))+(((VLOOKUP($B$7&amp;$D$11,IF({1,0},$A$42:$A$92&amp;$B$42:$B$92,$C$42:$C$92),2,0)))+((VLOOKUP($B$7&amp;$D$11,IF({1,0},$A$42:$A$92&amp;$B$42:$B$92,$E$42:$E$92),2,0)))+(VLOOKUP(B30,$B$27:$F$33,2,0))+(VLOOKUP(B30,$B$27:$F$33,3,0))+(VLOOKUP(B30,$B$27:$F$33,4,0))+(VLOOKUP(B30,$B$27:$F$33,5,0))))</f>
        <v>0.226583731907369</v>
      </c>
      <c r="J16" s="31">
        <f t="array" ref="J16">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16" s="31">
        <f t="array" ref="K16">IF($B$7="LSN50_V2____Waterproof_Long_Range_Wireless_LoRa_Sensor_Node",VLOOKUP(B30,B29:W35,17,0),0)</f>
        <v>0</v>
      </c>
      <c r="L16" s="38">
        <f t="shared" si="3"/>
        <v>1.4670834222545599</v>
      </c>
      <c r="M16"/>
      <c r="N16"/>
      <c r="R16" s="22" t="s">
        <v>29</v>
      </c>
      <c r="S16" s="22">
        <f>S14*365.25</f>
        <v>31557600000</v>
      </c>
    </row>
    <row r="17" spans="1:22" ht="18.75">
      <c r="A17" s="3"/>
      <c r="B17" s="30" t="s">
        <v>30</v>
      </c>
      <c r="C17" s="31">
        <f t="array" ref="C17">VLOOKUP($B$7&amp;$D$11,IF({1,0},$A$42:$A$132&amp;$B$42:$B$132,$G$42:$G$125),2,0)</f>
        <v>43471.199999999997</v>
      </c>
      <c r="D17" s="31">
        <f t="array" ref="D17">VLOOKUP($B$7&amp;$D$11,IF({1,0},$A$42:$A$132&amp;$B$42:$B$132,$H$42:$H$132),2,0)</f>
        <v>204822.18900000001</v>
      </c>
      <c r="E17" s="31">
        <f t="array" ref="E17">VLOOKUP(B31,B30:S36,13,0)</f>
        <v>39192.715512000002</v>
      </c>
      <c r="F17" s="31">
        <f t="shared" si="0"/>
        <v>1098.2065788</v>
      </c>
      <c r="G17" s="31">
        <f t="shared" si="1"/>
        <v>3613.4190128</v>
      </c>
      <c r="H17" s="31">
        <f t="shared" si="2"/>
        <v>623.83733333333305</v>
      </c>
      <c r="I17" s="31">
        <f t="array" ref="I17">(C17+D17+E17+F17+G17+H17+J17+K17)/((VLOOKUP($B$7&amp;$D$11,IF({1,0},$A$42:$A$92&amp;$B$42:$B$92,$L$42:$L$92),2,0))+(((VLOOKUP($B$7&amp;$D$11,IF({1,0},$A$42:$A$92&amp;$B$42:$B$92,$C$42:$C$92),2,0)))+((VLOOKUP($B$7&amp;$D$11,IF({1,0},$A$42:$A$92&amp;$B$42:$B$92,$E$42:$E$92),2,0)))+(VLOOKUP(B31,$B$27:$F$33,2,0))+(VLOOKUP(B31,$B$27:$F$33,3,0))+(VLOOKUP(B31,$B$27:$F$33,4,0))+(VLOOKUP(B31,$B$27:$F$33,5,0))))</f>
        <v>0.243160386908848</v>
      </c>
      <c r="J17" s="31">
        <f t="array" ref="J17">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17" s="31">
        <f t="array" ref="K17">IF($B$7="LSN50_V2____Waterproof_Long_Range_Wireless_LoRa_Sensor_Node",VLOOKUP(B31,B30:W36,17,0),0)</f>
        <v>0</v>
      </c>
      <c r="L17" s="38">
        <f t="shared" si="3"/>
        <v>1.3698098542419599</v>
      </c>
      <c r="M17"/>
      <c r="N17"/>
    </row>
    <row r="18" spans="1:22" ht="18.75">
      <c r="A18" s="3"/>
      <c r="B18" s="30" t="s">
        <v>31</v>
      </c>
      <c r="C18" s="31">
        <f t="array" ref="C18">VLOOKUP($B$7&amp;$D$11,IF({1,0},$A$42:$A$132&amp;$B$42:$B$132,$G$42:$G$125),2,0)</f>
        <v>43471.199999999997</v>
      </c>
      <c r="D18" s="31">
        <f t="array" ref="D18">VLOOKUP($B$7&amp;$D$11,IF({1,0},$A$42:$A$132&amp;$B$42:$B$132,$H$42:$H$132),2,0)</f>
        <v>204822.18900000001</v>
      </c>
      <c r="E18" s="31">
        <f t="array" ref="E18">VLOOKUP(B32,B31:S37,13,0)</f>
        <v>78402.097800000003</v>
      </c>
      <c r="F18" s="31">
        <f t="shared" si="0"/>
        <v>1925.5877063999999</v>
      </c>
      <c r="G18" s="31">
        <f t="shared" si="1"/>
        <v>3579.0190739999998</v>
      </c>
      <c r="H18" s="31">
        <f t="shared" si="2"/>
        <v>623.83733333333305</v>
      </c>
      <c r="I18" s="31">
        <f t="array" ref="I18">(C18+D18+E18+F18+G18+H18+J18+K18)/((VLOOKUP($B$7&amp;$D$11,IF({1,0},$A$42:$A$92&amp;$B$42:$B$92,$L$42:$L$92),2,0))+(((VLOOKUP($B$7&amp;$D$11,IF({1,0},$A$42:$A$92&amp;$B$42:$B$92,$C$42:$C$92),2,0)))+((VLOOKUP($B$7&amp;$D$11,IF({1,0},$A$42:$A$92&amp;$B$42:$B$92,$E$42:$E$92),2,0)))+(VLOOKUP(B32,$B$27:$F$33,2,0))+(VLOOKUP(B32,$B$27:$F$33,3,0))+(VLOOKUP(B32,$B$27:$F$33,4,0))+(VLOOKUP(B32,$B$27:$F$33,5,0))))</f>
        <v>0.276274063853302</v>
      </c>
      <c r="J18" s="31">
        <f t="array" ref="J18">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18" s="31">
        <f t="array" ref="K18">IF($B$7="LSN50_V2____Waterproof_Long_Range_Wireless_LoRa_Sensor_Node",VLOOKUP(B32,B31:W37,17,0),0)</f>
        <v>0</v>
      </c>
      <c r="L18" s="38">
        <f t="shared" si="3"/>
        <v>1.20959899083168</v>
      </c>
      <c r="M18"/>
      <c r="N18"/>
    </row>
    <row r="19" spans="1:22" ht="18.75">
      <c r="A19" s="3"/>
      <c r="B19" s="30" t="s">
        <v>32</v>
      </c>
      <c r="C19" s="31">
        <f t="array" ref="C19">VLOOKUP($B$7&amp;$D$11,IF({1,0},$A$42:$A$132&amp;$B$42:$B$132,$G$42:$G$125),2,0)</f>
        <v>43471.199999999997</v>
      </c>
      <c r="D19" s="31">
        <f t="array" ref="D19">VLOOKUP($B$7&amp;$D$11,IF({1,0},$A$42:$A$132&amp;$B$42:$B$132,$H$42:$H$132),2,0)</f>
        <v>204822.18900000001</v>
      </c>
      <c r="E19" s="31">
        <f t="array" ref="E19">VLOOKUP(B33,B32:S38,13,0)</f>
        <v>140705.49220000001</v>
      </c>
      <c r="F19" s="31">
        <f t="shared" si="0"/>
        <v>3595.9747188000001</v>
      </c>
      <c r="G19" s="31">
        <f t="shared" si="1"/>
        <v>3601.7756061999999</v>
      </c>
      <c r="H19" s="31">
        <f t="shared" si="2"/>
        <v>623.83733333333305</v>
      </c>
      <c r="I19" s="31">
        <f t="array" ref="I19">(C19+D19+E19+F19+G19+H19+J19+K19)/((VLOOKUP($B$7&amp;$D$11,IF({1,0},$A$42:$A$92&amp;$B$42:$B$92,$L$42:$L$92),2,0))+(((VLOOKUP($B$7&amp;$D$11,IF({1,0},$A$42:$A$92&amp;$B$42:$B$92,$C$42:$C$92),2,0)))+((VLOOKUP($B$7&amp;$D$11,IF({1,0},$A$42:$A$92&amp;$B$42:$B$92,$E$42:$E$92),2,0)))+(VLOOKUP(B33,$B$27:$F$33,2,0))+(VLOOKUP(B33,$B$27:$F$33,3,0))+(VLOOKUP(B33,$B$27:$F$33,4,0))+(VLOOKUP(B33,$B$27:$F$33,5,0))))</f>
        <v>0.32919026462905099</v>
      </c>
      <c r="J19" s="31">
        <f t="array" ref="J19">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19" s="31">
        <f t="array" ref="K19">IF($B$7="LSN50_V2____Waterproof_Long_Range_Wireless_LoRa_Sensor_Node",VLOOKUP(B33,B32:W38,17,0),0)</f>
        <v>0</v>
      </c>
      <c r="L19" s="38">
        <f t="shared" si="3"/>
        <v>1.0191232643871799</v>
      </c>
      <c r="M19"/>
      <c r="N19"/>
    </row>
    <row r="20" spans="1:22" ht="18.75">
      <c r="A20" s="3"/>
      <c r="B20" s="3"/>
      <c r="C20" s="32"/>
      <c r="D20" s="32"/>
      <c r="E20" s="3"/>
      <c r="F20" s="3"/>
      <c r="G20" s="3"/>
      <c r="H20" s="3"/>
      <c r="I20" s="3"/>
      <c r="J20" s="39"/>
      <c r="K20" s="39"/>
      <c r="L20" s="40"/>
      <c r="M20"/>
      <c r="N20"/>
    </row>
    <row r="21" spans="1:22" ht="18.75">
      <c r="A21" s="33" t="s">
        <v>173</v>
      </c>
      <c r="B21" s="34" t="s">
        <v>35</v>
      </c>
      <c r="C21" s="35">
        <f t="array" ref="C21">VLOOKUP($B$7&amp;$D$11,IF({1,0},$A$42:$A$132&amp;$B$42:$B$132,$G$42:$G$125),2,0)</f>
        <v>43471.199999999997</v>
      </c>
      <c r="D21" s="35">
        <f t="array" ref="D21">VLOOKUP($B$7&amp;$D$11,IF({1,0},$A$42:$A$132&amp;$B$42:$B$132,$H$42:$H$132),2,0)</f>
        <v>204822.18900000001</v>
      </c>
      <c r="E21" s="36">
        <f>VLOOKUP(B35,B35:S38,13,0)</f>
        <v>6034.2754471999997</v>
      </c>
      <c r="F21" s="36">
        <f>VLOOKUP(B35,B35:W38,14,0)</f>
        <v>972.78497735999997</v>
      </c>
      <c r="G21" s="36">
        <f>VLOOKUP(B35,B35:W38,15,0)</f>
        <v>1107.9558582</v>
      </c>
      <c r="H21" s="36">
        <f>VLOOKUP(B35,B35:W38,16,0)</f>
        <v>623.83733333333305</v>
      </c>
      <c r="I21" s="36">
        <f t="array" ref="I21">(C21+D21+E21+F21+G21+H21+J21+K21)/((VLOOKUP($B$7&amp;$D$11,IF({1,0},$A$42:$A$92&amp;$B$42:$B$92,$L$42:$L$92),2,0))+(((VLOOKUP($B$7&amp;$D$11,IF({1,0},$A$42:$A$92&amp;$B$42:$B$92,$C$42:$C$92),2,0)))+((VLOOKUP($B$7&amp;$D$11,IF({1,0},$A$42:$A$92&amp;$B$42:$B$92,$E$42:$E$92),2,0)))+(VLOOKUP(B35,$B$35:$F$38,2,0))+(VLOOKUP(B35,$B$35:$F$38,3,0))+(VLOOKUP(B35,$B$35:$F$38,4,0))+(VLOOKUP(B35,$B$35:$F$38,5,0))))</f>
        <v>0.213531614555627</v>
      </c>
      <c r="J21"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21" s="35">
        <f>IF($B$7="LSN50_V2____Waterproof_Long_Range_Wireless_LoRa_Sensor_Node",VLOOKUP(B28,B27:W33,17,0),0)</f>
        <v>0</v>
      </c>
      <c r="L21" s="41">
        <f>$C$7/(I21*8760+($C$7*0.02))</f>
        <v>1.55397181602222</v>
      </c>
      <c r="M21"/>
      <c r="N21"/>
      <c r="P21" s="1" t="s">
        <v>36</v>
      </c>
      <c r="R21" s="1" t="s">
        <v>174</v>
      </c>
      <c r="S21" s="1">
        <v>6</v>
      </c>
    </row>
    <row r="22" spans="1:22" ht="18.75">
      <c r="A22" s="3"/>
      <c r="B22" s="34" t="s">
        <v>37</v>
      </c>
      <c r="C22" s="35">
        <f t="array" ref="C22">VLOOKUP($B$7&amp;$D$11,IF({1,0},$A$42:$A$132&amp;$B$42:$B$132,$G$42:$G$125),2,0)</f>
        <v>43471.199999999997</v>
      </c>
      <c r="D22" s="35">
        <f t="array" ref="D22">VLOOKUP($B$7&amp;$D$11,IF({1,0},$A$42:$A$132&amp;$B$42:$B$132,$H$42:$H$132),2,0)</f>
        <v>204822.18900000001</v>
      </c>
      <c r="E22" s="36">
        <f>VLOOKUP(B36,B36:V39,13,0)</f>
        <v>11038.6193134</v>
      </c>
      <c r="F22" s="36">
        <f>VLOOKUP(B36,B36:W39,14,0)</f>
        <v>707.90110274999995</v>
      </c>
      <c r="G22" s="36">
        <f>VLOOKUP(B36,B36:W39,15,0)</f>
        <v>1115.0495974400001</v>
      </c>
      <c r="H22" s="36">
        <f>VLOOKUP(B36,B36:W39,16,0)</f>
        <v>623.83733333333305</v>
      </c>
      <c r="I22" s="36">
        <f t="array" ref="I22">(C22+D22+E22+F22+G22+H22+J22+K22)/((VLOOKUP($B$7&amp;$D$11,IF({1,0},$A$42:$A$92&amp;$B$42:$B$92,$L$42:$L$92),2,0))+(((VLOOKUP($B$7&amp;$D$11,IF({1,0},$A$42:$A$92&amp;$B$42:$B$92,$C$42:$C$92),2,0)))+((VLOOKUP($B$7&amp;$D$11,IF({1,0},$A$42:$A$92&amp;$B$42:$B$92,$E$42:$E$92),2,0)))+(VLOOKUP(B36,$B$35:$F$38,2,0))+(VLOOKUP(B36,$B$35:$F$38,3,0))+(VLOOKUP(B36,$B$35:$F$38,4,0))+(VLOOKUP(B36,$B$35:$F$38,5,0))))</f>
        <v>0.21746777967959299</v>
      </c>
      <c r="J22"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22" s="35">
        <f>IF($B$7="LSN50_V2____Waterproof_Long_Range_Wireless_LoRa_Sensor_Node",VLOOKUP(B29,B28:W34,17,0),0)</f>
        <v>0</v>
      </c>
      <c r="L22" s="41">
        <f>$C$7/(I22*8760+($C$7*0.02))</f>
        <v>1.5267037664216201</v>
      </c>
      <c r="M22"/>
      <c r="N22"/>
    </row>
    <row r="23" spans="1:22" ht="18.75">
      <c r="A23" s="3"/>
      <c r="B23" s="34" t="s">
        <v>38</v>
      </c>
      <c r="C23" s="35">
        <f t="array" ref="C23">VLOOKUP($B$7&amp;$D$11,IF({1,0},$A$42:$A$132&amp;$B$42:$B$132,$G$42:$G$125),2,0)</f>
        <v>43471.199999999997</v>
      </c>
      <c r="D23" s="35">
        <f t="array" ref="D23">VLOOKUP($B$7&amp;$D$11,IF({1,0},$A$42:$A$132&amp;$B$42:$B$132,$H$42:$H$132),2,0)</f>
        <v>204822.18900000001</v>
      </c>
      <c r="E23" s="36">
        <f>VLOOKUP(B37,B37:V40,13,0)</f>
        <v>19885.992679999999</v>
      </c>
      <c r="F23" s="36">
        <f>VLOOKUP(B37,B37:W40,14,0)</f>
        <v>714.32067563999999</v>
      </c>
      <c r="G23" s="36">
        <f>VLOOKUP(B37,B37:W40,15,0)</f>
        <v>1115.4435636400001</v>
      </c>
      <c r="H23" s="36">
        <f>VLOOKUP(B37,B37:W40,16,0)</f>
        <v>623.83733333333305</v>
      </c>
      <c r="I23" s="36">
        <f t="array" ref="I23">(C23+D23+E23+F23+G23+H23+J23+K23)/((VLOOKUP($B$7&amp;$D$11,IF({1,0},$A$42:$A$92&amp;$B$42:$B$92,$L$42:$L$92),2,0))+(((VLOOKUP($B$7&amp;$D$11,IF({1,0},$A$42:$A$92&amp;$B$42:$B$92,$C$42:$C$92),2,0)))+((VLOOKUP($B$7&amp;$D$11,IF({1,0},$A$42:$A$92&amp;$B$42:$B$92,$E$42:$E$92),2,0)))+(VLOOKUP(B37,$B$35:$F$38,2,0))+(VLOOKUP(B37,$B$35:$F$38,3,0))+(VLOOKUP(B37,$B$35:$F$38,4,0))+(VLOOKUP(B37,$B$35:$F$38,5,0))))</f>
        <v>0.22480630647597699</v>
      </c>
      <c r="J23"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23" s="35">
        <f>IF($B$7="LSN50_V2____Waterproof_Long_Range_Wireless_LoRa_Sensor_Node",VLOOKUP(B30,B29:W35,17,0),0)</f>
        <v>0</v>
      </c>
      <c r="L23" s="41">
        <f>$C$7/(I23*8760+($C$7*0.02))</f>
        <v>1.47833992173989</v>
      </c>
      <c r="M23"/>
      <c r="N23"/>
    </row>
    <row r="24" spans="1:22" ht="18.75">
      <c r="A24" s="3"/>
      <c r="B24" s="34" t="s">
        <v>39</v>
      </c>
      <c r="C24" s="35">
        <f t="array" ref="C24">VLOOKUP($B$7&amp;$D$11,IF({1,0},$A$42:$A$132&amp;$B$42:$B$132,$G$42:$G$125),2,0)</f>
        <v>43471.199999999997</v>
      </c>
      <c r="D24" s="35">
        <f t="array" ref="D24">VLOOKUP($B$7&amp;$D$11,IF({1,0},$A$42:$A$132&amp;$B$42:$B$132,$H$42:$H$132),2,0)</f>
        <v>204822.18900000001</v>
      </c>
      <c r="E24" s="36">
        <f>VLOOKUP(B38,B38:V41,13,0)</f>
        <v>35862.796011500002</v>
      </c>
      <c r="F24" s="36">
        <f>VLOOKUP(B38,B38:W41,14,0)</f>
        <v>766.91291939999996</v>
      </c>
      <c r="G24" s="36">
        <f>VLOOKUP(B38,B38:W41,15,0)</f>
        <v>1115.05638189</v>
      </c>
      <c r="H24" s="36">
        <f>VLOOKUP(B38,B38:W41,16,0)</f>
        <v>623.83733333333305</v>
      </c>
      <c r="I24" s="36">
        <f t="array" ref="I24">(C24+D24+E24+F24+G24+H24+J24+K24)/((VLOOKUP($B$7&amp;$D$11,IF({1,0},$A$42:$A$92&amp;$B$42:$B$92,$L$42:$L$92),2,0))+(((VLOOKUP($B$7&amp;$D$11,IF({1,0},$A$42:$A$92&amp;$B$42:$B$92,$C$42:$C$92),2,0)))+((VLOOKUP($B$7&amp;$D$11,IF({1,0},$A$42:$A$92&amp;$B$42:$B$92,$E$42:$E$92),2,0)))+(VLOOKUP(B38,$B$35:$F$38,2,0))+(VLOOKUP(B38,$B$35:$F$38,3,0))+(VLOOKUP(B38,$B$35:$F$38,4,0))+(VLOOKUP(B38,$B$35:$F$38,5,0))))</f>
        <v>0.23808772474550199</v>
      </c>
      <c r="J24"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DS18B20,WMOD=1"))),VLOOKUP($B$7,$A$42:$P$121,12,0),0)</f>
        <v>0</v>
      </c>
      <c r="K24" s="35">
        <f>IF($B$7="LSN50_V2____Waterproof_Long_Range_Wireless_LoRa_Sensor_Node",VLOOKUP(B31,B30:W36,17,0),0)</f>
        <v>0</v>
      </c>
      <c r="L24" s="41">
        <f>$C$7/(I24*8760+($C$7*0.02))</f>
        <v>1.39817870618803</v>
      </c>
      <c r="M24"/>
      <c r="N24"/>
    </row>
    <row r="25" spans="1:22" ht="21" customHeight="1">
      <c r="A25" s="37"/>
      <c r="B25" s="37"/>
      <c r="C25" s="37"/>
      <c r="D25" s="37"/>
      <c r="E25" s="37"/>
      <c r="F25" s="37"/>
      <c r="G25" s="37"/>
      <c r="H25" s="37"/>
      <c r="I25" s="37"/>
      <c r="J25" s="37"/>
      <c r="K25" s="37"/>
      <c r="L25" s="37"/>
      <c r="M25" s="37"/>
      <c r="N25" s="37"/>
      <c r="O25"/>
      <c r="P25"/>
      <c r="Q25" s="37"/>
      <c r="R25" s="37"/>
      <c r="S25" s="37"/>
      <c r="T25" s="37"/>
      <c r="U25" s="37"/>
      <c r="V25" s="37"/>
    </row>
    <row r="26" spans="1:22" ht="15" hidden="1" customHeight="1">
      <c r="A26" s="37"/>
      <c r="B26" s="37"/>
      <c r="C26" s="37"/>
      <c r="D26" s="37"/>
      <c r="E26" s="37"/>
      <c r="F26" s="37"/>
      <c r="G26" s="37"/>
      <c r="H26" s="37"/>
      <c r="I26" s="37"/>
      <c r="J26" s="37"/>
      <c r="K26" s="37"/>
      <c r="L26" s="37"/>
      <c r="M26" s="37"/>
      <c r="N26" s="37"/>
      <c r="O26" s="37"/>
      <c r="P26" s="37"/>
      <c r="Q26" s="37"/>
      <c r="R26" s="37"/>
      <c r="S26" s="37"/>
      <c r="T26" s="37"/>
      <c r="U26" s="37"/>
      <c r="V26" s="37"/>
    </row>
    <row r="27" spans="1:22" hidden="1">
      <c r="C27" s="1" t="s">
        <v>41</v>
      </c>
      <c r="D27" s="1" t="s">
        <v>42</v>
      </c>
      <c r="E27" s="1" t="s">
        <v>43</v>
      </c>
      <c r="F27" s="1" t="s">
        <v>44</v>
      </c>
      <c r="G27" s="1" t="s">
        <v>45</v>
      </c>
      <c r="H27" s="1" t="s">
        <v>46</v>
      </c>
      <c r="I27" s="1" t="s">
        <v>47</v>
      </c>
      <c r="J27" s="42"/>
      <c r="K27" s="42"/>
      <c r="L27" s="1" t="s">
        <v>49</v>
      </c>
      <c r="M27" s="42"/>
      <c r="N27" s="1" t="s">
        <v>50</v>
      </c>
      <c r="O27" s="1" t="s">
        <v>51</v>
      </c>
      <c r="P27" s="1" t="s">
        <v>52</v>
      </c>
      <c r="Q27" s="1" t="s">
        <v>53</v>
      </c>
      <c r="S27" s="42"/>
    </row>
    <row r="28" spans="1:22" hidden="1">
      <c r="A28" s="1" t="s">
        <v>23</v>
      </c>
      <c r="B28" s="1" t="s">
        <v>24</v>
      </c>
      <c r="C28" s="1">
        <v>75.078999999999994</v>
      </c>
      <c r="D28" s="1">
        <v>48.338999999999999</v>
      </c>
      <c r="E28" s="1">
        <v>219.06700000000001</v>
      </c>
      <c r="F28" s="1">
        <v>1</v>
      </c>
      <c r="G28" s="1">
        <v>72.681200000000004</v>
      </c>
      <c r="H28" s="1">
        <v>8.3312899999999992</v>
      </c>
      <c r="I28" s="1">
        <v>10.454800000000001</v>
      </c>
      <c r="L28" s="1">
        <v>3.3575599999999999</v>
      </c>
      <c r="N28" s="1">
        <f>C28*(G28+S21)</f>
        <v>5907.3058148</v>
      </c>
      <c r="O28" s="1">
        <f>D28*(H28+S21)</f>
        <v>692.76022731</v>
      </c>
      <c r="P28" s="1">
        <f>E28*(I28+S21)</f>
        <v>3604.7036715999998</v>
      </c>
      <c r="Q28" s="1">
        <f t="array" ref="Q28">(F28*(L28+$S$21))*($C$11*VLOOKUP($B$11,$R$10:$S$16,2,0)/18000)</f>
        <v>623.83733333333305</v>
      </c>
    </row>
    <row r="29" spans="1:22" hidden="1">
      <c r="A29" s="1" t="s">
        <v>23</v>
      </c>
      <c r="B29" s="1" t="s">
        <v>26</v>
      </c>
      <c r="C29" s="1">
        <v>124.62</v>
      </c>
      <c r="D29" s="1">
        <v>50.052</v>
      </c>
      <c r="E29" s="1">
        <v>217.57499999999999</v>
      </c>
      <c r="F29" s="1">
        <v>1</v>
      </c>
      <c r="G29" s="1">
        <v>79.819299999999998</v>
      </c>
      <c r="H29" s="1">
        <v>8.7172900000000002</v>
      </c>
      <c r="I29" s="1">
        <v>10.4392</v>
      </c>
      <c r="L29" s="1">
        <v>3.3575599999999999</v>
      </c>
      <c r="N29" s="1">
        <f>C29*(G29+S21)</f>
        <v>10694.801165999999</v>
      </c>
      <c r="O29" s="1">
        <f>D29*(H29+S21)</f>
        <v>736.62979908</v>
      </c>
      <c r="P29" s="1">
        <f>E29*(I29+S21)</f>
        <v>3576.7589400000002</v>
      </c>
      <c r="Q29" s="1">
        <f t="array" ref="Q29">(F29*(L29+$S$21))*($C$11*VLOOKUP($B$11,$R$10:$S$16,2,0)/18000)</f>
        <v>623.83733333333305</v>
      </c>
    </row>
    <row r="30" spans="1:22" hidden="1">
      <c r="A30" s="1" t="s">
        <v>23</v>
      </c>
      <c r="B30" s="1" t="s">
        <v>28</v>
      </c>
      <c r="C30" s="1">
        <v>218.286</v>
      </c>
      <c r="D30" s="1">
        <v>55.600999999999999</v>
      </c>
      <c r="E30" s="1">
        <v>218.286</v>
      </c>
      <c r="F30" s="1">
        <v>1</v>
      </c>
      <c r="G30" s="1">
        <v>83.195999999999998</v>
      </c>
      <c r="H30" s="1">
        <v>8.7351200000000002</v>
      </c>
      <c r="I30" s="1">
        <v>10.495699999999999</v>
      </c>
      <c r="L30" s="1">
        <v>3.3575599999999999</v>
      </c>
      <c r="N30" s="1">
        <f>C30*(G30+S21)</f>
        <v>19470.238055999998</v>
      </c>
      <c r="O30" s="1">
        <f>D30*(H30+S21)</f>
        <v>819.28740712000001</v>
      </c>
      <c r="P30" s="1">
        <f>E30*(I30+S21)</f>
        <v>3600.7803702000001</v>
      </c>
      <c r="Q30" s="1">
        <f t="array" ref="Q30">(F30*(L30+$S$21))*($C$11*VLOOKUP($B$11,$R$10:$S$16,2,0)/18000)</f>
        <v>623.83733333333305</v>
      </c>
    </row>
    <row r="31" spans="1:22" hidden="1">
      <c r="A31" s="1" t="s">
        <v>23</v>
      </c>
      <c r="B31" s="1" t="s">
        <v>30</v>
      </c>
      <c r="C31" s="1">
        <v>428.59800000000001</v>
      </c>
      <c r="D31" s="1">
        <v>72.12</v>
      </c>
      <c r="E31" s="1">
        <v>220.48099999999999</v>
      </c>
      <c r="F31" s="1">
        <v>1</v>
      </c>
      <c r="G31" s="1">
        <v>85.444000000000003</v>
      </c>
      <c r="H31" s="1">
        <v>9.2274899999999995</v>
      </c>
      <c r="I31" s="1">
        <v>10.3888</v>
      </c>
      <c r="L31" s="1">
        <v>3.3575599999999999</v>
      </c>
      <c r="N31" s="1">
        <f>C31*(G31+S21)</f>
        <v>39192.715512000002</v>
      </c>
      <c r="O31" s="1">
        <f>D31*(H31+S21)</f>
        <v>1098.2065788</v>
      </c>
      <c r="P31" s="1">
        <f>E31*(I31+S21)</f>
        <v>3613.4190128</v>
      </c>
      <c r="Q31" s="1">
        <f t="array" ref="Q31">(F31*(L31+$S$21))*($C$11*VLOOKUP($B$11,$R$10:$S$16,2,0)/18000)</f>
        <v>623.83733333333305</v>
      </c>
    </row>
    <row r="32" spans="1:22" hidden="1">
      <c r="A32" s="1" t="s">
        <v>23</v>
      </c>
      <c r="B32" s="1" t="s">
        <v>31</v>
      </c>
      <c r="C32" s="1">
        <v>838.5</v>
      </c>
      <c r="D32" s="1">
        <v>120.226</v>
      </c>
      <c r="E32" s="1">
        <v>217.845</v>
      </c>
      <c r="F32" s="1">
        <v>1</v>
      </c>
      <c r="G32" s="1">
        <v>87.502799999999993</v>
      </c>
      <c r="H32" s="1">
        <v>10.016400000000001</v>
      </c>
      <c r="I32" s="1">
        <v>10.4292</v>
      </c>
      <c r="L32" s="1">
        <v>3.3575599999999999</v>
      </c>
      <c r="N32" s="1">
        <f>C32*(G32+S21)</f>
        <v>78402.097800000003</v>
      </c>
      <c r="O32" s="1">
        <f>D32*(H32+S21)</f>
        <v>1925.5877063999999</v>
      </c>
      <c r="P32" s="1">
        <f>E32*(I32+S21)</f>
        <v>3579.0190739999998</v>
      </c>
      <c r="Q32" s="1">
        <f t="array" ref="Q32">(F32*(L32+$S$21))*($C$11*VLOOKUP($B$11,$R$10:$S$16,2,0)/18000)</f>
        <v>623.83733333333305</v>
      </c>
    </row>
    <row r="33" spans="1:18" hidden="1">
      <c r="A33" s="1" t="s">
        <v>23</v>
      </c>
      <c r="B33" s="1" t="s">
        <v>32</v>
      </c>
      <c r="C33" s="1">
        <v>1498</v>
      </c>
      <c r="D33" s="1">
        <v>217.04599999999999</v>
      </c>
      <c r="E33" s="1">
        <v>218.07400000000001</v>
      </c>
      <c r="F33" s="1">
        <v>1</v>
      </c>
      <c r="G33" s="1">
        <v>87.928899999999999</v>
      </c>
      <c r="H33" s="1">
        <v>10.5678</v>
      </c>
      <c r="I33" s="1">
        <v>10.516299999999999</v>
      </c>
      <c r="L33" s="1">
        <v>3.3575599999999999</v>
      </c>
      <c r="N33" s="1">
        <f>C33*(G33+S21)</f>
        <v>140705.49220000001</v>
      </c>
      <c r="O33" s="1">
        <f>D33*(H33+S21)</f>
        <v>3595.9747188000001</v>
      </c>
      <c r="P33" s="1">
        <f>E33*(I33+S21)</f>
        <v>3601.7756061999999</v>
      </c>
      <c r="Q33" s="1">
        <f t="array" ref="Q33">(F33*(L33+$S$21))*($C$11*VLOOKUP($B$11,$R$10:$S$16,2,0)/18000)</f>
        <v>623.83733333333305</v>
      </c>
    </row>
    <row r="34" spans="1:18" hidden="1"/>
    <row r="35" spans="1:18" hidden="1">
      <c r="A35" s="1" t="s">
        <v>173</v>
      </c>
      <c r="B35" s="1" t="s">
        <v>35</v>
      </c>
      <c r="C35" s="1">
        <v>74.073999999999998</v>
      </c>
      <c r="D35" s="1">
        <v>63.786000000000001</v>
      </c>
      <c r="E35" s="1">
        <v>70.988</v>
      </c>
      <c r="F35" s="1">
        <v>1</v>
      </c>
      <c r="G35" s="1">
        <v>75.462800000000001</v>
      </c>
      <c r="H35" s="1">
        <v>9.2507599999999996</v>
      </c>
      <c r="I35" s="1">
        <v>9.6076499999999996</v>
      </c>
      <c r="L35" s="1">
        <v>3.3575599999999999</v>
      </c>
      <c r="N35" s="1">
        <f>C35*(G35+S21)</f>
        <v>6034.2754471999997</v>
      </c>
      <c r="O35" s="1">
        <f>D35*(H35+S21)</f>
        <v>972.78497735999997</v>
      </c>
      <c r="P35" s="1">
        <f>E35*(I35+S21)</f>
        <v>1107.9558582</v>
      </c>
      <c r="Q35" s="1">
        <f t="array" ref="Q35">(F35*(L35+$S$21))*($C$11*VLOOKUP($B$11,$R$10:$S$16,2,0)/18000)</f>
        <v>623.83733333333305</v>
      </c>
    </row>
    <row r="36" spans="1:18" hidden="1">
      <c r="A36" s="1" t="s">
        <v>173</v>
      </c>
      <c r="B36" s="1" t="s">
        <v>37</v>
      </c>
      <c r="C36" s="1">
        <v>125.542</v>
      </c>
      <c r="D36" s="1">
        <v>50.423000000000002</v>
      </c>
      <c r="E36" s="1">
        <v>72.031999999999996</v>
      </c>
      <c r="F36" s="1">
        <v>1</v>
      </c>
      <c r="G36" s="1">
        <v>81.927700000000002</v>
      </c>
      <c r="H36" s="1">
        <v>8.0392499999999991</v>
      </c>
      <c r="I36" s="1">
        <v>9.4799199999999999</v>
      </c>
      <c r="L36" s="1">
        <v>3.3575599999999999</v>
      </c>
      <c r="N36" s="1">
        <f>C36*(G36+S21)</f>
        <v>11038.6193134</v>
      </c>
      <c r="O36" s="1">
        <f>D36*(H36+S21)</f>
        <v>707.90110274999995</v>
      </c>
      <c r="P36" s="1">
        <f>E36*(I36+S21)</f>
        <v>1115.0495974400001</v>
      </c>
      <c r="Q36" s="1">
        <f t="array" ref="Q36">(F36*(L36+$S$21))*($C$11*VLOOKUP($B$11,$R$10:$S$16,2,0)/18000)</f>
        <v>623.83733333333305</v>
      </c>
    </row>
    <row r="37" spans="1:18" hidden="1">
      <c r="A37" s="1" t="s">
        <v>173</v>
      </c>
      <c r="B37" s="1" t="s">
        <v>38</v>
      </c>
      <c r="C37" s="1">
        <v>217.16</v>
      </c>
      <c r="D37" s="1">
        <v>49.401000000000003</v>
      </c>
      <c r="E37" s="1">
        <v>72.043999999999997</v>
      </c>
      <c r="F37" s="1">
        <v>1</v>
      </c>
      <c r="G37" s="1">
        <v>85.572999999999993</v>
      </c>
      <c r="H37" s="1">
        <v>8.4596400000000003</v>
      </c>
      <c r="I37" s="1">
        <v>9.4828100000000006</v>
      </c>
      <c r="L37" s="1">
        <v>3.3575599999999999</v>
      </c>
      <c r="N37" s="1">
        <f>C37*(G37+S21)</f>
        <v>19885.992679999999</v>
      </c>
      <c r="O37" s="1">
        <f>D37*(H37+S21)</f>
        <v>714.32067563999999</v>
      </c>
      <c r="P37" s="1">
        <f>E37*(I37+S21)</f>
        <v>1115.4435636400001</v>
      </c>
      <c r="Q37" s="1">
        <f t="array" ref="Q37">(F37*(L37+$S$21))*($C$11*VLOOKUP($B$11,$R$10:$S$16,2,0)/18000)</f>
        <v>623.83733333333305</v>
      </c>
    </row>
    <row r="38" spans="1:18" hidden="1">
      <c r="A38" s="1" t="s">
        <v>173</v>
      </c>
      <c r="B38" s="1" t="s">
        <v>39</v>
      </c>
      <c r="C38" s="1">
        <v>382.83499999999998</v>
      </c>
      <c r="D38" s="1">
        <v>52.484999999999999</v>
      </c>
      <c r="E38" s="1">
        <v>72.039000000000001</v>
      </c>
      <c r="F38" s="1">
        <v>1</v>
      </c>
      <c r="G38" s="1">
        <v>87.676900000000003</v>
      </c>
      <c r="H38" s="1">
        <v>8.6120400000000004</v>
      </c>
      <c r="I38" s="1">
        <v>9.47851</v>
      </c>
      <c r="L38" s="1">
        <v>3.3575599999999999</v>
      </c>
      <c r="N38" s="1">
        <f>C38*(G38+S21)</f>
        <v>35862.796011500002</v>
      </c>
      <c r="O38" s="1">
        <f>D38*(H38+S21)</f>
        <v>766.91291939999996</v>
      </c>
      <c r="P38" s="1">
        <f>E38*(I38+S21)</f>
        <v>1115.05638189</v>
      </c>
      <c r="Q38" s="1">
        <f t="array" ref="Q38">(F38*(L38+$S$21))*($C$11*VLOOKUP($B$11,$R$10:$S$16,2,0)/18000)</f>
        <v>623.83733333333305</v>
      </c>
    </row>
    <row r="39" spans="1:18" hidden="1"/>
    <row r="40" spans="1:18" hidden="1"/>
    <row r="41" spans="1:18" hidden="1">
      <c r="C41" s="16" t="s">
        <v>54</v>
      </c>
      <c r="D41" s="16" t="s">
        <v>55</v>
      </c>
      <c r="E41" s="16" t="s">
        <v>56</v>
      </c>
      <c r="F41" s="16" t="s">
        <v>57</v>
      </c>
      <c r="G41" s="17" t="s">
        <v>58</v>
      </c>
      <c r="H41" s="17" t="s">
        <v>59</v>
      </c>
      <c r="I41" s="46" t="s">
        <v>175</v>
      </c>
      <c r="J41" s="46" t="s">
        <v>176</v>
      </c>
      <c r="K41" s="43" t="s">
        <v>177</v>
      </c>
      <c r="L41" s="24" t="s">
        <v>60</v>
      </c>
      <c r="M41" s="16" t="s">
        <v>61</v>
      </c>
      <c r="N41" s="24" t="s">
        <v>62</v>
      </c>
      <c r="O41" s="19" t="s">
        <v>63</v>
      </c>
      <c r="P41" s="1">
        <f>VLOOKUP(B7,P42:Q110,2,0)</f>
        <v>3000</v>
      </c>
      <c r="R41" s="1">
        <f>VLOOKUP(B7,P42:Q110,2,0)</f>
        <v>3000</v>
      </c>
    </row>
    <row r="42" spans="1:18" hidden="1">
      <c r="A42" s="1" t="s">
        <v>239</v>
      </c>
      <c r="B42" s="1" t="s">
        <v>190</v>
      </c>
      <c r="C42" s="25">
        <v>2993</v>
      </c>
      <c r="D42" s="16">
        <v>17.217700000000001</v>
      </c>
      <c r="E42" s="16">
        <f t="array" ref="E42">$C$11*VLOOKUP($B$11,$R$10:$S$16,2,0)</f>
        <v>1200000</v>
      </c>
      <c r="F42" s="25">
        <v>5.1533000000000004E-3</v>
      </c>
      <c r="G42" s="19">
        <f t="shared" ref="G42:G82" si="4">E42*F42</f>
        <v>6183.96</v>
      </c>
      <c r="H42" s="19">
        <f t="shared" ref="H42:H65" si="5">C42*D42</f>
        <v>51532.576099999998</v>
      </c>
      <c r="I42" s="25"/>
      <c r="J42" s="25"/>
      <c r="K42" s="19"/>
      <c r="L42" s="25"/>
      <c r="M42" s="16"/>
      <c r="N42" s="16"/>
      <c r="O42" s="19"/>
    </row>
    <row r="43" spans="1:18" hidden="1">
      <c r="A43" s="1" t="s">
        <v>239</v>
      </c>
      <c r="B43" s="1" t="s">
        <v>192</v>
      </c>
      <c r="C43" s="25">
        <v>1825</v>
      </c>
      <c r="D43" s="16">
        <v>20.976199999999999</v>
      </c>
      <c r="E43" s="16">
        <f t="array" ref="E43">$C$11*VLOOKUP($B$11,$R$10:$S$16,2,0)</f>
        <v>1200000</v>
      </c>
      <c r="F43" s="25">
        <v>5.6438E-3</v>
      </c>
      <c r="G43" s="19">
        <f t="shared" si="4"/>
        <v>6772.56</v>
      </c>
      <c r="H43" s="19">
        <f t="shared" si="5"/>
        <v>38281.565000000002</v>
      </c>
      <c r="I43" s="25"/>
      <c r="J43" s="25"/>
      <c r="K43" s="19"/>
      <c r="L43" s="25"/>
      <c r="M43" s="16"/>
      <c r="N43" s="16"/>
      <c r="O43" s="19"/>
      <c r="P43" s="1" t="s">
        <v>239</v>
      </c>
      <c r="Q43" s="1">
        <v>3000</v>
      </c>
      <c r="R43" s="1">
        <v>3000</v>
      </c>
    </row>
    <row r="44" spans="1:18" hidden="1">
      <c r="A44" s="1" t="s">
        <v>239</v>
      </c>
      <c r="B44" s="1" t="s">
        <v>194</v>
      </c>
      <c r="C44" s="25">
        <v>2995</v>
      </c>
      <c r="D44" s="16">
        <v>17.203600000000002</v>
      </c>
      <c r="E44" s="16">
        <f t="array" ref="E44">$C$11*VLOOKUP($B$11,$R$10:$S$16,2,0)</f>
        <v>1200000</v>
      </c>
      <c r="F44" s="25">
        <v>5.0200000000000002E-3</v>
      </c>
      <c r="G44" s="19">
        <f t="shared" si="4"/>
        <v>6024</v>
      </c>
      <c r="H44" s="19">
        <f t="shared" si="5"/>
        <v>51524.781999999999</v>
      </c>
      <c r="I44" s="25"/>
      <c r="J44" s="25"/>
      <c r="K44" s="19"/>
      <c r="L44" s="25"/>
      <c r="M44" s="16"/>
      <c r="N44" s="16"/>
      <c r="O44" s="19"/>
      <c r="P44" s="1" t="s">
        <v>240</v>
      </c>
      <c r="Q44" s="1">
        <v>3000</v>
      </c>
      <c r="R44" s="1">
        <v>3000</v>
      </c>
    </row>
    <row r="45" spans="1:18" hidden="1">
      <c r="A45" s="1" t="s">
        <v>240</v>
      </c>
      <c r="B45" s="1" t="s">
        <v>132</v>
      </c>
      <c r="C45" s="25">
        <v>3343</v>
      </c>
      <c r="D45" s="16">
        <v>5.9027700000000003</v>
      </c>
      <c r="E45" s="16">
        <f t="array" ref="E45">$C$11*VLOOKUP($B$11,$R$10:$S$16,2,0)</f>
        <v>1200000</v>
      </c>
      <c r="F45" s="25">
        <v>5.2335999999999997E-3</v>
      </c>
      <c r="G45" s="19">
        <f t="shared" si="4"/>
        <v>6280.32</v>
      </c>
      <c r="H45" s="19">
        <f t="shared" si="5"/>
        <v>19732.96011</v>
      </c>
      <c r="I45" s="25"/>
      <c r="J45" s="25"/>
      <c r="K45" s="19"/>
      <c r="L45" s="25"/>
      <c r="M45" s="16"/>
      <c r="N45" s="16"/>
      <c r="O45" s="19"/>
      <c r="P45" s="1" t="s">
        <v>241</v>
      </c>
      <c r="Q45" s="1">
        <v>3000</v>
      </c>
      <c r="R45" s="1">
        <v>3000</v>
      </c>
    </row>
    <row r="46" spans="1:18" hidden="1">
      <c r="A46" s="1" t="s">
        <v>241</v>
      </c>
      <c r="B46" s="1" t="s">
        <v>197</v>
      </c>
      <c r="C46" s="25">
        <v>2338</v>
      </c>
      <c r="D46" s="25">
        <v>5.6102299999999996</v>
      </c>
      <c r="E46" s="16">
        <f t="array" ref="E46">$C$11*VLOOKUP($B$11,$R$10:$S$16,2,0)</f>
        <v>1200000</v>
      </c>
      <c r="F46" s="25">
        <v>9.7129E-3</v>
      </c>
      <c r="G46" s="19">
        <f t="shared" si="4"/>
        <v>11655.48</v>
      </c>
      <c r="H46" s="19">
        <f t="shared" si="5"/>
        <v>13116.71774</v>
      </c>
      <c r="I46" s="25"/>
      <c r="J46" s="25"/>
      <c r="K46" s="19"/>
      <c r="L46" s="25"/>
      <c r="M46" s="16"/>
      <c r="N46" s="16"/>
      <c r="O46" s="19"/>
      <c r="P46" s="1" t="s">
        <v>242</v>
      </c>
      <c r="Q46" s="1">
        <v>3000</v>
      </c>
      <c r="R46" s="1">
        <v>3000</v>
      </c>
    </row>
    <row r="47" spans="1:18" hidden="1">
      <c r="A47" s="1" t="s">
        <v>242</v>
      </c>
      <c r="B47" s="1" t="s">
        <v>197</v>
      </c>
      <c r="C47" s="25">
        <v>1570</v>
      </c>
      <c r="D47" s="25">
        <v>5.5150199999999998</v>
      </c>
      <c r="E47" s="16">
        <f t="array" ref="E47">$C$11*VLOOKUP($B$11,$R$10:$S$16,2,0)</f>
        <v>1200000</v>
      </c>
      <c r="F47" s="25">
        <v>7.7381000000000004E-3</v>
      </c>
      <c r="G47" s="19">
        <f t="shared" si="4"/>
        <v>9285.7199999999993</v>
      </c>
      <c r="H47" s="19">
        <f t="shared" si="5"/>
        <v>8658.5813999999991</v>
      </c>
      <c r="I47" s="25"/>
      <c r="J47" s="25"/>
      <c r="K47" s="19"/>
      <c r="L47" s="25"/>
      <c r="M47" s="25"/>
      <c r="N47" s="25"/>
      <c r="O47" s="19"/>
      <c r="P47" s="1" t="s">
        <v>243</v>
      </c>
      <c r="Q47" s="1">
        <v>3000</v>
      </c>
      <c r="R47" s="1">
        <v>3000</v>
      </c>
    </row>
    <row r="48" spans="1:18" hidden="1">
      <c r="A48" s="1" t="s">
        <v>243</v>
      </c>
      <c r="B48" s="1" t="s">
        <v>197</v>
      </c>
      <c r="C48" s="25">
        <v>790.08199999999999</v>
      </c>
      <c r="D48" s="25">
        <v>5.5072799999999997</v>
      </c>
      <c r="E48" s="16">
        <f t="array" ref="E48">$C$11*VLOOKUP($B$11,$R$10:$S$16,2,0)</f>
        <v>1200000</v>
      </c>
      <c r="F48" s="25">
        <v>6.2249999999999996E-3</v>
      </c>
      <c r="G48" s="19">
        <f t="shared" si="4"/>
        <v>7470</v>
      </c>
      <c r="H48" s="19">
        <f t="shared" si="5"/>
        <v>4351.2027969600003</v>
      </c>
      <c r="I48" s="25"/>
      <c r="J48" s="25"/>
      <c r="K48" s="19"/>
      <c r="L48" s="25"/>
      <c r="M48" s="25"/>
      <c r="N48" s="25"/>
      <c r="O48" s="19"/>
      <c r="P48" s="1" t="s">
        <v>244</v>
      </c>
      <c r="Q48" s="1">
        <v>3000</v>
      </c>
      <c r="R48" s="1">
        <v>3000</v>
      </c>
    </row>
    <row r="49" spans="1:19" hidden="1">
      <c r="A49" s="1" t="s">
        <v>244</v>
      </c>
      <c r="B49" s="1" t="s">
        <v>197</v>
      </c>
      <c r="C49" s="25">
        <v>43.274999999999999</v>
      </c>
      <c r="D49" s="25">
        <v>7.0658000000000003</v>
      </c>
      <c r="E49" s="16">
        <f t="array" ref="E49">$C$11*VLOOKUP($B$11,$R$10:$S$16,2,0)</f>
        <v>1200000</v>
      </c>
      <c r="F49" s="25">
        <v>5.2135000000000003E-3</v>
      </c>
      <c r="G49" s="19">
        <f t="shared" si="4"/>
        <v>6256.2</v>
      </c>
      <c r="H49" s="19">
        <f t="shared" si="5"/>
        <v>305.77249499999999</v>
      </c>
      <c r="I49" s="25"/>
      <c r="J49" s="25"/>
      <c r="K49" s="19"/>
      <c r="L49" s="25"/>
      <c r="M49" s="25"/>
      <c r="N49" s="25"/>
      <c r="O49" s="19"/>
      <c r="P49" s="1" t="s">
        <v>245</v>
      </c>
      <c r="Q49" s="1">
        <v>3000</v>
      </c>
      <c r="R49" s="1">
        <v>3000</v>
      </c>
    </row>
    <row r="50" spans="1:19" hidden="1">
      <c r="A50" s="1" t="s">
        <v>245</v>
      </c>
      <c r="B50" s="1" t="s">
        <v>202</v>
      </c>
      <c r="C50" s="25">
        <v>865.11900000000003</v>
      </c>
      <c r="D50" s="25">
        <v>6.5193000000000003</v>
      </c>
      <c r="E50" s="16">
        <f t="array" ref="E50">$C$11*VLOOKUP($B$11,$R$10:$S$16,2,0)</f>
        <v>1200000</v>
      </c>
      <c r="F50" s="25">
        <v>6.5830999999999997E-3</v>
      </c>
      <c r="G50" s="19">
        <f t="shared" si="4"/>
        <v>7899.72</v>
      </c>
      <c r="H50" s="19">
        <f t="shared" si="5"/>
        <v>5639.9702967000003</v>
      </c>
      <c r="I50" s="25"/>
      <c r="J50" s="25"/>
      <c r="K50" s="19"/>
      <c r="L50" s="25"/>
      <c r="M50" s="25"/>
      <c r="N50" s="25"/>
      <c r="O50" s="19"/>
      <c r="P50" s="1" t="s">
        <v>246</v>
      </c>
      <c r="Q50" s="1">
        <v>3000</v>
      </c>
      <c r="R50" s="1">
        <v>3000</v>
      </c>
    </row>
    <row r="51" spans="1:19" hidden="1">
      <c r="A51" s="1" t="s">
        <v>245</v>
      </c>
      <c r="B51" s="1" t="s">
        <v>204</v>
      </c>
      <c r="C51" s="25">
        <v>665.37699999999995</v>
      </c>
      <c r="D51" s="25">
        <v>98.951300000000003</v>
      </c>
      <c r="E51" s="16">
        <f t="array" ref="E51">$C$11*VLOOKUP($B$11,$R$10:$S$16,2,0)</f>
        <v>1200000</v>
      </c>
      <c r="F51" s="25">
        <v>4.9538999999999998E-3</v>
      </c>
      <c r="G51" s="19">
        <f t="shared" si="4"/>
        <v>5944.68</v>
      </c>
      <c r="H51" s="19">
        <f t="shared" si="5"/>
        <v>65839.919140099999</v>
      </c>
      <c r="I51" s="25"/>
      <c r="J51" s="25"/>
      <c r="K51" s="19"/>
      <c r="L51" s="25"/>
      <c r="M51" s="25"/>
      <c r="N51" s="25"/>
      <c r="O51" s="19"/>
      <c r="P51" s="1" t="s">
        <v>247</v>
      </c>
      <c r="Q51" s="1">
        <v>3000</v>
      </c>
      <c r="R51" s="1">
        <v>3000</v>
      </c>
    </row>
    <row r="52" spans="1:19" hidden="1">
      <c r="A52" s="1" t="s">
        <v>245</v>
      </c>
      <c r="B52" s="1" t="s">
        <v>206</v>
      </c>
      <c r="C52" s="25">
        <v>660.524</v>
      </c>
      <c r="D52" s="25">
        <v>21.619199999999999</v>
      </c>
      <c r="E52" s="16">
        <f t="array" ref="E52">$C$11*VLOOKUP($B$11,$R$10:$S$16,2,0)</f>
        <v>1200000</v>
      </c>
      <c r="F52" s="25">
        <v>0.29568</v>
      </c>
      <c r="G52" s="19">
        <f t="shared" si="4"/>
        <v>354816</v>
      </c>
      <c r="H52" s="19">
        <f t="shared" si="5"/>
        <v>14280.0004608</v>
      </c>
      <c r="I52" s="25"/>
      <c r="J52" s="25"/>
      <c r="K52" s="19"/>
      <c r="L52" s="25"/>
      <c r="M52" s="25"/>
      <c r="N52" s="25"/>
      <c r="O52" s="19"/>
      <c r="P52" s="1" t="s">
        <v>248</v>
      </c>
      <c r="Q52" s="1">
        <v>3000</v>
      </c>
      <c r="R52" s="1">
        <v>3000</v>
      </c>
    </row>
    <row r="53" spans="1:19" hidden="1">
      <c r="A53" s="1" t="s">
        <v>245</v>
      </c>
      <c r="B53" s="1" t="s">
        <v>208</v>
      </c>
      <c r="C53" s="25">
        <v>3678</v>
      </c>
      <c r="D53" s="25">
        <v>28.311299999999999</v>
      </c>
      <c r="E53" s="16">
        <f t="array" ref="E53">$C$11*VLOOKUP($B$11,$R$10:$S$16,2,0)</f>
        <v>1200000</v>
      </c>
      <c r="F53" s="25">
        <v>0.38695000000000002</v>
      </c>
      <c r="G53" s="19">
        <f t="shared" si="4"/>
        <v>464340</v>
      </c>
      <c r="H53" s="19">
        <f t="shared" si="5"/>
        <v>104128.9614</v>
      </c>
      <c r="I53" s="25"/>
      <c r="J53" s="25"/>
      <c r="K53" s="19"/>
      <c r="L53" s="25"/>
      <c r="M53" s="25"/>
      <c r="N53" s="25"/>
      <c r="O53" s="19"/>
      <c r="P53" s="1" t="s">
        <v>249</v>
      </c>
      <c r="Q53" s="1">
        <v>3000</v>
      </c>
      <c r="R53" s="1">
        <v>3000</v>
      </c>
      <c r="S53"/>
    </row>
    <row r="54" spans="1:19" hidden="1">
      <c r="A54" s="1" t="s">
        <v>245</v>
      </c>
      <c r="B54" s="1" t="s">
        <v>210</v>
      </c>
      <c r="C54" s="25">
        <v>824.05200000000002</v>
      </c>
      <c r="D54" s="25">
        <v>7.0938400000000001</v>
      </c>
      <c r="E54" s="16">
        <f t="array" ref="E54">$C$11*VLOOKUP($B$11,$R$10:$S$16,2,0)</f>
        <v>1200000</v>
      </c>
      <c r="F54" s="25">
        <v>4.7907999999999996E-3</v>
      </c>
      <c r="G54" s="19">
        <f t="shared" si="4"/>
        <v>5748.96</v>
      </c>
      <c r="H54" s="19">
        <f t="shared" si="5"/>
        <v>5845.6930396799999</v>
      </c>
      <c r="I54" s="25"/>
      <c r="J54" s="25"/>
      <c r="K54" s="19"/>
      <c r="L54" s="25"/>
      <c r="M54" s="25"/>
      <c r="N54" s="25"/>
      <c r="O54" s="19"/>
      <c r="P54" s="1" t="s">
        <v>250</v>
      </c>
      <c r="Q54" s="1">
        <v>3000</v>
      </c>
      <c r="R54" s="1">
        <v>3000</v>
      </c>
      <c r="S54"/>
    </row>
    <row r="55" spans="1:19" hidden="1">
      <c r="A55" s="1" t="s">
        <v>245</v>
      </c>
      <c r="B55" s="1" t="s">
        <v>212</v>
      </c>
      <c r="C55" s="25">
        <v>2338</v>
      </c>
      <c r="D55" s="25">
        <v>5.6102299999999996</v>
      </c>
      <c r="E55" s="16">
        <f t="array" ref="E55">$C$11*VLOOKUP($B$11,$R$10:$S$16,2,0)</f>
        <v>1200000</v>
      </c>
      <c r="F55" s="25">
        <v>9.7129E-3</v>
      </c>
      <c r="G55" s="19">
        <f t="shared" si="4"/>
        <v>11655.48</v>
      </c>
      <c r="H55" s="19">
        <f t="shared" si="5"/>
        <v>13116.71774</v>
      </c>
      <c r="I55" s="25"/>
      <c r="J55" s="25"/>
      <c r="K55" s="19"/>
      <c r="L55" s="25"/>
      <c r="M55" s="25"/>
      <c r="N55" s="25"/>
      <c r="O55" s="19"/>
      <c r="P55" s="1" t="s">
        <v>251</v>
      </c>
      <c r="Q55" s="1">
        <v>3000</v>
      </c>
      <c r="R55" s="1">
        <v>3000</v>
      </c>
      <c r="S55"/>
    </row>
    <row r="56" spans="1:19" hidden="1">
      <c r="A56" s="1" t="s">
        <v>245</v>
      </c>
      <c r="B56" s="1" t="s">
        <v>214</v>
      </c>
      <c r="C56" s="25">
        <v>1051</v>
      </c>
      <c r="D56" s="25">
        <v>12.379200000000001</v>
      </c>
      <c r="E56" s="16">
        <f t="array" ref="E56">$C$11*VLOOKUP($B$11,$R$10:$S$16,2,0)</f>
        <v>1200000</v>
      </c>
      <c r="F56" s="25">
        <v>7.8469000000000004E-3</v>
      </c>
      <c r="G56" s="19">
        <f t="shared" si="4"/>
        <v>9416.2800000000007</v>
      </c>
      <c r="H56" s="19">
        <f t="shared" si="5"/>
        <v>13010.539199999999</v>
      </c>
      <c r="I56" s="25"/>
      <c r="J56" s="25"/>
      <c r="K56" s="19"/>
      <c r="L56" s="25"/>
      <c r="M56" s="25"/>
      <c r="N56" s="25"/>
      <c r="O56" s="19"/>
      <c r="P56" s="1" t="s">
        <v>252</v>
      </c>
      <c r="Q56" s="1">
        <v>3000</v>
      </c>
      <c r="R56" s="1">
        <v>3000</v>
      </c>
      <c r="S56"/>
    </row>
    <row r="57" spans="1:19" hidden="1">
      <c r="A57" s="1" t="s">
        <v>245</v>
      </c>
      <c r="B57" s="1" t="s">
        <v>216</v>
      </c>
      <c r="C57" s="25">
        <v>654.33799999999997</v>
      </c>
      <c r="D57" s="25">
        <v>7.3745700000000003</v>
      </c>
      <c r="E57" s="16">
        <f t="array" ref="E57">$C$11*VLOOKUP($B$11,$R$10:$S$16,2,0)</f>
        <v>1200000</v>
      </c>
      <c r="F57" s="25">
        <v>1.8296E-2</v>
      </c>
      <c r="G57" s="19">
        <f t="shared" si="4"/>
        <v>21955.200000000001</v>
      </c>
      <c r="H57" s="19">
        <f t="shared" si="5"/>
        <v>4825.4613846599996</v>
      </c>
      <c r="I57" s="25"/>
      <c r="J57" s="25"/>
      <c r="K57" s="19"/>
      <c r="L57" s="25"/>
      <c r="M57" s="25"/>
      <c r="N57" s="25"/>
      <c r="O57" s="19"/>
      <c r="P57" s="1" t="s">
        <v>253</v>
      </c>
      <c r="Q57" s="1">
        <v>3000</v>
      </c>
      <c r="R57" s="1">
        <v>3000</v>
      </c>
      <c r="S57"/>
    </row>
    <row r="58" spans="1:19" hidden="1">
      <c r="A58" s="1" t="s">
        <v>246</v>
      </c>
      <c r="B58" s="1" t="s">
        <v>194</v>
      </c>
      <c r="C58" s="25">
        <v>1845</v>
      </c>
      <c r="D58" s="25">
        <v>15.4184</v>
      </c>
      <c r="E58" s="16">
        <f t="array" ref="E58">$C$11*VLOOKUP($B$11,$R$10:$S$16,2,0)</f>
        <v>1200000</v>
      </c>
      <c r="F58" s="25">
        <v>7.6816999999999996E-3</v>
      </c>
      <c r="G58" s="19">
        <f t="shared" si="4"/>
        <v>9218.0400000000009</v>
      </c>
      <c r="H58" s="19">
        <f t="shared" si="5"/>
        <v>28446.948</v>
      </c>
      <c r="I58" s="25"/>
      <c r="J58" s="25"/>
      <c r="K58" s="19"/>
      <c r="L58" s="25"/>
      <c r="M58" s="25"/>
      <c r="N58" s="25"/>
      <c r="O58" s="19"/>
      <c r="P58" s="1" t="s">
        <v>254</v>
      </c>
      <c r="Q58" s="1">
        <v>3000</v>
      </c>
      <c r="R58" s="1">
        <v>3000</v>
      </c>
      <c r="S58"/>
    </row>
    <row r="59" spans="1:19" hidden="1">
      <c r="A59" s="1" t="s">
        <v>247</v>
      </c>
      <c r="B59" s="1" t="s">
        <v>10</v>
      </c>
      <c r="C59" s="25">
        <v>2620</v>
      </c>
      <c r="D59" s="25">
        <v>19.860600000000002</v>
      </c>
      <c r="E59" s="16">
        <f t="array" ref="E59">$C$11*VLOOKUP($B$11,$R$10:$S$16,2,0)</f>
        <v>1200000</v>
      </c>
      <c r="F59" s="25">
        <v>6.0797000000000004E-3</v>
      </c>
      <c r="G59" s="19">
        <f t="shared" si="4"/>
        <v>7295.64</v>
      </c>
      <c r="H59" s="19">
        <f t="shared" si="5"/>
        <v>52034.771999999997</v>
      </c>
      <c r="I59" s="25"/>
      <c r="J59" s="25"/>
      <c r="K59" s="19"/>
      <c r="L59" s="25"/>
      <c r="M59" s="25"/>
      <c r="N59" s="25"/>
      <c r="O59" s="19"/>
      <c r="P59" s="1" t="s">
        <v>255</v>
      </c>
      <c r="Q59" s="1">
        <v>3000</v>
      </c>
      <c r="R59" s="1">
        <v>3000</v>
      </c>
      <c r="S59"/>
    </row>
    <row r="60" spans="1:19" hidden="1">
      <c r="A60" s="1" t="s">
        <v>248</v>
      </c>
      <c r="B60" s="1" t="s">
        <v>10</v>
      </c>
      <c r="C60" s="25">
        <v>5128</v>
      </c>
      <c r="D60" s="25">
        <v>22.553799999999999</v>
      </c>
      <c r="E60" s="25">
        <f t="array" ref="E60">$C$11*VLOOKUP($B$11,$R$10:$S$16,2,0)</f>
        <v>1200000</v>
      </c>
      <c r="F60" s="25">
        <v>5.9709999999999997E-3</v>
      </c>
      <c r="G60" s="19">
        <f t="shared" si="4"/>
        <v>7165.2</v>
      </c>
      <c r="H60" s="19">
        <f t="shared" si="5"/>
        <v>115655.8864</v>
      </c>
      <c r="I60" s="25"/>
      <c r="J60" s="25"/>
      <c r="K60" s="19"/>
      <c r="L60" s="25"/>
      <c r="M60" s="25"/>
      <c r="N60" s="25"/>
      <c r="O60" s="19"/>
      <c r="P60" s="1" t="s">
        <v>256</v>
      </c>
      <c r="Q60" s="1">
        <v>3000</v>
      </c>
      <c r="R60" s="1">
        <v>3000</v>
      </c>
      <c r="S60"/>
    </row>
    <row r="61" spans="1:19" hidden="1">
      <c r="A61" s="1" t="s">
        <v>249</v>
      </c>
      <c r="B61" s="1" t="s">
        <v>10</v>
      </c>
      <c r="C61" s="25">
        <v>5125</v>
      </c>
      <c r="D61" s="25">
        <v>39.277200000000001</v>
      </c>
      <c r="E61" s="25">
        <f t="array" ref="E61">$C$11*VLOOKUP($B$11,$R$10:$S$16,2,0)</f>
        <v>1200000</v>
      </c>
      <c r="F61" s="25">
        <v>6.4495000000000004E-3</v>
      </c>
      <c r="G61" s="19">
        <f t="shared" si="4"/>
        <v>7739.4</v>
      </c>
      <c r="H61" s="19">
        <f t="shared" si="5"/>
        <v>201295.65</v>
      </c>
      <c r="I61" s="25"/>
      <c r="J61" s="25"/>
      <c r="K61" s="19"/>
      <c r="L61" s="25"/>
      <c r="M61" s="25"/>
      <c r="N61" s="25"/>
      <c r="O61" s="19"/>
      <c r="P61" s="1" t="s">
        <v>257</v>
      </c>
      <c r="Q61" s="1">
        <v>3000</v>
      </c>
      <c r="R61" s="1">
        <v>3000</v>
      </c>
      <c r="S61"/>
    </row>
    <row r="62" spans="1:19" hidden="1">
      <c r="A62" s="1" t="s">
        <v>250</v>
      </c>
      <c r="B62" s="1" t="s">
        <v>125</v>
      </c>
      <c r="C62" s="25">
        <v>9004</v>
      </c>
      <c r="D62" s="25">
        <v>62.718499999999999</v>
      </c>
      <c r="E62" s="25">
        <f t="array" ref="E62">$C$11*VLOOKUP($B$11,$R$10:$S$16,2,0)</f>
        <v>1200000</v>
      </c>
      <c r="F62" s="25">
        <v>5.4221E-3</v>
      </c>
      <c r="G62" s="19">
        <f t="shared" si="4"/>
        <v>6506.52</v>
      </c>
      <c r="H62" s="19">
        <f t="shared" si="5"/>
        <v>564717.37399999995</v>
      </c>
      <c r="I62" s="25"/>
      <c r="J62" s="25"/>
      <c r="K62" s="19"/>
      <c r="L62" s="25"/>
      <c r="M62" s="25"/>
      <c r="N62" s="25"/>
      <c r="O62" s="19"/>
      <c r="P62" s="1" t="s">
        <v>258</v>
      </c>
      <c r="Q62" s="1">
        <v>3000</v>
      </c>
      <c r="R62" s="1">
        <v>3000</v>
      </c>
      <c r="S62"/>
    </row>
    <row r="63" spans="1:19" hidden="1">
      <c r="A63" s="1" t="s">
        <v>251</v>
      </c>
      <c r="B63" s="1" t="s">
        <v>10</v>
      </c>
      <c r="C63" s="25">
        <v>5118</v>
      </c>
      <c r="D63" s="25">
        <v>21.651599999999998</v>
      </c>
      <c r="E63" s="25">
        <f t="array" ref="E63">$C$11*VLOOKUP($B$11,$R$10:$S$16,2,0)</f>
        <v>1200000</v>
      </c>
      <c r="F63" s="25">
        <v>6.0159999999999996E-3</v>
      </c>
      <c r="G63" s="19">
        <f t="shared" si="4"/>
        <v>7219.2</v>
      </c>
      <c r="H63" s="19">
        <f t="shared" si="5"/>
        <v>110812.8888</v>
      </c>
      <c r="I63" s="25"/>
      <c r="J63" s="25"/>
      <c r="K63" s="19"/>
      <c r="L63" s="25"/>
      <c r="M63" s="25"/>
      <c r="N63" s="25"/>
      <c r="O63" s="19"/>
      <c r="P63" s="1" t="s">
        <v>259</v>
      </c>
      <c r="Q63" s="1">
        <v>3000</v>
      </c>
      <c r="R63" s="1">
        <v>3000</v>
      </c>
      <c r="S63"/>
    </row>
    <row r="64" spans="1:19" hidden="1">
      <c r="A64" s="1" t="s">
        <v>252</v>
      </c>
      <c r="B64" s="1" t="s">
        <v>124</v>
      </c>
      <c r="C64" s="25">
        <v>21.63</v>
      </c>
      <c r="D64" s="25">
        <v>6.7059800000000003</v>
      </c>
      <c r="E64" s="25">
        <f t="array" ref="E64">$C$11*VLOOKUP($B$11,$R$10:$S$16,2,0)</f>
        <v>1200000</v>
      </c>
      <c r="F64" s="25">
        <v>5.0689000000000003E-3</v>
      </c>
      <c r="G64" s="19">
        <f t="shared" si="4"/>
        <v>6082.68</v>
      </c>
      <c r="H64" s="19">
        <f t="shared" si="5"/>
        <v>145.05034739999999</v>
      </c>
      <c r="I64" s="25"/>
      <c r="J64" s="25"/>
      <c r="K64" s="19"/>
      <c r="L64" s="25"/>
      <c r="M64" s="25"/>
      <c r="N64" s="25"/>
      <c r="O64" s="19"/>
      <c r="P64" s="1" t="s">
        <v>260</v>
      </c>
      <c r="Q64" s="1">
        <v>3000</v>
      </c>
      <c r="R64" s="1">
        <v>3000</v>
      </c>
      <c r="S64"/>
    </row>
    <row r="65" spans="1:19" hidden="1">
      <c r="A65" s="1" t="s">
        <v>253</v>
      </c>
      <c r="B65" s="1" t="s">
        <v>125</v>
      </c>
      <c r="C65" s="25">
        <v>4118</v>
      </c>
      <c r="D65" s="25">
        <v>17.215199999999999</v>
      </c>
      <c r="E65" s="25">
        <f t="array" ref="E65">$C$11*VLOOKUP($B$11,$R$10:$S$16,2,0)</f>
        <v>1200000</v>
      </c>
      <c r="F65" s="25">
        <v>5.3626999999999998E-3</v>
      </c>
      <c r="G65" s="19">
        <f t="shared" si="4"/>
        <v>6435.24</v>
      </c>
      <c r="H65" s="19">
        <f t="shared" si="5"/>
        <v>70892.193599999999</v>
      </c>
      <c r="I65" s="25"/>
      <c r="J65" s="25"/>
      <c r="K65" s="19"/>
      <c r="L65" s="25"/>
      <c r="M65" s="25"/>
      <c r="N65" s="25"/>
      <c r="O65" s="19"/>
      <c r="P65" s="1" t="s">
        <v>261</v>
      </c>
      <c r="Q65" s="1">
        <v>3000</v>
      </c>
      <c r="R65" s="1">
        <v>3000</v>
      </c>
      <c r="S65"/>
    </row>
    <row r="66" spans="1:19" hidden="1">
      <c r="A66" s="1" t="s">
        <v>254</v>
      </c>
      <c r="B66" s="1" t="s">
        <v>131</v>
      </c>
      <c r="C66" s="25">
        <v>20.564</v>
      </c>
      <c r="D66" s="25">
        <v>6.4391999999999996</v>
      </c>
      <c r="E66" s="25">
        <f t="array" ref="E66">$C$11*VLOOKUP($B$11,$R$10:$S$16,2,0)</f>
        <v>1200000</v>
      </c>
      <c r="F66" s="25">
        <v>6.7254000000000003E-3</v>
      </c>
      <c r="G66" s="19">
        <f t="shared" si="4"/>
        <v>8070.48</v>
      </c>
      <c r="H66" s="19">
        <f>C66*D66+N66</f>
        <v>3348.3057088</v>
      </c>
      <c r="I66" s="25"/>
      <c r="J66" s="25"/>
      <c r="K66" s="19"/>
      <c r="L66" s="25"/>
      <c r="M66" s="25"/>
      <c r="N66" s="25">
        <f>0.321589*10000</f>
        <v>3215.89</v>
      </c>
      <c r="O66" s="19"/>
      <c r="P66" s="1" t="s">
        <v>238</v>
      </c>
      <c r="Q66" s="1">
        <v>3000</v>
      </c>
      <c r="R66" s="1">
        <v>3000</v>
      </c>
      <c r="S66"/>
    </row>
    <row r="67" spans="1:19" hidden="1">
      <c r="A67" s="1" t="s">
        <v>255</v>
      </c>
      <c r="B67" s="1" t="s">
        <v>132</v>
      </c>
      <c r="C67" s="25">
        <v>3008</v>
      </c>
      <c r="D67" s="25">
        <v>28.574300000000001</v>
      </c>
      <c r="E67" s="25">
        <f t="array" ref="E67">$C$11*VLOOKUP($B$11,$R$10:$S$16,2,0)</f>
        <v>1200000</v>
      </c>
      <c r="F67" s="25">
        <v>6.1909E-3</v>
      </c>
      <c r="G67" s="19">
        <f t="shared" si="4"/>
        <v>7429.08</v>
      </c>
      <c r="H67" s="19">
        <f>C67*D67+N67</f>
        <v>85951.494399999996</v>
      </c>
      <c r="I67" s="25"/>
      <c r="J67" s="25"/>
      <c r="K67" s="19"/>
      <c r="L67" s="25"/>
      <c r="M67" s="25"/>
      <c r="N67" s="25"/>
      <c r="O67" s="19"/>
      <c r="P67" s="1" t="s">
        <v>262</v>
      </c>
      <c r="Q67" s="1">
        <v>3000</v>
      </c>
      <c r="R67" s="1">
        <v>3000</v>
      </c>
    </row>
    <row r="68" spans="1:19" hidden="1">
      <c r="A68" s="1" t="s">
        <v>263</v>
      </c>
      <c r="B68" s="1" t="s">
        <v>132</v>
      </c>
      <c r="C68" s="25">
        <v>5525</v>
      </c>
      <c r="D68" s="25">
        <v>28.506599999999999</v>
      </c>
      <c r="E68" s="25">
        <f t="array" ref="E68">$C$11*VLOOKUP($B$11,$R$10:$S$16,2,0)</f>
        <v>1200000</v>
      </c>
      <c r="F68" s="25">
        <v>6.4589000000000001E-3</v>
      </c>
      <c r="G68" s="19">
        <f t="shared" si="4"/>
        <v>7750.68</v>
      </c>
      <c r="H68" s="19">
        <f>C68*D68+N68</f>
        <v>157498.965</v>
      </c>
      <c r="I68" s="25"/>
      <c r="J68" s="25"/>
      <c r="K68" s="19"/>
      <c r="L68" s="25"/>
      <c r="M68" s="25"/>
      <c r="N68" s="25"/>
      <c r="O68" s="19"/>
      <c r="P68" s="1" t="s">
        <v>223</v>
      </c>
      <c r="Q68" s="1">
        <v>3000</v>
      </c>
      <c r="R68" s="1">
        <v>3000</v>
      </c>
    </row>
    <row r="69" spans="1:19" hidden="1">
      <c r="A69" s="1" t="s">
        <v>256</v>
      </c>
      <c r="B69" s="1" t="s">
        <v>10</v>
      </c>
      <c r="C69" s="25">
        <v>5014</v>
      </c>
      <c r="D69" s="25">
        <v>106.98699999999999</v>
      </c>
      <c r="E69" s="25">
        <f t="array" ref="E69">$C$11*VLOOKUP($B$11,$R$10:$S$16,2,0)</f>
        <v>1200000</v>
      </c>
      <c r="F69" s="25">
        <v>5.5037000000000003E-3</v>
      </c>
      <c r="G69" s="19">
        <f t="shared" si="4"/>
        <v>6604.44</v>
      </c>
      <c r="H69" s="19">
        <f>C69*D69+N69</f>
        <v>536432.81799999997</v>
      </c>
      <c r="I69" s="25"/>
      <c r="J69" s="25"/>
      <c r="K69" s="19"/>
      <c r="L69" s="25"/>
      <c r="M69" s="25"/>
      <c r="N69" s="25"/>
      <c r="O69" s="19"/>
      <c r="P69" s="1" t="s">
        <v>264</v>
      </c>
      <c r="Q69" s="1">
        <v>3000</v>
      </c>
      <c r="R69" s="1">
        <v>3000</v>
      </c>
    </row>
    <row r="70" spans="1:19" hidden="1">
      <c r="A70" s="1" t="s">
        <v>265</v>
      </c>
      <c r="B70" s="1" t="s">
        <v>230</v>
      </c>
      <c r="C70" s="25">
        <v>20.596</v>
      </c>
      <c r="D70" s="25">
        <v>6.9531299999999998</v>
      </c>
      <c r="E70" s="25">
        <f t="array" ref="E70">$C$11*VLOOKUP($B$11,$R$10:$S$16,2,0)</f>
        <v>1200000</v>
      </c>
      <c r="F70" s="25">
        <v>8.9764000000000007E-3</v>
      </c>
      <c r="G70" s="19">
        <f t="shared" si="4"/>
        <v>10771.68</v>
      </c>
      <c r="H70" s="19">
        <f t="shared" ref="H70:H72" si="6">C70*D70+N70</f>
        <v>143.20666548</v>
      </c>
      <c r="I70" s="25">
        <v>9.1470000000000006E-3</v>
      </c>
      <c r="J70" s="25">
        <v>0.82840499999999995</v>
      </c>
      <c r="K70" s="19">
        <f>I70*J70*1000</f>
        <v>7.5774205349999999</v>
      </c>
      <c r="L70" s="25"/>
      <c r="M70" s="25"/>
      <c r="N70" s="25"/>
      <c r="O70" s="19"/>
      <c r="P70" s="1" t="s">
        <v>266</v>
      </c>
      <c r="Q70" s="1">
        <v>3000</v>
      </c>
      <c r="R70" s="1">
        <v>3000</v>
      </c>
    </row>
    <row r="71" spans="1:19" hidden="1">
      <c r="A71" s="1" t="s">
        <v>258</v>
      </c>
      <c r="B71" s="1" t="s">
        <v>230</v>
      </c>
      <c r="C71" s="25">
        <v>20.469000000000001</v>
      </c>
      <c r="D71" s="25">
        <v>6.5157400000000001</v>
      </c>
      <c r="E71" s="25">
        <f t="array" ref="E71">$C$11*VLOOKUP($B$11,$R$10:$S$16,2,0)</f>
        <v>1200000</v>
      </c>
      <c r="F71" s="25">
        <v>1.2675000000000001E-2</v>
      </c>
      <c r="G71" s="19">
        <f t="shared" si="4"/>
        <v>15210</v>
      </c>
      <c r="H71" s="19">
        <f t="shared" si="6"/>
        <v>133.37068206000001</v>
      </c>
      <c r="I71" s="25">
        <v>2.034E-2</v>
      </c>
      <c r="J71" s="25">
        <v>1.6345099999999999</v>
      </c>
      <c r="K71" s="19">
        <f>I71*J71*1000</f>
        <v>33.245933399999998</v>
      </c>
      <c r="L71" s="25"/>
      <c r="M71" s="25"/>
      <c r="N71" s="25"/>
      <c r="O71" s="19"/>
      <c r="P71" s="1" t="s">
        <v>267</v>
      </c>
      <c r="Q71" s="1">
        <v>3000</v>
      </c>
      <c r="R71" s="1">
        <v>3000</v>
      </c>
    </row>
    <row r="72" spans="1:19" hidden="1">
      <c r="A72" s="1" t="s">
        <v>259</v>
      </c>
      <c r="B72" s="1" t="s">
        <v>10</v>
      </c>
      <c r="C72" s="25">
        <v>5521</v>
      </c>
      <c r="D72" s="25">
        <v>29.770099999999999</v>
      </c>
      <c r="E72" s="25">
        <f t="array" ref="E72">$C$11*VLOOKUP($B$11,$R$10:$S$16,2,0)</f>
        <v>1200000</v>
      </c>
      <c r="F72" s="25">
        <v>6.1517999999999998E-3</v>
      </c>
      <c r="G72" s="19">
        <f t="shared" si="4"/>
        <v>7382.16</v>
      </c>
      <c r="H72" s="19">
        <f t="shared" si="6"/>
        <v>164360.72210000001</v>
      </c>
      <c r="I72" s="25"/>
      <c r="J72" s="25"/>
      <c r="K72" s="19"/>
      <c r="L72" s="25"/>
      <c r="M72" s="25"/>
      <c r="N72" s="25"/>
      <c r="O72" s="19"/>
      <c r="R72" s="1">
        <v>3000</v>
      </c>
    </row>
    <row r="73" spans="1:19" hidden="1">
      <c r="A73" s="1" t="s">
        <v>260</v>
      </c>
      <c r="B73" s="1" t="s">
        <v>231</v>
      </c>
      <c r="C73" s="25">
        <v>19.556000000000001</v>
      </c>
      <c r="D73" s="25">
        <v>6.7923200000000001</v>
      </c>
      <c r="E73" s="25">
        <f t="array" ref="E73">$C$11*VLOOKUP($B$11,$R$10:$S$16,2,0)</f>
        <v>1200000</v>
      </c>
      <c r="F73" s="25">
        <v>5.5187999999999999E-3</v>
      </c>
      <c r="G73" s="19">
        <f t="shared" si="4"/>
        <v>6622.56</v>
      </c>
      <c r="H73" s="19">
        <f>C73*D73+N73+K73</f>
        <v>132963.44052991999</v>
      </c>
      <c r="I73" s="25">
        <v>19.556000000000001</v>
      </c>
      <c r="J73" s="25">
        <v>6.7923200000000001</v>
      </c>
      <c r="K73" s="19">
        <f>I73*J73*1000</f>
        <v>132830.60991999999</v>
      </c>
      <c r="L73" s="25"/>
      <c r="M73" s="25"/>
      <c r="N73" s="25"/>
      <c r="O73" s="19"/>
      <c r="R73" s="1">
        <v>3000</v>
      </c>
    </row>
    <row r="74" spans="1:19" hidden="1">
      <c r="A74" s="1" t="s">
        <v>260</v>
      </c>
      <c r="B74" s="1" t="s">
        <v>232</v>
      </c>
      <c r="C74" s="25">
        <v>20.59</v>
      </c>
      <c r="D74" s="25">
        <v>6.9095700000000004</v>
      </c>
      <c r="E74" s="25">
        <f t="array" ref="E74">$C$11*VLOOKUP($B$11,$R$10:$S$16,2,0)</f>
        <v>1200000</v>
      </c>
      <c r="F74" s="25">
        <v>5.5187999999999999E-3</v>
      </c>
      <c r="G74" s="19">
        <f t="shared" si="4"/>
        <v>6622.56</v>
      </c>
      <c r="H74" s="19">
        <f>C74*D74+N74+K74</f>
        <v>16434.8791083</v>
      </c>
      <c r="I74" s="25">
        <v>5.0830000000000002</v>
      </c>
      <c r="J74" s="25">
        <v>0.534219</v>
      </c>
      <c r="K74" s="19">
        <f>I74*J74*6*1000</f>
        <v>16292.611062</v>
      </c>
      <c r="L74" s="25"/>
      <c r="M74" s="25"/>
      <c r="N74" s="25"/>
      <c r="O74" s="19"/>
      <c r="R74" s="1">
        <v>3000</v>
      </c>
    </row>
    <row r="75" spans="1:19" hidden="1">
      <c r="A75" s="1" t="s">
        <v>261</v>
      </c>
      <c r="B75" s="1" t="s">
        <v>125</v>
      </c>
      <c r="C75" s="25">
        <v>5801</v>
      </c>
      <c r="D75" s="25">
        <v>14.6457</v>
      </c>
      <c r="E75" s="25">
        <f t="array" ref="E75">$C$11*VLOOKUP($B$11,$R$10:$S$16,2,0)</f>
        <v>1200000</v>
      </c>
      <c r="F75" s="25">
        <v>6.9214000000000003E-3</v>
      </c>
      <c r="G75" s="19">
        <f t="shared" si="4"/>
        <v>8305.68</v>
      </c>
      <c r="H75" s="19">
        <f t="shared" ref="H75:H78" si="7">C75*D75+N75</f>
        <v>84959.705700000006</v>
      </c>
      <c r="I75" s="25"/>
      <c r="J75" s="25"/>
      <c r="K75" s="19"/>
      <c r="L75" s="25"/>
      <c r="M75" s="25"/>
      <c r="N75" s="25"/>
      <c r="O75" s="19"/>
    </row>
    <row r="76" spans="1:19" hidden="1">
      <c r="A76" s="1" t="s">
        <v>238</v>
      </c>
      <c r="B76" s="1" t="s">
        <v>132</v>
      </c>
      <c r="C76" s="25">
        <v>3510</v>
      </c>
      <c r="D76" s="25">
        <v>58.353900000000003</v>
      </c>
      <c r="E76" s="25">
        <f t="array" ref="E76">$C$11*VLOOKUP($B$11,$R$10:$S$16,2,0)</f>
        <v>1200000</v>
      </c>
      <c r="F76" s="25">
        <v>3.6226000000000001E-2</v>
      </c>
      <c r="G76" s="19">
        <f t="shared" si="4"/>
        <v>43471.199999999997</v>
      </c>
      <c r="H76" s="19">
        <f t="shared" si="7"/>
        <v>204822.18900000001</v>
      </c>
      <c r="I76" s="25"/>
      <c r="J76" s="25"/>
      <c r="K76" s="19"/>
      <c r="L76" s="25"/>
      <c r="M76" s="25"/>
      <c r="N76" s="25"/>
      <c r="O76" s="19"/>
    </row>
    <row r="77" spans="1:19" hidden="1">
      <c r="A77" s="1" t="s">
        <v>262</v>
      </c>
      <c r="B77" s="1" t="s">
        <v>10</v>
      </c>
      <c r="C77" s="25">
        <v>3853</v>
      </c>
      <c r="D77" s="25">
        <v>8.0917200000000005</v>
      </c>
      <c r="E77" s="25">
        <f t="array" ref="E77">$C$11*VLOOKUP($B$11,$R$10:$S$16,2,0)</f>
        <v>1200000</v>
      </c>
      <c r="F77" s="25">
        <v>5.3628E-3</v>
      </c>
      <c r="G77" s="19">
        <f t="shared" si="4"/>
        <v>6435.36</v>
      </c>
      <c r="H77" s="19">
        <f t="shared" si="7"/>
        <v>31177.39716</v>
      </c>
      <c r="I77" s="25"/>
      <c r="J77" s="25"/>
      <c r="K77" s="19"/>
      <c r="L77" s="25"/>
      <c r="M77" s="25"/>
      <c r="N77" s="25"/>
      <c r="O77" s="19"/>
    </row>
    <row r="78" spans="1:19" hidden="1">
      <c r="A78" s="1" t="s">
        <v>223</v>
      </c>
      <c r="B78" s="1" t="s">
        <v>10</v>
      </c>
      <c r="C78" s="25">
        <v>778.98099999999999</v>
      </c>
      <c r="D78" s="25">
        <v>7.4310299999999998</v>
      </c>
      <c r="E78" s="25">
        <f t="array" ref="E78">$C$11*VLOOKUP($B$11,$R$10:$S$16,2,0)</f>
        <v>1200000</v>
      </c>
      <c r="F78" s="25">
        <v>5.3658000000000004E-3</v>
      </c>
      <c r="G78" s="19">
        <f t="shared" si="4"/>
        <v>6438.96</v>
      </c>
      <c r="H78" s="19">
        <f t="shared" si="7"/>
        <v>5788.6311804300003</v>
      </c>
      <c r="I78" s="25"/>
      <c r="J78" s="25"/>
      <c r="K78" s="19"/>
      <c r="L78" s="25"/>
      <c r="M78" s="25"/>
      <c r="N78" s="25"/>
      <c r="O78" s="19"/>
    </row>
    <row r="79" spans="1:19" hidden="1">
      <c r="A79" s="1" t="s">
        <v>266</v>
      </c>
      <c r="B79" s="1" t="s">
        <v>234</v>
      </c>
      <c r="C79" s="25">
        <v>1814</v>
      </c>
      <c r="D79" s="25">
        <v>20.822700000000001</v>
      </c>
      <c r="E79" s="25">
        <f t="array" ref="E79">$C$11*VLOOKUP($B$11,$R$10:$S$16,2,0)</f>
        <v>1200000</v>
      </c>
      <c r="F79" s="25">
        <v>5.3628E-3</v>
      </c>
      <c r="G79" s="19">
        <f t="shared" si="4"/>
        <v>6435.36</v>
      </c>
      <c r="H79" s="19">
        <f>(C79*D79+N80)*20</f>
        <v>755447.55599999998</v>
      </c>
      <c r="I79" s="25"/>
      <c r="J79" s="25"/>
      <c r="K79" s="19"/>
      <c r="L79" s="25"/>
      <c r="M79" s="25"/>
      <c r="N79" s="25"/>
      <c r="O79" s="19"/>
    </row>
    <row r="80" spans="1:19" hidden="1">
      <c r="A80" s="1" t="s">
        <v>266</v>
      </c>
      <c r="B80" s="1" t="s">
        <v>235</v>
      </c>
      <c r="C80" s="25">
        <v>2766</v>
      </c>
      <c r="D80" s="25">
        <v>20.0244</v>
      </c>
      <c r="E80" s="25">
        <f t="array" ref="E80">$C$11*VLOOKUP($B$11,$R$10:$S$16,2,0)</f>
        <v>1200000</v>
      </c>
      <c r="F80" s="25">
        <v>5.3628E-3</v>
      </c>
      <c r="G80" s="19">
        <f t="shared" si="4"/>
        <v>6435.36</v>
      </c>
      <c r="H80" s="19">
        <f>(C80*D80+N81)*20</f>
        <v>1107749.808</v>
      </c>
      <c r="I80" s="25"/>
      <c r="J80" s="25"/>
      <c r="K80" s="19"/>
      <c r="L80" s="25"/>
      <c r="M80" s="25"/>
      <c r="N80" s="25"/>
      <c r="O80" s="19"/>
    </row>
    <row r="81" spans="1:32" hidden="1">
      <c r="A81" s="1" t="s">
        <v>264</v>
      </c>
      <c r="B81" s="1" t="s">
        <v>236</v>
      </c>
      <c r="C81" s="25">
        <v>6537</v>
      </c>
      <c r="D81" s="25">
        <v>27.283300000000001</v>
      </c>
      <c r="E81" s="25">
        <f t="array" ref="E81">$C$11*VLOOKUP($B$11,$R$10:$S$16,2,0)</f>
        <v>1200000</v>
      </c>
      <c r="F81" s="25">
        <v>6.0112999999999998E-3</v>
      </c>
      <c r="G81" s="19">
        <f t="shared" si="4"/>
        <v>7213.56</v>
      </c>
      <c r="H81" s="19">
        <f>C81*D81+N82</f>
        <v>178350.93210000001</v>
      </c>
      <c r="I81" s="25"/>
      <c r="J81" s="25"/>
      <c r="K81" s="19"/>
      <c r="L81" s="25"/>
      <c r="M81" s="25"/>
      <c r="N81" s="25"/>
      <c r="O81" s="19"/>
    </row>
    <row r="82" spans="1:32" hidden="1">
      <c r="A82" s="1" t="s">
        <v>267</v>
      </c>
      <c r="B82" s="1" t="s">
        <v>10</v>
      </c>
      <c r="C82" s="25">
        <v>55289</v>
      </c>
      <c r="D82" s="25">
        <v>16.252700000000001</v>
      </c>
      <c r="E82" s="25">
        <f>$C$11*VLOOKUP($B$11,$R$10:$S$16,2,0)</f>
        <v>1200000</v>
      </c>
      <c r="F82" s="25">
        <v>0.25983000000000001</v>
      </c>
      <c r="G82" s="19">
        <f t="shared" si="4"/>
        <v>311796</v>
      </c>
      <c r="H82" s="19">
        <f>C82*D82+N83</f>
        <v>898595.53029999998</v>
      </c>
      <c r="I82" s="25"/>
      <c r="J82" s="25"/>
      <c r="K82" s="19"/>
      <c r="L82" s="25"/>
      <c r="M82" s="25"/>
      <c r="N82" s="25"/>
      <c r="O82" s="19"/>
    </row>
    <row r="83" spans="1:32" hidden="1">
      <c r="I83"/>
      <c r="J83"/>
      <c r="K83"/>
      <c r="L83"/>
      <c r="M83"/>
      <c r="N83"/>
      <c r="O83"/>
    </row>
    <row r="84" spans="1:32" hidden="1"/>
    <row r="85" spans="1:32" hidden="1"/>
    <row r="86" spans="1:32" hidden="1"/>
    <row r="87" spans="1:32" hidden="1"/>
    <row r="88" spans="1:32" hidden="1"/>
    <row r="89" spans="1:32" hidden="1"/>
    <row r="90" spans="1:32" hidden="1"/>
    <row r="91" spans="1:32" hidden="1"/>
    <row r="92" spans="1:32" hidden="1">
      <c r="C92" s="1" t="s">
        <v>239</v>
      </c>
      <c r="D92" s="1" t="s">
        <v>240</v>
      </c>
      <c r="E92" s="1" t="s">
        <v>241</v>
      </c>
      <c r="F92" s="1" t="s">
        <v>242</v>
      </c>
      <c r="G92" s="1" t="s">
        <v>243</v>
      </c>
      <c r="H92" s="1" t="s">
        <v>244</v>
      </c>
      <c r="I92" s="1" t="s">
        <v>245</v>
      </c>
      <c r="J92" s="1" t="s">
        <v>246</v>
      </c>
      <c r="K92" s="1" t="s">
        <v>247</v>
      </c>
      <c r="L92" s="1" t="s">
        <v>248</v>
      </c>
      <c r="M92" s="1" t="s">
        <v>249</v>
      </c>
      <c r="N92" s="1" t="s">
        <v>250</v>
      </c>
      <c r="O92" s="1" t="s">
        <v>251</v>
      </c>
      <c r="P92" s="1" t="s">
        <v>252</v>
      </c>
      <c r="Q92" s="1" t="s">
        <v>253</v>
      </c>
      <c r="R92" s="1" t="s">
        <v>205</v>
      </c>
      <c r="S92" s="1" t="s">
        <v>207</v>
      </c>
      <c r="T92" s="1" t="s">
        <v>238</v>
      </c>
      <c r="U92" s="1" t="s">
        <v>256</v>
      </c>
      <c r="V92" s="1" t="s">
        <v>265</v>
      </c>
      <c r="W92" s="1" t="s">
        <v>258</v>
      </c>
      <c r="X92" s="1" t="s">
        <v>259</v>
      </c>
      <c r="Y92" s="1" t="s">
        <v>260</v>
      </c>
      <c r="Z92" s="1" t="s">
        <v>261</v>
      </c>
      <c r="AA92" s="1" t="s">
        <v>238</v>
      </c>
      <c r="AB92" s="1" t="s">
        <v>262</v>
      </c>
      <c r="AC92" s="1" t="s">
        <v>223</v>
      </c>
      <c r="AD92" s="1" t="s">
        <v>264</v>
      </c>
      <c r="AE92" s="1" t="s">
        <v>266</v>
      </c>
      <c r="AF92" s="1" t="s">
        <v>267</v>
      </c>
    </row>
    <row r="93" spans="1:32" hidden="1">
      <c r="C93" s="1" t="s">
        <v>190</v>
      </c>
      <c r="D93" s="1" t="s">
        <v>132</v>
      </c>
      <c r="E93" s="1" t="s">
        <v>197</v>
      </c>
      <c r="F93" s="1" t="s">
        <v>197</v>
      </c>
      <c r="G93" s="1" t="s">
        <v>197</v>
      </c>
      <c r="H93" s="1" t="s">
        <v>197</v>
      </c>
      <c r="I93" s="1" t="s">
        <v>202</v>
      </c>
      <c r="J93" s="1" t="s">
        <v>194</v>
      </c>
      <c r="K93" s="1" t="s">
        <v>10</v>
      </c>
      <c r="L93" s="1" t="s">
        <v>10</v>
      </c>
      <c r="M93" s="1" t="s">
        <v>10</v>
      </c>
      <c r="N93" s="1" t="s">
        <v>125</v>
      </c>
      <c r="O93" s="1" t="s">
        <v>10</v>
      </c>
      <c r="P93" s="1" t="s">
        <v>124</v>
      </c>
      <c r="Q93" s="1" t="s">
        <v>125</v>
      </c>
      <c r="R93" s="1" t="s">
        <v>131</v>
      </c>
      <c r="S93" s="1" t="s">
        <v>132</v>
      </c>
      <c r="T93" s="1" t="s">
        <v>132</v>
      </c>
      <c r="U93" s="1" t="s">
        <v>10</v>
      </c>
      <c r="V93" s="1" t="s">
        <v>230</v>
      </c>
      <c r="W93" s="1" t="s">
        <v>230</v>
      </c>
      <c r="X93" s="1" t="s">
        <v>10</v>
      </c>
      <c r="Y93" s="1" t="s">
        <v>231</v>
      </c>
      <c r="Z93" s="1" t="s">
        <v>125</v>
      </c>
      <c r="AA93" s="1" t="s">
        <v>132</v>
      </c>
      <c r="AB93" s="1" t="s">
        <v>10</v>
      </c>
      <c r="AC93" s="1" t="s">
        <v>10</v>
      </c>
      <c r="AD93" s="1" t="s">
        <v>236</v>
      </c>
      <c r="AE93" s="1" t="s">
        <v>234</v>
      </c>
      <c r="AF93" s="1" t="s">
        <v>10</v>
      </c>
    </row>
    <row r="94" spans="1:32" hidden="1">
      <c r="C94" s="1" t="s">
        <v>192</v>
      </c>
      <c r="D94"/>
      <c r="G94"/>
      <c r="H94"/>
      <c r="I94" s="1" t="s">
        <v>204</v>
      </c>
      <c r="J94"/>
      <c r="K94"/>
      <c r="L94"/>
      <c r="M94"/>
      <c r="N94"/>
      <c r="O94"/>
      <c r="P94"/>
      <c r="Y94" s="1" t="s">
        <v>232</v>
      </c>
      <c r="AE94" s="1" t="s">
        <v>235</v>
      </c>
    </row>
    <row r="95" spans="1:32" hidden="1">
      <c r="C95" s="1" t="s">
        <v>194</v>
      </c>
      <c r="D95"/>
      <c r="G95"/>
      <c r="H95"/>
      <c r="I95" s="1" t="s">
        <v>206</v>
      </c>
      <c r="J95"/>
      <c r="K95"/>
      <c r="L95"/>
      <c r="M95"/>
      <c r="N95"/>
      <c r="O95"/>
      <c r="P95"/>
    </row>
    <row r="96" spans="1:32" hidden="1">
      <c r="C96"/>
      <c r="D96"/>
      <c r="G96"/>
      <c r="H96"/>
      <c r="I96" s="1" t="s">
        <v>208</v>
      </c>
      <c r="J96"/>
      <c r="K96"/>
      <c r="L96"/>
      <c r="M96"/>
      <c r="N96"/>
      <c r="O96"/>
      <c r="P96"/>
    </row>
    <row r="97" spans="2:16" hidden="1">
      <c r="E97"/>
      <c r="F97"/>
      <c r="G97"/>
      <c r="H97"/>
      <c r="I97" s="1" t="s">
        <v>210</v>
      </c>
      <c r="J97"/>
      <c r="K97"/>
      <c r="L97"/>
      <c r="M97"/>
      <c r="N97"/>
      <c r="O97"/>
      <c r="P97"/>
    </row>
    <row r="98" spans="2:16" hidden="1">
      <c r="E98"/>
      <c r="F98"/>
      <c r="G98"/>
      <c r="H98"/>
      <c r="I98" s="1" t="s">
        <v>212</v>
      </c>
      <c r="J98"/>
      <c r="K98"/>
      <c r="L98"/>
      <c r="M98"/>
      <c r="N98"/>
      <c r="O98"/>
      <c r="P98"/>
    </row>
    <row r="99" spans="2:16" ht="18" hidden="1" customHeight="1">
      <c r="E99"/>
      <c r="F99"/>
      <c r="G99"/>
      <c r="H99"/>
      <c r="I99" s="1" t="s">
        <v>214</v>
      </c>
      <c r="J99"/>
      <c r="K99"/>
      <c r="L99"/>
      <c r="M99"/>
      <c r="N99"/>
      <c r="O99"/>
      <c r="P99"/>
    </row>
    <row r="100" spans="2:16" ht="18" hidden="1" customHeight="1">
      <c r="I100" s="1" t="s">
        <v>216</v>
      </c>
      <c r="M100"/>
      <c r="N100"/>
      <c r="O100"/>
      <c r="P100"/>
    </row>
    <row r="101" spans="2:16" hidden="1">
      <c r="M101"/>
      <c r="N101"/>
      <c r="O101"/>
      <c r="P101"/>
    </row>
    <row r="102" spans="2:16">
      <c r="E102" s="18"/>
      <c r="M102"/>
      <c r="N102"/>
      <c r="O102"/>
      <c r="P102"/>
    </row>
    <row r="103" spans="2:16">
      <c r="M103"/>
      <c r="N103"/>
      <c r="O103"/>
      <c r="P103"/>
    </row>
    <row r="104" spans="2:16">
      <c r="E104" s="18"/>
      <c r="M104"/>
      <c r="N104"/>
      <c r="O104"/>
      <c r="P104"/>
    </row>
    <row r="105" spans="2:16">
      <c r="B105" s="44"/>
      <c r="C105" s="44"/>
      <c r="D105" s="44"/>
      <c r="E105" s="18"/>
      <c r="F105" s="18"/>
      <c r="G105" s="18"/>
      <c r="H105" s="18"/>
      <c r="I105" s="18"/>
      <c r="J105" s="18"/>
      <c r="K105" s="18"/>
      <c r="L105" s="18"/>
      <c r="M105"/>
      <c r="N105"/>
      <c r="O105"/>
      <c r="P105"/>
    </row>
    <row r="106" spans="2:16">
      <c r="M106"/>
      <c r="N106"/>
      <c r="O106"/>
      <c r="P106"/>
    </row>
    <row r="107" spans="2:16">
      <c r="E107"/>
      <c r="F107"/>
      <c r="G107"/>
      <c r="H107"/>
      <c r="I107"/>
      <c r="J107"/>
      <c r="K107"/>
      <c r="L107"/>
      <c r="M107"/>
      <c r="N107"/>
      <c r="O107"/>
      <c r="P107"/>
    </row>
    <row r="108" spans="2:16">
      <c r="E108"/>
      <c r="F108"/>
      <c r="G108"/>
      <c r="H108"/>
      <c r="I108"/>
      <c r="J108"/>
      <c r="K108"/>
      <c r="L108"/>
      <c r="M108"/>
      <c r="N108"/>
      <c r="O108"/>
      <c r="P108"/>
    </row>
    <row r="109" spans="2:16">
      <c r="E109"/>
      <c r="F109"/>
      <c r="G109"/>
      <c r="H109"/>
      <c r="I109"/>
      <c r="J109"/>
      <c r="K109"/>
      <c r="L109"/>
      <c r="M109"/>
      <c r="N109"/>
      <c r="O109"/>
      <c r="P109"/>
    </row>
    <row r="110" spans="2:16">
      <c r="E110"/>
      <c r="F110"/>
      <c r="G110"/>
      <c r="H110"/>
      <c r="I110"/>
      <c r="J110"/>
      <c r="K110"/>
      <c r="L110"/>
      <c r="M110"/>
      <c r="N110"/>
      <c r="O110"/>
      <c r="P110"/>
    </row>
    <row r="111" spans="2:16">
      <c r="E111"/>
      <c r="F111"/>
      <c r="G111"/>
      <c r="H111"/>
      <c r="I111"/>
      <c r="J111"/>
      <c r="K111"/>
      <c r="L111"/>
      <c r="M111"/>
      <c r="N111"/>
      <c r="O111"/>
      <c r="P111"/>
    </row>
    <row r="112" spans="2:16">
      <c r="E112"/>
      <c r="F112"/>
      <c r="G112"/>
      <c r="H112"/>
      <c r="I112"/>
      <c r="J112"/>
      <c r="K112"/>
      <c r="L112"/>
      <c r="M112"/>
      <c r="N112"/>
      <c r="O112"/>
      <c r="P112"/>
    </row>
    <row r="113" spans="5:16">
      <c r="E113"/>
      <c r="F113"/>
      <c r="G113"/>
      <c r="H113"/>
      <c r="I113"/>
      <c r="J113"/>
      <c r="K113"/>
      <c r="L113"/>
      <c r="M113"/>
      <c r="N113"/>
      <c r="O113"/>
      <c r="P113"/>
    </row>
    <row r="114" spans="5:16">
      <c r="E114"/>
      <c r="F114"/>
      <c r="G114"/>
      <c r="H114"/>
      <c r="I114"/>
      <c r="J114"/>
      <c r="K114"/>
      <c r="L114"/>
      <c r="M114"/>
      <c r="N114"/>
      <c r="O114"/>
      <c r="P114"/>
    </row>
    <row r="115" spans="5:16">
      <c r="E115"/>
      <c r="F115"/>
      <c r="G115"/>
      <c r="H115"/>
      <c r="I115"/>
      <c r="J115"/>
      <c r="K115"/>
      <c r="L115"/>
      <c r="M115"/>
      <c r="N115"/>
      <c r="O115"/>
      <c r="P115"/>
    </row>
    <row r="116" spans="5:16">
      <c r="E116"/>
      <c r="F116"/>
      <c r="G116"/>
      <c r="H116"/>
      <c r="I116"/>
      <c r="J116"/>
      <c r="K116"/>
      <c r="L116"/>
      <c r="M116"/>
      <c r="N116"/>
      <c r="O116"/>
      <c r="P116"/>
    </row>
    <row r="117" spans="5:16">
      <c r="E117"/>
      <c r="F117"/>
      <c r="G117"/>
      <c r="H117"/>
      <c r="I117"/>
      <c r="J117"/>
      <c r="K117"/>
      <c r="L117"/>
      <c r="M117"/>
      <c r="N117"/>
      <c r="O117"/>
      <c r="P117"/>
    </row>
    <row r="118" spans="5:16">
      <c r="E118"/>
      <c r="F118"/>
      <c r="G118"/>
      <c r="H118"/>
      <c r="I118"/>
      <c r="J118"/>
      <c r="K118"/>
      <c r="L118"/>
      <c r="M118"/>
      <c r="N118"/>
      <c r="O118"/>
      <c r="P118"/>
    </row>
    <row r="119" spans="5:16">
      <c r="E119"/>
      <c r="F119"/>
      <c r="G119"/>
      <c r="H119"/>
      <c r="I119"/>
      <c r="J119"/>
      <c r="K119"/>
      <c r="L119"/>
      <c r="M119"/>
      <c r="N119"/>
      <c r="O119"/>
      <c r="P119"/>
    </row>
    <row r="120" spans="5:16">
      <c r="E120"/>
      <c r="F120"/>
      <c r="G120"/>
      <c r="H120"/>
      <c r="I120"/>
      <c r="J120"/>
      <c r="K120"/>
      <c r="L120"/>
      <c r="M120"/>
      <c r="N120"/>
      <c r="O120"/>
      <c r="P120"/>
    </row>
    <row r="121" spans="5:16">
      <c r="E121"/>
      <c r="F121"/>
      <c r="G121"/>
      <c r="H121"/>
      <c r="I121"/>
      <c r="J121"/>
      <c r="K121"/>
      <c r="L121"/>
      <c r="M121"/>
      <c r="N121"/>
      <c r="O121"/>
      <c r="P121"/>
    </row>
    <row r="122" spans="5:16">
      <c r="E122"/>
      <c r="F122"/>
      <c r="G122"/>
      <c r="H122"/>
      <c r="I122"/>
      <c r="J122"/>
      <c r="K122"/>
      <c r="L122"/>
      <c r="M122"/>
      <c r="N122"/>
      <c r="O122"/>
      <c r="P122"/>
    </row>
    <row r="123" spans="5:16">
      <c r="E123"/>
      <c r="F123"/>
      <c r="G123"/>
      <c r="H123"/>
      <c r="I123"/>
      <c r="J123"/>
      <c r="K123"/>
      <c r="L123"/>
      <c r="M123"/>
      <c r="N123"/>
      <c r="O123"/>
      <c r="P123"/>
    </row>
    <row r="124" spans="5:16">
      <c r="E124"/>
      <c r="F124"/>
      <c r="G124"/>
      <c r="H124"/>
      <c r="I124"/>
      <c r="J124"/>
      <c r="K124"/>
      <c r="L124"/>
      <c r="M124"/>
      <c r="N124"/>
      <c r="O124"/>
      <c r="P124"/>
    </row>
    <row r="125" spans="5:16">
      <c r="E125"/>
      <c r="F125"/>
      <c r="G125"/>
      <c r="H125"/>
      <c r="I125"/>
      <c r="J125"/>
      <c r="K125"/>
      <c r="L125"/>
      <c r="M125"/>
      <c r="N125"/>
      <c r="O125"/>
      <c r="P125"/>
    </row>
    <row r="126" spans="5:16" ht="17.100000000000001" customHeight="1">
      <c r="E126"/>
      <c r="F126"/>
      <c r="G126"/>
      <c r="H126"/>
      <c r="I126"/>
      <c r="J126"/>
      <c r="K126"/>
      <c r="L126"/>
      <c r="M126"/>
      <c r="N126"/>
      <c r="O126"/>
      <c r="P126"/>
    </row>
    <row r="127" spans="5:16">
      <c r="E127"/>
      <c r="F127"/>
      <c r="G127"/>
      <c r="H127"/>
      <c r="I127"/>
      <c r="J127"/>
      <c r="K127"/>
      <c r="L127"/>
      <c r="M127"/>
      <c r="N127"/>
      <c r="O127"/>
      <c r="P127"/>
    </row>
    <row r="128" spans="5:16">
      <c r="E128"/>
      <c r="F128"/>
      <c r="G128"/>
      <c r="H128"/>
      <c r="I128"/>
      <c r="J128"/>
      <c r="K128"/>
      <c r="L128"/>
      <c r="M128"/>
      <c r="N128"/>
      <c r="O128"/>
      <c r="P128"/>
    </row>
    <row r="129" spans="5:16">
      <c r="E129"/>
      <c r="F129"/>
      <c r="G129"/>
      <c r="H129"/>
      <c r="I129"/>
      <c r="J129"/>
      <c r="K129"/>
      <c r="L129"/>
      <c r="M129"/>
      <c r="N129"/>
      <c r="O129"/>
      <c r="P129"/>
    </row>
    <row r="130" spans="5:16">
      <c r="E130"/>
      <c r="F130"/>
      <c r="G130"/>
      <c r="H130"/>
      <c r="I130"/>
      <c r="J130"/>
      <c r="K130"/>
      <c r="L130"/>
      <c r="M130"/>
      <c r="N130"/>
      <c r="O130"/>
      <c r="P130"/>
    </row>
    <row r="131" spans="5:16">
      <c r="E131"/>
      <c r="F131"/>
      <c r="G131"/>
      <c r="H131"/>
      <c r="I131"/>
      <c r="J131"/>
      <c r="K131"/>
      <c r="L131"/>
      <c r="M131"/>
      <c r="N131"/>
      <c r="O131"/>
      <c r="P131"/>
    </row>
    <row r="132" spans="5:16">
      <c r="E132"/>
      <c r="F132"/>
      <c r="G132"/>
      <c r="H132"/>
      <c r="I132"/>
      <c r="J132"/>
      <c r="K132"/>
      <c r="L132"/>
      <c r="M132"/>
      <c r="N132"/>
      <c r="O132"/>
      <c r="P132"/>
    </row>
    <row r="164" spans="1:22" ht="1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row>
    <row r="165" spans="1:22" ht="1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row>
    <row r="166" spans="1:22">
      <c r="N166" s="42"/>
      <c r="O166" s="42"/>
      <c r="Q166" s="42"/>
      <c r="V166" s="42"/>
    </row>
  </sheetData>
  <mergeCells count="7">
    <mergeCell ref="D1:L4"/>
    <mergeCell ref="D5:L5"/>
    <mergeCell ref="B7:B9"/>
    <mergeCell ref="B11:B12"/>
    <mergeCell ref="C7:C9"/>
    <mergeCell ref="C11:C12"/>
    <mergeCell ref="D11:D12"/>
  </mergeCells>
  <phoneticPr fontId="18" type="noConversion"/>
  <dataValidations count="3">
    <dataValidation type="list" allowBlank="1" showInputMessage="1" showErrorMessage="1" sqref="B11" xr:uid="{00000000-0002-0000-0200-000000000000}">
      <formula1>"ms,s,min,hr,day,mo,yr"</formula1>
    </dataValidation>
    <dataValidation type="list" showInputMessage="1" showErrorMessage="1" sqref="D11" xr:uid="{00000000-0002-0000-0200-000001000000}">
      <formula1>INDIRECT($B$7)</formula1>
    </dataValidation>
    <dataValidation type="list" allowBlank="1" showInputMessage="1" showErrorMessage="1" sqref="B7:B9" xr:uid="{00000000-0002-0000-0200-000002000000}">
      <formula1>$B$92:$AJ$92</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30"/>
  <sheetViews>
    <sheetView zoomScale="70" zoomScaleNormal="70" workbookViewId="0">
      <selection activeCell="D11" sqref="D11:D12"/>
    </sheetView>
  </sheetViews>
  <sheetFormatPr defaultColWidth="9" defaultRowHeight="15"/>
  <cols>
    <col min="1" max="1" width="21.85546875" style="1" customWidth="1"/>
    <col min="2" max="3" width="17.140625" style="1" customWidth="1"/>
    <col min="4" max="4" width="19.42578125" style="1" customWidth="1"/>
    <col min="5" max="5" width="19.7109375" style="1" customWidth="1"/>
    <col min="6" max="6" width="23.140625" style="1" customWidth="1"/>
    <col min="7" max="7" width="18.85546875" style="1" customWidth="1"/>
    <col min="8" max="8" width="18" style="1" customWidth="1"/>
    <col min="9" max="10" width="17.7109375" style="1" customWidth="1"/>
    <col min="11" max="12" width="20" style="1" customWidth="1"/>
    <col min="13" max="13" width="18.42578125" style="1" customWidth="1"/>
    <col min="14" max="15" width="19.85546875" style="1" customWidth="1"/>
    <col min="16" max="16" width="21.140625" style="1" customWidth="1"/>
    <col min="17" max="17" width="18.42578125" style="1" customWidth="1"/>
    <col min="18" max="18" width="12.7109375" style="1" customWidth="1"/>
    <col min="19" max="19" width="15.85546875" style="1" customWidth="1"/>
    <col min="20" max="20" width="14.7109375" style="1" customWidth="1"/>
    <col min="21" max="21" width="13.42578125" style="1" customWidth="1"/>
    <col min="22" max="24" width="9" style="1"/>
    <col min="25" max="25" width="16.42578125" style="1" customWidth="1"/>
    <col min="26" max="26" width="23.42578125" style="1" customWidth="1"/>
    <col min="27" max="16384" width="9" style="1"/>
  </cols>
  <sheetData>
    <row r="1" spans="1:21" ht="15" customHeight="1">
      <c r="A1" s="2"/>
      <c r="B1" s="2"/>
      <c r="C1" s="2"/>
      <c r="D1" s="2"/>
      <c r="E1" s="54" t="s">
        <v>268</v>
      </c>
      <c r="F1" s="54"/>
      <c r="G1" s="54"/>
      <c r="H1" s="54"/>
      <c r="I1" s="54"/>
      <c r="J1" s="54"/>
      <c r="K1" s="54"/>
      <c r="L1" s="54"/>
      <c r="M1" s="54"/>
      <c r="N1" s="2"/>
      <c r="O1"/>
      <c r="P1"/>
      <c r="Q1"/>
    </row>
    <row r="2" spans="1:21">
      <c r="A2" s="2"/>
      <c r="B2" s="2"/>
      <c r="C2" s="2"/>
      <c r="D2" s="2"/>
      <c r="E2" s="54"/>
      <c r="F2" s="54"/>
      <c r="G2" s="54"/>
      <c r="H2" s="54"/>
      <c r="I2" s="54"/>
      <c r="J2" s="54"/>
      <c r="K2" s="54"/>
      <c r="L2" s="54"/>
      <c r="M2" s="54"/>
      <c r="N2" s="2"/>
      <c r="O2"/>
      <c r="P2"/>
      <c r="Q2"/>
    </row>
    <row r="3" spans="1:21">
      <c r="A3" s="2"/>
      <c r="B3" s="2"/>
      <c r="C3" s="2"/>
      <c r="D3" s="2"/>
      <c r="E3" s="54"/>
      <c r="F3" s="54"/>
      <c r="G3" s="54"/>
      <c r="H3" s="54"/>
      <c r="I3" s="54"/>
      <c r="J3" s="54"/>
      <c r="K3" s="54"/>
      <c r="L3" s="54"/>
      <c r="M3" s="54"/>
      <c r="N3" s="2"/>
      <c r="O3"/>
      <c r="P3"/>
      <c r="Q3"/>
    </row>
    <row r="4" spans="1:21">
      <c r="A4" s="2"/>
      <c r="B4" s="2"/>
      <c r="C4" s="2"/>
      <c r="D4" s="2"/>
      <c r="E4" s="54"/>
      <c r="F4" s="54"/>
      <c r="G4" s="54"/>
      <c r="H4" s="54"/>
      <c r="I4" s="54"/>
      <c r="J4" s="54"/>
      <c r="K4" s="54"/>
      <c r="L4" s="54"/>
      <c r="M4" s="54"/>
      <c r="N4" s="2"/>
      <c r="O4"/>
      <c r="P4"/>
      <c r="Q4"/>
    </row>
    <row r="5" spans="1:21">
      <c r="A5" s="2" t="s">
        <v>1</v>
      </c>
      <c r="B5" s="2"/>
      <c r="C5" s="2"/>
      <c r="D5" s="2"/>
      <c r="E5" s="2"/>
      <c r="F5" s="2"/>
      <c r="G5" s="2"/>
      <c r="H5" s="2"/>
      <c r="I5" s="2"/>
      <c r="J5" s="2"/>
      <c r="K5" s="2"/>
      <c r="L5" s="2"/>
      <c r="M5" s="2"/>
      <c r="N5" s="2"/>
      <c r="O5"/>
      <c r="P5"/>
      <c r="Q5"/>
      <c r="R5" s="21"/>
    </row>
    <row r="6" spans="1:21">
      <c r="A6" s="3"/>
      <c r="B6" s="4" t="s">
        <v>2</v>
      </c>
      <c r="C6" s="5" t="s">
        <v>3</v>
      </c>
      <c r="D6" s="3"/>
      <c r="E6" s="3"/>
      <c r="F6" s="3"/>
      <c r="G6" s="3"/>
      <c r="H6" s="3"/>
      <c r="I6" s="3"/>
      <c r="J6" s="3"/>
      <c r="K6" s="3"/>
      <c r="L6" s="3"/>
      <c r="M6" s="3"/>
      <c r="N6" s="3"/>
      <c r="O6"/>
      <c r="P6"/>
    </row>
    <row r="7" spans="1:21">
      <c r="A7" s="3"/>
      <c r="B7" s="56" t="s">
        <v>269</v>
      </c>
      <c r="C7" s="64">
        <f>VLOOKUP(B7,Q42:R73,2,0)</f>
        <v>2400</v>
      </c>
      <c r="D7" s="3"/>
      <c r="E7" s="3"/>
      <c r="F7" s="3"/>
      <c r="G7" s="3"/>
      <c r="H7" s="3"/>
      <c r="I7" s="3"/>
      <c r="J7" s="3"/>
      <c r="K7" s="3"/>
      <c r="L7" s="3"/>
      <c r="M7" s="3"/>
      <c r="N7" s="3"/>
      <c r="O7"/>
      <c r="P7"/>
    </row>
    <row r="8" spans="1:21">
      <c r="A8" s="3"/>
      <c r="B8" s="56"/>
      <c r="C8" s="59"/>
      <c r="D8" s="3"/>
      <c r="E8" s="3"/>
      <c r="F8" s="3"/>
      <c r="G8" s="3"/>
      <c r="H8" s="3"/>
      <c r="I8" s="3"/>
      <c r="J8" s="3"/>
      <c r="K8" s="3"/>
      <c r="L8" s="3"/>
      <c r="M8" s="3"/>
      <c r="N8" s="3"/>
      <c r="O8"/>
      <c r="P8"/>
    </row>
    <row r="9" spans="1:21">
      <c r="A9" s="3"/>
      <c r="B9" s="56"/>
      <c r="C9" s="65"/>
      <c r="D9" s="3"/>
      <c r="E9" s="3"/>
      <c r="F9" s="3"/>
      <c r="G9" s="3"/>
      <c r="H9" s="3"/>
      <c r="I9" s="3"/>
      <c r="J9" s="3"/>
      <c r="K9" s="3"/>
      <c r="L9" s="3"/>
      <c r="M9" s="3"/>
      <c r="N9" s="3"/>
      <c r="O9"/>
      <c r="P9"/>
    </row>
    <row r="10" spans="1:21">
      <c r="A10" s="3"/>
      <c r="B10" s="6" t="s">
        <v>5</v>
      </c>
      <c r="C10" s="6" t="s">
        <v>6</v>
      </c>
      <c r="D10" s="7" t="s">
        <v>7</v>
      </c>
      <c r="E10" s="3"/>
      <c r="F10" s="3"/>
      <c r="G10" s="3"/>
      <c r="H10" s="3"/>
      <c r="I10" s="3"/>
      <c r="J10" s="3"/>
      <c r="K10" s="3"/>
      <c r="L10" s="3"/>
      <c r="M10" s="3"/>
      <c r="N10" s="3"/>
      <c r="O10"/>
      <c r="P10"/>
      <c r="T10" s="22" t="s">
        <v>8</v>
      </c>
      <c r="U10" s="22">
        <v>1</v>
      </c>
    </row>
    <row r="11" spans="1:21" ht="15" customHeight="1">
      <c r="A11" s="3"/>
      <c r="B11" s="57" t="s">
        <v>9</v>
      </c>
      <c r="C11" s="60">
        <v>20</v>
      </c>
      <c r="D11" s="67" t="s">
        <v>270</v>
      </c>
      <c r="E11" s="3"/>
      <c r="F11" s="3"/>
      <c r="G11" s="3"/>
      <c r="H11" s="3"/>
      <c r="I11" s="3"/>
      <c r="J11" s="3"/>
      <c r="K11" s="3"/>
      <c r="L11" s="3"/>
      <c r="M11" s="3"/>
      <c r="N11" s="3"/>
      <c r="O11"/>
      <c r="P11"/>
      <c r="T11" s="22" t="s">
        <v>11</v>
      </c>
      <c r="U11" s="22">
        <f>U10*1000</f>
        <v>1000</v>
      </c>
    </row>
    <row r="12" spans="1:21" ht="15" customHeight="1">
      <c r="A12" s="3"/>
      <c r="B12" s="58"/>
      <c r="C12" s="66"/>
      <c r="D12" s="70"/>
      <c r="E12" s="3"/>
      <c r="F12" s="3"/>
      <c r="G12" s="3"/>
      <c r="H12" s="3"/>
      <c r="I12" s="3"/>
      <c r="J12" s="3"/>
      <c r="K12" s="3"/>
      <c r="L12" s="3"/>
      <c r="M12" s="3"/>
      <c r="N12" s="3"/>
      <c r="O12"/>
      <c r="P12"/>
      <c r="T12" s="22" t="s">
        <v>9</v>
      </c>
      <c r="U12" s="22">
        <f>U11*60</f>
        <v>60000</v>
      </c>
    </row>
    <row r="13" spans="1:21">
      <c r="A13" s="3"/>
      <c r="B13" s="3"/>
      <c r="C13" s="9" t="s">
        <v>12</v>
      </c>
      <c r="D13" s="9" t="s">
        <v>13</v>
      </c>
      <c r="E13" s="9" t="s">
        <v>14</v>
      </c>
      <c r="F13" s="9" t="s">
        <v>15</v>
      </c>
      <c r="G13" s="9" t="s">
        <v>16</v>
      </c>
      <c r="H13" s="9" t="s">
        <v>17</v>
      </c>
      <c r="I13" s="9" t="s">
        <v>172</v>
      </c>
      <c r="J13" s="9" t="s">
        <v>271</v>
      </c>
      <c r="K13" s="9" t="s">
        <v>19</v>
      </c>
      <c r="L13" s="9" t="s">
        <v>20</v>
      </c>
      <c r="M13" s="9" t="s">
        <v>272</v>
      </c>
      <c r="N13" s="9" t="s">
        <v>21</v>
      </c>
      <c r="T13" s="22" t="s">
        <v>22</v>
      </c>
      <c r="U13" s="22">
        <f>U12*60</f>
        <v>3600000</v>
      </c>
    </row>
    <row r="14" spans="1:21" ht="18.75">
      <c r="A14" s="30" t="s">
        <v>23</v>
      </c>
      <c r="B14" s="30" t="s">
        <v>24</v>
      </c>
      <c r="C14" s="31">
        <f t="array" ref="C14">VLOOKUP($B$7&amp;$D$11,IF({1,0},$A$42:$A$51&amp;$B$42:$B$51,$I$42:$I$51),2,0)</f>
        <v>3000</v>
      </c>
      <c r="D14" s="31">
        <f t="array" ref="D14">VLOOKUP($B$7&amp;$D$11,IF({1,0},$A$42:$A$51&amp;$B$42:$B$51,$J$42:$J$50),2,0)</f>
        <v>903.20065433000002</v>
      </c>
      <c r="E14" s="31">
        <f t="array" ref="E14">VLOOKUP(B28,B27:R33,13,0)</f>
        <v>10266.787943200001</v>
      </c>
      <c r="F14" s="31">
        <f t="shared" ref="F14:F19" si="0">VLOOKUP(B28,B27:W33,14,0)</f>
        <v>692.76022731</v>
      </c>
      <c r="G14" s="31">
        <f t="shared" ref="G14:G19" si="1">VLOOKUP(B28,B27:W33,15,0)</f>
        <v>3604.7036715999998</v>
      </c>
      <c r="H14" s="31">
        <f t="shared" ref="H14:H19" si="2">VLOOKUP(B28,B27:W33,16,0)</f>
        <v>623.83733333333305</v>
      </c>
      <c r="I14" s="31">
        <f t="array" ref="I14">(C14+D14+E14+F14+G14+H14+K14+L14)/((VLOOKUP($B$7&amp;$D$11,IF({1,0},$A$42:$A$51&amp;$B$42:$B$51,$L$42:$L$51),2,0))+(((VLOOKUP($B$7&amp;$D$11,IF({1,0},$A$42:$A$51&amp;$B$42:$B$51,$C$43:$C$51),2,0)))+((VLOOKUP($B$7&amp;$D$11,IF({1,0},$A$42:$A$51&amp;$B$42:$B$51,$G$42:$G$51),2,0)))+(VLOOKUP($B$7&amp;$D$11,IF({1,0},$A$42:$A$51&amp;$B$42:$B$51,$L$42:$L$51),2,0))+(VLOOKUP(B28,$B$27:$F$33,2,0))+(VLOOKUP(B28,$B$27:$F$33,3,0))+(VLOOKUP(B28,$B$27:$F$33,4,0))+(VLOOKUP(B28,$B$27:$F$33,5,0))))+(VLOOKUP($B$7&amp;$D$11,IF({1,0},$A$42:$A$51&amp;$B$42:$B$51,$L$42:$L$51),2,0))+J14</f>
        <v>9.2393681927023602E-2</v>
      </c>
      <c r="J14" s="31">
        <f t="array" ref="J14">VLOOKUP($B$7&amp;$D$11,IF({1,0},$A$42:$A$51&amp;$B$42:$B$51,$K$42:$K$51),2,0)</f>
        <v>7.6492500000000005E-2</v>
      </c>
      <c r="K14" s="31">
        <f t="array" ref="K14">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14" s="31">
        <f>IF($B$7="LSN50_V2____Waterproof_Long_Range_Wireless_LoRa_Sensor_Node",VLOOKUP(B28,B27:W33,17,0),0)</f>
        <v>0</v>
      </c>
      <c r="M14" s="31">
        <f>G48*(N48-H48)</f>
        <v>0</v>
      </c>
      <c r="N14" s="38">
        <f t="shared" ref="N14:N19" si="3">$C$7/(I14*8760+($C$7*0.02))</f>
        <v>2.7992625922310999</v>
      </c>
      <c r="T14" s="22" t="s">
        <v>25</v>
      </c>
      <c r="U14" s="22">
        <f>U13*24</f>
        <v>86400000</v>
      </c>
    </row>
    <row r="15" spans="1:21" ht="18.75">
      <c r="A15" s="3"/>
      <c r="B15" s="30" t="s">
        <v>26</v>
      </c>
      <c r="C15" s="31">
        <f t="array" ref="C15">VLOOKUP($B$7&amp;$D$11,IF({1,0},$A$42:$A$51&amp;$B$42:$B$51,$I$42:$I$51),2,0)</f>
        <v>3000</v>
      </c>
      <c r="D15" s="31">
        <f t="array" ref="D15">VLOOKUP($B$7&amp;$D$11,IF({1,0},$A$42:$A$51&amp;$B$42:$B$51,$J$42:$J$50),2,0)</f>
        <v>903.20065433000002</v>
      </c>
      <c r="E15" s="31">
        <f t="array" ref="E15">VLOOKUP(B29,B28:R34,13,0)</f>
        <v>18191.289915000001</v>
      </c>
      <c r="F15" s="31">
        <f t="shared" si="0"/>
        <v>736.62979908</v>
      </c>
      <c r="G15" s="31">
        <f t="shared" si="1"/>
        <v>3576.7589400000002</v>
      </c>
      <c r="H15" s="31">
        <f t="shared" si="2"/>
        <v>623.83733333333305</v>
      </c>
      <c r="I15" s="31">
        <f t="array" ref="I15">(C15+D15+E15+F15+G15+H15+K15+L15)/((VLOOKUP($B$7&amp;$D$11,IF({1,0},$A$42:$A$51&amp;$B$42:$B$51,$L$42:$L$51),2,0))+(((VLOOKUP($B$7&amp;$D$11,IF({1,0},$A$42:$A$51&amp;$B$42:$B$51,$C$43:$C$51),2,0)))+((VLOOKUP($B$7&amp;$D$11,IF({1,0},$A$42:$A$51&amp;$B$42:$B$51,$G$42:$G$51),2,0)))+(VLOOKUP($B$7&amp;$D$11,IF({1,0},$A$42:$A$51&amp;$B$42:$B$51,$L$42:$L$51),2,0))+(VLOOKUP(B29,$B$27:$F$33,2,0))+(VLOOKUP(B29,$B$27:$F$33,3,0))+(VLOOKUP(B29,$B$27:$F$33,4,0))+(VLOOKUP(B29,$B$27:$F$33,5,0))))+(VLOOKUP($B$7&amp;$D$11,IF({1,0},$A$42:$A$51&amp;$B$42:$B$51,$L$42:$L$51),2,0))+J15</f>
        <v>9.90056363214179E-2</v>
      </c>
      <c r="J15" s="31">
        <f t="array" ref="J15">VLOOKUP($B$7&amp;$D$11,IF({1,0},$A$42:$A$51&amp;$B$42:$B$51,$K$42:$K$51),2,0)</f>
        <v>7.6492500000000005E-2</v>
      </c>
      <c r="K15" s="31">
        <f t="array" ref="K15">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15" s="31">
        <f t="array" ref="L15">IF($B$7="LSN50_V2____Waterproof_Long_Range_Wireless_LoRa_Sensor_Node",VLOOKUP(B29,B28:W34,17,0),0)</f>
        <v>0</v>
      </c>
      <c r="M15" s="31">
        <f>G48*(N48-H48)</f>
        <v>0</v>
      </c>
      <c r="N15" s="38">
        <f t="shared" si="3"/>
        <v>2.6221215581811199</v>
      </c>
      <c r="T15" s="22" t="s">
        <v>27</v>
      </c>
      <c r="U15" s="22">
        <f>U16/12</f>
        <v>2629800000</v>
      </c>
    </row>
    <row r="16" spans="1:21" ht="18.75">
      <c r="A16" s="3"/>
      <c r="B16" s="30" t="s">
        <v>28</v>
      </c>
      <c r="C16" s="31">
        <f t="array" ref="C16">VLOOKUP($B$7&amp;$D$11,IF({1,0},$A$42:$A$51&amp;$B$42:$B$51,$I$42:$I$51),2,0)</f>
        <v>3000</v>
      </c>
      <c r="D16" s="31">
        <f t="array" ref="D16">VLOOKUP($B$7&amp;$D$11,IF({1,0},$A$42:$A$51&amp;$B$42:$B$51,$J$42:$J$50),2,0)</f>
        <v>903.20065433000002</v>
      </c>
      <c r="E16" s="31">
        <f t="array" ref="E16">VLOOKUP(B30,B29:R35,13,0)</f>
        <v>32511.568281600001</v>
      </c>
      <c r="F16" s="31">
        <f t="shared" si="0"/>
        <v>819.28740712000001</v>
      </c>
      <c r="G16" s="31">
        <f t="shared" si="1"/>
        <v>3600.7803702000001</v>
      </c>
      <c r="H16" s="31">
        <f t="shared" si="2"/>
        <v>623.83733333333305</v>
      </c>
      <c r="I16" s="31">
        <f t="array" ref="I16">(C16+D16+E16+F16+G16+H16+K16+L16)/((VLOOKUP($B$7&amp;$D$11,IF({1,0},$A$42:$A$51&amp;$B$42:$B$51,$L$42:$L$51),2,0))+(((VLOOKUP($B$7&amp;$D$11,IF({1,0},$A$42:$A$51&amp;$B$42:$B$51,$C$43:$C$51),2,0)))+((VLOOKUP($B$7&amp;$D$11,IF({1,0},$A$42:$A$51&amp;$B$42:$B$51,$G$42:$G$51),2,0)))+(VLOOKUP($B$7&amp;$D$11,IF({1,0},$A$42:$A$51&amp;$B$42:$B$51,$L$42:$L$51),2,0))+(VLOOKUP(B30,$B$27:$F$33,2,0))+(VLOOKUP(B30,$B$27:$F$33,3,0))+(VLOOKUP(B30,$B$27:$F$33,4,0))+(VLOOKUP(B30,$B$27:$F$33,5,0))))+(VLOOKUP($B$7&amp;$D$11,IF({1,0},$A$42:$A$51&amp;$B$42:$B$51,$L$42:$L$51),2,0))+J16</f>
        <v>0.111016411810038</v>
      </c>
      <c r="J16" s="31">
        <f t="array" ref="J16">VLOOKUP($B$7&amp;$D$11,IF({1,0},$A$42:$A$51&amp;$B$42:$B$51,$K$42:$K$51),2,0)</f>
        <v>7.6492500000000005E-2</v>
      </c>
      <c r="K16" s="31">
        <f t="array" ref="K16">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16" s="31">
        <f t="array" ref="L16">IF($B$7="LSN50_V2____Waterproof_Long_Range_Wireless_LoRa_Sensor_Node",VLOOKUP(B30,B29:W35,17,0),0)</f>
        <v>0</v>
      </c>
      <c r="M16" s="31">
        <f>G48*(N48-H48)</f>
        <v>0</v>
      </c>
      <c r="N16" s="38">
        <f t="shared" si="3"/>
        <v>2.3517796568091902</v>
      </c>
      <c r="T16" s="22" t="s">
        <v>29</v>
      </c>
      <c r="U16" s="22">
        <f>U14*365.25</f>
        <v>31557600000</v>
      </c>
    </row>
    <row r="17" spans="1:22" ht="18.75">
      <c r="A17" s="3"/>
      <c r="B17" s="30" t="s">
        <v>30</v>
      </c>
      <c r="C17" s="31">
        <f t="array" ref="C17">VLOOKUP($B$7&amp;$D$11,IF({1,0},$A$42:$A$51&amp;$B$42:$B$51,$I$42:$I$51),2,0)</f>
        <v>3000</v>
      </c>
      <c r="D17" s="31">
        <f t="array" ref="D17">VLOOKUP($B$7&amp;$D$11,IF({1,0},$A$42:$A$51&amp;$B$42:$B$51,$J$42:$J$50),2,0)</f>
        <v>903.20065433000002</v>
      </c>
      <c r="E17" s="31">
        <f t="array" ref="E17">VLOOKUP(B31,B30:R36,13,0)</f>
        <v>62560.960111</v>
      </c>
      <c r="F17" s="31">
        <f t="shared" si="0"/>
        <v>1098.2065788</v>
      </c>
      <c r="G17" s="31">
        <f t="shared" si="1"/>
        <v>3613.4190128</v>
      </c>
      <c r="H17" s="31">
        <f t="shared" si="2"/>
        <v>623.83733333333305</v>
      </c>
      <c r="I17" s="31">
        <f t="array" ref="I17">(C17+D17+E17+F17+G17+H17+K17+L17)/((VLOOKUP($B$7&amp;$D$11,IF({1,0},$A$42:$A$51&amp;$B$42:$B$51,$L$42:$L$51),2,0))+(((VLOOKUP($B$7&amp;$D$11,IF({1,0},$A$42:$A$51&amp;$B$42:$B$51,$C$43:$C$51),2,0)))+((VLOOKUP($B$7&amp;$D$11,IF({1,0},$A$42:$A$51&amp;$B$42:$B$51,$G$42:$G$51),2,0)))+(VLOOKUP($B$7&amp;$D$11,IF({1,0},$A$42:$A$51&amp;$B$42:$B$51,$L$42:$L$51),2,0))+(VLOOKUP(B31,$B$27:$F$33,2,0))+(VLOOKUP(B31,$B$27:$F$33,3,0))+(VLOOKUP(B31,$B$27:$F$33,4,0))+(VLOOKUP(B31,$B$27:$F$33,5,0))))+(VLOOKUP($B$7&amp;$D$11,IF({1,0},$A$42:$A$51&amp;$B$42:$B$51,$L$42:$L$51),2,0))+J17</f>
        <v>0.136265979379077</v>
      </c>
      <c r="J17" s="31">
        <f t="array" ref="J17">VLOOKUP($B$7&amp;$D$11,IF({1,0},$A$42:$A$51&amp;$B$42:$B$51,$K$42:$K$51),2,0)</f>
        <v>7.6492500000000005E-2</v>
      </c>
      <c r="K17" s="31">
        <f t="array" ref="K17">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17" s="31">
        <f t="array" ref="L17">IF($B$7="LSN50_V2____Waterproof_Long_Range_Wireless_LoRa_Sensor_Node",VLOOKUP(B31,B30:W36,17,0),0)</f>
        <v>0</v>
      </c>
      <c r="M17" s="31">
        <f>G48*(N48-H48)</f>
        <v>0</v>
      </c>
      <c r="N17" s="38">
        <f t="shared" si="3"/>
        <v>1.9328496161623601</v>
      </c>
    </row>
    <row r="18" spans="1:22" ht="18.75">
      <c r="A18" s="3"/>
      <c r="B18" s="30" t="s">
        <v>31</v>
      </c>
      <c r="C18" s="31">
        <f t="array" ref="C18">VLOOKUP($B$7&amp;$D$11,IF({1,0},$A$42:$A$51&amp;$B$42:$B$51,$I$42:$I$51),2,0)</f>
        <v>3000</v>
      </c>
      <c r="D18" s="31">
        <f t="array" ref="D18">VLOOKUP($B$7&amp;$D$11,IF({1,0},$A$42:$A$51&amp;$B$42:$B$51,$J$42:$J$50),2,0)</f>
        <v>903.20065433000002</v>
      </c>
      <c r="E18" s="31">
        <f t="array" ref="E18">VLOOKUP(B32,B31:R37,13,0)</f>
        <v>133033.5</v>
      </c>
      <c r="F18" s="31">
        <f t="shared" si="0"/>
        <v>1925.5877063999999</v>
      </c>
      <c r="G18" s="31">
        <f t="shared" si="1"/>
        <v>3579.0190739999998</v>
      </c>
      <c r="H18" s="31">
        <f t="shared" si="2"/>
        <v>623.83733333333305</v>
      </c>
      <c r="I18" s="31">
        <f t="array" ref="I18">(C18+D18+E18+F18+G18+H18+K18+L18)/((VLOOKUP($B$7&amp;$D$11,IF({1,0},$A$42:$A$51&amp;$B$42:$B$51,$L$42:$L$51),2,0))+(((VLOOKUP($B$7&amp;$D$11,IF({1,0},$A$42:$A$51&amp;$B$42:$B$51,$C$43:$C$51),2,0)))+((VLOOKUP($B$7&amp;$D$11,IF({1,0},$A$42:$A$51&amp;$B$42:$B$51,$G$42:$G$51),2,0)))+(VLOOKUP($B$7&amp;$D$11,IF({1,0},$A$42:$A$51&amp;$B$42:$B$51,$L$42:$L$51),2,0))+(VLOOKUP(B32,$B$27:$F$33,2,0))+(VLOOKUP(B32,$B$27:$F$33,3,0))+(VLOOKUP(B32,$B$27:$F$33,4,0))+(VLOOKUP(B32,$B$27:$F$33,5,0))))+(VLOOKUP($B$7&amp;$D$11,IF({1,0},$A$42:$A$51&amp;$B$42:$B$51,$L$42:$L$51),2,0))+J18</f>
        <v>0.19551697432239801</v>
      </c>
      <c r="J18" s="31">
        <f t="array" ref="J18">VLOOKUP($B$7&amp;$D$11,IF({1,0},$A$42:$A$51&amp;$B$42:$B$51,$K$42:$K$51),2,0)</f>
        <v>7.6492500000000005E-2</v>
      </c>
      <c r="K18" s="31">
        <f t="array" ref="K18">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18" s="31">
        <f t="array" ref="L18">IF($B$7="LSN50_V2____Waterproof_Long_Range_Wireless_LoRa_Sensor_Node",VLOOKUP(B32,B31:W37,17,0),0)</f>
        <v>0</v>
      </c>
      <c r="M18" s="31">
        <f>G48*(N48-H48)</f>
        <v>0</v>
      </c>
      <c r="N18" s="38">
        <f t="shared" si="3"/>
        <v>1.36307200917883</v>
      </c>
    </row>
    <row r="19" spans="1:22" ht="18.75">
      <c r="A19" s="3"/>
      <c r="B19" s="30" t="s">
        <v>32</v>
      </c>
      <c r="C19" s="31">
        <f t="array" ref="C19">VLOOKUP($B$7&amp;$D$11,IF({1,0},$A$42:$A$51&amp;$B$42:$B$51,$I$42:$I$51),2,0)</f>
        <v>3000</v>
      </c>
      <c r="D19" s="31">
        <f t="array" ref="D19">VLOOKUP($B$7&amp;$D$11,IF({1,0},$A$42:$A$51&amp;$B$42:$B$51,$J$42:$J$50),2,0)</f>
        <v>903.20065433000002</v>
      </c>
      <c r="E19" s="31">
        <f t="array" ref="E19">VLOOKUP(B33,B32:R38,13,0)</f>
        <v>244143.22760000001</v>
      </c>
      <c r="F19" s="31">
        <f t="shared" si="0"/>
        <v>3595.9747188000001</v>
      </c>
      <c r="G19" s="31">
        <f t="shared" si="1"/>
        <v>3601.7756061999999</v>
      </c>
      <c r="H19" s="31">
        <f t="shared" si="2"/>
        <v>623.83733333333305</v>
      </c>
      <c r="I19" s="31">
        <f t="array" ref="I19">(C19+D19+E19+F19+G19+H19+K19+L19)/((VLOOKUP($B$7&amp;$D$11,IF({1,0},$A$42:$A$51&amp;$B$42:$B$51,$L$42:$L$51),2,0))+(((VLOOKUP($B$7&amp;$D$11,IF({1,0},$A$42:$A$51&amp;$B$42:$B$51,$C$43:$C$51),2,0)))+((VLOOKUP($B$7&amp;$D$11,IF({1,0},$A$42:$A$51&amp;$B$42:$B$51,$G$42:$G$51),2,0)))+(VLOOKUP($B$7&amp;$D$11,IF({1,0},$A$42:$A$51&amp;$B$42:$B$51,$L$42:$L$51),2,0))+(VLOOKUP(B33,$B$27:$F$33,2,0))+(VLOOKUP(B33,$B$27:$F$33,3,0))+(VLOOKUP(B33,$B$27:$F$33,4,0))+(VLOOKUP(B33,$B$27:$F$33,5,0))))+(VLOOKUP($B$7&amp;$D$11,IF({1,0},$A$42:$A$51&amp;$B$42:$B$51,$L$42:$L$51),2,0))+J19</f>
        <v>0.28912668175223399</v>
      </c>
      <c r="J19" s="31">
        <f t="array" ref="J19">VLOOKUP($B$7&amp;$D$11,IF({1,0},$A$42:$A$51&amp;$B$42:$B$51,$K$42:$K$51),2,0)</f>
        <v>7.6492500000000005E-2</v>
      </c>
      <c r="K19" s="31">
        <f t="array" ref="K19">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19" s="31">
        <f t="array" ref="L19">IF($B$7="LSN50_V2____Waterproof_Long_Range_Wireless_LoRa_Sensor_Node",VLOOKUP(B33,B32:W38,17,0),0)</f>
        <v>0</v>
      </c>
      <c r="M19" s="31">
        <f>G48*(N48-H48)</f>
        <v>0</v>
      </c>
      <c r="N19" s="38">
        <f t="shared" si="3"/>
        <v>0.929962316803568</v>
      </c>
    </row>
    <row r="20" spans="1:22" ht="18.75">
      <c r="A20" s="3"/>
      <c r="B20" s="3"/>
      <c r="C20" s="32"/>
      <c r="D20" s="32"/>
      <c r="E20" s="3"/>
      <c r="F20" s="3"/>
      <c r="G20" s="3"/>
      <c r="H20" s="3"/>
      <c r="I20" s="3"/>
      <c r="J20" s="3"/>
      <c r="K20" s="39"/>
      <c r="L20" s="39"/>
      <c r="M20" s="39"/>
      <c r="N20" s="40"/>
    </row>
    <row r="21" spans="1:22" ht="18.75">
      <c r="A21" s="33" t="s">
        <v>34</v>
      </c>
      <c r="B21" s="34" t="s">
        <v>35</v>
      </c>
      <c r="C21" s="35">
        <f t="array" ref="C21">VLOOKUP($B$7&amp;$D$11,IF({1,0},$A$42:$A$51&amp;$B$42:$B$51,$I$42:$I$51),2,0)</f>
        <v>3000</v>
      </c>
      <c r="D21" s="35">
        <f t="array" ref="D21">VLOOKUP($B$7&amp;$D$11,IF({1,0},$A$42:$A$51&amp;$B$42:$B$51,$J$42:$J$50),2,0)</f>
        <v>903.20065433000002</v>
      </c>
      <c r="E21" s="36">
        <f>VLOOKUP(B35,B35:R38,13,0)</f>
        <v>11015.6830488</v>
      </c>
      <c r="F21" s="36">
        <f>VLOOKUP(B35,B35:W38,14,0)</f>
        <v>972.78497735999997</v>
      </c>
      <c r="G21" s="36">
        <f>VLOOKUP(B35,B35:W38,15,0)</f>
        <v>1107.9558582</v>
      </c>
      <c r="H21" s="36">
        <f>VLOOKUP(B35,B35:W38,16,0)</f>
        <v>623.83733333333305</v>
      </c>
      <c r="I21" s="36">
        <f t="array" ref="I21">(C21+D21+E21+F21+G21+H21+K21+L21)/((VLOOKUP($B$7&amp;$D$11,IF({1,0},$A$42:$A$51&amp;$B$42:$B$51,$L$42:$L$51),2,0))+(((VLOOKUP($B$7&amp;$D$11,IF({1,0},$A$42:$A$51&amp;$B$42:$B$51,$C$43:$C$51),2,0)))+((VLOOKUP($B$7&amp;$D$11,IF({1,0},$A$42:$A$51&amp;$B$42:$B$51,$G$42:$G$51),2,0)))+(VLOOKUP(B35,$B$35:$F$38,2,0))+(VLOOKUP(B35,$B$35:$F$38,3,0))+(VLOOKUP(B35,$B$35:$F$38,4,0))+(VLOOKUP(B35,$B$35:$F$38,5,0))))+J21</f>
        <v>9.1172745850033404E-2</v>
      </c>
      <c r="J21" s="36">
        <f t="array" ref="J21">VLOOKUP($B$7&amp;$D$11,IF({1,0},$A$42:$A$51&amp;$B$42:$B$51,$K$42:$K$51),2,0)</f>
        <v>7.6492500000000005E-2</v>
      </c>
      <c r="K21"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21" s="35">
        <f>IF($B$7="LSN50_V2____Waterproof_Long_Range_Wireless_LoRa_Sensor_Node",VLOOKUP(B28,B27:W33,17,0),0)</f>
        <v>0</v>
      </c>
      <c r="M21" s="35">
        <f>G48*(N48-H48)</f>
        <v>0</v>
      </c>
      <c r="N21" s="41">
        <f>$C$7/(I21*8760+($C$7*0.02))</f>
        <v>2.8346236162110099</v>
      </c>
      <c r="R21" s="1" t="s">
        <v>36</v>
      </c>
      <c r="T21" s="1" t="s">
        <v>174</v>
      </c>
      <c r="U21" s="1">
        <v>6</v>
      </c>
    </row>
    <row r="22" spans="1:22" ht="18.75">
      <c r="A22" s="3"/>
      <c r="B22" s="34" t="s">
        <v>37</v>
      </c>
      <c r="C22" s="35">
        <f t="array" ref="C22">VLOOKUP($B$7&amp;$D$11,IF({1,0},$A$42:$A$51&amp;$B$42:$B$51,$I$42:$I$51),2,0)</f>
        <v>3000</v>
      </c>
      <c r="D22" s="35">
        <f t="array" ref="D22">VLOOKUP($B$7&amp;$D$11,IF({1,0},$A$42:$A$51&amp;$B$42:$B$51,$J$42:$J$50),2,0)</f>
        <v>903.20065433000002</v>
      </c>
      <c r="E22" s="36">
        <f>VLOOKUP(B36,B36:V39,13,0)</f>
        <v>19871.841598499999</v>
      </c>
      <c r="F22" s="36">
        <f>VLOOKUP(B36,B36:W39,14,0)</f>
        <v>707.90110274999995</v>
      </c>
      <c r="G22" s="36">
        <f>VLOOKUP(B36,B36:W39,15,0)</f>
        <v>1115.0495974400001</v>
      </c>
      <c r="H22" s="36">
        <f>VLOOKUP(B36,B36:W39,16,0)</f>
        <v>623.83733333333305</v>
      </c>
      <c r="I22" s="36">
        <f t="array" ref="I22">(C22+D22+E22+F22+G22+H22+K22+L22)/((VLOOKUP($B$7&amp;$D$11,IF({1,0},$A$42:$A$51&amp;$B$42:$B$51,$L$42:$L$51),2,0))+(((VLOOKUP($B$7&amp;$D$11,IF({1,0},$A$42:$A$51&amp;$B$42:$B$51,$C$43:$C$51),2,0)))+((VLOOKUP($B$7&amp;$D$11,IF({1,0},$A$42:$A$51&amp;$B$42:$B$51,$G$42:$G$51),2,0)))+(VLOOKUP(B36,$B$35:$F$38,2,0))+(VLOOKUP(B36,$B$35:$F$38,3,0))+(VLOOKUP(B36,$B$35:$F$38,4,0))+(VLOOKUP(B36,$B$35:$F$38,5,0))))+J22</f>
        <v>9.8333768415170497E-2</v>
      </c>
      <c r="J22" s="36">
        <f t="array" ref="J22">VLOOKUP($B$7&amp;$D$11,IF({1,0},$A$42:$A$51&amp;$B$42:$B$51,$K$42:$K$51),2,0)</f>
        <v>7.6492500000000005E-2</v>
      </c>
      <c r="K22"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22" s="35">
        <f>IF($B$7="LSN50_V2____Waterproof_Long_Range_Wireless_LoRa_Sensor_Node",VLOOKUP(B29,B28:W34,17,0),0)</f>
        <v>0</v>
      </c>
      <c r="M22" s="35">
        <f>G48*(N48-H48)</f>
        <v>0</v>
      </c>
      <c r="N22" s="41">
        <f>$C$7/(I22*8760+($C$7*0.02))</f>
        <v>2.6390916445848198</v>
      </c>
    </row>
    <row r="23" spans="1:22" ht="18.75">
      <c r="A23" s="3"/>
      <c r="B23" s="34" t="s">
        <v>38</v>
      </c>
      <c r="C23" s="35">
        <f t="array" ref="C23">VLOOKUP($B$7&amp;$D$11,IF({1,0},$A$42:$A$51&amp;$B$42:$B$51,$I$42:$I$51),2,0)</f>
        <v>3000</v>
      </c>
      <c r="D23" s="35">
        <f t="array" ref="D23">VLOOKUP($B$7&amp;$D$11,IF({1,0},$A$42:$A$51&amp;$B$42:$B$51,$J$42:$J$50),2,0)</f>
        <v>903.20065433000002</v>
      </c>
      <c r="E23" s="36">
        <f>VLOOKUP(B37,B37:V40,13,0)</f>
        <v>34425.106720000003</v>
      </c>
      <c r="F23" s="36">
        <f>VLOOKUP(B37,B37:W40,14,0)</f>
        <v>714.32067563999999</v>
      </c>
      <c r="G23" s="36">
        <f>VLOOKUP(B37,B37:W40,15,0)</f>
        <v>1115.4435636400001</v>
      </c>
      <c r="H23" s="36">
        <f>VLOOKUP(B37,B37:W40,16,0)</f>
        <v>623.83733333333305</v>
      </c>
      <c r="I23" s="36">
        <f t="array" ref="I23">(C23+D23+E23+F23+G23+H23+K23+L23)/((VLOOKUP($B$7&amp;$D$11,IF({1,0},$A$42:$A$51&amp;$B$42:$B$51,$L$42:$L$51),2,0))+(((VLOOKUP($B$7&amp;$D$11,IF({1,0},$A$42:$A$51&amp;$B$42:$B$51,$C$43:$C$51),2,0)))+((VLOOKUP($B$7&amp;$D$11,IF({1,0},$A$42:$A$51&amp;$B$42:$B$51,$G$42:$G$51),2,0)))+(VLOOKUP(B37,$B$35:$F$38,2,0))+(VLOOKUP(B37,$B$35:$F$38,3,0))+(VLOOKUP(B37,$B$35:$F$38,4,0))+(VLOOKUP(B37,$B$35:$F$38,5,0))))+J23</f>
        <v>0.110457171158864</v>
      </c>
      <c r="J23" s="36">
        <f t="array" ref="J23">VLOOKUP($B$7&amp;$D$11,IF({1,0},$A$42:$A$51&amp;$B$42:$B$51,$K$42:$K$51),2,0)</f>
        <v>7.6492500000000005E-2</v>
      </c>
      <c r="K23"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23" s="35">
        <f>IF($B$7="LSN50_V2____Waterproof_Long_Range_Wireless_LoRa_Sensor_Node",VLOOKUP(B30,B29:W35,17,0),0)</f>
        <v>0</v>
      </c>
      <c r="M23" s="35">
        <f>G48*(N48-H48)</f>
        <v>0</v>
      </c>
      <c r="N23" s="41">
        <f>$C$7/(I23*8760+($C$7*0.02))</f>
        <v>2.3631238787662801</v>
      </c>
    </row>
    <row r="24" spans="1:22" ht="18.75">
      <c r="A24" s="3"/>
      <c r="B24" s="34" t="s">
        <v>39</v>
      </c>
      <c r="C24" s="35">
        <f t="array" ref="C24">VLOOKUP($B$7&amp;$D$11,IF({1,0},$A$42:$A$51&amp;$B$42:$B$51,$I$42:$I$51),2,0)</f>
        <v>3000</v>
      </c>
      <c r="D24" s="35">
        <f t="array" ref="D24">VLOOKUP($B$7&amp;$D$11,IF({1,0},$A$42:$A$51&amp;$B$42:$B$51,$J$42:$J$50),2,0)</f>
        <v>903.20065433000002</v>
      </c>
      <c r="E24" s="36">
        <f>VLOOKUP(B38,B38:V41,13,0)</f>
        <v>36711.1842493</v>
      </c>
      <c r="F24" s="36">
        <f>VLOOKUP(B38,B38:W41,14,0)</f>
        <v>766.91291939999996</v>
      </c>
      <c r="G24" s="36">
        <f>VLOOKUP(B38,B38:W41,15,0)</f>
        <v>1115.05638189</v>
      </c>
      <c r="H24" s="36">
        <f>VLOOKUP(B38,B38:W41,16,0)</f>
        <v>623.83733333333305</v>
      </c>
      <c r="I24" s="36">
        <f t="array" ref="I24">(C24+D24+E24+F24+G24+H24+K24+L24)/((VLOOKUP($B$7&amp;$D$11,IF({1,0},$A$42:$A$51&amp;$B$42:$B$51,$L$42:$L$51),2,0))+(((VLOOKUP($B$7&amp;$D$11,IF({1,0},$A$42:$A$51&amp;$B$42:$B$51,$C$43:$C$51),2,0)))+((VLOOKUP($B$7&amp;$D$11,IF({1,0},$A$42:$A$51&amp;$B$42:$B$51,$G$42:$G$51),2,0)))+(VLOOKUP(B38,$B$35:$F$38,2,0))+(VLOOKUP(B38,$B$35:$F$38,3,0))+(VLOOKUP(B38,$B$35:$F$38,4,0))+(VLOOKUP(B38,$B$35:$F$38,5,0))))+J24</f>
        <v>0.11240450069348901</v>
      </c>
      <c r="J24" s="36">
        <f t="array" ref="J24">VLOOKUP($B$7&amp;$D$11,IF({1,0},$A$42:$A$51&amp;$B$42:$B$51,$K$42:$K$51),2,0)</f>
        <v>7.6492500000000005E-2</v>
      </c>
      <c r="K24" s="35">
        <f>IF((AND(OR($B$7="LAQ4____LoRaWAN_Air_Quality_Sensor",$B$7="LSN50v2_D20____LoRaWAN_Waterproof__Outdoor_Temperature_Sensor",$B$7="LSN50v2_S31____LoRaWAN_Temperature___Humidity_Sensor",$B$7="LTC2_V1.0",$B$7="LHT65_LoRaWAN_Temperature___Humidity_Sensor"),OR($D$11="MOD=1",$D$11="WMOD=1",$D$11="EXT=1,WMOD=1",$D$11="EXT=4,WMOD=1",$D$11="EXT=5,WMOD=1",$D$11="EXT=6,WMOD=1",$D$11="EXT=8,WMOD=1",$D$11="EXT=9,WMOD=1",$D$11="EXT=1 with DS18B20,WMOD=1"))),VLOOKUP($B$7,$A$42:$P$85,12,0),0)</f>
        <v>0</v>
      </c>
      <c r="L24" s="35">
        <f>IF($B$7="LSN50_V2____Waterproof_Long_Range_Wireless_LoRa_Sensor_Node",VLOOKUP(B31,B30:W36,17,0),0)</f>
        <v>0</v>
      </c>
      <c r="M24" s="35">
        <f>G48*(N48-H48)</f>
        <v>0</v>
      </c>
      <c r="N24" s="41">
        <f>$C$7/(I24*8760+($C$7*0.02))</f>
        <v>2.32408734482068</v>
      </c>
    </row>
    <row r="25" spans="1:22" ht="21" hidden="1" customHeight="1">
      <c r="A25" s="37"/>
      <c r="B25" s="37"/>
      <c r="C25" s="37"/>
      <c r="D25" s="37"/>
      <c r="E25" s="37"/>
      <c r="F25" s="37"/>
      <c r="G25" s="37"/>
      <c r="H25" s="37"/>
      <c r="I25" s="37"/>
      <c r="J25" s="37"/>
      <c r="K25" s="37"/>
      <c r="L25" s="37"/>
      <c r="M25" s="37"/>
      <c r="N25" s="37"/>
      <c r="O25" s="37"/>
      <c r="P25" s="37"/>
      <c r="Q25" s="37"/>
      <c r="R25" s="37"/>
      <c r="S25" s="37"/>
      <c r="T25" s="37"/>
      <c r="U25" s="37"/>
      <c r="V25" s="37"/>
    </row>
    <row r="26" spans="1:22" ht="15" hidden="1" customHeight="1">
      <c r="A26" s="37"/>
      <c r="B26" s="37"/>
      <c r="C26" s="37"/>
      <c r="D26" s="37"/>
      <c r="E26" s="37"/>
      <c r="F26" s="37"/>
      <c r="G26" s="37"/>
      <c r="H26" s="37"/>
      <c r="I26" s="37"/>
      <c r="J26" s="37"/>
      <c r="K26" s="37"/>
      <c r="L26" s="37"/>
      <c r="M26" s="37"/>
      <c r="O26" s="37"/>
      <c r="P26" s="37"/>
      <c r="Q26" s="37"/>
      <c r="R26" s="37"/>
      <c r="S26" s="37"/>
      <c r="T26" s="37"/>
      <c r="U26" s="37"/>
      <c r="V26" s="37"/>
    </row>
    <row r="27" spans="1:22" hidden="1">
      <c r="C27" s="1" t="s">
        <v>41</v>
      </c>
      <c r="D27" s="1" t="s">
        <v>42</v>
      </c>
      <c r="E27" s="1" t="s">
        <v>43</v>
      </c>
      <c r="F27" s="1" t="s">
        <v>44</v>
      </c>
      <c r="G27" s="1" t="s">
        <v>45</v>
      </c>
      <c r="H27" s="1" t="s">
        <v>46</v>
      </c>
      <c r="I27" s="1" t="s">
        <v>47</v>
      </c>
      <c r="J27" s="42" t="s">
        <v>48</v>
      </c>
      <c r="L27" s="1" t="s">
        <v>49</v>
      </c>
      <c r="M27" s="42"/>
      <c r="N27" s="1" t="s">
        <v>50</v>
      </c>
      <c r="O27" s="1" t="s">
        <v>51</v>
      </c>
      <c r="P27" s="1" t="s">
        <v>52</v>
      </c>
      <c r="Q27" s="1" t="s">
        <v>53</v>
      </c>
      <c r="R27" s="42" t="s">
        <v>273</v>
      </c>
    </row>
    <row r="28" spans="1:22" hidden="1">
      <c r="A28" s="1" t="s">
        <v>23</v>
      </c>
      <c r="B28" s="1" t="s">
        <v>24</v>
      </c>
      <c r="C28" s="1">
        <v>120.569</v>
      </c>
      <c r="D28" s="1">
        <v>48.338999999999999</v>
      </c>
      <c r="E28" s="1">
        <v>219.06700000000001</v>
      </c>
      <c r="F28" s="1">
        <v>1</v>
      </c>
      <c r="G28" s="1">
        <v>79.152799999999999</v>
      </c>
      <c r="H28" s="1">
        <v>8.3312899999999992</v>
      </c>
      <c r="I28" s="1">
        <v>10.454800000000001</v>
      </c>
      <c r="J28" s="1">
        <v>10</v>
      </c>
      <c r="L28" s="1">
        <v>3.3575599999999999</v>
      </c>
      <c r="N28" s="1">
        <f>C28*(G28+U21)</f>
        <v>10266.787943200001</v>
      </c>
      <c r="O28" s="1">
        <f>D28*(H28+U21)</f>
        <v>692.76022731</v>
      </c>
      <c r="P28" s="1">
        <f>E28*(I28+U21)</f>
        <v>3604.7036715999998</v>
      </c>
      <c r="Q28" s="1">
        <f t="shared" ref="Q28:Q33" si="4">(F28*(L28+$U$21))*($C$11*VLOOKUP($B$11,$T$10:$U$16,2,0)/18000)</f>
        <v>623.83733333333305</v>
      </c>
      <c r="R28" s="1">
        <f t="array" ref="R28">(J28*M28)*($C$11*(VLOOKUP($B$11,$T$10:$U$16,2,0)/500))</f>
        <v>0</v>
      </c>
    </row>
    <row r="29" spans="1:22" hidden="1">
      <c r="A29" s="1" t="s">
        <v>23</v>
      </c>
      <c r="B29" s="1" t="s">
        <v>26</v>
      </c>
      <c r="C29" s="1">
        <v>208.155</v>
      </c>
      <c r="D29" s="1">
        <v>50.052</v>
      </c>
      <c r="E29" s="1">
        <v>217.57499999999999</v>
      </c>
      <c r="F29" s="1">
        <v>1</v>
      </c>
      <c r="G29" s="1">
        <v>81.393000000000001</v>
      </c>
      <c r="H29" s="1">
        <v>8.7172900000000002</v>
      </c>
      <c r="I29" s="1">
        <v>10.4392</v>
      </c>
      <c r="J29" s="1">
        <v>10</v>
      </c>
      <c r="L29" s="1">
        <v>3.3575599999999999</v>
      </c>
      <c r="N29" s="1">
        <f>C29*(G29+U21)</f>
        <v>18191.289915000001</v>
      </c>
      <c r="O29" s="1">
        <f>D29*(H29+U21)</f>
        <v>736.62979908</v>
      </c>
      <c r="P29" s="1">
        <f>E29*(I29+U21)</f>
        <v>3576.7589400000002</v>
      </c>
      <c r="Q29" s="1">
        <f t="shared" si="4"/>
        <v>623.83733333333305</v>
      </c>
      <c r="R29" s="1">
        <f t="array" ref="R29">(J29*M29)*($C$11*(VLOOKUP($B$11,$T$10:$U$16,2,0)/500))</f>
        <v>0</v>
      </c>
    </row>
    <row r="30" spans="1:22" hidden="1">
      <c r="A30" s="1" t="s">
        <v>23</v>
      </c>
      <c r="B30" s="1" t="s">
        <v>28</v>
      </c>
      <c r="C30" s="1">
        <v>361.66399999999999</v>
      </c>
      <c r="D30" s="1">
        <v>55.600999999999999</v>
      </c>
      <c r="E30" s="1">
        <v>218.286</v>
      </c>
      <c r="F30" s="1">
        <v>1</v>
      </c>
      <c r="G30" s="1">
        <v>83.894400000000005</v>
      </c>
      <c r="H30" s="1">
        <v>8.7351200000000002</v>
      </c>
      <c r="I30" s="1">
        <v>10.495699999999999</v>
      </c>
      <c r="J30" s="1">
        <v>10</v>
      </c>
      <c r="L30" s="1">
        <v>3.3575599999999999</v>
      </c>
      <c r="N30" s="1">
        <f>C30*(G30+U21)</f>
        <v>32511.568281600001</v>
      </c>
      <c r="O30" s="1">
        <f>D30*(H30+U21)</f>
        <v>819.28740712000001</v>
      </c>
      <c r="P30" s="1">
        <f>E30*(I30+U21)</f>
        <v>3600.7803702000001</v>
      </c>
      <c r="Q30" s="1">
        <f t="shared" si="4"/>
        <v>623.83733333333305</v>
      </c>
      <c r="R30" s="1">
        <f t="array" ref="R30">(J30*M30)*($C$11*(VLOOKUP($B$11,$T$10:$U$16,2,0)/500))</f>
        <v>0</v>
      </c>
    </row>
    <row r="31" spans="1:22" hidden="1">
      <c r="A31" s="1" t="s">
        <v>23</v>
      </c>
      <c r="B31" s="1" t="s">
        <v>30</v>
      </c>
      <c r="C31" s="1">
        <v>669.89</v>
      </c>
      <c r="D31" s="1">
        <v>72.12</v>
      </c>
      <c r="E31" s="1">
        <v>220.48099999999999</v>
      </c>
      <c r="F31" s="1">
        <v>1</v>
      </c>
      <c r="G31" s="1">
        <v>87.389899999999997</v>
      </c>
      <c r="H31" s="1">
        <v>9.2274899999999995</v>
      </c>
      <c r="I31" s="1">
        <v>10.3888</v>
      </c>
      <c r="J31" s="1">
        <v>10</v>
      </c>
      <c r="L31" s="1">
        <v>3.3575599999999999</v>
      </c>
      <c r="N31" s="1">
        <f>C31*(G31+U21)</f>
        <v>62560.960111</v>
      </c>
      <c r="O31" s="1">
        <f>D31*(H31+U21)</f>
        <v>1098.2065788</v>
      </c>
      <c r="P31" s="1">
        <f>E31*(I31+U21)</f>
        <v>3613.4190128</v>
      </c>
      <c r="Q31" s="1">
        <f t="shared" si="4"/>
        <v>623.83733333333305</v>
      </c>
      <c r="R31" s="1">
        <f t="array" ref="R31">(J31*M31)*($C$11*(VLOOKUP($B$11,$T$10:$U$16,2,0)/500))</f>
        <v>0</v>
      </c>
    </row>
    <row r="32" spans="1:22" hidden="1">
      <c r="A32" s="1" t="s">
        <v>23</v>
      </c>
      <c r="B32" s="1" t="s">
        <v>31</v>
      </c>
      <c r="C32" s="1">
        <v>1410</v>
      </c>
      <c r="D32" s="1">
        <v>120.226</v>
      </c>
      <c r="E32" s="1">
        <v>217.845</v>
      </c>
      <c r="F32" s="1">
        <v>1</v>
      </c>
      <c r="G32" s="1">
        <v>88.35</v>
      </c>
      <c r="H32" s="1">
        <v>10.016400000000001</v>
      </c>
      <c r="I32" s="1">
        <v>10.4292</v>
      </c>
      <c r="J32" s="1">
        <v>10</v>
      </c>
      <c r="L32" s="1">
        <v>3.3575599999999999</v>
      </c>
      <c r="N32" s="1">
        <f>C32*(G32+U21)</f>
        <v>133033.5</v>
      </c>
      <c r="O32" s="1">
        <f>D32*(H32+U21)</f>
        <v>1925.5877063999999</v>
      </c>
      <c r="P32" s="1">
        <f>E32*(I32+U21)</f>
        <v>3579.0190739999998</v>
      </c>
      <c r="Q32" s="1">
        <f t="shared" si="4"/>
        <v>623.83733333333305</v>
      </c>
      <c r="R32" s="1">
        <f t="array" ref="R32">(J32*M32)*($C$11*(VLOOKUP($B$11,$T$10:$U$16,2,0)/500))</f>
        <v>0</v>
      </c>
    </row>
    <row r="33" spans="1:18" hidden="1">
      <c r="A33" s="1" t="s">
        <v>23</v>
      </c>
      <c r="B33" s="1" t="s">
        <v>32</v>
      </c>
      <c r="C33" s="1">
        <v>2657</v>
      </c>
      <c r="D33" s="1">
        <v>217.04599999999999</v>
      </c>
      <c r="E33" s="1">
        <v>218.07400000000001</v>
      </c>
      <c r="F33" s="1">
        <v>1</v>
      </c>
      <c r="G33" s="1">
        <v>85.886799999999994</v>
      </c>
      <c r="H33" s="1">
        <v>10.5678</v>
      </c>
      <c r="I33" s="1">
        <v>10.516299999999999</v>
      </c>
      <c r="J33" s="1">
        <v>10</v>
      </c>
      <c r="L33" s="1">
        <v>3.3575599999999999</v>
      </c>
      <c r="N33" s="1">
        <f>C33*(G33+U21)</f>
        <v>244143.22760000001</v>
      </c>
      <c r="O33" s="1">
        <f>D33*(H33+U21)</f>
        <v>3595.9747188000001</v>
      </c>
      <c r="P33" s="1">
        <f>E33*(I33+U21)</f>
        <v>3601.7756061999999</v>
      </c>
      <c r="Q33" s="1">
        <f t="shared" si="4"/>
        <v>623.83733333333305</v>
      </c>
      <c r="R33" s="1">
        <f t="array" ref="R33">(J33*M33)*($C$11*(VLOOKUP($B$11,$T$10:$U$16,2,0)/500))</f>
        <v>0</v>
      </c>
    </row>
    <row r="34" spans="1:18" hidden="1"/>
    <row r="35" spans="1:18" hidden="1">
      <c r="A35" s="1" t="s">
        <v>34</v>
      </c>
      <c r="B35" s="1" t="s">
        <v>35</v>
      </c>
      <c r="C35" s="1">
        <v>120.59399999999999</v>
      </c>
      <c r="D35" s="1">
        <v>63.786000000000001</v>
      </c>
      <c r="E35" s="1">
        <v>70.988</v>
      </c>
      <c r="F35" s="1">
        <v>1</v>
      </c>
      <c r="G35" s="1">
        <v>85.345200000000006</v>
      </c>
      <c r="H35" s="1">
        <v>9.2507599999999996</v>
      </c>
      <c r="I35" s="1">
        <v>9.6076499999999996</v>
      </c>
      <c r="J35" s="1">
        <v>10</v>
      </c>
      <c r="L35" s="1">
        <v>3.3575599999999999</v>
      </c>
      <c r="N35" s="1">
        <f>C35*(G35+U21)</f>
        <v>11015.6830488</v>
      </c>
      <c r="O35" s="1">
        <f>D35*(H35+U21)</f>
        <v>972.78497735999997</v>
      </c>
      <c r="P35" s="1">
        <f>E35*(I35+U21)</f>
        <v>1107.9558582</v>
      </c>
      <c r="Q35" s="1">
        <f>(F35*(L35+$U$21))*($C$11*VLOOKUP($B$11,$T$10:$U$16,2,0)/18000)</f>
        <v>623.83733333333305</v>
      </c>
      <c r="R35" s="1">
        <f t="array" ref="R35">(J35*M35)*($C$11*(VLOOKUP($B$11,$T$10:$U$16,2,0)/500))</f>
        <v>0</v>
      </c>
    </row>
    <row r="36" spans="1:18" hidden="1">
      <c r="A36" s="1" t="s">
        <v>34</v>
      </c>
      <c r="B36" s="1" t="s">
        <v>37</v>
      </c>
      <c r="C36" s="1">
        <v>208.245</v>
      </c>
      <c r="D36" s="1">
        <v>50.423000000000002</v>
      </c>
      <c r="E36" s="1">
        <v>72.031999999999996</v>
      </c>
      <c r="F36" s="1">
        <v>1</v>
      </c>
      <c r="G36" s="1">
        <v>89.425299999999993</v>
      </c>
      <c r="H36" s="1">
        <v>8.0392499999999991</v>
      </c>
      <c r="I36" s="1">
        <v>9.4799199999999999</v>
      </c>
      <c r="J36" s="1">
        <v>10</v>
      </c>
      <c r="L36" s="1">
        <v>3.3575599999999999</v>
      </c>
      <c r="N36" s="1">
        <f>C36*(G36+U21)</f>
        <v>19871.841598499999</v>
      </c>
      <c r="O36" s="1">
        <f>D36*(H36+U21)</f>
        <v>707.90110274999995</v>
      </c>
      <c r="P36" s="1">
        <f>E36*(I36+U21)</f>
        <v>1115.0495974400001</v>
      </c>
      <c r="Q36" s="1">
        <f>(F36*(L36+$U$21))*($C$11*VLOOKUP($B$11,$T$10:$U$16,2,0)/18000)</f>
        <v>623.83733333333305</v>
      </c>
      <c r="R36" s="1">
        <f t="array" ref="R36">(J36*M36)*($C$11*(VLOOKUP($B$11,$T$10:$U$16,2,0)/500))</f>
        <v>0</v>
      </c>
    </row>
    <row r="37" spans="1:18" hidden="1">
      <c r="A37" s="1" t="s">
        <v>34</v>
      </c>
      <c r="B37" s="1" t="s">
        <v>38</v>
      </c>
      <c r="C37" s="1">
        <v>361.28</v>
      </c>
      <c r="D37" s="1">
        <v>49.401000000000003</v>
      </c>
      <c r="E37" s="1">
        <v>72.043999999999997</v>
      </c>
      <c r="F37" s="1">
        <v>1</v>
      </c>
      <c r="G37" s="1">
        <v>89.286500000000004</v>
      </c>
      <c r="H37" s="1">
        <v>8.4596400000000003</v>
      </c>
      <c r="I37" s="1">
        <v>9.4828100000000006</v>
      </c>
      <c r="J37" s="1">
        <v>10</v>
      </c>
      <c r="L37" s="1">
        <v>3.3575599999999999</v>
      </c>
      <c r="N37" s="1">
        <f>C37*(G37+U21)</f>
        <v>34425.106720000003</v>
      </c>
      <c r="O37" s="1">
        <f>D37*(H37+U21)</f>
        <v>714.32067563999999</v>
      </c>
      <c r="P37" s="1">
        <f>E37*(I37+U21)</f>
        <v>1115.4435636400001</v>
      </c>
      <c r="Q37" s="1">
        <f>(F37*(L37+$U$21))*($C$11*VLOOKUP($B$11,$T$10:$U$16,2,0)/18000)</f>
        <v>623.83733333333305</v>
      </c>
      <c r="R37" s="1">
        <f t="array" ref="R37">(J37*M37)*($C$11*(VLOOKUP($B$11,$T$10:$U$16,2,0)/500))</f>
        <v>0</v>
      </c>
    </row>
    <row r="38" spans="1:18" hidden="1">
      <c r="A38" s="1" t="s">
        <v>34</v>
      </c>
      <c r="B38" s="1" t="s">
        <v>39</v>
      </c>
      <c r="C38" s="1">
        <v>360.81099999999998</v>
      </c>
      <c r="D38" s="1">
        <v>52.484999999999999</v>
      </c>
      <c r="E38" s="1">
        <v>72.039000000000001</v>
      </c>
      <c r="F38" s="1">
        <v>1</v>
      </c>
      <c r="G38" s="1">
        <v>95.746300000000005</v>
      </c>
      <c r="H38" s="1">
        <v>8.6120400000000004</v>
      </c>
      <c r="I38" s="1">
        <v>9.47851</v>
      </c>
      <c r="J38" s="1">
        <v>10</v>
      </c>
      <c r="L38" s="1">
        <v>3.3575599999999999</v>
      </c>
      <c r="N38" s="1">
        <f>C38*(G38+U21)</f>
        <v>36711.1842493</v>
      </c>
      <c r="O38" s="1">
        <f>D38*(H38+U21)</f>
        <v>766.91291939999996</v>
      </c>
      <c r="P38" s="1">
        <f>E38*(I38+U21)</f>
        <v>1115.05638189</v>
      </c>
      <c r="Q38" s="1">
        <f>(F38*(L38+$U$21))*($C$11*VLOOKUP($B$11,$T$10:$U$16,2,0)/18000)</f>
        <v>623.83733333333305</v>
      </c>
      <c r="R38" s="1">
        <f t="array" ref="R38">(J38*M38)*($C$11*(VLOOKUP($B$11,$T$10:$U$16,2,0)/500))</f>
        <v>0</v>
      </c>
    </row>
    <row r="39" spans="1:18" hidden="1"/>
    <row r="40" spans="1:18" hidden="1"/>
    <row r="41" spans="1:18" hidden="1">
      <c r="C41" s="16" t="s">
        <v>54</v>
      </c>
      <c r="D41" s="24" t="s">
        <v>274</v>
      </c>
      <c r="E41" s="24" t="s">
        <v>275</v>
      </c>
      <c r="F41" s="16" t="s">
        <v>55</v>
      </c>
      <c r="G41" s="16" t="s">
        <v>56</v>
      </c>
      <c r="H41" s="16" t="s">
        <v>57</v>
      </c>
      <c r="I41" s="17" t="s">
        <v>58</v>
      </c>
      <c r="J41" s="17" t="s">
        <v>59</v>
      </c>
      <c r="K41" s="43" t="s">
        <v>276</v>
      </c>
      <c r="L41" s="24" t="s">
        <v>60</v>
      </c>
      <c r="M41" s="16" t="s">
        <v>61</v>
      </c>
      <c r="N41" s="24" t="s">
        <v>277</v>
      </c>
      <c r="O41" s="19" t="s">
        <v>63</v>
      </c>
      <c r="Q41" s="1">
        <f t="array" ref="Q41">VLOOKUP(B7,Q42:R74,2,0)</f>
        <v>2400</v>
      </c>
    </row>
    <row r="42" spans="1:18" hidden="1">
      <c r="A42" s="1" t="s">
        <v>269</v>
      </c>
      <c r="B42" s="1" t="s">
        <v>278</v>
      </c>
      <c r="C42" s="16">
        <v>78.304000000000002</v>
      </c>
      <c r="D42" s="16">
        <v>53.982999999999997</v>
      </c>
      <c r="E42" s="16">
        <v>2.1000000000000001E-2</v>
      </c>
      <c r="F42" s="16">
        <v>5.8361499999999999</v>
      </c>
      <c r="G42" s="16">
        <f>$C$11*VLOOKUP($B$11,$T$10:$U$16,2,0)</f>
        <v>1200000</v>
      </c>
      <c r="H42" s="16">
        <v>2.3999999999999998E-3</v>
      </c>
      <c r="I42" s="19">
        <f t="array" ref="I42">G42*H42</f>
        <v>2880</v>
      </c>
      <c r="J42" s="19">
        <f>C42*F42</f>
        <v>456.99388959999999</v>
      </c>
      <c r="K42" s="19">
        <f>E42*20/20</f>
        <v>2.1000000000000001E-2</v>
      </c>
      <c r="L42" s="25"/>
      <c r="M42" s="16"/>
      <c r="N42" s="16"/>
      <c r="O42" s="19"/>
      <c r="Q42" s="1" t="s">
        <v>269</v>
      </c>
      <c r="R42" s="1">
        <v>2400</v>
      </c>
    </row>
    <row r="43" spans="1:18" hidden="1">
      <c r="A43" s="1" t="s">
        <v>269</v>
      </c>
      <c r="B43" s="1" t="s">
        <v>270</v>
      </c>
      <c r="C43" s="16">
        <v>156.589</v>
      </c>
      <c r="D43" s="16">
        <v>59.97</v>
      </c>
      <c r="E43" s="16">
        <v>7.6492500000000005E-2</v>
      </c>
      <c r="F43" s="16">
        <v>5.76797</v>
      </c>
      <c r="G43" s="16">
        <f>$C$11*VLOOKUP($B$11,$T$10:$U$16,2,0)</f>
        <v>1200000</v>
      </c>
      <c r="H43" s="16">
        <v>2.5000000000000001E-3</v>
      </c>
      <c r="I43" s="19">
        <f t="array" ref="I43">G43*H43</f>
        <v>3000</v>
      </c>
      <c r="J43" s="19">
        <f>C43*F43</f>
        <v>903.20065433000002</v>
      </c>
      <c r="K43" s="19">
        <f>E43*20/20</f>
        <v>7.6492500000000005E-2</v>
      </c>
      <c r="L43" s="25"/>
      <c r="M43" s="16"/>
      <c r="N43" s="16"/>
      <c r="O43" s="19"/>
    </row>
    <row r="44" spans="1:18" hidden="1">
      <c r="A44" s="1" t="s">
        <v>269</v>
      </c>
      <c r="B44" s="1" t="s">
        <v>279</v>
      </c>
      <c r="C44" s="16">
        <v>231.82900000000001</v>
      </c>
      <c r="D44" s="16">
        <v>224.61600000000001</v>
      </c>
      <c r="E44" s="16">
        <v>8.5281999999999997E-2</v>
      </c>
      <c r="F44" s="16">
        <v>6.0161300000000004</v>
      </c>
      <c r="G44" s="16">
        <f>$C$11*VLOOKUP($B$11,$T$10:$U$16,2,0)</f>
        <v>1200000</v>
      </c>
      <c r="H44" s="16">
        <v>2.3999999999999998E-3</v>
      </c>
      <c r="I44" s="19">
        <f>G44*H44</f>
        <v>2880</v>
      </c>
      <c r="J44" s="19">
        <f>C44*F44</f>
        <v>1394.71340177</v>
      </c>
      <c r="K44" s="19">
        <f>E44*20/20</f>
        <v>8.5281999999999997E-2</v>
      </c>
      <c r="L44" s="25"/>
      <c r="M44" s="16"/>
      <c r="N44" s="16"/>
      <c r="O44" s="19"/>
    </row>
    <row r="45" spans="1:18" hidden="1"/>
    <row r="46" spans="1:18" hidden="1"/>
    <row r="47" spans="1:18" hidden="1"/>
    <row r="48" spans="1:18" hidden="1">
      <c r="C48"/>
      <c r="D48"/>
      <c r="E48"/>
      <c r="F48"/>
      <c r="G48"/>
      <c r="H48"/>
      <c r="I48"/>
      <c r="J48"/>
      <c r="K48"/>
      <c r="L48"/>
      <c r="M48"/>
      <c r="N48"/>
      <c r="O48"/>
    </row>
    <row r="49" spans="2:16" hidden="1">
      <c r="C49"/>
      <c r="D49"/>
      <c r="E49"/>
      <c r="F49"/>
      <c r="G49"/>
      <c r="H49"/>
      <c r="I49"/>
      <c r="J49"/>
      <c r="K49"/>
      <c r="L49"/>
      <c r="M49"/>
      <c r="N49"/>
      <c r="O49"/>
    </row>
    <row r="50" spans="2:16" hidden="1">
      <c r="C50"/>
      <c r="D50"/>
      <c r="E50"/>
      <c r="F50"/>
      <c r="G50"/>
      <c r="H50"/>
      <c r="I50"/>
      <c r="J50"/>
      <c r="K50"/>
      <c r="L50"/>
      <c r="M50"/>
      <c r="N50"/>
      <c r="O50"/>
    </row>
    <row r="51" spans="2:16" hidden="1">
      <c r="C51"/>
      <c r="D51"/>
      <c r="E51"/>
      <c r="F51"/>
      <c r="G51"/>
      <c r="H51"/>
      <c r="I51"/>
      <c r="J51"/>
      <c r="K51"/>
      <c r="L51"/>
      <c r="M51"/>
      <c r="N51"/>
      <c r="O51"/>
    </row>
    <row r="52" spans="2:16" hidden="1">
      <c r="E52"/>
      <c r="F52"/>
      <c r="G52"/>
      <c r="H52"/>
      <c r="I52"/>
      <c r="J52"/>
      <c r="K52"/>
      <c r="L52"/>
      <c r="M52"/>
      <c r="N52"/>
      <c r="O52"/>
      <c r="P52"/>
    </row>
    <row r="53" spans="2:16" hidden="1">
      <c r="E53"/>
      <c r="F53"/>
      <c r="G53"/>
      <c r="H53"/>
      <c r="I53"/>
      <c r="J53"/>
      <c r="K53"/>
      <c r="L53"/>
      <c r="M53"/>
      <c r="N53"/>
      <c r="O53"/>
      <c r="P53"/>
    </row>
    <row r="54" spans="2:16" hidden="1">
      <c r="E54"/>
      <c r="F54"/>
      <c r="G54"/>
      <c r="H54"/>
      <c r="I54"/>
      <c r="J54"/>
      <c r="K54"/>
      <c r="L54"/>
      <c r="M54"/>
      <c r="N54"/>
      <c r="O54"/>
      <c r="P54"/>
    </row>
    <row r="55" spans="2:16" hidden="1">
      <c r="E55"/>
      <c r="F55"/>
      <c r="G55"/>
      <c r="H55"/>
      <c r="I55"/>
      <c r="J55"/>
      <c r="K55"/>
      <c r="L55"/>
      <c r="M55"/>
      <c r="N55"/>
      <c r="O55"/>
      <c r="P55"/>
    </row>
    <row r="56" spans="2:16" hidden="1">
      <c r="B56" s="1" t="s">
        <v>269</v>
      </c>
      <c r="G56"/>
      <c r="H56"/>
      <c r="I56"/>
      <c r="J56"/>
      <c r="K56"/>
      <c r="L56"/>
      <c r="M56"/>
      <c r="N56"/>
      <c r="O56"/>
      <c r="P56"/>
    </row>
    <row r="57" spans="2:16" hidden="1">
      <c r="B57" s="1" t="s">
        <v>278</v>
      </c>
      <c r="G57"/>
      <c r="H57"/>
      <c r="I57"/>
      <c r="J57"/>
      <c r="K57"/>
      <c r="L57"/>
      <c r="M57"/>
      <c r="N57"/>
      <c r="O57"/>
      <c r="P57"/>
    </row>
    <row r="58" spans="2:16" hidden="1">
      <c r="B58" s="1" t="s">
        <v>270</v>
      </c>
      <c r="D58"/>
      <c r="G58"/>
      <c r="H58"/>
      <c r="I58"/>
      <c r="J58"/>
      <c r="K58"/>
      <c r="L58"/>
      <c r="M58"/>
      <c r="N58"/>
      <c r="O58"/>
      <c r="P58"/>
    </row>
    <row r="59" spans="2:16" hidden="1">
      <c r="B59" s="1" t="s">
        <v>279</v>
      </c>
      <c r="D59"/>
      <c r="G59"/>
      <c r="H59"/>
      <c r="I59"/>
      <c r="J59"/>
      <c r="K59"/>
      <c r="L59"/>
      <c r="M59"/>
      <c r="N59"/>
      <c r="O59"/>
      <c r="P59"/>
    </row>
    <row r="60" spans="2:16" hidden="1">
      <c r="C60"/>
      <c r="D60"/>
      <c r="G60"/>
      <c r="H60"/>
      <c r="I60"/>
      <c r="J60"/>
      <c r="K60"/>
      <c r="L60"/>
      <c r="M60"/>
      <c r="N60"/>
      <c r="O60"/>
      <c r="P60"/>
    </row>
    <row r="61" spans="2:16" hidden="1">
      <c r="E61"/>
      <c r="F61"/>
      <c r="G61"/>
      <c r="H61"/>
      <c r="I61"/>
      <c r="J61"/>
      <c r="K61"/>
      <c r="L61"/>
      <c r="M61"/>
      <c r="N61"/>
      <c r="O61"/>
      <c r="P61"/>
    </row>
    <row r="62" spans="2:16" hidden="1">
      <c r="E62"/>
      <c r="F62"/>
      <c r="G62"/>
      <c r="H62"/>
      <c r="I62"/>
      <c r="J62"/>
      <c r="K62"/>
      <c r="L62"/>
      <c r="M62"/>
      <c r="N62"/>
      <c r="O62"/>
      <c r="P62"/>
    </row>
    <row r="63" spans="2:16" hidden="1">
      <c r="E63"/>
      <c r="F63"/>
      <c r="G63"/>
      <c r="H63"/>
      <c r="I63"/>
      <c r="J63"/>
      <c r="K63"/>
      <c r="L63"/>
      <c r="M63"/>
      <c r="N63"/>
      <c r="O63"/>
      <c r="P63"/>
    </row>
    <row r="64" spans="2:16" hidden="1">
      <c r="M64"/>
      <c r="N64"/>
      <c r="O64"/>
      <c r="P64"/>
    </row>
    <row r="65" spans="2:16" hidden="1">
      <c r="M65"/>
      <c r="N65"/>
      <c r="O65"/>
      <c r="P65"/>
    </row>
    <row r="66" spans="2:16">
      <c r="E66" s="18"/>
      <c r="M66"/>
      <c r="N66"/>
      <c r="O66"/>
      <c r="P66"/>
    </row>
    <row r="67" spans="2:16">
      <c r="M67"/>
      <c r="N67"/>
      <c r="O67"/>
      <c r="P67"/>
    </row>
    <row r="68" spans="2:16">
      <c r="E68" s="18"/>
      <c r="M68"/>
      <c r="N68"/>
      <c r="O68"/>
      <c r="P68"/>
    </row>
    <row r="69" spans="2:16">
      <c r="B69" s="44"/>
      <c r="C69" s="44"/>
      <c r="D69" s="44"/>
      <c r="E69" s="18"/>
      <c r="F69" s="18"/>
      <c r="G69" s="18"/>
      <c r="H69" s="18"/>
      <c r="I69" s="18"/>
      <c r="J69" s="18"/>
      <c r="K69" s="18"/>
      <c r="L69" s="18"/>
      <c r="M69"/>
      <c r="N69"/>
      <c r="O69"/>
      <c r="P69"/>
    </row>
    <row r="70" spans="2:16">
      <c r="M70"/>
      <c r="N70"/>
      <c r="O70"/>
      <c r="P70"/>
    </row>
    <row r="71" spans="2:16">
      <c r="E71"/>
      <c r="F71"/>
      <c r="G71"/>
      <c r="H71"/>
      <c r="I71"/>
      <c r="J71"/>
      <c r="K71"/>
      <c r="L71"/>
      <c r="M71"/>
      <c r="N71"/>
      <c r="O71"/>
      <c r="P71"/>
    </row>
    <row r="72" spans="2:16">
      <c r="E72"/>
      <c r="F72"/>
      <c r="G72"/>
      <c r="H72"/>
      <c r="I72"/>
      <c r="J72"/>
      <c r="K72"/>
      <c r="L72"/>
      <c r="M72"/>
      <c r="N72"/>
      <c r="O72"/>
      <c r="P72"/>
    </row>
    <row r="73" spans="2:16">
      <c r="E73"/>
      <c r="F73"/>
      <c r="G73"/>
      <c r="H73"/>
      <c r="I73"/>
      <c r="J73"/>
      <c r="K73"/>
      <c r="L73"/>
      <c r="M73"/>
      <c r="N73"/>
      <c r="O73"/>
      <c r="P73"/>
    </row>
    <row r="74" spans="2:16">
      <c r="E74"/>
      <c r="F74"/>
      <c r="G74"/>
      <c r="H74"/>
      <c r="I74"/>
      <c r="J74"/>
      <c r="K74"/>
      <c r="L74"/>
      <c r="M74"/>
      <c r="N74"/>
      <c r="O74"/>
      <c r="P74"/>
    </row>
    <row r="75" spans="2:16">
      <c r="E75"/>
      <c r="F75"/>
      <c r="G75"/>
      <c r="H75"/>
      <c r="I75"/>
      <c r="J75"/>
      <c r="K75"/>
      <c r="L75"/>
      <c r="M75"/>
      <c r="N75"/>
      <c r="O75"/>
      <c r="P75"/>
    </row>
    <row r="76" spans="2:16">
      <c r="E76"/>
      <c r="F76"/>
      <c r="G76"/>
      <c r="H76"/>
      <c r="I76"/>
      <c r="J76"/>
      <c r="K76"/>
      <c r="L76"/>
      <c r="M76"/>
      <c r="N76"/>
      <c r="O76"/>
      <c r="P76"/>
    </row>
    <row r="77" spans="2:16">
      <c r="E77"/>
      <c r="F77"/>
      <c r="G77"/>
      <c r="H77"/>
      <c r="I77"/>
      <c r="J77"/>
      <c r="K77"/>
      <c r="L77"/>
      <c r="M77"/>
      <c r="N77"/>
      <c r="O77"/>
      <c r="P77"/>
    </row>
    <row r="78" spans="2:16">
      <c r="E78"/>
      <c r="F78"/>
      <c r="G78"/>
      <c r="H78"/>
      <c r="I78"/>
      <c r="J78"/>
      <c r="K78"/>
      <c r="L78"/>
      <c r="M78"/>
      <c r="N78"/>
      <c r="O78"/>
      <c r="P78"/>
    </row>
    <row r="79" spans="2:16">
      <c r="E79"/>
      <c r="F79"/>
      <c r="G79"/>
      <c r="H79"/>
      <c r="I79"/>
      <c r="J79"/>
      <c r="K79"/>
      <c r="L79"/>
      <c r="M79"/>
      <c r="N79"/>
      <c r="O79"/>
      <c r="P79"/>
    </row>
    <row r="80" spans="2:16">
      <c r="E80"/>
      <c r="F80"/>
      <c r="G80"/>
      <c r="H80"/>
      <c r="I80"/>
      <c r="J80"/>
      <c r="K80"/>
      <c r="L80"/>
      <c r="M80"/>
      <c r="N80"/>
      <c r="O80"/>
      <c r="P80"/>
    </row>
    <row r="81" spans="5:16">
      <c r="E81"/>
      <c r="F81"/>
      <c r="G81"/>
      <c r="H81"/>
      <c r="I81"/>
      <c r="J81"/>
      <c r="K81"/>
      <c r="L81"/>
      <c r="M81"/>
      <c r="N81"/>
      <c r="O81"/>
      <c r="P81"/>
    </row>
    <row r="82" spans="5:16">
      <c r="E82"/>
      <c r="F82"/>
      <c r="G82"/>
      <c r="H82"/>
      <c r="I82"/>
      <c r="J82"/>
      <c r="K82"/>
      <c r="L82"/>
      <c r="M82"/>
      <c r="N82"/>
      <c r="O82"/>
      <c r="P82"/>
    </row>
    <row r="83" spans="5:16">
      <c r="E83"/>
      <c r="F83"/>
      <c r="G83"/>
      <c r="H83"/>
      <c r="I83"/>
      <c r="J83"/>
      <c r="K83"/>
      <c r="L83"/>
      <c r="M83"/>
      <c r="N83"/>
      <c r="O83"/>
      <c r="P83"/>
    </row>
    <row r="84" spans="5:16">
      <c r="E84"/>
      <c r="F84"/>
      <c r="G84"/>
      <c r="H84"/>
      <c r="I84"/>
      <c r="J84"/>
      <c r="K84"/>
      <c r="L84"/>
      <c r="M84"/>
      <c r="N84"/>
      <c r="O84"/>
      <c r="P84"/>
    </row>
    <row r="85" spans="5:16">
      <c r="E85"/>
      <c r="F85"/>
      <c r="G85"/>
      <c r="H85"/>
      <c r="I85"/>
      <c r="J85"/>
      <c r="K85"/>
      <c r="L85"/>
      <c r="M85"/>
      <c r="N85"/>
      <c r="O85"/>
      <c r="P85"/>
    </row>
    <row r="86" spans="5:16">
      <c r="E86"/>
      <c r="F86"/>
      <c r="G86"/>
      <c r="H86"/>
      <c r="I86"/>
      <c r="J86"/>
      <c r="K86"/>
      <c r="L86"/>
      <c r="M86"/>
      <c r="N86"/>
      <c r="O86"/>
      <c r="P86"/>
    </row>
    <row r="87" spans="5:16">
      <c r="E87"/>
      <c r="F87"/>
      <c r="G87"/>
      <c r="H87"/>
      <c r="I87"/>
      <c r="J87"/>
      <c r="K87"/>
      <c r="L87"/>
      <c r="M87"/>
      <c r="N87"/>
      <c r="O87"/>
      <c r="P87"/>
    </row>
    <row r="88" spans="5:16">
      <c r="E88"/>
      <c r="F88"/>
      <c r="G88"/>
      <c r="H88"/>
      <c r="I88"/>
      <c r="J88"/>
      <c r="K88"/>
      <c r="L88"/>
      <c r="M88"/>
      <c r="N88"/>
      <c r="O88"/>
      <c r="P88"/>
    </row>
    <row r="89" spans="5:16">
      <c r="E89"/>
      <c r="F89"/>
      <c r="G89"/>
      <c r="H89"/>
      <c r="I89"/>
      <c r="J89"/>
      <c r="K89"/>
      <c r="L89"/>
      <c r="M89"/>
      <c r="N89"/>
      <c r="O89"/>
      <c r="P89"/>
    </row>
    <row r="90" spans="5:16" ht="17.100000000000001" customHeight="1">
      <c r="E90"/>
      <c r="F90"/>
      <c r="G90"/>
      <c r="H90"/>
      <c r="I90"/>
      <c r="J90"/>
      <c r="K90"/>
      <c r="L90"/>
      <c r="M90"/>
      <c r="N90"/>
      <c r="O90"/>
      <c r="P90"/>
    </row>
    <row r="91" spans="5:16">
      <c r="E91"/>
      <c r="F91"/>
      <c r="G91"/>
      <c r="H91"/>
      <c r="I91"/>
      <c r="J91"/>
      <c r="K91"/>
      <c r="L91"/>
      <c r="M91"/>
      <c r="N91"/>
      <c r="O91"/>
      <c r="P91"/>
    </row>
    <row r="92" spans="5:16">
      <c r="E92"/>
      <c r="F92"/>
      <c r="G92"/>
      <c r="H92"/>
      <c r="I92"/>
      <c r="J92"/>
      <c r="K92"/>
      <c r="L92"/>
      <c r="M92"/>
      <c r="N92"/>
      <c r="O92"/>
      <c r="P92"/>
    </row>
    <row r="93" spans="5:16">
      <c r="E93"/>
      <c r="F93"/>
      <c r="G93"/>
      <c r="H93"/>
      <c r="I93"/>
      <c r="J93"/>
      <c r="K93"/>
      <c r="L93"/>
      <c r="M93"/>
      <c r="N93"/>
      <c r="O93"/>
      <c r="P93"/>
    </row>
    <row r="94" spans="5:16">
      <c r="E94"/>
      <c r="F94"/>
      <c r="G94"/>
      <c r="H94"/>
      <c r="I94"/>
      <c r="J94"/>
      <c r="K94"/>
      <c r="L94"/>
      <c r="M94"/>
      <c r="N94"/>
      <c r="O94"/>
      <c r="P94"/>
    </row>
    <row r="95" spans="5:16">
      <c r="E95"/>
      <c r="F95"/>
      <c r="G95"/>
      <c r="H95"/>
      <c r="I95"/>
      <c r="J95"/>
      <c r="K95"/>
      <c r="L95"/>
      <c r="M95"/>
      <c r="N95"/>
      <c r="O95"/>
      <c r="P95"/>
    </row>
    <row r="96" spans="5:16">
      <c r="E96"/>
      <c r="F96"/>
      <c r="G96"/>
      <c r="H96"/>
      <c r="I96"/>
      <c r="J96"/>
      <c r="K96"/>
      <c r="L96"/>
      <c r="M96"/>
      <c r="N96"/>
      <c r="O96"/>
      <c r="P96"/>
    </row>
    <row r="128" spans="1:22" ht="1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row>
    <row r="129" spans="1:22" ht="1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row>
    <row r="130" spans="1:22">
      <c r="N130" s="42"/>
      <c r="O130" s="42"/>
      <c r="Q130" s="42"/>
      <c r="V130" s="42"/>
    </row>
  </sheetData>
  <mergeCells count="6">
    <mergeCell ref="E1:M4"/>
    <mergeCell ref="B7:B9"/>
    <mergeCell ref="B11:B12"/>
    <mergeCell ref="C7:C9"/>
    <mergeCell ref="C11:C12"/>
    <mergeCell ref="D11:D12"/>
  </mergeCells>
  <phoneticPr fontId="18" type="noConversion"/>
  <dataValidations count="4">
    <dataValidation type="list" allowBlank="1" showInputMessage="1" showErrorMessage="1" sqref="B11" xr:uid="{00000000-0002-0000-0300-000000000000}">
      <formula1>"ms,s,min,hr,day,mo,yr"</formula1>
    </dataValidation>
    <dataValidation type="list" showInputMessage="1" showErrorMessage="1" sqref="D11" xr:uid="{00000000-0002-0000-0300-000001000000}">
      <formula1>INDIRECT($B$7)</formula1>
    </dataValidation>
    <dataValidation allowBlank="1" showInputMessage="1" showErrorMessage="1" sqref="E11" xr:uid="{00000000-0002-0000-0300-000002000000}"/>
    <dataValidation type="list" showInputMessage="1" showErrorMessage="1" sqref="B7:B9" xr:uid="{00000000-0002-0000-0300-000003000000}">
      <formula1>$B$56:$D$56</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63"/>
  <sheetViews>
    <sheetView zoomScale="85" zoomScaleNormal="85" workbookViewId="0">
      <selection activeCell="A20" sqref="A20:XFD59"/>
    </sheetView>
  </sheetViews>
  <sheetFormatPr defaultColWidth="9" defaultRowHeight="15"/>
  <cols>
    <col min="1" max="1" width="15.85546875" customWidth="1"/>
    <col min="2" max="2" width="26.140625" customWidth="1"/>
    <col min="3" max="3" width="34.140625" customWidth="1"/>
    <col min="4" max="4" width="29.42578125" customWidth="1"/>
    <col min="5" max="5" width="25.28515625" customWidth="1"/>
    <col min="6" max="6" width="25.42578125" customWidth="1"/>
    <col min="7" max="7" width="26.85546875" customWidth="1"/>
    <col min="8" max="8" width="21.140625" customWidth="1"/>
    <col min="9" max="9" width="10.28515625" customWidth="1"/>
    <col min="12" max="12" width="10.140625"/>
    <col min="13" max="13" width="15.7109375" hidden="1" customWidth="1"/>
    <col min="14" max="14" width="10.5703125" hidden="1" customWidth="1"/>
    <col min="15" max="16" width="9" hidden="1" customWidth="1"/>
    <col min="17" max="17" width="9" customWidth="1"/>
  </cols>
  <sheetData>
    <row r="1" spans="1:16 16384:16384" s="1" customFormat="1" ht="15" customHeight="1">
      <c r="A1" s="2"/>
      <c r="B1" s="2"/>
      <c r="C1" s="54" t="s">
        <v>280</v>
      </c>
      <c r="D1" s="54"/>
      <c r="E1" s="54"/>
      <c r="F1" s="54"/>
      <c r="G1" s="54"/>
      <c r="H1" s="54"/>
      <c r="I1" s="54"/>
      <c r="J1" s="2"/>
      <c r="K1" s="2"/>
      <c r="L1" s="2"/>
      <c r="XFD1"/>
    </row>
    <row r="2" spans="1:16 16384:16384" s="1" customFormat="1">
      <c r="A2" s="2"/>
      <c r="B2" s="2"/>
      <c r="C2" s="54"/>
      <c r="D2" s="54"/>
      <c r="E2" s="54"/>
      <c r="F2" s="54"/>
      <c r="G2" s="54"/>
      <c r="H2" s="54"/>
      <c r="I2" s="54"/>
      <c r="J2" s="2"/>
      <c r="K2" s="2"/>
      <c r="L2" s="2"/>
      <c r="XFD2"/>
    </row>
    <row r="3" spans="1:16 16384:16384" s="1" customFormat="1">
      <c r="A3" s="2"/>
      <c r="B3" s="2"/>
      <c r="C3" s="54"/>
      <c r="D3" s="54"/>
      <c r="E3" s="54"/>
      <c r="F3" s="54"/>
      <c r="G3" s="54"/>
      <c r="H3" s="54"/>
      <c r="I3" s="54"/>
      <c r="J3" s="2"/>
      <c r="K3" s="2"/>
      <c r="L3" s="2"/>
      <c r="XFD3"/>
    </row>
    <row r="4" spans="1:16 16384:16384" s="1" customFormat="1">
      <c r="A4" s="2"/>
      <c r="B4" s="2"/>
      <c r="C4" s="54"/>
      <c r="D4" s="54"/>
      <c r="E4" s="54"/>
      <c r="F4" s="54"/>
      <c r="G4" s="54"/>
      <c r="H4" s="54"/>
      <c r="I4" s="54"/>
      <c r="J4" s="2"/>
      <c r="K4" s="2"/>
      <c r="L4" s="2"/>
      <c r="XFD4"/>
    </row>
    <row r="5" spans="1:16 16384:16384" s="1" customFormat="1">
      <c r="A5" s="2" t="s">
        <v>1</v>
      </c>
      <c r="B5" s="2"/>
      <c r="C5" s="2"/>
      <c r="D5" s="2"/>
      <c r="E5" s="2"/>
      <c r="F5" s="2"/>
      <c r="G5" s="2"/>
      <c r="H5" s="2"/>
      <c r="I5" s="2"/>
      <c r="J5" s="2"/>
      <c r="K5" s="2"/>
      <c r="L5" s="2"/>
      <c r="M5" s="21"/>
      <c r="XFD5"/>
    </row>
    <row r="6" spans="1:16 16384:16384" s="1" customFormat="1">
      <c r="A6" s="3"/>
      <c r="B6" s="4" t="s">
        <v>2</v>
      </c>
      <c r="C6" s="5" t="s">
        <v>3</v>
      </c>
      <c r="D6" s="3"/>
      <c r="E6" s="3"/>
      <c r="F6" s="3"/>
      <c r="G6" s="3"/>
      <c r="H6" s="3"/>
      <c r="I6" s="3"/>
      <c r="J6" s="3"/>
      <c r="K6" s="3"/>
      <c r="L6" s="3"/>
      <c r="XFD6"/>
    </row>
    <row r="7" spans="1:16 16384:16384" s="1" customFormat="1">
      <c r="A7" s="3"/>
      <c r="B7" s="71" t="s">
        <v>281</v>
      </c>
      <c r="C7" s="59">
        <f>VLOOKUP($B$7,M29:N36,2,0)</f>
        <v>8500</v>
      </c>
      <c r="D7" s="3"/>
      <c r="E7" s="3"/>
      <c r="F7" s="3"/>
      <c r="G7" s="3"/>
      <c r="H7" s="3"/>
      <c r="I7" s="3"/>
      <c r="J7" s="3"/>
      <c r="K7" s="3"/>
      <c r="L7" s="3"/>
      <c r="XFD7"/>
    </row>
    <row r="8" spans="1:16 16384:16384" s="1" customFormat="1">
      <c r="A8" s="3"/>
      <c r="B8" s="71"/>
      <c r="C8" s="59"/>
      <c r="D8" s="3"/>
      <c r="E8" s="3"/>
      <c r="F8" s="3"/>
      <c r="G8" s="3"/>
      <c r="H8" s="3"/>
      <c r="I8" s="3"/>
      <c r="J8" s="3"/>
      <c r="K8" s="3"/>
      <c r="L8" s="3"/>
      <c r="XFD8"/>
    </row>
    <row r="9" spans="1:16 16384:16384" s="1" customFormat="1">
      <c r="A9" s="3"/>
      <c r="B9" s="71"/>
      <c r="C9" s="59"/>
      <c r="D9" s="3"/>
      <c r="E9" s="3"/>
      <c r="F9" s="3"/>
      <c r="G9" s="3"/>
      <c r="H9" s="3"/>
      <c r="I9" s="3"/>
      <c r="J9" s="3"/>
      <c r="K9" s="3"/>
      <c r="L9" s="3"/>
      <c r="O9" s="22" t="s">
        <v>8</v>
      </c>
      <c r="P9" s="22">
        <v>1</v>
      </c>
      <c r="XFD9"/>
    </row>
    <row r="10" spans="1:16 16384:16384" s="1" customFormat="1">
      <c r="A10" s="3"/>
      <c r="B10" s="6" t="s">
        <v>5</v>
      </c>
      <c r="C10" s="6" t="s">
        <v>6</v>
      </c>
      <c r="D10" s="7" t="s">
        <v>7</v>
      </c>
      <c r="E10" s="3"/>
      <c r="F10" s="3"/>
      <c r="G10" s="3"/>
      <c r="H10" s="3"/>
      <c r="I10" s="3"/>
      <c r="J10" s="3"/>
      <c r="K10" s="3"/>
      <c r="L10" s="3"/>
      <c r="O10" s="22" t="s">
        <v>11</v>
      </c>
      <c r="P10" s="22">
        <f>P9*1000</f>
        <v>1000</v>
      </c>
      <c r="XFD10"/>
    </row>
    <row r="11" spans="1:16 16384:16384" s="1" customFormat="1" ht="30" customHeight="1">
      <c r="A11" s="3"/>
      <c r="B11" s="72" t="s">
        <v>9</v>
      </c>
      <c r="C11" s="74">
        <v>20</v>
      </c>
      <c r="D11" s="76" t="s">
        <v>10</v>
      </c>
      <c r="E11" s="3"/>
      <c r="F11" s="3"/>
      <c r="G11" s="3"/>
      <c r="H11" s="3"/>
      <c r="I11" s="3"/>
      <c r="J11" s="3"/>
      <c r="K11" s="3"/>
      <c r="L11" s="3"/>
      <c r="O11" s="22" t="s">
        <v>9</v>
      </c>
      <c r="P11" s="22">
        <f>P10*60</f>
        <v>60000</v>
      </c>
      <c r="XFD11"/>
    </row>
    <row r="12" spans="1:16 16384:16384" s="1" customFormat="1">
      <c r="A12" s="3"/>
      <c r="B12" s="73"/>
      <c r="C12" s="75"/>
      <c r="D12" s="77"/>
      <c r="E12" s="3"/>
      <c r="F12" s="3"/>
      <c r="G12" s="3"/>
      <c r="H12" s="3"/>
      <c r="I12" s="3"/>
      <c r="J12" s="3"/>
      <c r="K12" s="3"/>
      <c r="L12" s="3"/>
      <c r="O12" s="22" t="s">
        <v>22</v>
      </c>
      <c r="P12" s="22">
        <f>P11*60</f>
        <v>3600000</v>
      </c>
      <c r="XFD12"/>
    </row>
    <row r="13" spans="1:16 16384:16384">
      <c r="A13" s="29" t="s">
        <v>282</v>
      </c>
      <c r="B13" s="9" t="s">
        <v>12</v>
      </c>
      <c r="C13" s="9" t="s">
        <v>13</v>
      </c>
      <c r="D13" s="9" t="s">
        <v>283</v>
      </c>
      <c r="E13" s="9" t="s">
        <v>17</v>
      </c>
      <c r="F13" s="9" t="s">
        <v>18</v>
      </c>
      <c r="G13" s="9" t="s">
        <v>21</v>
      </c>
      <c r="O13" s="22" t="s">
        <v>25</v>
      </c>
      <c r="P13" s="22">
        <f>P12*24</f>
        <v>86400000</v>
      </c>
    </row>
    <row r="14" spans="1:16 16384:16384">
      <c r="A14" s="10" t="s">
        <v>284</v>
      </c>
      <c r="B14" s="11">
        <f t="array" ref="B14">VLOOKUP($B$7&amp;$D$11,IF({1,0},$A$29:$A$46&amp;$B$29:$B$46,$G$29:$G$46),2,0)</f>
        <v>6000</v>
      </c>
      <c r="C14" s="12">
        <f t="array" ref="C14">VLOOKUP($B$7&amp;$D$11,IF({1,0},$A$29:$A$46&amp;$B$29:$B$46,$H$29:$H$46),2,0)</f>
        <v>152087.65</v>
      </c>
      <c r="D14" s="12">
        <f t="shared" ref="D14:E17" si="0">F23</f>
        <v>1472354.4</v>
      </c>
      <c r="E14" s="12">
        <f t="shared" si="0"/>
        <v>392</v>
      </c>
      <c r="F14" s="12">
        <f t="array" ref="F14">(B14+C14+D14+E14)/((B23+C23+(VLOOKUP($B$7&amp;$D$11,IF({1,0},$A$29:$A$46&amp;$B$29:$B$46,$C$29:$C$46),2,0)))+(VLOOKUP($B$7&amp;$D$11,IF({1,0},$A$29:$A$46&amp;$B$29:$B$46,$E$29:$E$46),2,0)))</f>
        <v>1.31673910410645</v>
      </c>
      <c r="G14" s="12">
        <f>$C$7/(F14*8760+($C$7*0.02))</f>
        <v>0.72620806418663997</v>
      </c>
      <c r="O14" s="22" t="s">
        <v>27</v>
      </c>
      <c r="P14" s="22">
        <f>P15/12</f>
        <v>2629800000</v>
      </c>
    </row>
    <row r="15" spans="1:16 16384:16384">
      <c r="A15" s="14" t="s">
        <v>285</v>
      </c>
      <c r="B15" s="11">
        <f t="array" ref="B15">VLOOKUP($B$7&amp;$D$11,IF({1,0},$A$29:$A$46&amp;$B$29:$B$46,$G$29:$G$46),2,0)</f>
        <v>6000</v>
      </c>
      <c r="C15" s="12">
        <f t="array" ref="C15">VLOOKUP($B$7&amp;$D$11,IF({1,0},$A$29:$A$46&amp;$B$29:$B$46,$H$29:$H$46),2,0)</f>
        <v>152087.65</v>
      </c>
      <c r="D15" s="12">
        <f t="shared" si="0"/>
        <v>945455</v>
      </c>
      <c r="E15" s="12">
        <f t="shared" si="0"/>
        <v>392</v>
      </c>
      <c r="F15" s="12">
        <f t="array" ref="F15">(B15+C15+D15+E15)/((B24+C24+(VLOOKUP($B$7&amp;$D$11,IF({1,0},$A$29:$A$46&amp;$B$29:$B$46,$C$29:$C$46),2,0)))+(VLOOKUP($B$7&amp;$D$11,IF({1,0},$A$29:$A$46&amp;$B$29:$B$46,$E$29:$E$46),2,0)))</f>
        <v>0.89060026300079098</v>
      </c>
      <c r="G15" s="12">
        <f>$C$7/(F15*8760+($C$7*0.02))</f>
        <v>1.06627751415982</v>
      </c>
      <c r="O15" s="22" t="s">
        <v>29</v>
      </c>
      <c r="P15" s="22">
        <f>P13*365.25</f>
        <v>31557600000</v>
      </c>
    </row>
    <row r="16" spans="1:16 16384:16384">
      <c r="A16" s="14" t="s">
        <v>286</v>
      </c>
      <c r="B16" s="11">
        <f t="array" ref="B16">VLOOKUP($B$7&amp;$D$11,IF({1,0},$A$29:$A$46&amp;$B$29:$B$46,$G$29:$G$46),2,0)</f>
        <v>6000</v>
      </c>
      <c r="C16" s="12">
        <f t="array" ref="C16">VLOOKUP($B$7&amp;$D$11,IF({1,0},$A$29:$A$46&amp;$B$29:$B$46,$H$29:$H$46),2,0)</f>
        <v>152087.65</v>
      </c>
      <c r="D16" s="12">
        <f t="shared" si="0"/>
        <v>125790</v>
      </c>
      <c r="E16" s="12">
        <f t="shared" si="0"/>
        <v>392</v>
      </c>
      <c r="F16" s="12">
        <f t="array" ref="F16">(B16+C16+D16+E16)/((B25+C25+(VLOOKUP($B$7&amp;$D$11,IF({1,0},$A$29:$A$46&amp;$B$29:$B$46,$C$29:$C$46),2,0)))+(VLOOKUP($B$7&amp;$D$11,IF({1,0},$A$29:$A$46&amp;$B$29:$B$46,$E$29:$E$46),2,0)))</f>
        <v>0.23347869474514199</v>
      </c>
      <c r="G16" s="12">
        <f>$C$7/(F16*8760+($C$7*0.02))</f>
        <v>3.8369982371398801</v>
      </c>
      <c r="O16" s="1" t="s">
        <v>33</v>
      </c>
      <c r="P16" s="1">
        <v>8</v>
      </c>
    </row>
    <row r="17" spans="1:21">
      <c r="A17" s="14" t="s">
        <v>287</v>
      </c>
      <c r="B17" s="11">
        <f t="array" ref="B17">VLOOKUP($B$7&amp;$D$11,IF({1,0},$A$29:$A$46&amp;$B$29:$B$46,$G$29:$G$46),2,0)</f>
        <v>6000</v>
      </c>
      <c r="C17" s="12">
        <f t="array" ref="C17">VLOOKUP($B$7&amp;$D$11,IF({1,0},$A$29:$A$46&amp;$B$29:$B$46,$H$29:$H$46),2,0)</f>
        <v>152087.65</v>
      </c>
      <c r="D17" s="12">
        <f t="shared" si="0"/>
        <v>910305</v>
      </c>
      <c r="E17" s="12">
        <f t="shared" si="0"/>
        <v>392</v>
      </c>
      <c r="F17" s="12">
        <f t="array" ref="F17">(B17+C17+D17+E17)/((B26+C26+(VLOOKUP($B$7&amp;$D$11,IF({1,0},$A$29:$A$46&amp;$B$29:$B$46,$C$29:$C$46),2,0)))+(VLOOKUP($B$7&amp;$D$11,IF({1,0},$A$29:$A$46&amp;$B$29:$B$46,$E$29:$E$46),2,0)))</f>
        <v>0.86503443838321703</v>
      </c>
      <c r="G17" s="12">
        <f>$C$7/(F17*8760+($C$7*0.02))</f>
        <v>1.0970995465251301</v>
      </c>
    </row>
    <row r="18" spans="1:21" ht="15" customHeight="1"/>
    <row r="19" spans="1:21" ht="12.75" customHeight="1">
      <c r="D19">
        <f t="array" ref="D19">VLOOKUP($B$7&amp;$D$11,IF({1,0},$A$29:$A$40&amp;$B$29:$B$40,$C$29:$C$40),2,0)</f>
        <v>5500</v>
      </c>
      <c r="E19">
        <f t="array" ref="E19">VLOOKUP($B$7&amp;$D$11,IF({1,0},$A$29:$A$40&amp;$B$29:$B$40,$E$29:$E$40),2,0)</f>
        <v>1200000</v>
      </c>
    </row>
    <row r="20" spans="1:21" hidden="1"/>
    <row r="21" spans="1:21" hidden="1"/>
    <row r="22" spans="1:21" ht="15" hidden="1" customHeight="1">
      <c r="A22" t="s">
        <v>288</v>
      </c>
      <c r="B22" t="s">
        <v>289</v>
      </c>
      <c r="C22" t="s">
        <v>290</v>
      </c>
      <c r="D22" t="s">
        <v>291</v>
      </c>
      <c r="E22" t="s">
        <v>292</v>
      </c>
      <c r="F22" t="s">
        <v>293</v>
      </c>
      <c r="G22" t="s">
        <v>294</v>
      </c>
    </row>
    <row r="23" spans="1:21" hidden="1">
      <c r="A23" t="s">
        <v>284</v>
      </c>
      <c r="B23">
        <v>33000</v>
      </c>
      <c r="C23">
        <v>40</v>
      </c>
      <c r="D23">
        <v>36.616799999999998</v>
      </c>
      <c r="E23">
        <v>0.14699999999999999</v>
      </c>
      <c r="F23">
        <f>B23*(D23+P16)</f>
        <v>1472354.4</v>
      </c>
      <c r="G23">
        <f>(C23*(E23+$P$20))*($C$11*VLOOKUP($B$11,$O$9:$P$15,2,0)/18000)</f>
        <v>392</v>
      </c>
    </row>
    <row r="24" spans="1:21" hidden="1">
      <c r="A24" t="s">
        <v>285</v>
      </c>
      <c r="B24">
        <v>34000</v>
      </c>
      <c r="C24">
        <v>40</v>
      </c>
      <c r="D24">
        <v>27.807500000000001</v>
      </c>
      <c r="E24">
        <v>0.14699999999999999</v>
      </c>
      <c r="F24">
        <f>B24*(D24+P17)</f>
        <v>945455</v>
      </c>
      <c r="G24">
        <f>(C24*(E24+$P$20))*($C$11*VLOOKUP($B$11,$O$9:$P$15,2,0)/18000)</f>
        <v>392</v>
      </c>
    </row>
    <row r="25" spans="1:21" hidden="1">
      <c r="A25" t="s">
        <v>286</v>
      </c>
      <c r="B25">
        <v>12000</v>
      </c>
      <c r="C25">
        <v>40</v>
      </c>
      <c r="D25">
        <v>10.4825</v>
      </c>
      <c r="E25">
        <v>0.14699999999999999</v>
      </c>
      <c r="F25">
        <f>B25*(D25+P18)</f>
        <v>125790</v>
      </c>
      <c r="G25">
        <f>(C25*(E25+$P$20))*($C$11*VLOOKUP($B$11,$O$9:$P$15,2,0)/18000)</f>
        <v>392</v>
      </c>
    </row>
    <row r="26" spans="1:21" hidden="1">
      <c r="A26" t="s">
        <v>287</v>
      </c>
      <c r="B26">
        <v>30000</v>
      </c>
      <c r="C26">
        <v>40</v>
      </c>
      <c r="D26">
        <v>30.343499999999999</v>
      </c>
      <c r="E26">
        <v>0.14699999999999999</v>
      </c>
      <c r="F26">
        <f>B26*(D26+P19)</f>
        <v>910305</v>
      </c>
      <c r="G26">
        <f>(C26*(E26+$P$20))*($C$11*VLOOKUP($B$11,$O$9:$P$15,2,0)/18000)</f>
        <v>392</v>
      </c>
    </row>
    <row r="27" spans="1:21" hidden="1"/>
    <row r="28" spans="1:21" hidden="1">
      <c r="A28" s="1"/>
      <c r="B28" s="1"/>
      <c r="C28" s="16" t="s">
        <v>54</v>
      </c>
      <c r="D28" s="16" t="s">
        <v>55</v>
      </c>
      <c r="E28" s="16" t="s">
        <v>56</v>
      </c>
      <c r="F28" s="16" t="s">
        <v>57</v>
      </c>
      <c r="G28" s="17" t="s">
        <v>58</v>
      </c>
      <c r="H28" s="17" t="s">
        <v>59</v>
      </c>
      <c r="I28" s="16"/>
      <c r="J28" s="16"/>
      <c r="K28" s="16"/>
      <c r="L28" s="19"/>
      <c r="M28" s="1">
        <f>VLOOKUP($B$7,M29:N36,2,0)</f>
        <v>8500</v>
      </c>
      <c r="N28" s="1"/>
      <c r="O28" s="1"/>
      <c r="P28" s="1"/>
      <c r="Q28" s="1"/>
      <c r="R28" s="1"/>
      <c r="S28" s="1"/>
      <c r="T28" s="1"/>
      <c r="U28" s="1"/>
    </row>
    <row r="29" spans="1:21" hidden="1">
      <c r="A29" s="1" t="s">
        <v>295</v>
      </c>
      <c r="B29" s="1" t="s">
        <v>10</v>
      </c>
      <c r="C29" s="16">
        <v>998</v>
      </c>
      <c r="D29" s="16">
        <v>10.5007</v>
      </c>
      <c r="E29" s="16">
        <f t="shared" ref="E29:E40" si="1">$C$11*VLOOKUP($B$11,$O$10:$P$16,2,0)</f>
        <v>1200000</v>
      </c>
      <c r="F29" s="16">
        <v>3.4000000000000002E-2</v>
      </c>
      <c r="G29" s="19">
        <f t="shared" ref="G29:G40" si="2">E29*F29</f>
        <v>40800</v>
      </c>
      <c r="H29" s="19">
        <f t="shared" ref="H29:H40" si="3">C29*D29</f>
        <v>10479.6986</v>
      </c>
      <c r="I29" s="25"/>
      <c r="J29" s="16"/>
      <c r="K29" s="16"/>
      <c r="L29" s="19"/>
      <c r="M29" s="1" t="s">
        <v>295</v>
      </c>
      <c r="N29" s="1">
        <v>8500</v>
      </c>
      <c r="O29" s="1"/>
      <c r="P29" s="1"/>
      <c r="Q29" s="1"/>
      <c r="R29" s="1"/>
      <c r="S29" s="1"/>
      <c r="T29" s="1"/>
      <c r="U29" s="1"/>
    </row>
    <row r="30" spans="1:21" hidden="1">
      <c r="A30" s="1" t="s">
        <v>295</v>
      </c>
      <c r="B30" s="1" t="s">
        <v>80</v>
      </c>
      <c r="C30" s="16">
        <v>1250</v>
      </c>
      <c r="D30" s="16">
        <v>120.172</v>
      </c>
      <c r="E30" s="16">
        <f t="shared" si="1"/>
        <v>1200000</v>
      </c>
      <c r="F30" s="16">
        <v>5.4000000000000003E-3</v>
      </c>
      <c r="G30" s="19">
        <f t="shared" si="2"/>
        <v>6480</v>
      </c>
      <c r="H30" s="19">
        <f t="shared" si="3"/>
        <v>150215</v>
      </c>
      <c r="I30" s="25"/>
      <c r="J30" s="16"/>
      <c r="K30" s="16"/>
      <c r="L30" s="19"/>
      <c r="M30" s="1" t="s">
        <v>296</v>
      </c>
      <c r="N30" s="1">
        <v>8500</v>
      </c>
      <c r="O30" s="1"/>
      <c r="P30" s="1"/>
      <c r="Q30" s="1"/>
      <c r="R30" s="1"/>
      <c r="S30" s="1"/>
      <c r="T30" s="1"/>
      <c r="U30" s="1"/>
    </row>
    <row r="31" spans="1:21" hidden="1">
      <c r="A31" s="1" t="s">
        <v>295</v>
      </c>
      <c r="B31" s="1" t="s">
        <v>81</v>
      </c>
      <c r="C31" s="16">
        <v>1250</v>
      </c>
      <c r="D31" s="16">
        <v>24.0487</v>
      </c>
      <c r="E31" s="16">
        <f t="shared" si="1"/>
        <v>1200000</v>
      </c>
      <c r="F31" s="16">
        <v>5.7999999999999996E-3</v>
      </c>
      <c r="G31" s="19">
        <f t="shared" si="2"/>
        <v>6960</v>
      </c>
      <c r="H31" s="19">
        <f t="shared" si="3"/>
        <v>30060.875</v>
      </c>
      <c r="I31" s="25"/>
      <c r="J31" s="16"/>
      <c r="K31" s="16"/>
      <c r="L31" s="19"/>
      <c r="M31" s="1" t="s">
        <v>297</v>
      </c>
      <c r="N31" s="1">
        <v>8500</v>
      </c>
      <c r="O31" s="1"/>
      <c r="P31" s="1"/>
      <c r="Q31" s="1"/>
      <c r="R31" s="1"/>
      <c r="S31" s="1"/>
      <c r="T31" s="1"/>
      <c r="U31" s="1"/>
    </row>
    <row r="32" spans="1:21" hidden="1">
      <c r="A32" s="1" t="s">
        <v>295</v>
      </c>
      <c r="B32" s="1" t="s">
        <v>83</v>
      </c>
      <c r="C32" s="16">
        <v>3200</v>
      </c>
      <c r="D32" s="16">
        <v>36.373100000000001</v>
      </c>
      <c r="E32" s="16">
        <f t="shared" si="1"/>
        <v>1200000</v>
      </c>
      <c r="F32" s="16">
        <v>6.7000000000000002E-3</v>
      </c>
      <c r="G32" s="19">
        <f t="shared" si="2"/>
        <v>8040</v>
      </c>
      <c r="H32" s="19">
        <f t="shared" si="3"/>
        <v>116393.92</v>
      </c>
      <c r="I32" s="25"/>
      <c r="J32" s="16"/>
      <c r="K32" s="16"/>
      <c r="L32" s="19"/>
      <c r="M32" s="1" t="s">
        <v>281</v>
      </c>
      <c r="N32" s="1">
        <v>8500</v>
      </c>
      <c r="O32" s="1"/>
      <c r="P32" s="1"/>
      <c r="Q32" s="1"/>
      <c r="R32" s="1"/>
      <c r="S32" s="1"/>
      <c r="T32" s="1"/>
      <c r="U32" s="1"/>
    </row>
    <row r="33" spans="1:21" hidden="1">
      <c r="A33" s="1" t="s">
        <v>295</v>
      </c>
      <c r="B33" s="1" t="s">
        <v>85</v>
      </c>
      <c r="C33" s="16">
        <v>1250</v>
      </c>
      <c r="D33" s="16">
        <v>9.9774399999999996</v>
      </c>
      <c r="E33" s="16">
        <f t="shared" si="1"/>
        <v>1200000</v>
      </c>
      <c r="F33" s="16">
        <v>4.0000000000000001E-3</v>
      </c>
      <c r="G33" s="19">
        <f t="shared" si="2"/>
        <v>4800</v>
      </c>
      <c r="H33" s="19">
        <f t="shared" si="3"/>
        <v>12471.8</v>
      </c>
      <c r="I33" s="25"/>
      <c r="J33" s="16"/>
      <c r="K33" s="16"/>
      <c r="L33" s="19"/>
      <c r="M33" s="1" t="s">
        <v>298</v>
      </c>
      <c r="N33" s="1">
        <v>8500</v>
      </c>
      <c r="O33" s="1"/>
      <c r="P33" s="1"/>
      <c r="Q33" s="1"/>
      <c r="R33" s="1"/>
      <c r="S33" s="1"/>
      <c r="T33" s="1"/>
      <c r="U33" s="1"/>
    </row>
    <row r="34" spans="1:21" hidden="1">
      <c r="A34" s="1" t="s">
        <v>295</v>
      </c>
      <c r="B34" s="1" t="s">
        <v>87</v>
      </c>
      <c r="C34" s="16">
        <v>2600</v>
      </c>
      <c r="D34" s="16">
        <v>9.5276800000000001</v>
      </c>
      <c r="E34" s="16">
        <f t="shared" si="1"/>
        <v>1200000</v>
      </c>
      <c r="F34" s="16">
        <v>1.37E-2</v>
      </c>
      <c r="G34" s="19">
        <f t="shared" si="2"/>
        <v>16440</v>
      </c>
      <c r="H34" s="19">
        <f t="shared" si="3"/>
        <v>24771.968000000001</v>
      </c>
      <c r="I34" s="25"/>
      <c r="J34" s="16"/>
      <c r="K34" s="16"/>
      <c r="L34" s="19"/>
      <c r="M34" s="1" t="s">
        <v>299</v>
      </c>
      <c r="N34" s="1">
        <v>8500</v>
      </c>
      <c r="O34" s="1"/>
      <c r="P34" s="1"/>
      <c r="Q34" s="1"/>
      <c r="R34" s="1"/>
      <c r="S34" s="1"/>
      <c r="T34" s="1"/>
      <c r="U34" s="1"/>
    </row>
    <row r="35" spans="1:21" hidden="1">
      <c r="A35" s="1" t="s">
        <v>295</v>
      </c>
      <c r="B35" s="1" t="s">
        <v>89</v>
      </c>
      <c r="C35" s="16">
        <v>1300</v>
      </c>
      <c r="D35" s="16">
        <v>26.4084</v>
      </c>
      <c r="E35" s="16">
        <f t="shared" si="1"/>
        <v>1200000</v>
      </c>
      <c r="F35" s="16">
        <v>8.0000000000000002E-3</v>
      </c>
      <c r="G35" s="19">
        <f t="shared" si="2"/>
        <v>9600</v>
      </c>
      <c r="H35" s="19">
        <f t="shared" si="3"/>
        <v>34330.92</v>
      </c>
      <c r="I35" s="25"/>
      <c r="J35" s="16"/>
      <c r="K35" s="16"/>
      <c r="L35" s="19"/>
      <c r="M35" s="1"/>
      <c r="N35" s="1"/>
      <c r="O35" s="1"/>
      <c r="P35" s="1"/>
      <c r="Q35" s="1"/>
      <c r="R35" s="1"/>
      <c r="S35" s="1"/>
      <c r="T35" s="1"/>
      <c r="U35" s="1"/>
    </row>
    <row r="36" spans="1:21" hidden="1">
      <c r="A36" s="1" t="s">
        <v>295</v>
      </c>
      <c r="B36" s="1" t="s">
        <v>91</v>
      </c>
      <c r="C36" s="16">
        <v>1300</v>
      </c>
      <c r="D36" s="16">
        <v>9.7314900000000009</v>
      </c>
      <c r="E36" s="16">
        <f t="shared" si="1"/>
        <v>1200000</v>
      </c>
      <c r="F36" s="16">
        <v>6.0000000000000001E-3</v>
      </c>
      <c r="G36" s="19">
        <f t="shared" si="2"/>
        <v>7200</v>
      </c>
      <c r="H36" s="19">
        <f t="shared" si="3"/>
        <v>12650.937</v>
      </c>
      <c r="I36" s="25"/>
      <c r="J36" s="16"/>
      <c r="K36" s="16"/>
      <c r="L36" s="19"/>
      <c r="M36" s="1"/>
      <c r="N36" s="1"/>
      <c r="O36" s="1"/>
      <c r="P36" s="1"/>
      <c r="Q36" s="1"/>
      <c r="R36" s="1"/>
      <c r="S36" s="1"/>
      <c r="T36" s="1"/>
      <c r="U36" s="1"/>
    </row>
    <row r="37" spans="1:21" hidden="1">
      <c r="A37" s="1" t="s">
        <v>296</v>
      </c>
      <c r="B37" s="1" t="s">
        <v>10</v>
      </c>
      <c r="C37" s="16">
        <v>7000</v>
      </c>
      <c r="D37" s="16">
        <v>24.6066</v>
      </c>
      <c r="E37" s="16">
        <f t="shared" si="1"/>
        <v>1200000</v>
      </c>
      <c r="F37" s="16">
        <v>5.0000000000000001E-3</v>
      </c>
      <c r="G37" s="19">
        <f t="shared" si="2"/>
        <v>6000</v>
      </c>
      <c r="H37" s="19">
        <f t="shared" si="3"/>
        <v>172246.2</v>
      </c>
      <c r="I37" s="25"/>
      <c r="J37" s="16"/>
      <c r="K37" s="16"/>
      <c r="L37" s="19"/>
      <c r="M37" s="1"/>
      <c r="N37" s="1"/>
      <c r="O37" s="1"/>
      <c r="P37" s="1"/>
      <c r="Q37" s="1"/>
      <c r="R37" s="1"/>
      <c r="S37" s="1"/>
      <c r="T37" s="1"/>
      <c r="U37" s="1"/>
    </row>
    <row r="38" spans="1:21" hidden="1">
      <c r="A38" s="1" t="s">
        <v>297</v>
      </c>
      <c r="B38" s="1" t="s">
        <v>10</v>
      </c>
      <c r="C38" s="16">
        <v>14000</v>
      </c>
      <c r="D38" s="16">
        <v>14.523</v>
      </c>
      <c r="E38" s="16">
        <f t="shared" si="1"/>
        <v>1200000</v>
      </c>
      <c r="F38" s="16">
        <v>5.0000000000000001E-3</v>
      </c>
      <c r="G38" s="19">
        <f t="shared" si="2"/>
        <v>6000</v>
      </c>
      <c r="H38" s="19">
        <f t="shared" si="3"/>
        <v>203322</v>
      </c>
      <c r="I38" s="25"/>
      <c r="J38" s="16"/>
      <c r="K38" s="16"/>
      <c r="L38" s="19"/>
      <c r="M38" s="1"/>
      <c r="N38" s="1"/>
      <c r="O38" s="1"/>
      <c r="P38" s="1"/>
      <c r="Q38" s="1"/>
      <c r="R38" s="1"/>
      <c r="S38" s="1"/>
      <c r="T38" s="1"/>
      <c r="U38" s="1"/>
    </row>
    <row r="39" spans="1:21" hidden="1">
      <c r="A39" s="1" t="s">
        <v>281</v>
      </c>
      <c r="B39" s="1" t="s">
        <v>10</v>
      </c>
      <c r="C39" s="16">
        <v>5500</v>
      </c>
      <c r="D39" s="16">
        <v>27.6523</v>
      </c>
      <c r="E39" s="16">
        <f t="shared" si="1"/>
        <v>1200000</v>
      </c>
      <c r="F39" s="16">
        <v>5.0000000000000001E-3</v>
      </c>
      <c r="G39" s="19">
        <f t="shared" si="2"/>
        <v>6000</v>
      </c>
      <c r="H39" s="19">
        <f t="shared" si="3"/>
        <v>152087.65</v>
      </c>
      <c r="I39" s="25"/>
      <c r="J39" s="16"/>
      <c r="K39" s="16"/>
      <c r="L39" s="19"/>
      <c r="M39" s="1"/>
      <c r="N39" s="1"/>
      <c r="O39" s="1"/>
      <c r="P39" s="1"/>
      <c r="Q39" s="1"/>
      <c r="R39" s="1"/>
      <c r="S39" s="1"/>
      <c r="T39" s="1"/>
      <c r="U39" s="1"/>
    </row>
    <row r="40" spans="1:21" hidden="1">
      <c r="A40" s="1" t="s">
        <v>298</v>
      </c>
      <c r="B40" s="1" t="s">
        <v>10</v>
      </c>
      <c r="C40" s="16">
        <v>1366</v>
      </c>
      <c r="D40" s="16">
        <v>11.045999999999999</v>
      </c>
      <c r="E40" s="16">
        <f t="shared" si="1"/>
        <v>1200000</v>
      </c>
      <c r="F40" s="16">
        <v>5.0000000000000001E-3</v>
      </c>
      <c r="G40" s="19">
        <f t="shared" si="2"/>
        <v>6000</v>
      </c>
      <c r="H40" s="19">
        <f t="shared" si="3"/>
        <v>15088.835999999999</v>
      </c>
      <c r="I40" s="25"/>
      <c r="J40" s="16"/>
      <c r="K40" s="16"/>
      <c r="L40" s="19"/>
      <c r="M40" s="1"/>
      <c r="N40" s="1"/>
      <c r="O40" s="1"/>
      <c r="P40" s="1"/>
      <c r="Q40" s="1"/>
      <c r="R40" s="1"/>
      <c r="S40" s="1"/>
      <c r="T40" s="1"/>
      <c r="U40" s="1"/>
    </row>
    <row r="41" spans="1:21" hidden="1">
      <c r="M41" s="1"/>
      <c r="N41" s="1"/>
      <c r="O41" s="1"/>
      <c r="P41" s="1"/>
      <c r="Q41" s="1"/>
      <c r="R41" s="1"/>
      <c r="S41" s="1"/>
      <c r="T41" s="1"/>
      <c r="U41" s="1"/>
    </row>
    <row r="42" spans="1:21" hidden="1">
      <c r="M42" s="1"/>
      <c r="N42" s="1"/>
      <c r="O42" s="1"/>
      <c r="P42" s="1"/>
      <c r="Q42" s="1"/>
      <c r="R42" s="1"/>
      <c r="S42" s="1"/>
      <c r="T42" s="1"/>
      <c r="U42" s="1"/>
    </row>
    <row r="43" spans="1:21" hidden="1">
      <c r="M43" s="1"/>
      <c r="N43" s="1"/>
      <c r="O43" s="1"/>
      <c r="P43" s="1"/>
      <c r="Q43" s="1"/>
      <c r="R43" s="1"/>
      <c r="S43" s="1"/>
      <c r="T43" s="1"/>
      <c r="U43" s="1"/>
    </row>
    <row r="44" spans="1:21" hidden="1">
      <c r="M44" s="1"/>
      <c r="N44" s="1"/>
      <c r="O44" s="1"/>
      <c r="P44" s="1"/>
      <c r="Q44" s="1"/>
      <c r="R44" s="1"/>
      <c r="S44" s="1"/>
      <c r="T44" s="1"/>
      <c r="U44" s="1"/>
    </row>
    <row r="45" spans="1:21" hidden="1">
      <c r="M45" s="1"/>
      <c r="N45" s="1"/>
      <c r="O45" s="1"/>
      <c r="P45" s="1"/>
      <c r="Q45" s="1"/>
      <c r="R45" s="1"/>
      <c r="S45" s="1"/>
      <c r="T45" s="1"/>
      <c r="U45" s="1"/>
    </row>
    <row r="46" spans="1:21" hidden="1">
      <c r="M46" s="1"/>
      <c r="N46" s="1"/>
      <c r="O46" s="1"/>
      <c r="P46" s="1"/>
      <c r="Q46" s="1"/>
      <c r="R46" s="1"/>
      <c r="S46" s="1"/>
      <c r="T46" s="1"/>
      <c r="U46" s="1"/>
    </row>
    <row r="47" spans="1:21" hidden="1">
      <c r="A47" s="1"/>
      <c r="B47" s="1"/>
      <c r="M47" s="1"/>
      <c r="N47" s="1"/>
      <c r="O47" s="1"/>
      <c r="P47" s="1"/>
      <c r="Q47" s="1"/>
      <c r="R47" s="1"/>
      <c r="S47" s="1"/>
      <c r="T47" s="1"/>
      <c r="U47" s="1"/>
    </row>
    <row r="48" spans="1:21" hidden="1">
      <c r="C48" s="1"/>
      <c r="E48" s="1" t="s">
        <v>295</v>
      </c>
      <c r="F48" s="1" t="s">
        <v>296</v>
      </c>
      <c r="G48" s="1" t="s">
        <v>297</v>
      </c>
      <c r="H48" s="1" t="s">
        <v>281</v>
      </c>
      <c r="I48" s="1" t="s">
        <v>298</v>
      </c>
      <c r="J48" s="1"/>
      <c r="K48" s="1"/>
      <c r="L48" s="1"/>
      <c r="M48" s="1"/>
      <c r="N48" s="1"/>
      <c r="O48" s="1"/>
      <c r="P48" s="1"/>
      <c r="Q48" s="1"/>
      <c r="R48" s="1"/>
      <c r="S48" s="1"/>
      <c r="T48" s="1"/>
      <c r="U48" s="1"/>
    </row>
    <row r="49" spans="1:21" hidden="1">
      <c r="C49" s="1"/>
      <c r="E49" s="1" t="s">
        <v>10</v>
      </c>
      <c r="F49" s="1" t="s">
        <v>10</v>
      </c>
      <c r="G49" s="1" t="s">
        <v>10</v>
      </c>
      <c r="H49" s="1" t="s">
        <v>10</v>
      </c>
      <c r="I49" s="1" t="s">
        <v>10</v>
      </c>
      <c r="J49" s="1"/>
      <c r="K49" s="1"/>
      <c r="L49" s="1"/>
      <c r="M49" s="1"/>
      <c r="N49" s="1"/>
      <c r="O49" s="1"/>
      <c r="P49" s="1"/>
      <c r="Q49" s="1"/>
      <c r="R49" s="1"/>
      <c r="S49" s="1"/>
      <c r="T49" s="1"/>
      <c r="U49" s="1"/>
    </row>
    <row r="50" spans="1:21" hidden="1">
      <c r="C50" s="1"/>
      <c r="E50" s="1" t="s">
        <v>80</v>
      </c>
      <c r="F50" s="1"/>
      <c r="G50" s="1"/>
      <c r="H50" s="1"/>
      <c r="I50" s="1"/>
      <c r="J50" s="1"/>
      <c r="K50" s="1"/>
      <c r="L50" s="1"/>
      <c r="M50" s="1"/>
      <c r="N50" s="1"/>
      <c r="O50" s="1"/>
      <c r="P50" s="1"/>
      <c r="Q50" s="1"/>
      <c r="R50" s="1"/>
      <c r="S50" s="1"/>
      <c r="T50" s="1"/>
      <c r="U50" s="1"/>
    </row>
    <row r="51" spans="1:21" hidden="1">
      <c r="C51" s="1"/>
      <c r="E51" s="1" t="s">
        <v>81</v>
      </c>
      <c r="F51" s="1"/>
      <c r="G51" s="1"/>
      <c r="H51" s="1"/>
      <c r="I51" s="1"/>
      <c r="J51" s="1"/>
      <c r="K51" s="1"/>
      <c r="L51" s="1"/>
      <c r="M51" s="1"/>
      <c r="N51" s="1"/>
      <c r="O51" s="1"/>
      <c r="P51" s="1"/>
      <c r="Q51" s="1"/>
      <c r="R51" s="1"/>
      <c r="S51" s="1"/>
      <c r="T51" s="1"/>
      <c r="U51" s="1"/>
    </row>
    <row r="52" spans="1:21" hidden="1">
      <c r="A52" s="1"/>
      <c r="B52" s="1"/>
      <c r="C52" s="1"/>
      <c r="E52" s="1" t="s">
        <v>83</v>
      </c>
      <c r="F52" s="1"/>
      <c r="G52" s="1"/>
      <c r="H52" s="1"/>
      <c r="I52" s="1"/>
      <c r="J52" s="1"/>
      <c r="K52" s="1"/>
      <c r="L52" s="1"/>
      <c r="M52" s="1"/>
      <c r="N52" s="1"/>
      <c r="O52" s="1"/>
      <c r="P52" s="1"/>
      <c r="Q52" s="1"/>
      <c r="R52" s="1"/>
      <c r="S52" s="1"/>
      <c r="T52" s="1"/>
      <c r="U52" s="1"/>
    </row>
    <row r="53" spans="1:21" hidden="1">
      <c r="A53" s="1"/>
      <c r="B53" s="1"/>
      <c r="C53" s="1"/>
      <c r="E53" s="1" t="s">
        <v>85</v>
      </c>
      <c r="F53" s="1"/>
      <c r="G53" s="1"/>
      <c r="H53" s="1"/>
      <c r="I53" s="1"/>
      <c r="J53" s="1"/>
      <c r="K53" s="1"/>
      <c r="L53" s="1"/>
      <c r="M53" s="1"/>
      <c r="N53" s="1"/>
      <c r="O53" s="1"/>
      <c r="P53" s="1"/>
      <c r="Q53" s="1"/>
      <c r="R53" s="1"/>
      <c r="S53" s="1"/>
      <c r="T53" s="1"/>
      <c r="U53" s="1"/>
    </row>
    <row r="54" spans="1:21" hidden="1">
      <c r="A54" s="1"/>
      <c r="B54" s="1"/>
      <c r="C54" s="1"/>
      <c r="E54" s="1" t="s">
        <v>87</v>
      </c>
      <c r="F54" s="1"/>
      <c r="G54" s="1"/>
      <c r="H54" s="1"/>
      <c r="I54" s="1"/>
      <c r="J54" s="1"/>
      <c r="K54" s="1"/>
      <c r="L54" s="1"/>
      <c r="M54" s="1"/>
      <c r="N54" s="1"/>
      <c r="O54" s="1"/>
      <c r="P54" s="1"/>
      <c r="Q54" s="1"/>
      <c r="R54" s="1"/>
      <c r="S54" s="1"/>
      <c r="T54" s="1"/>
      <c r="U54" s="1"/>
    </row>
    <row r="55" spans="1:21" hidden="1">
      <c r="A55" s="1"/>
      <c r="B55" s="1"/>
      <c r="C55" s="1"/>
      <c r="E55" s="1" t="s">
        <v>89</v>
      </c>
      <c r="F55" s="1"/>
      <c r="G55" s="1"/>
      <c r="H55" s="1"/>
      <c r="I55" s="1"/>
      <c r="J55" s="1"/>
      <c r="K55" s="1"/>
      <c r="L55" s="1"/>
      <c r="M55" s="1"/>
      <c r="N55" s="1"/>
      <c r="O55" s="1"/>
      <c r="P55" s="1"/>
      <c r="Q55" s="1"/>
      <c r="R55" s="1"/>
      <c r="S55" s="1"/>
      <c r="T55" s="1"/>
      <c r="U55" s="1"/>
    </row>
    <row r="56" spans="1:21" hidden="1">
      <c r="A56" s="1"/>
      <c r="B56" s="1"/>
      <c r="C56" s="1"/>
      <c r="E56" s="1" t="s">
        <v>91</v>
      </c>
      <c r="F56" s="1"/>
      <c r="G56" s="1"/>
      <c r="H56" s="1"/>
      <c r="I56" s="1"/>
      <c r="J56" s="1"/>
      <c r="K56" s="1"/>
      <c r="L56" s="1"/>
      <c r="M56" s="1"/>
      <c r="N56" s="1"/>
      <c r="O56" s="1"/>
      <c r="P56" s="1"/>
      <c r="Q56" s="1"/>
      <c r="R56" s="1"/>
      <c r="S56" s="1"/>
      <c r="T56" s="1"/>
      <c r="U56" s="1"/>
    </row>
    <row r="57" spans="1:21" hidden="1">
      <c r="A57" s="1"/>
      <c r="B57" s="1"/>
      <c r="C57" s="1"/>
      <c r="D57" s="1"/>
      <c r="E57" s="1"/>
      <c r="F57" s="1"/>
      <c r="G57" s="1"/>
      <c r="H57" s="1"/>
      <c r="I57" s="1"/>
      <c r="J57" s="1"/>
      <c r="K57" s="1"/>
      <c r="L57" s="1"/>
      <c r="M57" s="1"/>
      <c r="N57" s="1"/>
      <c r="O57" s="1"/>
      <c r="P57" s="1"/>
      <c r="Q57" s="1"/>
      <c r="R57" s="1"/>
      <c r="S57" s="1"/>
      <c r="T57" s="1"/>
      <c r="U57" s="1"/>
    </row>
    <row r="58" spans="1:21" hidden="1">
      <c r="A58" s="1"/>
      <c r="B58" s="1"/>
      <c r="C58" s="1"/>
      <c r="D58" s="1"/>
      <c r="E58" s="1"/>
      <c r="F58" s="1"/>
      <c r="G58" s="1"/>
      <c r="H58" s="1"/>
      <c r="I58" s="1"/>
      <c r="J58" s="1"/>
      <c r="K58" s="1"/>
      <c r="L58" s="1"/>
      <c r="M58" s="1"/>
      <c r="N58" s="1"/>
      <c r="O58" s="1"/>
      <c r="P58" s="1"/>
      <c r="Q58" s="1"/>
      <c r="R58" s="1"/>
      <c r="S58" s="1"/>
      <c r="T58" s="1"/>
      <c r="U58" s="1"/>
    </row>
    <row r="59" spans="1:21" hidden="1"/>
    <row r="60" spans="1:21">
      <c r="A60" s="1"/>
      <c r="B60" s="1" t="s">
        <v>133</v>
      </c>
      <c r="C60" s="1"/>
    </row>
    <row r="61" spans="1:21">
      <c r="A61" s="1"/>
      <c r="B61" s="1" t="s">
        <v>168</v>
      </c>
      <c r="C61" s="1" t="s">
        <v>169</v>
      </c>
    </row>
    <row r="62" spans="1:21">
      <c r="B62" s="1" t="s">
        <v>162</v>
      </c>
      <c r="C62" s="1" t="s">
        <v>300</v>
      </c>
    </row>
    <row r="63" spans="1:21">
      <c r="B63" s="1"/>
      <c r="C63" s="1"/>
    </row>
  </sheetData>
  <mergeCells count="6">
    <mergeCell ref="C1:I4"/>
    <mergeCell ref="B7:B9"/>
    <mergeCell ref="B11:B12"/>
    <mergeCell ref="C7:C9"/>
    <mergeCell ref="C11:C12"/>
    <mergeCell ref="D11:D12"/>
  </mergeCells>
  <phoneticPr fontId="18" type="noConversion"/>
  <dataValidations count="4">
    <dataValidation type="list" allowBlank="1" showInputMessage="1" showErrorMessage="1" sqref="B11" xr:uid="{00000000-0002-0000-0400-000000000000}">
      <formula1>"ms,s,min,hr,day,mo,yr"</formula1>
    </dataValidation>
    <dataValidation allowBlank="1" showInputMessage="1" showErrorMessage="1" sqref="E11 E47" xr:uid="{00000000-0002-0000-0400-000001000000}"/>
    <dataValidation type="list" allowBlank="1" showInputMessage="1" showErrorMessage="1" sqref="B7:B9" xr:uid="{00000000-0002-0000-0400-000002000000}">
      <formula1>$E$48:$K$48</formula1>
    </dataValidation>
    <dataValidation type="list" allowBlank="1" showInputMessage="1" showErrorMessage="1" sqref="D11:D12" xr:uid="{00000000-0002-0000-0400-000003000000}">
      <formula1>INDIRECT($B$7)</formula1>
    </dataValidation>
  </dataValidations>
  <pageMargins left="0.75" right="0.75" top="1" bottom="1" header="0.5" footer="0.5"/>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D88"/>
  <sheetViews>
    <sheetView topLeftCell="A7" zoomScale="85" zoomScaleNormal="85" workbookViewId="0">
      <selection activeCell="D90" sqref="D90"/>
    </sheetView>
  </sheetViews>
  <sheetFormatPr defaultColWidth="9" defaultRowHeight="15"/>
  <cols>
    <col min="1" max="1" width="22.85546875" customWidth="1"/>
    <col min="2" max="2" width="26.140625" customWidth="1"/>
    <col min="3" max="3" width="34.140625" customWidth="1"/>
    <col min="4" max="4" width="29.140625" customWidth="1"/>
    <col min="5" max="5" width="25.28515625" customWidth="1"/>
    <col min="6" max="6" width="25.42578125" customWidth="1"/>
    <col min="7" max="7" width="26.85546875" customWidth="1"/>
    <col min="8" max="8" width="21.140625" customWidth="1"/>
    <col min="9" max="9" width="22.7109375" customWidth="1"/>
    <col min="10" max="10" width="9.7109375" customWidth="1"/>
    <col min="13" max="13" width="22.28515625" customWidth="1"/>
    <col min="14" max="14" width="22.7109375" customWidth="1"/>
    <col min="15" max="15" width="15.140625" hidden="1" customWidth="1"/>
    <col min="16" max="16" width="9" hidden="1" customWidth="1"/>
    <col min="18" max="18" width="17.28515625" customWidth="1"/>
    <col min="21" max="21" width="11" customWidth="1"/>
  </cols>
  <sheetData>
    <row r="1" spans="1:18 16384:16384" s="1" customFormat="1" ht="15" customHeight="1">
      <c r="A1" s="2"/>
      <c r="B1" s="2"/>
      <c r="C1" s="54" t="s">
        <v>301</v>
      </c>
      <c r="D1" s="54"/>
      <c r="E1" s="54"/>
      <c r="F1" s="54"/>
      <c r="G1" s="54"/>
      <c r="H1" s="54"/>
      <c r="I1" s="54"/>
      <c r="J1" s="2"/>
      <c r="K1" s="2"/>
      <c r="L1" s="2"/>
      <c r="XFD1"/>
    </row>
    <row r="2" spans="1:18 16384:16384" s="1" customFormat="1">
      <c r="A2" s="2"/>
      <c r="B2" s="2"/>
      <c r="C2" s="54"/>
      <c r="D2" s="54"/>
      <c r="E2" s="54"/>
      <c r="F2" s="54"/>
      <c r="G2" s="54"/>
      <c r="H2" s="54"/>
      <c r="I2" s="54"/>
      <c r="J2" s="2"/>
      <c r="K2" s="2"/>
      <c r="L2" s="2"/>
      <c r="XFD2"/>
    </row>
    <row r="3" spans="1:18 16384:16384" s="1" customFormat="1">
      <c r="A3" s="2"/>
      <c r="B3" s="2"/>
      <c r="C3" s="54"/>
      <c r="D3" s="54"/>
      <c r="E3" s="54"/>
      <c r="F3" s="54"/>
      <c r="G3" s="54"/>
      <c r="H3" s="54"/>
      <c r="I3" s="54"/>
      <c r="J3" s="2"/>
      <c r="K3" s="2"/>
      <c r="L3" s="2"/>
      <c r="XFD3"/>
    </row>
    <row r="4" spans="1:18 16384:16384" s="1" customFormat="1">
      <c r="A4" s="2"/>
      <c r="B4" s="2"/>
      <c r="C4" s="54"/>
      <c r="D4" s="54"/>
      <c r="E4" s="54"/>
      <c r="F4" s="54"/>
      <c r="G4" s="54"/>
      <c r="H4" s="54"/>
      <c r="I4" s="54"/>
      <c r="J4" s="2"/>
      <c r="K4" s="2"/>
      <c r="L4" s="2"/>
      <c r="XFD4"/>
    </row>
    <row r="5" spans="1:18 16384:16384" s="1" customFormat="1">
      <c r="A5" s="2" t="s">
        <v>1</v>
      </c>
      <c r="B5" s="2"/>
      <c r="C5" s="2"/>
      <c r="D5" s="2"/>
      <c r="E5" s="2"/>
      <c r="F5" s="2"/>
      <c r="G5" s="2"/>
      <c r="H5" s="2"/>
      <c r="I5" s="2"/>
      <c r="J5" s="2"/>
      <c r="K5" s="2"/>
      <c r="L5" s="2"/>
      <c r="M5" s="21"/>
      <c r="XFD5"/>
    </row>
    <row r="6" spans="1:18 16384:16384" s="1" customFormat="1">
      <c r="A6" s="3"/>
      <c r="B6" s="4" t="s">
        <v>2</v>
      </c>
      <c r="C6" s="5" t="s">
        <v>3</v>
      </c>
      <c r="D6" s="3"/>
      <c r="E6" s="3"/>
      <c r="F6" s="3"/>
      <c r="G6" s="3"/>
      <c r="H6" s="3"/>
      <c r="I6" s="3"/>
      <c r="J6" s="3"/>
      <c r="K6" s="3"/>
      <c r="L6" s="3"/>
      <c r="XFD6"/>
    </row>
    <row r="7" spans="1:18 16384:16384" s="1" customFormat="1">
      <c r="A7" s="3"/>
      <c r="B7" s="71" t="s">
        <v>302</v>
      </c>
      <c r="C7" s="59">
        <f>VLOOKUP($B$7,M42:N68,2,0)</f>
        <v>8500</v>
      </c>
      <c r="D7" s="3"/>
      <c r="E7" s="3"/>
      <c r="F7" s="3"/>
      <c r="G7" s="3"/>
      <c r="H7" s="3"/>
      <c r="I7" s="3"/>
      <c r="J7" s="3"/>
      <c r="K7" s="3"/>
      <c r="L7" s="3"/>
      <c r="XFD7"/>
    </row>
    <row r="8" spans="1:18 16384:16384" s="1" customFormat="1">
      <c r="A8" s="3"/>
      <c r="B8" s="71"/>
      <c r="C8" s="59"/>
      <c r="D8" s="3"/>
      <c r="E8" s="3"/>
      <c r="F8" s="3"/>
      <c r="G8" s="3"/>
      <c r="H8" s="3"/>
      <c r="I8" s="3"/>
      <c r="J8" s="3"/>
      <c r="K8" s="3"/>
      <c r="L8" s="3"/>
      <c r="O8" s="22" t="s">
        <v>8</v>
      </c>
      <c r="P8" s="22">
        <v>1</v>
      </c>
      <c r="R8"/>
      <c r="XFD8"/>
    </row>
    <row r="9" spans="1:18 16384:16384" s="1" customFormat="1">
      <c r="A9" s="3"/>
      <c r="B9" s="71"/>
      <c r="C9" s="59"/>
      <c r="D9" s="3"/>
      <c r="E9" s="3"/>
      <c r="F9" s="3"/>
      <c r="G9" s="3"/>
      <c r="H9" s="3"/>
      <c r="I9" s="3"/>
      <c r="J9" s="3"/>
      <c r="K9" s="3"/>
      <c r="L9" s="3"/>
      <c r="O9" s="22" t="s">
        <v>11</v>
      </c>
      <c r="P9" s="22">
        <f>P8*1000</f>
        <v>1000</v>
      </c>
      <c r="XFD9"/>
    </row>
    <row r="10" spans="1:18 16384:16384" s="1" customFormat="1">
      <c r="A10" s="3"/>
      <c r="B10" s="6" t="s">
        <v>5</v>
      </c>
      <c r="C10" s="6" t="s">
        <v>6</v>
      </c>
      <c r="D10" s="7" t="s">
        <v>7</v>
      </c>
      <c r="E10" s="7" t="s">
        <v>303</v>
      </c>
      <c r="F10" s="3"/>
      <c r="G10" s="3"/>
      <c r="H10" s="3"/>
      <c r="I10" s="3"/>
      <c r="J10" s="3"/>
      <c r="K10" s="3"/>
      <c r="L10" s="3"/>
      <c r="O10" s="22" t="s">
        <v>9</v>
      </c>
      <c r="P10" s="22">
        <f>P9*60</f>
        <v>60000</v>
      </c>
      <c r="XFD10"/>
    </row>
    <row r="11" spans="1:18 16384:16384" s="1" customFormat="1" ht="30" customHeight="1">
      <c r="A11" s="3"/>
      <c r="B11" s="72" t="s">
        <v>9</v>
      </c>
      <c r="C11" s="80">
        <v>120</v>
      </c>
      <c r="D11" s="76" t="s">
        <v>10</v>
      </c>
      <c r="E11" s="78" t="s">
        <v>304</v>
      </c>
      <c r="F11" s="3"/>
      <c r="G11" s="3"/>
      <c r="H11" s="3"/>
      <c r="I11" s="3"/>
      <c r="J11" s="3"/>
      <c r="K11" s="3"/>
      <c r="L11" s="3"/>
      <c r="O11" s="22" t="s">
        <v>22</v>
      </c>
      <c r="P11" s="22">
        <f>P10*60</f>
        <v>3600000</v>
      </c>
      <c r="XFD11"/>
    </row>
    <row r="12" spans="1:18 16384:16384" s="1" customFormat="1">
      <c r="A12" s="3"/>
      <c r="B12" s="73"/>
      <c r="C12" s="75"/>
      <c r="D12" s="77"/>
      <c r="E12" s="79"/>
      <c r="F12" s="3"/>
      <c r="G12" s="3"/>
      <c r="H12" s="3"/>
      <c r="I12" s="3"/>
      <c r="J12" s="3"/>
      <c r="K12" s="3"/>
      <c r="L12" s="3"/>
      <c r="O12" s="22" t="s">
        <v>25</v>
      </c>
      <c r="P12" s="22">
        <f>P11*24</f>
        <v>86400000</v>
      </c>
      <c r="XFD12"/>
    </row>
    <row r="13" spans="1:18 16384:16384">
      <c r="A13" s="8" t="s">
        <v>305</v>
      </c>
      <c r="B13" s="9" t="s">
        <v>12</v>
      </c>
      <c r="C13" s="9" t="s">
        <v>13</v>
      </c>
      <c r="D13" s="9" t="s">
        <v>283</v>
      </c>
      <c r="E13" s="9" t="s">
        <v>17</v>
      </c>
      <c r="F13" s="9" t="s">
        <v>18</v>
      </c>
      <c r="G13" s="9" t="s">
        <v>21</v>
      </c>
      <c r="O13" s="22" t="s">
        <v>27</v>
      </c>
      <c r="P13" s="22">
        <f>P14/12</f>
        <v>2629800000</v>
      </c>
    </row>
    <row r="14" spans="1:18 16384:16384">
      <c r="A14" s="10" t="s">
        <v>306</v>
      </c>
      <c r="B14" s="11" cm="1">
        <f t="array" ref="B14">VLOOKUP($B$7&amp;$D$11,IF({1,0},$A$41:$A$79&amp;$B$41:$B$79,$G$41:$G$80),2,0)</f>
        <v>60479.999999999993</v>
      </c>
      <c r="C14" s="12" cm="1">
        <f t="array" ref="C14">VLOOKUP($B$7&amp;$D$11,IF({1,0},$A$41:$A$77&amp;$B$41:$B$77,$H$41:$H$78),2,0)</f>
        <v>395814.45120000001</v>
      </c>
      <c r="D14" s="12">
        <f>F28</f>
        <v>1485967.0101999999</v>
      </c>
      <c r="E14" s="12">
        <f t="shared" ref="E14" si="0">G28</f>
        <v>7592.047599999999</v>
      </c>
      <c r="F14" s="12" cm="1">
        <f t="array" ref="F14">(B14+C14+D14+E14)/((B28+C28+(VLOOKUP($B$7&amp;$D$11,IF({1,0},$A$41:$A$72&amp;$B$41:$B$72,$C$41:$C$72),2,0)))+(VLOOKUP($B$7&amp;$D$11,IF({1,0},$A$41:$A$72&amp;$B$41:$B$72,$E$41:$E$72),2,0)))</f>
        <v>0.26868833213567878</v>
      </c>
      <c r="G14" s="12">
        <f>$C$7/(F14*8760+($C$7*0.02))</f>
        <v>3.3680576250628422</v>
      </c>
      <c r="O14" s="22" t="s">
        <v>29</v>
      </c>
      <c r="P14" s="22">
        <f>P12*365.25</f>
        <v>31557600000</v>
      </c>
    </row>
    <row r="15" spans="1:18 16384:16384">
      <c r="A15" s="10" t="s">
        <v>307</v>
      </c>
      <c r="B15" s="11" cm="1">
        <f t="array" ref="B15">VLOOKUP($B$7&amp;$D$11,IF({1,0},$A$41:$A$79&amp;$B$41:$B$79,$G$41:$G$80),2,0)</f>
        <v>60479.999999999993</v>
      </c>
      <c r="C15" s="12" cm="1">
        <f t="array" ref="C15">VLOOKUP($B$7&amp;$D$11,IF({1,0},$A$41:$A$77&amp;$B$41:$B$77,$H$41:$H$78),2,0)</f>
        <v>395814.45120000001</v>
      </c>
      <c r="D15" s="12">
        <f>F32</f>
        <v>1360553.0789999999</v>
      </c>
      <c r="E15" s="12">
        <f t="array" ref="E15">G33</f>
        <v>7592.047599999999</v>
      </c>
      <c r="F15" s="12" cm="1">
        <f t="array" ref="F15">(B15+C15+D15+E15)/((B32+C32+(VLOOKUP($B$7&amp;$D$11,IF({1,0},$A$41:$A$72&amp;$B$41:$B$72,$C$41:$C$72),2,0)))+(VLOOKUP($B$7&amp;$D$11,IF({1,0},$A$41:$A$72&amp;$B$41:$B$72,$E$41:$E$72),2,0)))</f>
        <v>0.25141068358071367</v>
      </c>
      <c r="G15" s="12">
        <f t="shared" ref="G15:G16" si="1">$C$7/(F15*8760+($C$7*0.02))</f>
        <v>3.5829337206147458</v>
      </c>
      <c r="O15" s="22"/>
      <c r="P15" s="22"/>
    </row>
    <row r="16" spans="1:18 16384:16384">
      <c r="A16" s="10" t="s">
        <v>308</v>
      </c>
      <c r="B16" s="11" cm="1">
        <f t="array" ref="B16">VLOOKUP($B$7&amp;$D$11,IF({1,0},$A$41:$A$79&amp;$B$41:$B$79,$G$41:$G$80),2,0)</f>
        <v>60479.999999999993</v>
      </c>
      <c r="C16" s="12" cm="1">
        <f t="array" ref="C16">VLOOKUP($B$7&amp;$D$11,IF({1,0},$A$41:$A$77&amp;$B$41:$B$77,$H$41:$H$78),2,0)</f>
        <v>395814.45120000001</v>
      </c>
      <c r="D16" s="12">
        <f t="array" ref="D16">F36</f>
        <v>1476907.0758</v>
      </c>
      <c r="E16" s="12">
        <f t="array" ref="E16">G36</f>
        <v>7592.047599999999</v>
      </c>
      <c r="F16" s="12" cm="1">
        <f t="array" ref="F16">(B16+C16+D16+E16)/((B36+C36+(VLOOKUP($B$7&amp;$D$11,IF({1,0},$A$41:$A$72&amp;$B$41:$B$72,$C$41:$C$72),2,0)))+(VLOOKUP($B$7&amp;$D$11,IF({1,0},$A$41:$A$72&amp;$B$41:$B$72,$E$41:$E$72),2,0)))</f>
        <v>0.26743291502073552</v>
      </c>
      <c r="G16" s="12">
        <f t="shared" si="1"/>
        <v>3.3827986911332686</v>
      </c>
      <c r="O16" s="22"/>
      <c r="P16" s="22"/>
    </row>
    <row r="17" spans="1:16">
      <c r="A17" s="26"/>
      <c r="B17" s="27"/>
      <c r="C17" s="28"/>
      <c r="D17" s="28"/>
      <c r="E17" s="28"/>
      <c r="F17" s="28"/>
      <c r="G17" s="28"/>
      <c r="O17" s="22"/>
      <c r="P17" s="22"/>
    </row>
    <row r="18" spans="1:16">
      <c r="A18" s="14" t="s">
        <v>309</v>
      </c>
      <c r="B18" s="11" cm="1">
        <f t="array" ref="B18">VLOOKUP($B$7&amp;$D$11,IF({1,0},$A$41:$A$79&amp;$B$41:$B$79,$G$41:$G$79),2,0)</f>
        <v>60479.999999999993</v>
      </c>
      <c r="C18" s="12" cm="1">
        <f t="array" ref="C18">VLOOKUP($B$7&amp;$D$11,IF({1,0},$A$41:$A$77&amp;$B$41:$B$77,$H$41:$H$79),2,0)</f>
        <v>395814.45120000001</v>
      </c>
      <c r="D18" s="12">
        <f>F29</f>
        <v>1200354.7175999999</v>
      </c>
      <c r="E18" s="12">
        <f>G29</f>
        <v>7592.047599999999</v>
      </c>
      <c r="F18" s="12" cm="1">
        <f t="array" ref="F18">(B18+C18+D18+E18)/((B29+C29+(VLOOKUP($B$7&amp;$D$11,IF({1,0},$A$41:$A$71&amp;$B$41:$B$71,$C$41:$C$71),2,0)))+(VLOOKUP($B$7&amp;$D$11,IF({1,0},$A$41:$A$71&amp;$B$41:$B$71,$E$41:$E$71),2,0)))</f>
        <v>0.22962310327935587</v>
      </c>
      <c r="G18" s="12">
        <f>$C$7/(F18*8760+($C$7*0.02))</f>
        <v>3.896404443619657</v>
      </c>
      <c r="O18" s="1" t="s">
        <v>33</v>
      </c>
      <c r="P18" s="1">
        <v>8</v>
      </c>
    </row>
    <row r="19" spans="1:16">
      <c r="A19" s="14" t="s">
        <v>310</v>
      </c>
      <c r="B19" s="11" cm="1">
        <f t="array" ref="B19">VLOOKUP($B$7&amp;$D$11,IF({1,0},$A$41:$A$79&amp;$B$41:$B$79,$G$41:$G$79),2,0)</f>
        <v>60479.999999999993</v>
      </c>
      <c r="C19" s="12" cm="1">
        <f t="array" ref="C19">VLOOKUP($B$7&amp;$D$11,IF({1,0},$A$41:$A$77&amp;$B$41:$B$77,$H$41:$H$79),2,0)</f>
        <v>395814.45120000001</v>
      </c>
      <c r="D19" s="12">
        <f t="array" ref="D19">F33</f>
        <v>3653598.6844000001</v>
      </c>
      <c r="E19" s="12">
        <f t="array" ref="E19">G33</f>
        <v>7592.047599999999</v>
      </c>
      <c r="F19" s="12" cm="1">
        <f t="array" ref="F19">(B19+C19+D19+E19)/((B33+C33+(VLOOKUP($B$7&amp;$D$11,IF({1,0},$A$41:$A$71&amp;$B$41:$B$71,$C$41:$C$71),2,0)))+(VLOOKUP($B$7&amp;$D$11,IF({1,0},$A$41:$A$71&amp;$B$41:$B$71,$E$41:$E$71),2,0)))</f>
        <v>0.56628254887934071</v>
      </c>
      <c r="G19" s="12">
        <f t="shared" ref="G19:G20" si="2">$C$7/(F19*8760+($C$7*0.02))</f>
        <v>1.6567149656206814</v>
      </c>
    </row>
    <row r="20" spans="1:16">
      <c r="A20" s="14" t="s">
        <v>311</v>
      </c>
      <c r="B20" s="11" cm="1">
        <f t="array" ref="B20">VLOOKUP($B$7&amp;$D$11,IF({1,0},$A$41:$A$79&amp;$B$41:$B$79,$G$41:$G$79),2,0)</f>
        <v>60479.999999999993</v>
      </c>
      <c r="C20" s="12" cm="1">
        <f t="array" ref="C20">VLOOKUP($B$7&amp;$D$11,IF({1,0},$A$41:$A$77&amp;$B$41:$B$77,$H$41:$H$79),2,0)</f>
        <v>395814.45120000001</v>
      </c>
      <c r="D20" s="12">
        <f t="array" ref="D20">F37</f>
        <v>1043115.4592</v>
      </c>
      <c r="E20" s="12">
        <f t="array" ref="E20">G37</f>
        <v>7592.047599999999</v>
      </c>
      <c r="F20" s="12" cm="1">
        <f t="array" ref="F20">(B20+C20+D20+E20)/((B37+C37+(VLOOKUP($B$7&amp;$D$11,IF({1,0},$A$41:$A$71&amp;$B$41:$B$71,$C$41:$C$71),2,0)))+(VLOOKUP($B$7&amp;$D$11,IF({1,0},$A$41:$A$71&amp;$B$41:$B$71,$E$41:$E$71),2,0)))</f>
        <v>0.20806046827439148</v>
      </c>
      <c r="G20" s="12">
        <f t="shared" si="2"/>
        <v>4.2657626283318608</v>
      </c>
    </row>
    <row r="21" spans="1:16">
      <c r="A21" s="28"/>
      <c r="B21" s="27"/>
      <c r="C21" s="28"/>
      <c r="D21" s="28"/>
      <c r="E21" s="28"/>
      <c r="F21" s="28"/>
      <c r="G21" s="28"/>
    </row>
    <row r="22" spans="1:16">
      <c r="A22" s="14" t="s">
        <v>312</v>
      </c>
      <c r="B22" s="11" cm="1">
        <f t="array" ref="B22">VLOOKUP($B$7&amp;$D$11,IF({1,0},$A$41:$A$80&amp;$B$41:$B$80,$G$41:$G$80),2,0)</f>
        <v>60479.999999999993</v>
      </c>
      <c r="C22" s="12" cm="1">
        <f t="array" ref="C22">VLOOKUP($B$7&amp;$D$11,IF({1,0},$A$41:$A$75&amp;$B$41:$B$75,$H$41:$H$79),2,0)</f>
        <v>395814.45120000001</v>
      </c>
      <c r="D22" s="12">
        <f>F30</f>
        <v>978493.57649999997</v>
      </c>
      <c r="E22" s="12">
        <f>G30</f>
        <v>7592.047599999999</v>
      </c>
      <c r="F22" s="12" cm="1">
        <f t="array" ref="F22">(B22+C22+D22+E22)/((B30+C30+(VLOOKUP($B$7&amp;$D$11,IF({1,0},$A$41:$A$76&amp;$B$41:$B$76,$C$41:$C$76),2,0)))+(VLOOKUP($B$7&amp;$D$11,IF({1,0},$A$41:$A$76&amp;$B$41:$B$76,$E$41:$E$76),2,0)))</f>
        <v>0.19919402411716683</v>
      </c>
      <c r="G22" s="12">
        <f>$C$7/(F22*8760+($C$7*0.02))</f>
        <v>4.4387821800957585</v>
      </c>
    </row>
    <row r="23" spans="1:16" ht="15" customHeight="1">
      <c r="A23" s="14" t="s">
        <v>313</v>
      </c>
      <c r="B23" s="11" cm="1">
        <f t="array" ref="B23">VLOOKUP($B$7&amp;$D$11,IF({1,0},$A$41:$A$80&amp;$B$41:$B$80,$G$41:$G$80),2,0)</f>
        <v>60479.999999999993</v>
      </c>
      <c r="C23" s="12" cm="1">
        <f t="array" ref="C23">VLOOKUP($B$7&amp;$D$11,IF({1,0},$A$41:$A$75&amp;$B$41:$B$75,$H$41:$H$79),2,0)</f>
        <v>395814.45120000001</v>
      </c>
      <c r="D23" s="12">
        <f t="array" ref="D23">F34</f>
        <v>1007573.6528</v>
      </c>
      <c r="E23" s="12">
        <f t="array" ref="E23">G34</f>
        <v>7592.047599999999</v>
      </c>
      <c r="F23" s="12" cm="1">
        <f t="array" ref="F23">(B23+C23+D23+E23)/((B34+C34+(VLOOKUP($B$7&amp;$D$11,IF({1,0},$A$41:$A$76&amp;$B$41:$B$76,$C$41:$C$76),2,0)))+(VLOOKUP($B$7&amp;$D$11,IF({1,0},$A$41:$A$76&amp;$B$41:$B$76,$E$41:$E$76),2,0)))</f>
        <v>0.20311093765993349</v>
      </c>
      <c r="G23" s="12">
        <f t="shared" ref="G23:G24" si="3">$C$7/(F23*8760+($C$7*0.02))</f>
        <v>4.3606474747811257</v>
      </c>
    </row>
    <row r="24" spans="1:16" ht="15" customHeight="1">
      <c r="A24" s="14" t="s">
        <v>314</v>
      </c>
      <c r="B24" s="11" cm="1">
        <f t="array" ref="B24">VLOOKUP($B$7&amp;$D$11,IF({1,0},$A$41:$A$80&amp;$B$41:$B$80,$G$41:$G$80),2,0)</f>
        <v>60479.999999999993</v>
      </c>
      <c r="C24" s="12" cm="1">
        <f t="array" ref="C24">VLOOKUP($B$7&amp;$D$11,IF({1,0},$A$41:$A$75&amp;$B$41:$B$75,$H$41:$H$79),2,0)</f>
        <v>395814.45120000001</v>
      </c>
      <c r="D24" s="12">
        <f t="array" ref="D24">F38</f>
        <v>1070249.6455999999</v>
      </c>
      <c r="E24" s="12">
        <f t="array" ref="E24">G38</f>
        <v>7592.047599999999</v>
      </c>
      <c r="F24" s="12" cm="1">
        <f t="array" ref="F24">(B24+C24+D24+E24)/((B38+C38+(VLOOKUP($B$7&amp;$D$11,IF({1,0},$A$41:$A$76&amp;$B$41:$B$76,$C$41:$C$76),2,0)))+(VLOOKUP($B$7&amp;$D$11,IF({1,0},$A$41:$A$76&amp;$B$41:$B$76,$E$41:$E$76),2,0)))</f>
        <v>0.21176013814458147</v>
      </c>
      <c r="G24" s="12">
        <f t="shared" si="3"/>
        <v>4.1974918738581621</v>
      </c>
    </row>
    <row r="25" spans="1:16" ht="12.75" customHeight="1">
      <c r="D25" cm="1">
        <f t="array" ref="D25">VLOOKUP($B$7&amp;$D$11,IF({1,0},$A$41:$A$68&amp;$B$41:$B$68,$C$41:$C$68),2,0)</f>
        <v>4038</v>
      </c>
      <c r="E25" cm="1">
        <f t="array" ref="E25">VLOOKUP($B$7&amp;$D$11,IF({1,0},$A$41:$A$67&amp;$B$41:$B$67,$E$41:$E$68),2,0)</f>
        <v>7200000</v>
      </c>
    </row>
    <row r="26" spans="1:16" hidden="1"/>
    <row r="27" spans="1:16" hidden="1">
      <c r="A27" t="s">
        <v>288</v>
      </c>
      <c r="B27" t="s">
        <v>289</v>
      </c>
      <c r="C27" t="s">
        <v>290</v>
      </c>
      <c r="D27" t="s">
        <v>291</v>
      </c>
      <c r="E27" t="s">
        <v>292</v>
      </c>
      <c r="F27" t="s">
        <v>293</v>
      </c>
      <c r="G27" t="s">
        <v>294</v>
      </c>
    </row>
    <row r="28" spans="1:16" hidden="1">
      <c r="A28" t="s">
        <v>284</v>
      </c>
      <c r="B28">
        <v>52894</v>
      </c>
      <c r="C28">
        <v>2.06</v>
      </c>
      <c r="D28">
        <v>20.093299999999999</v>
      </c>
      <c r="E28">
        <v>1.2136499999999999</v>
      </c>
      <c r="F28">
        <f>B28*(D28+P18)</f>
        <v>1485967.0101999999</v>
      </c>
      <c r="G28">
        <f>(C28*(E28+$P$18))*($C$11*VLOOKUP($B$11,$O$8:$P$14,2,0)/18000)</f>
        <v>7592.047599999999</v>
      </c>
    </row>
    <row r="29" spans="1:16" hidden="1">
      <c r="A29" t="s">
        <v>286</v>
      </c>
      <c r="B29" s="15">
        <v>43668</v>
      </c>
      <c r="C29">
        <v>2.06</v>
      </c>
      <c r="D29">
        <v>19.488199999999999</v>
      </c>
      <c r="E29">
        <v>1.2136499999999999</v>
      </c>
      <c r="F29">
        <f>B29*(D29+P18)</f>
        <v>1200354.7175999999</v>
      </c>
      <c r="G29">
        <f t="array" ref="G29">(C29*(E29+$P$18))*($C$11*VLOOKUP($B$11,$O$8:$P$14,2,0)/18000)</f>
        <v>7592.047599999999</v>
      </c>
    </row>
    <row r="30" spans="1:16" hidden="1">
      <c r="A30" t="s">
        <v>287</v>
      </c>
      <c r="B30">
        <v>37041</v>
      </c>
      <c r="C30">
        <v>2.06</v>
      </c>
      <c r="D30">
        <v>18.416499999999999</v>
      </c>
      <c r="E30">
        <v>1.2136499999999999</v>
      </c>
      <c r="F30">
        <f>B30*(D30+P18)</f>
        <v>978493.57649999997</v>
      </c>
      <c r="G30">
        <f t="array" ref="G30">(C30*(E30+$P$18))*($C$11*VLOOKUP($B$11,$O$8:$P$14,2,0)/18000)</f>
        <v>7592.047599999999</v>
      </c>
    </row>
    <row r="31" spans="1:16" hidden="1"/>
    <row r="32" spans="1:16" hidden="1">
      <c r="A32" t="s">
        <v>284</v>
      </c>
      <c r="B32">
        <v>52770</v>
      </c>
      <c r="C32">
        <v>2.06</v>
      </c>
      <c r="D32">
        <v>17.782699999999998</v>
      </c>
      <c r="E32">
        <v>1.2136499999999999</v>
      </c>
      <c r="F32">
        <f>B32*(D32+P18)</f>
        <v>1360553.0789999999</v>
      </c>
      <c r="G32">
        <f>(C32*(E32+$P$18))*($C$11*VLOOKUP($B$11,$O$8:$P$14,2,0)/18000)</f>
        <v>7592.047599999999</v>
      </c>
    </row>
    <row r="33" spans="1:14" hidden="1">
      <c r="A33" t="s">
        <v>286</v>
      </c>
      <c r="B33">
        <v>67039</v>
      </c>
      <c r="C33">
        <v>2.06</v>
      </c>
      <c r="D33">
        <v>46.499600000000001</v>
      </c>
      <c r="E33">
        <v>1.2136499999999999</v>
      </c>
      <c r="F33">
        <f>B33*(D33+P18)</f>
        <v>3653598.6844000001</v>
      </c>
      <c r="G33">
        <f>(C33*(E33+$P$18))*($C$11*VLOOKUP($B$11,$O$8:$P$14,2,0)/18000)</f>
        <v>7592.047599999999</v>
      </c>
    </row>
    <row r="34" spans="1:14" hidden="1">
      <c r="A34" t="s">
        <v>287</v>
      </c>
      <c r="B34">
        <v>40573</v>
      </c>
      <c r="C34">
        <v>2.06</v>
      </c>
      <c r="D34">
        <v>16.833600000000001</v>
      </c>
      <c r="E34">
        <v>1.2136499999999999</v>
      </c>
      <c r="F34">
        <f>B34*(D34+P18)</f>
        <v>1007573.6528</v>
      </c>
      <c r="G34">
        <f>(C34*(E34+$P$18))*($C$11*VLOOKUP($B$11,$O$8:$P$14,2,0)/18000)</f>
        <v>7592.047599999999</v>
      </c>
    </row>
    <row r="35" spans="1:14" hidden="1"/>
    <row r="36" spans="1:14" ht="12" hidden="1" customHeight="1">
      <c r="A36" t="s">
        <v>284</v>
      </c>
      <c r="B36">
        <v>53083</v>
      </c>
      <c r="C36">
        <v>2.06</v>
      </c>
      <c r="D36">
        <v>19.822600000000001</v>
      </c>
      <c r="E36">
        <v>1.2136499999999999</v>
      </c>
      <c r="F36">
        <f>B36*(D36+P18)</f>
        <v>1476907.0758</v>
      </c>
      <c r="G36">
        <f>(C36*(E36+$P$18))*($C$11*VLOOKUP($B$11,$O$8:$P$14,2,0)/18000)</f>
        <v>7592.047599999999</v>
      </c>
    </row>
    <row r="37" spans="1:14" hidden="1">
      <c r="A37" t="s">
        <v>286</v>
      </c>
      <c r="B37">
        <v>39056</v>
      </c>
      <c r="C37">
        <v>2.06</v>
      </c>
      <c r="D37">
        <v>18.708200000000001</v>
      </c>
      <c r="E37">
        <v>1.2136499999999999</v>
      </c>
      <c r="F37">
        <f>B37*(D37+P18)</f>
        <v>1043115.4592</v>
      </c>
      <c r="G37">
        <f>(C37*(E37+$P$18))*($C$11*VLOOKUP($B$11,$O$8:$P$14,2,0)/18000)</f>
        <v>7592.047599999999</v>
      </c>
    </row>
    <row r="38" spans="1:14" hidden="1">
      <c r="A38" t="s">
        <v>287</v>
      </c>
      <c r="B38">
        <v>40648</v>
      </c>
      <c r="C38">
        <v>2.06</v>
      </c>
      <c r="D38">
        <v>18.329699999999999</v>
      </c>
      <c r="E38">
        <v>1.2136499999999999</v>
      </c>
      <c r="F38">
        <f>B38*(D38+P18)</f>
        <v>1070249.6455999999</v>
      </c>
      <c r="G38">
        <f>(C38*(E38+$P$18))*($C$11*VLOOKUP($B$11,$O$8:$P$14,2,0)/18000)</f>
        <v>7592.047599999999</v>
      </c>
    </row>
    <row r="39" spans="1:14" hidden="1"/>
    <row r="40" spans="1:14" hidden="1">
      <c r="A40" s="1"/>
      <c r="B40" s="1"/>
      <c r="C40" s="16" t="s">
        <v>54</v>
      </c>
      <c r="D40" s="16" t="s">
        <v>55</v>
      </c>
      <c r="E40" s="16" t="s">
        <v>56</v>
      </c>
      <c r="F40" s="16" t="s">
        <v>57</v>
      </c>
      <c r="G40" s="17" t="s">
        <v>58</v>
      </c>
      <c r="H40" s="17" t="s">
        <v>59</v>
      </c>
      <c r="I40" s="16"/>
      <c r="J40" s="24"/>
      <c r="K40" s="24"/>
      <c r="L40" s="19"/>
      <c r="M40" s="1">
        <f>VLOOKUP($B$7,M42:N100,2,0)</f>
        <v>8500</v>
      </c>
    </row>
    <row r="41" spans="1:14" ht="30" hidden="1">
      <c r="A41" s="18" t="s">
        <v>315</v>
      </c>
      <c r="B41" s="1" t="s">
        <v>316</v>
      </c>
      <c r="C41" s="16">
        <v>13516</v>
      </c>
      <c r="D41" s="16">
        <v>8.9754699999999996</v>
      </c>
      <c r="E41" s="16">
        <f t="array" ref="E41">$C$11*VLOOKUP($B$11,$O$8:$P$14,2,0)</f>
        <v>7200000</v>
      </c>
      <c r="F41" s="16">
        <v>6.9522999999999998E-3</v>
      </c>
      <c r="G41" s="19">
        <f t="shared" ref="G41" si="4">E41*F41</f>
        <v>50056.56</v>
      </c>
      <c r="H41" s="19">
        <f>C41*D41*E11</f>
        <v>970499.62015999993</v>
      </c>
      <c r="I41" s="16"/>
      <c r="J41" s="24"/>
      <c r="K41" s="24"/>
      <c r="L41" s="19"/>
      <c r="M41" s="1"/>
    </row>
    <row r="42" spans="1:14" hidden="1">
      <c r="A42" s="1" t="s">
        <v>317</v>
      </c>
      <c r="B42" s="1" t="s">
        <v>10</v>
      </c>
      <c r="C42" s="16">
        <v>11008</v>
      </c>
      <c r="D42" s="16">
        <v>4.6727999999999996</v>
      </c>
      <c r="E42" s="16">
        <f t="array" ref="E42">$C$11*VLOOKUP($B$11,$O$8:$P$14,2,0)</f>
        <v>7200000</v>
      </c>
      <c r="F42" s="16">
        <v>5.3629999999999997E-3</v>
      </c>
      <c r="G42" s="19">
        <f t="shared" ref="G42:G54" si="5">E42*F42</f>
        <v>38613.599999999999</v>
      </c>
      <c r="H42" s="19">
        <f>C42*D42*E11</f>
        <v>411505.45919999998</v>
      </c>
      <c r="I42" s="25"/>
      <c r="J42" s="16"/>
      <c r="K42" s="16"/>
      <c r="L42" s="19"/>
      <c r="M42" s="1" t="s">
        <v>317</v>
      </c>
      <c r="N42" s="1">
        <v>8500</v>
      </c>
    </row>
    <row r="43" spans="1:14" hidden="1">
      <c r="A43" s="1" t="s">
        <v>317</v>
      </c>
      <c r="B43" s="1" t="s">
        <v>80</v>
      </c>
      <c r="C43" s="16">
        <v>10880</v>
      </c>
      <c r="D43" s="16">
        <v>9.9934799999999999</v>
      </c>
      <c r="E43" s="16">
        <f t="array" ref="E43">$C$11*VLOOKUP($B$11,$O$8:$P$14,2,0)</f>
        <v>7200000</v>
      </c>
      <c r="F43" s="16">
        <v>5.8998999999999996E-3</v>
      </c>
      <c r="G43" s="19">
        <f t="shared" si="5"/>
        <v>42479.28</v>
      </c>
      <c r="H43" s="19">
        <f>C43*D43*E11</f>
        <v>869832.49919999996</v>
      </c>
      <c r="I43" s="25"/>
      <c r="J43" s="16"/>
      <c r="K43" s="16"/>
      <c r="L43" s="19"/>
      <c r="M43" s="1" t="s">
        <v>318</v>
      </c>
      <c r="N43" s="1">
        <v>8500</v>
      </c>
    </row>
    <row r="44" spans="1:14" hidden="1">
      <c r="A44" s="1" t="s">
        <v>317</v>
      </c>
      <c r="B44" s="1" t="s">
        <v>81</v>
      </c>
      <c r="C44" s="16">
        <v>11213</v>
      </c>
      <c r="D44" s="16">
        <v>6.5173300000000003</v>
      </c>
      <c r="E44" s="16">
        <f t="array" ref="E44">$C$11*VLOOKUP($B$11,$O$8:$P$14,2,0)</f>
        <v>7200000</v>
      </c>
      <c r="F44" s="16">
        <v>0.28077999999999997</v>
      </c>
      <c r="G44" s="19">
        <f t="shared" si="5"/>
        <v>2021615.9999999998</v>
      </c>
      <c r="H44" s="19">
        <f>C44*D44*E11</f>
        <v>584630.57032000006</v>
      </c>
      <c r="I44" s="25"/>
      <c r="J44" s="16"/>
      <c r="K44" s="16"/>
      <c r="L44" s="19"/>
      <c r="M44" s="1" t="s">
        <v>319</v>
      </c>
      <c r="N44" s="1">
        <v>8500</v>
      </c>
    </row>
    <row r="45" spans="1:14" hidden="1">
      <c r="A45" s="1" t="s">
        <v>317</v>
      </c>
      <c r="B45" s="1" t="s">
        <v>85</v>
      </c>
      <c r="C45" s="16">
        <v>11008</v>
      </c>
      <c r="D45" s="16">
        <v>4.6727999999999996</v>
      </c>
      <c r="E45" s="16">
        <f t="array" ref="E45">$C$11*VLOOKUP($B$11,$O$8:$P$14,2,0)</f>
        <v>7200000</v>
      </c>
      <c r="F45" s="16">
        <v>5.3629999999999997E-3</v>
      </c>
      <c r="G45" s="19">
        <f t="shared" si="5"/>
        <v>38613.599999999999</v>
      </c>
      <c r="H45" s="19">
        <f>C45*D45*E11</f>
        <v>411505.45919999998</v>
      </c>
      <c r="I45" s="25"/>
      <c r="J45" s="16"/>
      <c r="K45" s="16"/>
      <c r="L45" s="19"/>
      <c r="M45" s="1" t="s">
        <v>320</v>
      </c>
      <c r="N45" s="1">
        <v>8500</v>
      </c>
    </row>
    <row r="46" spans="1:14" hidden="1">
      <c r="A46" s="1" t="s">
        <v>317</v>
      </c>
      <c r="B46" s="1" t="s">
        <v>87</v>
      </c>
      <c r="C46" s="16">
        <v>12549</v>
      </c>
      <c r="D46" s="16">
        <v>5.1056699999999999</v>
      </c>
      <c r="E46" s="16">
        <f t="array" ref="E46">$C$11*VLOOKUP($B$11,$O$8:$P$14,2,0)</f>
        <v>7200000</v>
      </c>
      <c r="F46" s="16">
        <v>1.4977000000000001E-2</v>
      </c>
      <c r="G46" s="19">
        <f t="shared" si="5"/>
        <v>107834.40000000001</v>
      </c>
      <c r="H46" s="19">
        <f>C46*D46*E11</f>
        <v>512568.42264</v>
      </c>
      <c r="I46" s="25"/>
      <c r="J46" s="16"/>
      <c r="K46" s="16"/>
      <c r="L46" s="19"/>
      <c r="M46" s="1" t="s">
        <v>321</v>
      </c>
      <c r="N46" s="1">
        <v>8500</v>
      </c>
    </row>
    <row r="47" spans="1:14" hidden="1">
      <c r="A47" s="1" t="s">
        <v>317</v>
      </c>
      <c r="B47" s="1" t="s">
        <v>89</v>
      </c>
      <c r="C47" s="16">
        <v>11284</v>
      </c>
      <c r="D47" s="16">
        <v>5.0956000000000001</v>
      </c>
      <c r="E47" s="16">
        <f t="array" ref="E47">$C$11*VLOOKUP($B$11,$O$8:$P$14,2,0)</f>
        <v>7200000</v>
      </c>
      <c r="F47" s="16">
        <v>7.1393999999999997E-3</v>
      </c>
      <c r="G47" s="19">
        <f t="shared" si="5"/>
        <v>51403.68</v>
      </c>
      <c r="H47" s="19">
        <f>C47*D47*E11</f>
        <v>459990.00320000004</v>
      </c>
      <c r="I47" s="25"/>
      <c r="J47" s="16"/>
      <c r="K47" s="16"/>
      <c r="L47" s="19"/>
      <c r="M47" s="1" t="s">
        <v>322</v>
      </c>
      <c r="N47" s="1">
        <v>8500</v>
      </c>
    </row>
    <row r="48" spans="1:14" hidden="1">
      <c r="A48" s="1" t="s">
        <v>317</v>
      </c>
      <c r="B48" s="1" t="s">
        <v>323</v>
      </c>
      <c r="C48" s="16">
        <v>10806</v>
      </c>
      <c r="D48" s="16">
        <v>4.5404600000000004</v>
      </c>
      <c r="E48" s="16">
        <f t="array" ref="E48">$C$11*VLOOKUP($B$11,$O$8:$P$14,2,0)</f>
        <v>7200000</v>
      </c>
      <c r="F48" s="16">
        <v>7.1622999999999999E-3</v>
      </c>
      <c r="G48" s="19">
        <f t="shared" si="5"/>
        <v>51568.56</v>
      </c>
      <c r="H48" s="19">
        <f>C48*D48*E11</f>
        <v>392513.68608000001</v>
      </c>
      <c r="I48" s="25"/>
      <c r="J48" s="16"/>
      <c r="K48" s="16"/>
      <c r="L48" s="19"/>
      <c r="M48" s="1" t="s">
        <v>324</v>
      </c>
      <c r="N48" s="1">
        <v>8500</v>
      </c>
    </row>
    <row r="49" spans="1:21" hidden="1">
      <c r="A49" s="1" t="s">
        <v>318</v>
      </c>
      <c r="B49" s="1" t="s">
        <v>10</v>
      </c>
      <c r="C49" s="16">
        <v>14241</v>
      </c>
      <c r="D49" s="16">
        <v>9.8289399999999993</v>
      </c>
      <c r="E49" s="16">
        <f t="array" ref="E49">$C$11*VLOOKUP($B$11,$O$8:$P$14,2,0)</f>
        <v>7200000</v>
      </c>
      <c r="F49" s="16">
        <v>7.2687999999999997E-3</v>
      </c>
      <c r="G49" s="19">
        <f t="shared" si="5"/>
        <v>52335.360000000001</v>
      </c>
      <c r="H49" s="19">
        <f>C49*D49*E11</f>
        <v>1119791.4763199999</v>
      </c>
      <c r="I49" s="25"/>
      <c r="J49" s="16"/>
      <c r="K49" s="16"/>
      <c r="L49" s="19"/>
      <c r="M49" s="1" t="s">
        <v>325</v>
      </c>
      <c r="N49" s="1">
        <v>8500</v>
      </c>
      <c r="O49" s="1"/>
      <c r="P49" s="1"/>
      <c r="Q49" s="1"/>
      <c r="R49" s="1"/>
      <c r="S49" s="1"/>
      <c r="T49" s="1"/>
      <c r="U49" s="1"/>
    </row>
    <row r="50" spans="1:21" hidden="1">
      <c r="A50" s="1" t="s">
        <v>319</v>
      </c>
      <c r="B50" s="1" t="s">
        <v>10</v>
      </c>
      <c r="C50" s="16">
        <v>16249</v>
      </c>
      <c r="D50" s="16">
        <v>7.89621</v>
      </c>
      <c r="E50" s="16">
        <f t="array" ref="E50">$C$11*VLOOKUP($B$11,$O$8:$P$14,2,0)</f>
        <v>7200000</v>
      </c>
      <c r="F50" s="16">
        <v>5.3197000000000001E-3</v>
      </c>
      <c r="G50" s="19">
        <f t="shared" si="5"/>
        <v>38301.840000000004</v>
      </c>
      <c r="H50" s="19">
        <f>C50*D50*E11</f>
        <v>1026444.13032</v>
      </c>
      <c r="I50" s="25"/>
      <c r="J50" s="16"/>
      <c r="K50" s="16"/>
      <c r="L50" s="19"/>
      <c r="M50" s="1" t="s">
        <v>326</v>
      </c>
      <c r="N50" s="1">
        <v>8500</v>
      </c>
      <c r="O50" s="1"/>
      <c r="P50" s="1"/>
      <c r="Q50" s="1"/>
      <c r="R50" s="1"/>
      <c r="S50" s="1"/>
      <c r="T50" s="1"/>
      <c r="U50" s="1"/>
    </row>
    <row r="51" spans="1:21" ht="30" hidden="1">
      <c r="A51" s="1" t="s">
        <v>320</v>
      </c>
      <c r="B51" s="1" t="s">
        <v>10</v>
      </c>
      <c r="C51" s="16">
        <v>13524</v>
      </c>
      <c r="D51" s="16">
        <v>8.9632299999999994</v>
      </c>
      <c r="E51" s="16">
        <f t="array" ref="E51">$C$11*VLOOKUP($B$11,$O$8:$P$14,2,0)</f>
        <v>7200000</v>
      </c>
      <c r="F51" s="16">
        <v>1.1724999999999999E-2</v>
      </c>
      <c r="G51" s="19">
        <f t="shared" si="5"/>
        <v>84420</v>
      </c>
      <c r="H51" s="19">
        <f>C51*D51*E11</f>
        <v>969749.78015999997</v>
      </c>
      <c r="I51" s="25"/>
      <c r="J51" s="16"/>
      <c r="K51" s="16"/>
      <c r="L51" s="19"/>
      <c r="M51" s="18" t="s">
        <v>315</v>
      </c>
      <c r="N51" s="1">
        <v>8500</v>
      </c>
      <c r="O51" s="1"/>
      <c r="P51" s="1"/>
      <c r="Q51" s="1"/>
      <c r="R51" s="1"/>
      <c r="S51" s="1"/>
      <c r="T51" s="1"/>
      <c r="U51" s="1"/>
    </row>
    <row r="52" spans="1:21" hidden="1">
      <c r="A52" s="1" t="s">
        <v>322</v>
      </c>
      <c r="B52" s="1" t="s">
        <v>10</v>
      </c>
      <c r="C52" s="16">
        <v>12833</v>
      </c>
      <c r="D52" s="16">
        <v>8.11313</v>
      </c>
      <c r="E52" s="16">
        <f t="array" ref="E52">$C$11*VLOOKUP($B$11,$O$8:$P$14,2,0)</f>
        <v>7200000</v>
      </c>
      <c r="F52" s="16">
        <v>7.1693E-3</v>
      </c>
      <c r="G52" s="19">
        <f t="shared" si="5"/>
        <v>51618.96</v>
      </c>
      <c r="H52" s="19">
        <f>C52*D52*E11</f>
        <v>832926.37832000002</v>
      </c>
      <c r="I52" s="25"/>
      <c r="J52" s="16"/>
      <c r="K52" s="16"/>
      <c r="L52" s="19"/>
      <c r="M52" s="1" t="s">
        <v>327</v>
      </c>
      <c r="N52" s="1">
        <v>8500</v>
      </c>
      <c r="O52" s="1"/>
      <c r="P52" s="1"/>
      <c r="Q52" s="1"/>
      <c r="R52" s="1"/>
      <c r="S52" s="1"/>
      <c r="T52" s="1"/>
      <c r="U52" s="1"/>
    </row>
    <row r="53" spans="1:21" ht="20.25" hidden="1" customHeight="1">
      <c r="A53" s="1" t="s">
        <v>324</v>
      </c>
      <c r="B53" s="1" t="s">
        <v>10</v>
      </c>
      <c r="C53" s="16">
        <v>13338</v>
      </c>
      <c r="D53" s="16">
        <v>29.1755</v>
      </c>
      <c r="E53" s="16">
        <f t="array" ref="E53">$C$11*VLOOKUP($B$11,$O$8:$P$14,2,0)</f>
        <v>7200000</v>
      </c>
      <c r="F53" s="16">
        <v>7.2766999999999997E-3</v>
      </c>
      <c r="G53" s="19">
        <f t="shared" si="5"/>
        <v>52392.24</v>
      </c>
      <c r="H53" s="19">
        <f>C53*D53*E11</f>
        <v>3113142.5520000001</v>
      </c>
      <c r="I53" s="25"/>
      <c r="J53" s="16"/>
      <c r="K53" s="16"/>
      <c r="L53" s="19"/>
      <c r="M53" s="1" t="s">
        <v>328</v>
      </c>
      <c r="N53" s="1">
        <v>8500</v>
      </c>
      <c r="O53" s="1"/>
      <c r="P53" s="1"/>
      <c r="Q53" s="1"/>
      <c r="R53" s="1"/>
      <c r="S53" s="1"/>
      <c r="T53" s="1"/>
      <c r="U53" s="1"/>
    </row>
    <row r="54" spans="1:21" hidden="1">
      <c r="A54" s="1" t="s">
        <v>321</v>
      </c>
      <c r="B54" s="1" t="s">
        <v>10</v>
      </c>
      <c r="C54" s="16">
        <v>10464</v>
      </c>
      <c r="D54" s="16">
        <v>4.2077600000000004</v>
      </c>
      <c r="E54" s="16">
        <f t="array" ref="E54">$C$11*VLOOKUP($B$11,$O$8:$P$14,2,0)</f>
        <v>7200000</v>
      </c>
      <c r="F54" s="16">
        <v>5.9649999999999998E-3</v>
      </c>
      <c r="G54" s="19">
        <f t="shared" si="5"/>
        <v>42948</v>
      </c>
      <c r="H54" s="19">
        <f>(D54*C54)*E11</f>
        <v>352240.00512000005</v>
      </c>
      <c r="I54" s="16"/>
      <c r="J54" s="16"/>
      <c r="K54" s="16"/>
      <c r="L54" s="19"/>
      <c r="M54" s="1" t="s">
        <v>329</v>
      </c>
      <c r="N54" s="1">
        <v>8500</v>
      </c>
      <c r="O54" s="1"/>
      <c r="P54" s="1"/>
      <c r="Q54" s="1"/>
      <c r="R54" s="1"/>
      <c r="S54" s="1"/>
      <c r="T54" s="1"/>
      <c r="U54" s="1"/>
    </row>
    <row r="55" spans="1:21" hidden="1">
      <c r="A55" s="1" t="s">
        <v>326</v>
      </c>
      <c r="B55" s="1" t="s">
        <v>10</v>
      </c>
      <c r="C55" s="16">
        <v>13299</v>
      </c>
      <c r="D55" s="16">
        <v>10.9655</v>
      </c>
      <c r="E55" s="16">
        <f t="array" ref="E55">$C$11*VLOOKUP($B$11,$O$8:$P$14,2,0)</f>
        <v>7200000</v>
      </c>
      <c r="F55" s="16">
        <v>6.8059000000000001E-3</v>
      </c>
      <c r="G55" s="19">
        <f t="shared" ref="G55" si="6">E55*F55</f>
        <v>49002.48</v>
      </c>
      <c r="H55" s="19">
        <f>C55*D55*E11</f>
        <v>1166641.476</v>
      </c>
      <c r="I55" s="16"/>
      <c r="J55" s="16"/>
      <c r="K55" s="16"/>
      <c r="L55" s="19"/>
      <c r="M55" s="1" t="s">
        <v>330</v>
      </c>
      <c r="N55" s="1">
        <v>8500</v>
      </c>
      <c r="O55" s="1"/>
      <c r="P55" s="1"/>
      <c r="Q55" s="1"/>
      <c r="R55" s="1"/>
      <c r="S55" s="1"/>
      <c r="T55" s="1"/>
      <c r="U55" s="1"/>
    </row>
    <row r="56" spans="1:21" hidden="1">
      <c r="A56" s="1" t="s">
        <v>325</v>
      </c>
      <c r="B56" s="1" t="s">
        <v>10</v>
      </c>
      <c r="C56" s="16">
        <v>10296</v>
      </c>
      <c r="D56" s="16">
        <v>4.1369600000000002</v>
      </c>
      <c r="E56" s="16">
        <f t="array" ref="E56">$C$11*VLOOKUP($B$11,$O$8:$P$14,2,0)</f>
        <v>7200000</v>
      </c>
      <c r="F56" s="16">
        <v>9.1689000000000007E-3</v>
      </c>
      <c r="G56" s="19">
        <f t="shared" ref="G56:G64" si="7">E56*F56</f>
        <v>66016.08</v>
      </c>
      <c r="H56" s="19">
        <f>C56*D56*E11</f>
        <v>340753.12128000002</v>
      </c>
      <c r="I56" s="16"/>
      <c r="J56" s="16"/>
      <c r="K56" s="16"/>
      <c r="L56" s="19"/>
      <c r="M56" s="1" t="s">
        <v>331</v>
      </c>
      <c r="N56" s="1">
        <v>8500</v>
      </c>
      <c r="O56" s="1"/>
      <c r="P56" s="1"/>
      <c r="Q56" s="1"/>
      <c r="R56" s="1"/>
      <c r="S56" s="1"/>
      <c r="T56" s="1"/>
      <c r="U56" s="1"/>
    </row>
    <row r="57" spans="1:21" hidden="1">
      <c r="A57" s="1" t="s">
        <v>327</v>
      </c>
      <c r="B57" s="1" t="s">
        <v>10</v>
      </c>
      <c r="C57" s="16">
        <v>11046</v>
      </c>
      <c r="D57" s="16">
        <v>4.6698300000000001</v>
      </c>
      <c r="E57" s="16">
        <f t="array" ref="E57">$C$11*VLOOKUP($B$11,$O$8:$P$14,2,0)</f>
        <v>7200000</v>
      </c>
      <c r="F57" s="16">
        <v>6.4898999999999998E-3</v>
      </c>
      <c r="G57" s="19">
        <f t="shared" si="7"/>
        <v>46727.28</v>
      </c>
      <c r="H57" s="19">
        <f>C57*D57*E11</f>
        <v>412663.53743999999</v>
      </c>
      <c r="I57" s="16"/>
      <c r="J57" s="16"/>
      <c r="K57" s="16"/>
      <c r="L57" s="19"/>
      <c r="M57" s="1" t="s">
        <v>332</v>
      </c>
      <c r="N57" s="1">
        <v>8500</v>
      </c>
      <c r="O57" s="1"/>
      <c r="P57" s="1"/>
      <c r="Q57" s="1"/>
      <c r="R57" s="1"/>
      <c r="S57" s="1"/>
      <c r="T57" s="1"/>
      <c r="U57" s="1"/>
    </row>
    <row r="58" spans="1:21" hidden="1">
      <c r="A58" s="1" t="s">
        <v>328</v>
      </c>
      <c r="B58" s="1" t="s">
        <v>10</v>
      </c>
      <c r="C58" s="16">
        <v>12549</v>
      </c>
      <c r="D58" s="16">
        <v>5.1056699999999999</v>
      </c>
      <c r="E58" s="16">
        <f t="array" ref="E58">$C$11*VLOOKUP($B$11,$O$8:$P$14,2,0)</f>
        <v>7200000</v>
      </c>
      <c r="F58" s="16">
        <v>1.4977000000000001E-2</v>
      </c>
      <c r="G58" s="19">
        <f t="shared" si="7"/>
        <v>107834.40000000001</v>
      </c>
      <c r="H58" s="19">
        <f>C58*D58*E11</f>
        <v>512568.42264</v>
      </c>
      <c r="I58" s="16"/>
      <c r="J58" s="16"/>
      <c r="K58" s="16"/>
      <c r="L58" s="19"/>
      <c r="M58" s="1" t="s">
        <v>333</v>
      </c>
      <c r="N58" s="1">
        <v>8500</v>
      </c>
      <c r="O58" s="1"/>
      <c r="P58" s="1"/>
      <c r="Q58" s="1"/>
      <c r="R58" s="1"/>
      <c r="S58" s="1"/>
      <c r="T58" s="1"/>
      <c r="U58" s="1"/>
    </row>
    <row r="59" spans="1:21" hidden="1">
      <c r="A59" s="1" t="s">
        <v>329</v>
      </c>
      <c r="B59" s="1" t="s">
        <v>10</v>
      </c>
      <c r="C59" s="16">
        <v>14288</v>
      </c>
      <c r="D59" s="16">
        <v>9.1845400000000001</v>
      </c>
      <c r="E59" s="16">
        <f t="array" ref="E59">$C$11*VLOOKUP($B$11,$O$8:$P$14,2,0)</f>
        <v>7200000</v>
      </c>
      <c r="F59" s="16">
        <v>6.4365000000000004E-3</v>
      </c>
      <c r="G59" s="19">
        <f t="shared" si="7"/>
        <v>46342.8</v>
      </c>
      <c r="H59" s="19">
        <f>C59*D59*E11</f>
        <v>1049829.66016</v>
      </c>
      <c r="I59" s="16"/>
      <c r="J59" s="16"/>
      <c r="K59" s="16"/>
      <c r="L59" s="19"/>
      <c r="M59" s="1" t="s">
        <v>334</v>
      </c>
      <c r="N59" s="1">
        <v>8500</v>
      </c>
      <c r="O59" s="1"/>
      <c r="P59" s="1"/>
      <c r="Q59" s="1"/>
      <c r="R59" s="1"/>
      <c r="S59" s="1"/>
      <c r="T59" s="1"/>
      <c r="U59" s="1"/>
    </row>
    <row r="60" spans="1:21" hidden="1">
      <c r="A60" s="1" t="s">
        <v>330</v>
      </c>
      <c r="B60" s="1" t="s">
        <v>10</v>
      </c>
      <c r="C60" s="16">
        <v>17957</v>
      </c>
      <c r="D60" s="16">
        <v>16.061499999999999</v>
      </c>
      <c r="E60" s="16">
        <f t="array" ref="E60">$C$11*VLOOKUP($B$11,$O$8:$P$14,2,0)</f>
        <v>7200000</v>
      </c>
      <c r="F60" s="16">
        <v>7.4745999999999996E-3</v>
      </c>
      <c r="G60" s="19">
        <f t="shared" si="7"/>
        <v>53817.119999999995</v>
      </c>
      <c r="H60" s="19">
        <f>C60*D60*E11</f>
        <v>2307330.844</v>
      </c>
      <c r="I60" s="16"/>
      <c r="J60" s="16"/>
      <c r="K60" s="16"/>
      <c r="L60" s="19"/>
      <c r="M60" s="1" t="s">
        <v>302</v>
      </c>
      <c r="N60" s="1">
        <v>8500</v>
      </c>
      <c r="O60" s="1"/>
      <c r="P60" s="1"/>
      <c r="Q60" s="1"/>
      <c r="R60" s="1"/>
      <c r="S60" s="1"/>
      <c r="T60" s="1"/>
      <c r="U60" s="1"/>
    </row>
    <row r="61" spans="1:21" hidden="1">
      <c r="A61" s="1" t="s">
        <v>335</v>
      </c>
      <c r="B61" s="1" t="s">
        <v>10</v>
      </c>
      <c r="C61" s="16">
        <v>10312</v>
      </c>
      <c r="D61" s="16">
        <v>4.1296299999999997</v>
      </c>
      <c r="E61" s="16">
        <f t="array" ref="E61">$C$11*VLOOKUP($B$11,$O$8:$P$14,2,0)</f>
        <v>7200000</v>
      </c>
      <c r="F61" s="16">
        <v>9.7721000000000006E-3</v>
      </c>
      <c r="G61" s="19">
        <f t="shared" si="7"/>
        <v>70359.12000000001</v>
      </c>
      <c r="H61" s="19">
        <f>C61*D61*E11</f>
        <v>340677.95647999999</v>
      </c>
      <c r="I61" s="16"/>
      <c r="J61" s="16"/>
      <c r="K61" s="16"/>
      <c r="L61" s="19"/>
      <c r="M61" s="1"/>
      <c r="N61" s="1"/>
      <c r="O61" s="1"/>
      <c r="P61" s="1"/>
      <c r="Q61" s="1"/>
      <c r="R61" s="1"/>
      <c r="S61" s="1"/>
      <c r="T61" s="1"/>
      <c r="U61" s="1"/>
    </row>
    <row r="62" spans="1:21" hidden="1">
      <c r="A62" s="1" t="s">
        <v>332</v>
      </c>
      <c r="B62" s="1" t="s">
        <v>10</v>
      </c>
      <c r="C62" s="16">
        <v>10302</v>
      </c>
      <c r="D62" s="16">
        <v>4.35175</v>
      </c>
      <c r="E62" s="16">
        <f t="array" ref="E62">$C$11*VLOOKUP($B$11,$O$8:$P$14,2,0)</f>
        <v>7200000</v>
      </c>
      <c r="F62" s="16">
        <v>6.3839999999999999E-3</v>
      </c>
      <c r="G62" s="19">
        <f t="shared" si="7"/>
        <v>45964.800000000003</v>
      </c>
      <c r="H62" s="19">
        <f>C62*D62*E11</f>
        <v>358653.82799999998</v>
      </c>
      <c r="I62" s="16"/>
      <c r="J62" s="16"/>
      <c r="K62" s="16"/>
      <c r="L62" s="19"/>
      <c r="M62" s="1"/>
      <c r="N62" s="1"/>
      <c r="O62" s="1"/>
      <c r="P62" s="1"/>
      <c r="Q62" s="1"/>
      <c r="R62" s="1"/>
      <c r="S62" s="1"/>
      <c r="T62" s="1"/>
      <c r="U62" s="1"/>
    </row>
    <row r="63" spans="1:21" hidden="1">
      <c r="A63" s="1" t="s">
        <v>333</v>
      </c>
      <c r="B63" s="1" t="s">
        <v>194</v>
      </c>
      <c r="C63" s="16">
        <v>12139</v>
      </c>
      <c r="D63" s="16">
        <v>4.9540199999999999</v>
      </c>
      <c r="E63" s="16">
        <f t="array" ref="E63">$C$11*VLOOKUP($B$11,$O$8:$P$14,2,0)</f>
        <v>7200000</v>
      </c>
      <c r="F63" s="16">
        <v>6.5117999999999999E-3</v>
      </c>
      <c r="G63" s="19">
        <f t="shared" si="7"/>
        <v>46884.959999999999</v>
      </c>
      <c r="H63" s="19">
        <f>C63*D63*E11</f>
        <v>481094.79024</v>
      </c>
      <c r="I63" s="16"/>
      <c r="J63" s="16"/>
      <c r="K63" s="16"/>
      <c r="L63" s="19"/>
      <c r="M63" s="1"/>
      <c r="N63" s="1"/>
      <c r="O63" s="1"/>
      <c r="P63" s="1"/>
      <c r="Q63" s="1"/>
      <c r="R63" s="1"/>
      <c r="S63" s="1"/>
      <c r="T63" s="1"/>
      <c r="U63" s="1"/>
    </row>
    <row r="64" spans="1:21" hidden="1">
      <c r="A64" s="1" t="s">
        <v>331</v>
      </c>
      <c r="B64" s="1" t="s">
        <v>10</v>
      </c>
      <c r="C64" s="16">
        <v>19253</v>
      </c>
      <c r="D64" s="16">
        <v>28.725899999999999</v>
      </c>
      <c r="E64" s="16">
        <f t="array" ref="E64">$C$11*VLOOKUP($B$11,$O$8:$P$14,2,0)</f>
        <v>7200000</v>
      </c>
      <c r="F64" s="16">
        <v>1.1651999999999999E-2</v>
      </c>
      <c r="G64" s="19">
        <f t="shared" si="7"/>
        <v>83894.399999999994</v>
      </c>
      <c r="H64" s="19">
        <f>C64*D64*E11</f>
        <v>4424478.0215999996</v>
      </c>
      <c r="I64" s="16"/>
      <c r="J64" s="16"/>
      <c r="K64" s="16"/>
      <c r="L64" s="19"/>
      <c r="M64" s="1"/>
      <c r="N64" s="1"/>
      <c r="O64" s="1"/>
      <c r="P64" s="1"/>
      <c r="Q64" s="1"/>
      <c r="R64" s="1"/>
      <c r="S64" s="1"/>
      <c r="T64" s="1"/>
      <c r="U64" s="1"/>
    </row>
    <row r="65" spans="1:23" hidden="1">
      <c r="A65" s="1" t="s">
        <v>334</v>
      </c>
      <c r="B65" s="1" t="s">
        <v>125</v>
      </c>
      <c r="C65" s="16">
        <v>5311</v>
      </c>
      <c r="D65" s="16">
        <v>13.943899999999999</v>
      </c>
      <c r="E65" s="16">
        <f t="array" ref="E65">$C$11*VLOOKUP($B$11,$O$8:$P$14,2,0)</f>
        <v>7200000</v>
      </c>
      <c r="F65" s="16">
        <v>9.2496999999999996E-3</v>
      </c>
      <c r="G65" s="19">
        <f t="shared" ref="G65:G66" si="8">E65*F65</f>
        <v>66597.84</v>
      </c>
      <c r="H65" s="20">
        <f>C65*D65*E11</f>
        <v>592448.42319999996</v>
      </c>
      <c r="I65" s="16"/>
      <c r="J65" s="16"/>
      <c r="K65" s="16"/>
      <c r="L65" s="19"/>
      <c r="M65" s="1"/>
      <c r="N65" s="1"/>
      <c r="O65" s="1"/>
      <c r="P65" s="1"/>
      <c r="Q65" s="1"/>
      <c r="R65" s="1"/>
      <c r="S65" s="1"/>
      <c r="T65" s="1"/>
      <c r="U65" s="1"/>
    </row>
    <row r="66" spans="1:23" hidden="1">
      <c r="A66" s="1" t="s">
        <v>334</v>
      </c>
      <c r="B66" s="1" t="s">
        <v>10</v>
      </c>
      <c r="C66" s="16">
        <v>5772</v>
      </c>
      <c r="D66" s="16">
        <v>14.0655</v>
      </c>
      <c r="E66" s="16">
        <f t="array" ref="E66">$C$11*VLOOKUP($B$11,$O$8:$P$14,2,0)</f>
        <v>7200000</v>
      </c>
      <c r="F66" s="16">
        <v>9.2496999999999996E-3</v>
      </c>
      <c r="G66" s="19">
        <f t="shared" si="8"/>
        <v>66597.84</v>
      </c>
      <c r="H66" s="20">
        <f>C66*D66*E11</f>
        <v>649488.52800000005</v>
      </c>
      <c r="I66" s="16"/>
      <c r="J66" s="16"/>
      <c r="K66" s="16"/>
      <c r="L66" s="19"/>
      <c r="M66" s="1"/>
      <c r="N66" s="1"/>
      <c r="O66" s="1"/>
      <c r="P66" s="1"/>
      <c r="Q66" s="1"/>
      <c r="R66" s="1"/>
      <c r="S66" s="1"/>
      <c r="T66" s="1"/>
      <c r="U66" s="1"/>
    </row>
    <row r="67" spans="1:23" hidden="1">
      <c r="A67" s="1" t="s">
        <v>302</v>
      </c>
      <c r="B67" s="1" t="s">
        <v>10</v>
      </c>
      <c r="C67" s="16">
        <v>4038</v>
      </c>
      <c r="D67" s="16">
        <v>12.252800000000001</v>
      </c>
      <c r="E67" s="16">
        <f t="array" ref="E67">$C$11*VLOOKUP($B$11,$O$8:$P$14,2,0)</f>
        <v>7200000</v>
      </c>
      <c r="F67" s="16">
        <v>8.3999999999999995E-3</v>
      </c>
      <c r="G67" s="19">
        <f t="shared" ref="G67" si="9">E67*F67</f>
        <v>60479.999999999993</v>
      </c>
      <c r="H67" s="20">
        <f>C67*D67*E11</f>
        <v>395814.45120000001</v>
      </c>
      <c r="I67" s="16"/>
      <c r="J67" s="16"/>
      <c r="K67" s="16"/>
      <c r="L67" s="19"/>
      <c r="M67" s="1"/>
      <c r="N67" s="1"/>
      <c r="O67" s="1"/>
      <c r="P67" s="1"/>
      <c r="Q67" s="1"/>
      <c r="R67" s="1"/>
      <c r="S67" s="1"/>
      <c r="T67" s="1"/>
      <c r="U67" s="1"/>
    </row>
    <row r="68" spans="1:23" hidden="1">
      <c r="A68" s="1"/>
      <c r="B68" s="1"/>
      <c r="M68" s="1"/>
      <c r="N68" s="1"/>
      <c r="O68" s="1"/>
      <c r="P68" s="1"/>
      <c r="Q68" s="1"/>
      <c r="R68" s="1"/>
      <c r="S68" s="1"/>
      <c r="T68" s="1"/>
      <c r="U68" s="1"/>
    </row>
    <row r="69" spans="1:23" ht="30" hidden="1">
      <c r="C69" s="1"/>
      <c r="E69" s="1" t="s">
        <v>317</v>
      </c>
      <c r="F69" s="1" t="s">
        <v>318</v>
      </c>
      <c r="G69" s="1" t="s">
        <v>319</v>
      </c>
      <c r="H69" s="1" t="s">
        <v>320</v>
      </c>
      <c r="I69" s="1" t="s">
        <v>321</v>
      </c>
      <c r="J69" s="1" t="s">
        <v>322</v>
      </c>
      <c r="K69" s="1" t="s">
        <v>324</v>
      </c>
      <c r="L69" s="1" t="s">
        <v>325</v>
      </c>
      <c r="M69" s="1" t="s">
        <v>326</v>
      </c>
      <c r="N69" s="18" t="s">
        <v>315</v>
      </c>
      <c r="O69" s="1" t="s">
        <v>327</v>
      </c>
      <c r="P69" s="1" t="s">
        <v>328</v>
      </c>
      <c r="Q69" s="1" t="s">
        <v>329</v>
      </c>
      <c r="R69" s="1" t="s">
        <v>330</v>
      </c>
      <c r="S69" s="1" t="s">
        <v>331</v>
      </c>
      <c r="T69" s="1" t="s">
        <v>332</v>
      </c>
      <c r="U69" s="1" t="s">
        <v>333</v>
      </c>
      <c r="V69" s="1" t="s">
        <v>334</v>
      </c>
      <c r="W69" s="1" t="s">
        <v>302</v>
      </c>
    </row>
    <row r="70" spans="1:23" hidden="1">
      <c r="C70" s="1"/>
      <c r="E70" s="1" t="s">
        <v>10</v>
      </c>
      <c r="F70" s="1" t="s">
        <v>10</v>
      </c>
      <c r="G70" s="1" t="s">
        <v>10</v>
      </c>
      <c r="H70" s="1" t="s">
        <v>10</v>
      </c>
      <c r="I70" s="1" t="s">
        <v>10</v>
      </c>
      <c r="J70" s="1" t="s">
        <v>10</v>
      </c>
      <c r="K70" s="1" t="s">
        <v>10</v>
      </c>
      <c r="L70" s="1" t="s">
        <v>10</v>
      </c>
      <c r="M70" s="1" t="s">
        <v>10</v>
      </c>
      <c r="N70" s="1" t="s">
        <v>316</v>
      </c>
      <c r="O70" s="1" t="s">
        <v>10</v>
      </c>
      <c r="P70" s="1" t="s">
        <v>10</v>
      </c>
      <c r="Q70" s="1" t="s">
        <v>10</v>
      </c>
      <c r="R70" s="1" t="s">
        <v>10</v>
      </c>
      <c r="S70" s="1" t="s">
        <v>10</v>
      </c>
      <c r="T70" s="1" t="s">
        <v>10</v>
      </c>
      <c r="U70" s="1" t="s">
        <v>194</v>
      </c>
      <c r="V70" s="1" t="s">
        <v>125</v>
      </c>
      <c r="W70" s="1" t="s">
        <v>10</v>
      </c>
    </row>
    <row r="71" spans="1:23" hidden="1">
      <c r="C71" s="1"/>
      <c r="E71" s="1" t="s">
        <v>80</v>
      </c>
      <c r="F71" s="1"/>
      <c r="G71" s="1"/>
      <c r="H71" s="1"/>
      <c r="I71" s="1"/>
      <c r="J71" s="1"/>
      <c r="K71" s="1"/>
      <c r="L71" s="1"/>
      <c r="M71" s="1"/>
      <c r="N71" s="1"/>
      <c r="O71" s="1"/>
      <c r="P71" s="1"/>
      <c r="Q71" s="1"/>
      <c r="R71" s="1"/>
      <c r="S71" s="1"/>
      <c r="T71" s="1"/>
      <c r="U71" s="1"/>
      <c r="V71" s="1" t="s">
        <v>10</v>
      </c>
    </row>
    <row r="72" spans="1:23" hidden="1">
      <c r="C72" s="1"/>
      <c r="E72" s="1" t="s">
        <v>81</v>
      </c>
      <c r="F72" s="1"/>
      <c r="G72" s="1"/>
      <c r="H72" s="1"/>
      <c r="I72" s="1"/>
      <c r="J72" s="1"/>
      <c r="K72" s="1"/>
      <c r="L72" s="1"/>
      <c r="M72" s="1"/>
      <c r="N72" s="1"/>
      <c r="O72" s="1"/>
      <c r="P72" s="1"/>
      <c r="Q72" s="1"/>
      <c r="R72" s="1"/>
      <c r="S72" s="1"/>
      <c r="T72" s="1"/>
      <c r="U72" s="1"/>
    </row>
    <row r="73" spans="1:23" hidden="1">
      <c r="A73" s="1"/>
      <c r="B73" s="1"/>
      <c r="C73" s="1"/>
      <c r="E73" s="1" t="s">
        <v>85</v>
      </c>
      <c r="F73" s="1"/>
      <c r="G73" s="1"/>
      <c r="H73" s="1"/>
      <c r="I73" s="1"/>
      <c r="J73" s="1"/>
      <c r="K73" s="1"/>
      <c r="L73" s="1"/>
      <c r="M73" s="1"/>
      <c r="N73" s="1"/>
      <c r="O73" s="1"/>
      <c r="P73" s="1"/>
      <c r="Q73" s="1"/>
      <c r="R73" s="1"/>
      <c r="S73" s="1"/>
      <c r="T73" s="1"/>
      <c r="U73" s="1"/>
    </row>
    <row r="74" spans="1:23" hidden="1">
      <c r="A74" s="1"/>
      <c r="B74" s="1"/>
      <c r="C74" s="1"/>
      <c r="E74" s="1" t="s">
        <v>87</v>
      </c>
      <c r="F74" s="1"/>
      <c r="G74" s="1"/>
      <c r="H74" s="1"/>
      <c r="I74" s="1"/>
      <c r="J74" s="1"/>
      <c r="K74" s="1"/>
      <c r="L74" s="1"/>
      <c r="M74" s="1"/>
      <c r="N74" s="1"/>
      <c r="O74" s="1"/>
      <c r="P74" s="1"/>
      <c r="Q74" s="1"/>
      <c r="R74" s="1"/>
      <c r="S74" s="1"/>
      <c r="T74" s="1"/>
      <c r="U74" s="1"/>
    </row>
    <row r="75" spans="1:23" hidden="1">
      <c r="A75" s="1"/>
      <c r="B75" s="1"/>
      <c r="C75" s="1"/>
      <c r="E75" s="1" t="s">
        <v>89</v>
      </c>
      <c r="F75" s="1"/>
      <c r="G75" s="1"/>
      <c r="H75" s="1"/>
      <c r="I75" s="1"/>
      <c r="J75" s="1"/>
      <c r="K75" s="1"/>
      <c r="L75" s="1"/>
      <c r="M75" s="1"/>
      <c r="N75" s="1"/>
      <c r="O75" s="1"/>
      <c r="P75" s="1"/>
      <c r="Q75" s="1"/>
      <c r="R75" s="1"/>
      <c r="S75" s="1"/>
      <c r="T75" s="1"/>
      <c r="U75" s="1"/>
    </row>
    <row r="76" spans="1:23" hidden="1">
      <c r="A76" s="1"/>
      <c r="B76" s="1"/>
      <c r="C76" s="1"/>
      <c r="E76" s="1" t="s">
        <v>323</v>
      </c>
      <c r="F76" s="1"/>
      <c r="G76" s="1"/>
      <c r="H76" s="1"/>
      <c r="I76" s="1"/>
      <c r="J76" s="1"/>
      <c r="K76" s="1"/>
      <c r="L76" s="1"/>
      <c r="M76" s="1"/>
      <c r="N76" s="1"/>
      <c r="O76" s="1"/>
      <c r="P76" s="1"/>
      <c r="Q76" s="1"/>
      <c r="R76" s="1"/>
      <c r="S76" s="1"/>
      <c r="T76" s="1"/>
      <c r="U76" s="1"/>
    </row>
    <row r="77" spans="1:23" hidden="1">
      <c r="A77" s="1"/>
      <c r="B77" s="1"/>
      <c r="C77" s="1"/>
      <c r="E77" s="1"/>
      <c r="F77" s="1"/>
      <c r="G77" s="1"/>
      <c r="H77" s="1"/>
      <c r="I77" s="1"/>
      <c r="J77" s="1"/>
      <c r="K77" s="1"/>
      <c r="L77" s="1"/>
      <c r="M77" s="1"/>
      <c r="N77" s="1"/>
      <c r="O77" s="1"/>
      <c r="P77" s="1"/>
      <c r="Q77" s="1"/>
      <c r="R77" s="1"/>
      <c r="S77" s="1"/>
      <c r="T77" s="1"/>
      <c r="U77" s="1"/>
    </row>
    <row r="78" spans="1:23" hidden="1">
      <c r="A78" s="1"/>
      <c r="B78" s="1"/>
      <c r="C78" s="1"/>
      <c r="D78" s="1"/>
      <c r="E78" s="1"/>
      <c r="F78" s="1"/>
      <c r="G78" s="1"/>
      <c r="H78" s="1"/>
      <c r="I78" s="1"/>
      <c r="J78" s="1"/>
      <c r="K78" s="1"/>
      <c r="L78" s="1"/>
      <c r="M78" s="1"/>
      <c r="N78" s="1"/>
      <c r="O78" s="1"/>
      <c r="P78" s="1"/>
      <c r="Q78" s="1"/>
      <c r="R78" s="1"/>
      <c r="S78" s="1"/>
      <c r="T78" s="1"/>
      <c r="U78" s="1"/>
    </row>
    <row r="79" spans="1:23" hidden="1">
      <c r="A79" s="1"/>
      <c r="B79" s="1"/>
      <c r="C79" s="1"/>
      <c r="D79" s="1"/>
      <c r="F79" s="1"/>
      <c r="G79" s="1"/>
      <c r="H79" s="1"/>
      <c r="I79" s="1"/>
      <c r="J79" s="1"/>
      <c r="K79" s="1"/>
      <c r="L79" s="1"/>
      <c r="M79" s="1"/>
      <c r="N79" s="1"/>
      <c r="O79" s="1"/>
      <c r="P79" s="1"/>
      <c r="Q79" s="1"/>
      <c r="R79" s="1"/>
      <c r="S79" s="1"/>
      <c r="T79" s="1"/>
      <c r="U79" s="1"/>
    </row>
    <row r="80" spans="1:23">
      <c r="M80" s="1"/>
      <c r="N80" s="1"/>
      <c r="O80" s="1"/>
      <c r="P80" s="1"/>
      <c r="Q80" s="1"/>
      <c r="R80" s="1"/>
      <c r="S80" s="1"/>
      <c r="T80" s="1"/>
      <c r="U80" s="1"/>
    </row>
    <row r="81" spans="1:21">
      <c r="A81" s="1"/>
      <c r="B81" s="1" t="s">
        <v>133</v>
      </c>
      <c r="C81" s="1"/>
      <c r="N81" s="1"/>
      <c r="O81" s="1"/>
      <c r="P81" s="1"/>
      <c r="Q81" s="1"/>
      <c r="R81" s="1"/>
      <c r="S81" s="1"/>
      <c r="T81" s="1"/>
      <c r="U81" s="1"/>
    </row>
    <row r="82" spans="1:21">
      <c r="A82" s="1"/>
      <c r="B82" s="1" t="s">
        <v>168</v>
      </c>
      <c r="C82" s="1" t="s">
        <v>169</v>
      </c>
      <c r="N82" s="1"/>
      <c r="O82" s="1"/>
      <c r="P82" s="1"/>
      <c r="Q82" s="1"/>
      <c r="R82" s="1"/>
      <c r="S82" s="1"/>
      <c r="T82" s="1"/>
      <c r="U82" s="1"/>
    </row>
    <row r="83" spans="1:21">
      <c r="B83" s="1"/>
      <c r="C83" s="1"/>
      <c r="N83" s="1"/>
      <c r="O83" s="1"/>
      <c r="P83" s="1"/>
      <c r="Q83" s="1"/>
      <c r="R83" s="1"/>
      <c r="S83" s="1"/>
      <c r="T83" s="1"/>
      <c r="U83" s="1"/>
    </row>
    <row r="84" spans="1:21">
      <c r="B84" s="1"/>
      <c r="C84" s="1"/>
      <c r="N84" s="1"/>
      <c r="O84" s="1"/>
      <c r="P84" s="1"/>
      <c r="Q84" s="1"/>
      <c r="R84" s="1"/>
      <c r="S84" s="1"/>
      <c r="T84" s="1"/>
      <c r="U84" s="1"/>
    </row>
    <row r="85" spans="1:21">
      <c r="N85" s="1"/>
      <c r="O85" s="1"/>
      <c r="P85" s="1"/>
      <c r="Q85" s="1"/>
      <c r="R85" s="1"/>
      <c r="S85" s="1"/>
      <c r="T85" s="1"/>
      <c r="U85" s="1"/>
    </row>
    <row r="86" spans="1:21">
      <c r="N86" s="1"/>
      <c r="O86" s="1"/>
      <c r="P86" s="1"/>
      <c r="Q86" s="1"/>
      <c r="R86" s="1"/>
      <c r="S86" s="1"/>
      <c r="T86" s="1"/>
      <c r="U86" s="1"/>
    </row>
    <row r="87" spans="1:21">
      <c r="N87" s="1"/>
      <c r="O87" s="1"/>
      <c r="P87" s="1"/>
      <c r="Q87" s="1"/>
      <c r="R87" s="1"/>
      <c r="S87" s="1"/>
      <c r="T87" s="1"/>
      <c r="U87" s="1"/>
    </row>
    <row r="88" spans="1:21">
      <c r="N88" s="1"/>
      <c r="O88" s="1"/>
      <c r="P88" s="1"/>
      <c r="Q88" s="1"/>
      <c r="R88" s="1"/>
      <c r="S88" s="1"/>
      <c r="T88" s="1"/>
      <c r="U88" s="1"/>
    </row>
  </sheetData>
  <mergeCells count="7">
    <mergeCell ref="E11:E12"/>
    <mergeCell ref="C1:I4"/>
    <mergeCell ref="B7:B9"/>
    <mergeCell ref="B11:B12"/>
    <mergeCell ref="C7:C9"/>
    <mergeCell ref="C11:C12"/>
    <mergeCell ref="D11:D12"/>
  </mergeCells>
  <phoneticPr fontId="18" type="noConversion"/>
  <dataValidations count="6">
    <dataValidation type="list" allowBlank="1" showInputMessage="1" showErrorMessage="1" sqref="B11" xr:uid="{00000000-0002-0000-0500-000000000000}">
      <formula1>"ms,s,min,hr,day,mo,yr"</formula1>
    </dataValidation>
    <dataValidation type="list" allowBlank="1" showInputMessage="1" showErrorMessage="1" sqref="E11" xr:uid="{00000000-0002-0000-0500-000001000000}">
      <formula1>"1,2,3,4,5,6,7,8,9,10,11,12,13,14,15,16,17,18,19,20,21,22,23,24,25,26,27,28,29,30,31,32"</formula1>
    </dataValidation>
    <dataValidation allowBlank="1" showInputMessage="1" showErrorMessage="1" sqref="E68" xr:uid="{00000000-0002-0000-0500-000002000000}"/>
    <dataValidation type="list" allowBlank="1" showInputMessage="1" showErrorMessage="1" sqref="B7:B9" xr:uid="{00000000-0002-0000-0500-000003000000}">
      <formula1>$E$69:$Z$69</formula1>
    </dataValidation>
    <dataValidation type="list" allowBlank="1" showInputMessage="1" showErrorMessage="1" sqref="D11:D12" xr:uid="{00000000-0002-0000-0500-000004000000}">
      <formula1>INDIRECT($B$7)</formula1>
    </dataValidation>
    <dataValidation type="list" allowBlank="1" showInputMessage="1" showErrorMessage="1" sqref="F11:F12" xr:uid="{00000000-0002-0000-0500-000005000000}">
      <formula1>$R$9:$R$11</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72"/>
  <sheetViews>
    <sheetView topLeftCell="A4" workbookViewId="0">
      <selection activeCell="I14" sqref="I14"/>
    </sheetView>
  </sheetViews>
  <sheetFormatPr defaultColWidth="9" defaultRowHeight="15"/>
  <cols>
    <col min="1" max="1" width="22.85546875" customWidth="1"/>
    <col min="2" max="2" width="26.140625" customWidth="1"/>
    <col min="3" max="3" width="34.140625" customWidth="1"/>
    <col min="4" max="4" width="29.140625" customWidth="1"/>
    <col min="5" max="5" width="25.28515625" customWidth="1"/>
    <col min="6" max="6" width="29.28515625" customWidth="1"/>
    <col min="7" max="7" width="26.85546875" customWidth="1"/>
    <col min="8" max="8" width="27.140625" customWidth="1"/>
    <col min="9" max="9" width="22.7109375" customWidth="1"/>
    <col min="10" max="10" width="20.42578125" customWidth="1"/>
    <col min="11" max="14" width="21.42578125" customWidth="1"/>
    <col min="16" max="16" width="22.28515625" customWidth="1"/>
    <col min="17" max="17" width="22.7109375" customWidth="1"/>
    <col min="18" max="18" width="15.140625" hidden="1" customWidth="1"/>
    <col min="19" max="19" width="9" hidden="1" customWidth="1"/>
    <col min="21" max="21" width="17.28515625" customWidth="1"/>
    <col min="24" max="24" width="11" customWidth="1"/>
  </cols>
  <sheetData>
    <row r="1" spans="1:21" s="1" customFormat="1" ht="15" customHeight="1">
      <c r="A1" s="2"/>
      <c r="B1" s="2"/>
      <c r="C1" s="54" t="s">
        <v>336</v>
      </c>
      <c r="D1" s="54"/>
      <c r="E1" s="54"/>
      <c r="F1" s="54"/>
      <c r="G1" s="54"/>
      <c r="H1" s="54"/>
      <c r="I1" s="54"/>
      <c r="J1" s="2"/>
      <c r="K1" s="2"/>
      <c r="L1" s="2"/>
      <c r="M1" s="2"/>
      <c r="N1" s="2"/>
      <c r="O1" s="2"/>
    </row>
    <row r="2" spans="1:21" s="1" customFormat="1">
      <c r="A2" s="2"/>
      <c r="B2" s="2"/>
      <c r="C2" s="54"/>
      <c r="D2" s="54"/>
      <c r="E2" s="54"/>
      <c r="F2" s="54"/>
      <c r="G2" s="54"/>
      <c r="H2" s="54"/>
      <c r="I2" s="54"/>
      <c r="J2" s="2"/>
      <c r="K2" s="2"/>
      <c r="L2" s="2"/>
      <c r="M2" s="2"/>
      <c r="N2" s="2"/>
      <c r="O2" s="2"/>
    </row>
    <row r="3" spans="1:21" s="1" customFormat="1">
      <c r="A3" s="2"/>
      <c r="B3" s="2"/>
      <c r="C3" s="54"/>
      <c r="D3" s="54"/>
      <c r="E3" s="54"/>
      <c r="F3" s="54"/>
      <c r="G3" s="54"/>
      <c r="H3" s="54"/>
      <c r="I3" s="54"/>
      <c r="J3" s="2"/>
      <c r="K3" s="2"/>
      <c r="L3" s="2"/>
      <c r="M3" s="2"/>
      <c r="N3" s="2"/>
      <c r="O3" s="2"/>
    </row>
    <row r="4" spans="1:21" s="1" customFormat="1" ht="39.75" customHeight="1">
      <c r="A4" s="2"/>
      <c r="B4" s="2"/>
      <c r="C4" s="54"/>
      <c r="D4" s="54"/>
      <c r="E4" s="54"/>
      <c r="F4" s="54"/>
      <c r="G4" s="54"/>
      <c r="H4" s="54"/>
      <c r="I4" s="54"/>
      <c r="J4" s="2"/>
      <c r="K4" s="2"/>
      <c r="L4" s="2"/>
      <c r="M4" s="2"/>
      <c r="N4" s="2"/>
      <c r="O4" s="2"/>
    </row>
    <row r="5" spans="1:21" s="1" customFormat="1">
      <c r="A5" s="2" t="s">
        <v>1</v>
      </c>
      <c r="B5" s="2"/>
      <c r="C5" s="2"/>
      <c r="D5" s="2"/>
      <c r="E5" s="2"/>
      <c r="F5" s="2"/>
      <c r="G5" s="2"/>
      <c r="H5" s="2"/>
      <c r="I5" s="2"/>
      <c r="J5" s="2"/>
      <c r="K5" s="2"/>
      <c r="L5" s="2"/>
      <c r="M5" s="2"/>
      <c r="N5" s="2"/>
      <c r="O5" s="2"/>
      <c r="P5" s="21"/>
    </row>
    <row r="6" spans="1:21" s="1" customFormat="1">
      <c r="A6" s="3"/>
      <c r="B6" s="4" t="s">
        <v>2</v>
      </c>
      <c r="C6" s="5" t="s">
        <v>3</v>
      </c>
      <c r="D6" s="3"/>
      <c r="E6" s="3"/>
      <c r="F6" s="3"/>
      <c r="G6" s="3"/>
      <c r="H6" s="3"/>
      <c r="I6" s="3"/>
      <c r="J6" s="3"/>
      <c r="K6" s="3"/>
      <c r="L6" s="3"/>
      <c r="M6" s="3"/>
      <c r="N6" s="3"/>
      <c r="O6" s="3"/>
    </row>
    <row r="7" spans="1:21" s="1" customFormat="1">
      <c r="A7" s="3"/>
      <c r="B7" s="71" t="s">
        <v>337</v>
      </c>
      <c r="C7" s="59">
        <f>VLOOKUP($B$7,P26:Q52,2,0)</f>
        <v>8500</v>
      </c>
      <c r="D7" s="3"/>
      <c r="E7" s="3"/>
      <c r="F7" s="3"/>
      <c r="G7" s="3"/>
      <c r="H7" s="3"/>
      <c r="I7" s="3"/>
      <c r="J7" s="3"/>
      <c r="K7" s="3"/>
      <c r="L7" s="3"/>
      <c r="M7" s="3"/>
      <c r="N7" s="3"/>
      <c r="O7" s="3"/>
    </row>
    <row r="8" spans="1:21" s="1" customFormat="1">
      <c r="A8" s="3"/>
      <c r="B8" s="71"/>
      <c r="C8" s="59"/>
      <c r="D8" s="3"/>
      <c r="E8" s="3"/>
      <c r="F8" s="3"/>
      <c r="G8" s="3"/>
      <c r="H8" s="3"/>
      <c r="I8" s="3"/>
      <c r="J8" s="3"/>
      <c r="K8" s="3"/>
      <c r="L8" s="3"/>
      <c r="M8" s="3"/>
      <c r="N8" s="3"/>
      <c r="O8" s="3"/>
      <c r="R8" s="22" t="s">
        <v>8</v>
      </c>
      <c r="S8" s="22">
        <v>1</v>
      </c>
      <c r="U8"/>
    </row>
    <row r="9" spans="1:21" s="1" customFormat="1">
      <c r="A9" s="3"/>
      <c r="B9" s="71"/>
      <c r="C9" s="59"/>
      <c r="D9" s="3"/>
      <c r="E9" s="3"/>
      <c r="F9" s="3"/>
      <c r="G9" s="3"/>
      <c r="H9" s="3"/>
      <c r="I9" s="3"/>
      <c r="J9" s="3"/>
      <c r="K9" s="3"/>
      <c r="L9" s="3"/>
      <c r="M9" s="3"/>
      <c r="N9" s="3"/>
      <c r="O9" s="3"/>
      <c r="R9" s="22" t="s">
        <v>11</v>
      </c>
      <c r="S9" s="22">
        <f>S8*1000</f>
        <v>1000</v>
      </c>
    </row>
    <row r="10" spans="1:21" s="1" customFormat="1">
      <c r="A10" s="3"/>
      <c r="B10" s="6" t="s">
        <v>5</v>
      </c>
      <c r="C10" s="6" t="s">
        <v>6</v>
      </c>
      <c r="D10" s="7" t="s">
        <v>7</v>
      </c>
      <c r="E10" s="7" t="s">
        <v>303</v>
      </c>
      <c r="F10" s="3"/>
      <c r="G10" s="3"/>
      <c r="H10" s="3"/>
      <c r="I10" s="3"/>
      <c r="J10" s="3"/>
      <c r="K10" s="3"/>
      <c r="L10" s="3"/>
      <c r="M10" s="3"/>
      <c r="N10" s="3"/>
      <c r="O10" s="3"/>
      <c r="R10" s="22" t="s">
        <v>9</v>
      </c>
      <c r="S10" s="22">
        <f>S9*60</f>
        <v>60000</v>
      </c>
    </row>
    <row r="11" spans="1:21" s="1" customFormat="1" ht="30" customHeight="1">
      <c r="A11" s="3"/>
      <c r="B11" s="72" t="s">
        <v>9</v>
      </c>
      <c r="C11" s="80">
        <v>120</v>
      </c>
      <c r="D11" s="76" t="s">
        <v>10</v>
      </c>
      <c r="E11" s="78" t="s">
        <v>304</v>
      </c>
      <c r="F11" s="3"/>
      <c r="G11" s="3"/>
      <c r="H11" s="3"/>
      <c r="I11" s="3"/>
      <c r="J11" s="3"/>
      <c r="K11" s="3"/>
      <c r="L11" s="3"/>
      <c r="M11" s="3"/>
      <c r="N11" s="3"/>
      <c r="O11" s="3"/>
      <c r="R11" s="22" t="s">
        <v>22</v>
      </c>
      <c r="S11" s="22">
        <f>S10*60</f>
        <v>3600000</v>
      </c>
    </row>
    <row r="12" spans="1:21" s="1" customFormat="1">
      <c r="A12" s="3"/>
      <c r="B12" s="73"/>
      <c r="C12" s="75"/>
      <c r="D12" s="77"/>
      <c r="E12" s="79"/>
      <c r="F12" s="3"/>
      <c r="G12" s="3"/>
      <c r="H12" s="3"/>
      <c r="I12" s="3"/>
      <c r="J12" s="3"/>
      <c r="K12" s="3"/>
      <c r="L12" s="3"/>
      <c r="M12" s="3"/>
      <c r="N12" s="3"/>
      <c r="O12" s="3"/>
      <c r="R12" s="22" t="s">
        <v>25</v>
      </c>
      <c r="S12" s="22">
        <f>S11*24</f>
        <v>86400000</v>
      </c>
    </row>
    <row r="13" spans="1:21">
      <c r="A13" s="8" t="s">
        <v>305</v>
      </c>
      <c r="B13" s="9" t="s">
        <v>12</v>
      </c>
      <c r="C13" s="9" t="s">
        <v>13</v>
      </c>
      <c r="D13" s="9" t="s">
        <v>283</v>
      </c>
      <c r="E13" s="9" t="s">
        <v>17</v>
      </c>
      <c r="F13" s="9" t="s">
        <v>338</v>
      </c>
      <c r="G13" s="9" t="s">
        <v>364</v>
      </c>
      <c r="H13" s="9" t="s">
        <v>18</v>
      </c>
      <c r="I13" s="9" t="s">
        <v>21</v>
      </c>
      <c r="R13" s="22" t="s">
        <v>27</v>
      </c>
      <c r="S13" s="22">
        <f>S14/12</f>
        <v>2629800000</v>
      </c>
    </row>
    <row r="14" spans="1:21">
      <c r="A14" s="10" t="s">
        <v>306</v>
      </c>
      <c r="B14" s="11" cm="1">
        <f t="array" ref="B14">VLOOKUP($B$7&amp;$D$11,IF({1,0},$A$25:$A$63&amp;$B$25:$B$63,$G$25:$G$63),2,0)</f>
        <v>141249.64450732231</v>
      </c>
      <c r="C14" s="12" cm="1">
        <f t="array" ref="C14">VLOOKUP($B$7&amp;$D$11,IF({1,0},$A$25:$A$61&amp;$B$25:$B$61,$H$25:$H$62),2,0)</f>
        <v>678449.99155301519</v>
      </c>
      <c r="D14" s="12">
        <f t="shared" ref="D14:E16" si="0">F20</f>
        <v>3011247.4247999997</v>
      </c>
      <c r="E14" s="12">
        <f t="shared" si="0"/>
        <v>3518.3591999999999</v>
      </c>
      <c r="F14" s="13" cm="1">
        <f t="array" ref="F14">VLOOKUP($B$7&amp;$D$11,IF({1,0},$A$25:$A$63&amp;$B$25:$B$63,$K$25:$K$64),2,0)</f>
        <v>4.4507322305555548E-2</v>
      </c>
      <c r="G14" s="12" cm="1">
        <f t="array" ref="G14">VLOOKUP($B$7&amp;$D$11,IF({1,0},$A$25:$A$63&amp;$B$25:$B$63,$N$25:$N$64),2,0)</f>
        <v>1.1530151952666666E-3</v>
      </c>
      <c r="H14" s="12" cm="1">
        <f t="array" ref="H14">(B14+C14+D14+E14)/((B20+C20+(VLOOKUP($B$7&amp;$D$11,IF({1,0},$A$25:$A$56&amp;$B$25:$B$56,$C$25:$C$56),2,0)))+(VLOOKUP($B$7&amp;$D$11,IF({1,0},$A$25:$A$56&amp;$B$25:$B$56,$E$25:$E$56),2,0)))</f>
        <v>0.52874118200268982</v>
      </c>
      <c r="I14" s="12">
        <f>$C$7/(H14*8760+($C$7*0.02))</f>
        <v>1.7701795638519364</v>
      </c>
      <c r="R14" s="22" t="s">
        <v>29</v>
      </c>
      <c r="S14" s="22">
        <f>S12*365.25</f>
        <v>31557600000</v>
      </c>
    </row>
    <row r="15" spans="1:21">
      <c r="A15" s="14" t="s">
        <v>309</v>
      </c>
      <c r="B15" s="11" cm="1">
        <f t="array" ref="B15">VLOOKUP($B$7&amp;$D$11,IF({1,0},$A$25:$A$63&amp;$B$25:$B$63,$G$25:$G$63),2,0)</f>
        <v>141249.64450732231</v>
      </c>
      <c r="C15" s="12" cm="1">
        <f t="array" ref="C15">VLOOKUP($B$7&amp;$D$11,IF({1,0},$A$25:$A$61&amp;$B$25:$B$61,$H$25:$H$63),2,0)</f>
        <v>678449.99155301519</v>
      </c>
      <c r="D15" s="12">
        <f t="shared" si="0"/>
        <v>2464133.9123999998</v>
      </c>
      <c r="E15" s="12">
        <f t="shared" si="0"/>
        <v>3518.3591999999999</v>
      </c>
      <c r="F15" s="13" cm="1">
        <f t="array" ref="F15">VLOOKUP($B$7&amp;$D$11,IF({1,0},$A$25:$A$63&amp;$B$25:$B$63,$K$25:$K$64),2,0)</f>
        <v>4.4507322305555548E-2</v>
      </c>
      <c r="G15" s="12" cm="1">
        <f t="array" ref="G15">VLOOKUP($B$7&amp;$D$11,IF({1,0},$A$25:$A$63&amp;$B$25:$B$63,$N$25:$N$64),2,0)</f>
        <v>1.1530151952666666E-3</v>
      </c>
      <c r="H15" s="12" cm="1">
        <f t="array" ref="H15">(B15+C15+D15+E15)/((B21+C21+(VLOOKUP($B$7&amp;$D$11,IF({1,0},$A$25:$A$55&amp;$B$25:$B$55,$C$25:$C$55),2,0)))+(VLOOKUP($B$7&amp;$D$11,IF({1,0},$A$25:$A$55&amp;$B$25:$B$55,$E$25:$E$55),2,0)))</f>
        <v>0.45375248576606975</v>
      </c>
      <c r="I15" s="12">
        <f>$C$7/(H15*8760+($C$7*0.02))</f>
        <v>2.0507268887377572</v>
      </c>
      <c r="R15" s="1" t="s">
        <v>33</v>
      </c>
      <c r="S15" s="1">
        <v>8</v>
      </c>
    </row>
    <row r="16" spans="1:21">
      <c r="A16" s="14" t="s">
        <v>312</v>
      </c>
      <c r="B16" s="11" cm="1">
        <f t="array" ref="B16">VLOOKUP($B$7&amp;$D$11,IF({1,0},$A$25:$A$64&amp;$B$25:$B$64,$G$25:$G$63),2,0)</f>
        <v>141249.64450732231</v>
      </c>
      <c r="C16" s="12" cm="1">
        <f t="array" ref="C16">VLOOKUP($B$7&amp;$D$11,IF({1,0},$A$25:$A$59&amp;$B$25:$B$59,$H$25:$H$63),2,0)</f>
        <v>678449.99155301519</v>
      </c>
      <c r="D16" s="12">
        <f t="shared" si="0"/>
        <v>2869858.2528000004</v>
      </c>
      <c r="E16" s="12">
        <f t="shared" si="0"/>
        <v>3518.3591999999999</v>
      </c>
      <c r="F16" s="13" cm="1">
        <f t="array" ref="F16">VLOOKUP($B$7&amp;$D$11,IF({1,0},$A$25:$A$63&amp;$B$25:$B$63,$K$25:$K$64),2,0)</f>
        <v>4.4507322305555548E-2</v>
      </c>
      <c r="G16" s="12" cm="1">
        <f t="array" ref="G16">VLOOKUP($B$7&amp;$D$11,IF({1,0},$A$25:$A$63&amp;$B$25:$B$63,$N$25:$N$64),2,0)</f>
        <v>1.1530151952666666E-3</v>
      </c>
      <c r="H16" s="12" cm="1">
        <f t="array" ref="H16">(B16+C16+D16+E16)/((B22+C22+(VLOOKUP($B$7&amp;$D$11,IF({1,0},$A$25:$A$60&amp;$B$25:$B$60,$C$25:$C$60),2,0)))+(VLOOKUP($B$7&amp;$D$11,IF({1,0},$A$25:$A$60&amp;$B$25:$B$60,$E$25:$E$60),2,0)))</f>
        <v>0.50934493470993902</v>
      </c>
      <c r="I16" s="12">
        <f>$C$7/(H16*8760+($C$7*0.02))</f>
        <v>1.8351152695297241</v>
      </c>
    </row>
    <row r="17" spans="1:17" ht="12.75" customHeight="1">
      <c r="D17" cm="1">
        <f t="array" ref="D17">VLOOKUP($B$7&amp;$D$11,IF({1,0},$A$25:$A$52&amp;$B$25:$B$52,$C$25:$C$52),2,0)</f>
        <v>9256</v>
      </c>
      <c r="E17" cm="1">
        <f t="array" ref="E17">VLOOKUP($B$7&amp;$D$11,IF({1,0},$A$25:$A$51&amp;$B$25:$B$51,$E$25:$E$52),2,0)</f>
        <v>7200000</v>
      </c>
    </row>
    <row r="18" spans="1:17" hidden="1"/>
    <row r="19" spans="1:17" hidden="1">
      <c r="A19" t="s">
        <v>288</v>
      </c>
      <c r="B19" t="s">
        <v>289</v>
      </c>
      <c r="C19" t="s">
        <v>290</v>
      </c>
      <c r="D19" t="s">
        <v>291</v>
      </c>
      <c r="E19" t="s">
        <v>292</v>
      </c>
      <c r="F19" t="s">
        <v>293</v>
      </c>
      <c r="G19" t="s">
        <v>294</v>
      </c>
    </row>
    <row r="20" spans="1:17" hidden="1">
      <c r="A20" t="s">
        <v>284</v>
      </c>
      <c r="B20">
        <v>42808</v>
      </c>
      <c r="C20">
        <v>1</v>
      </c>
      <c r="D20">
        <v>62.3431</v>
      </c>
      <c r="E20">
        <v>0.79589799999999999</v>
      </c>
      <c r="F20">
        <f>B20*(D20+S15)</f>
        <v>3011247.4247999997</v>
      </c>
      <c r="G20">
        <f>(C20*(E20+$S$15))*($C$11*VLOOKUP($B$11,$R$8:$S$14,2,0)/18000)</f>
        <v>3518.3591999999999</v>
      </c>
    </row>
    <row r="21" spans="1:17" hidden="1">
      <c r="A21" t="s">
        <v>286</v>
      </c>
      <c r="B21" s="15">
        <v>35556</v>
      </c>
      <c r="C21">
        <v>1</v>
      </c>
      <c r="D21">
        <v>61.302900000000001</v>
      </c>
      <c r="E21">
        <v>0.79589799999999999</v>
      </c>
      <c r="F21">
        <f>B21*(D21+S15)</f>
        <v>2464133.9123999998</v>
      </c>
      <c r="G21">
        <f t="array" ref="G21">(C21*(E21+$S$15))*($C$11*VLOOKUP($B$11,$R$8:$S$14,2,0)/18000)</f>
        <v>3518.3591999999999</v>
      </c>
    </row>
    <row r="22" spans="1:17" hidden="1">
      <c r="A22" t="s">
        <v>287</v>
      </c>
      <c r="B22">
        <v>41382</v>
      </c>
      <c r="C22">
        <v>1</v>
      </c>
      <c r="D22">
        <v>61.3504</v>
      </c>
      <c r="E22">
        <v>0.79589799999999999</v>
      </c>
      <c r="F22">
        <f>B22*(D22+S15)</f>
        <v>2869858.2528000004</v>
      </c>
      <c r="G22">
        <f t="array" ref="G22">(C22*(E22+$S$15))*($C$11*VLOOKUP($B$11,$R$8:$S$14,2,0)/18000)</f>
        <v>3518.3591999999999</v>
      </c>
    </row>
    <row r="23" spans="1:17" hidden="1"/>
    <row r="24" spans="1:17" hidden="1">
      <c r="A24" s="1"/>
      <c r="B24" s="1"/>
      <c r="C24" s="16" t="s">
        <v>54</v>
      </c>
      <c r="D24" s="16" t="s">
        <v>55</v>
      </c>
      <c r="E24" s="16" t="s">
        <v>56</v>
      </c>
      <c r="F24" s="16" t="s">
        <v>57</v>
      </c>
      <c r="G24" s="17" t="s">
        <v>58</v>
      </c>
      <c r="H24" s="17" t="s">
        <v>59</v>
      </c>
      <c r="I24" s="16" t="s">
        <v>339</v>
      </c>
      <c r="J24" s="23" t="s">
        <v>340</v>
      </c>
      <c r="K24" s="19" t="s">
        <v>341</v>
      </c>
      <c r="L24" s="49" t="s">
        <v>361</v>
      </c>
      <c r="M24" s="49" t="s">
        <v>362</v>
      </c>
      <c r="N24" s="49" t="s">
        <v>363</v>
      </c>
      <c r="P24" s="1">
        <f>VLOOKUP($B$7,P26:Q84,2,0)</f>
        <v>8500</v>
      </c>
    </row>
    <row r="25" spans="1:17" ht="30" hidden="1">
      <c r="A25" s="18" t="s">
        <v>342</v>
      </c>
      <c r="B25" s="1" t="s">
        <v>316</v>
      </c>
      <c r="C25" s="16"/>
      <c r="D25" s="16"/>
      <c r="E25" s="16"/>
      <c r="F25" s="16"/>
      <c r="G25" s="19"/>
      <c r="H25" s="19"/>
      <c r="I25" s="16"/>
      <c r="J25" s="24"/>
      <c r="K25" s="19"/>
      <c r="L25" s="16"/>
      <c r="M25" s="16"/>
      <c r="N25" s="16"/>
      <c r="P25" s="1"/>
    </row>
    <row r="26" spans="1:17" hidden="1">
      <c r="A26" s="1" t="s">
        <v>343</v>
      </c>
      <c r="B26" s="1" t="s">
        <v>10</v>
      </c>
      <c r="C26" s="16"/>
      <c r="D26" s="16"/>
      <c r="E26" s="16"/>
      <c r="F26" s="16"/>
      <c r="G26" s="19"/>
      <c r="H26" s="19"/>
      <c r="I26" s="25"/>
      <c r="J26" s="16"/>
      <c r="K26" s="19"/>
      <c r="L26" s="16"/>
      <c r="M26" s="16"/>
      <c r="N26" s="16"/>
      <c r="P26" s="1" t="s">
        <v>343</v>
      </c>
      <c r="Q26" s="1">
        <v>8500</v>
      </c>
    </row>
    <row r="27" spans="1:17" hidden="1">
      <c r="A27" s="1" t="s">
        <v>343</v>
      </c>
      <c r="B27" s="1" t="s">
        <v>80</v>
      </c>
      <c r="C27" s="16"/>
      <c r="D27" s="16"/>
      <c r="E27" s="16"/>
      <c r="F27" s="16"/>
      <c r="G27" s="19"/>
      <c r="H27" s="19"/>
      <c r="I27" s="25"/>
      <c r="J27" s="16"/>
      <c r="K27" s="19"/>
      <c r="L27" s="16"/>
      <c r="M27" s="16"/>
      <c r="N27" s="16"/>
      <c r="P27" s="1" t="s">
        <v>344</v>
      </c>
      <c r="Q27" s="1">
        <v>8500</v>
      </c>
    </row>
    <row r="28" spans="1:17" hidden="1">
      <c r="A28" s="1" t="s">
        <v>343</v>
      </c>
      <c r="B28" s="1" t="s">
        <v>81</v>
      </c>
      <c r="C28" s="16"/>
      <c r="D28" s="16"/>
      <c r="E28" s="16"/>
      <c r="F28" s="16"/>
      <c r="G28" s="19"/>
      <c r="H28" s="19"/>
      <c r="I28" s="25"/>
      <c r="J28" s="16"/>
      <c r="K28" s="19"/>
      <c r="L28" s="16"/>
      <c r="M28" s="16"/>
      <c r="N28" s="16"/>
      <c r="P28" s="1" t="s">
        <v>345</v>
      </c>
      <c r="Q28" s="1">
        <v>8500</v>
      </c>
    </row>
    <row r="29" spans="1:17" hidden="1">
      <c r="A29" s="1" t="s">
        <v>343</v>
      </c>
      <c r="B29" s="1" t="s">
        <v>85</v>
      </c>
      <c r="C29" s="16"/>
      <c r="D29" s="16"/>
      <c r="E29" s="16"/>
      <c r="F29" s="16"/>
      <c r="G29" s="19"/>
      <c r="H29" s="19"/>
      <c r="I29" s="25"/>
      <c r="J29" s="16"/>
      <c r="K29" s="19"/>
      <c r="L29" s="16"/>
      <c r="M29" s="16"/>
      <c r="N29" s="16"/>
      <c r="P29" s="1" t="s">
        <v>346</v>
      </c>
      <c r="Q29" s="1">
        <v>8500</v>
      </c>
    </row>
    <row r="30" spans="1:17" hidden="1">
      <c r="A30" s="1" t="s">
        <v>343</v>
      </c>
      <c r="B30" s="1" t="s">
        <v>87</v>
      </c>
      <c r="C30" s="16"/>
      <c r="D30" s="16"/>
      <c r="E30" s="16"/>
      <c r="F30" s="16"/>
      <c r="G30" s="19"/>
      <c r="H30" s="19"/>
      <c r="I30" s="25"/>
      <c r="J30" s="16"/>
      <c r="K30" s="19"/>
      <c r="L30" s="16"/>
      <c r="M30" s="16"/>
      <c r="N30" s="16"/>
      <c r="P30" s="1" t="s">
        <v>337</v>
      </c>
      <c r="Q30" s="1">
        <v>8500</v>
      </c>
    </row>
    <row r="31" spans="1:17" hidden="1">
      <c r="A31" s="1" t="s">
        <v>343</v>
      </c>
      <c r="B31" s="1" t="s">
        <v>89</v>
      </c>
      <c r="C31" s="16"/>
      <c r="D31" s="16"/>
      <c r="E31" s="16"/>
      <c r="F31" s="16"/>
      <c r="G31" s="19"/>
      <c r="H31" s="19"/>
      <c r="I31" s="25"/>
      <c r="J31" s="16"/>
      <c r="K31" s="19"/>
      <c r="L31" s="16"/>
      <c r="M31" s="16"/>
      <c r="N31" s="16"/>
      <c r="P31" s="1" t="s">
        <v>347</v>
      </c>
      <c r="Q31" s="1">
        <v>8500</v>
      </c>
    </row>
    <row r="32" spans="1:17" hidden="1">
      <c r="A32" s="1" t="s">
        <v>343</v>
      </c>
      <c r="B32" s="1" t="s">
        <v>323</v>
      </c>
      <c r="C32" s="16"/>
      <c r="D32" s="16"/>
      <c r="E32" s="16"/>
      <c r="F32" s="16"/>
      <c r="G32" s="19"/>
      <c r="H32" s="19"/>
      <c r="I32" s="25"/>
      <c r="J32" s="16"/>
      <c r="K32" s="19"/>
      <c r="L32" s="16"/>
      <c r="M32" s="16"/>
      <c r="N32" s="16"/>
      <c r="P32" s="1" t="s">
        <v>348</v>
      </c>
      <c r="Q32" s="1">
        <v>8500</v>
      </c>
    </row>
    <row r="33" spans="1:24" hidden="1">
      <c r="A33" s="1" t="s">
        <v>344</v>
      </c>
      <c r="B33" s="1" t="s">
        <v>10</v>
      </c>
      <c r="C33" s="16"/>
      <c r="D33" s="16"/>
      <c r="E33" s="16"/>
      <c r="F33" s="16"/>
      <c r="G33" s="19"/>
      <c r="H33" s="19"/>
      <c r="I33" s="25"/>
      <c r="J33" s="16"/>
      <c r="K33" s="19"/>
      <c r="L33" s="16"/>
      <c r="M33" s="16"/>
      <c r="N33" s="16"/>
      <c r="P33" s="1" t="s">
        <v>349</v>
      </c>
      <c r="Q33" s="1">
        <v>8500</v>
      </c>
      <c r="R33" s="1"/>
      <c r="S33" s="1"/>
      <c r="T33" s="1"/>
      <c r="U33" s="1"/>
      <c r="V33" s="1"/>
      <c r="W33" s="1"/>
      <c r="X33" s="1"/>
    </row>
    <row r="34" spans="1:24" hidden="1">
      <c r="A34" s="1" t="s">
        <v>345</v>
      </c>
      <c r="B34" s="1" t="s">
        <v>10</v>
      </c>
      <c r="C34" s="16"/>
      <c r="D34" s="16"/>
      <c r="E34" s="16"/>
      <c r="F34" s="16"/>
      <c r="G34" s="19"/>
      <c r="H34" s="19"/>
      <c r="I34" s="25"/>
      <c r="J34" s="16"/>
      <c r="K34" s="19"/>
      <c r="L34" s="16"/>
      <c r="M34" s="16"/>
      <c r="N34" s="16"/>
      <c r="P34" s="1" t="s">
        <v>350</v>
      </c>
      <c r="Q34" s="1">
        <v>8500</v>
      </c>
      <c r="R34" s="1"/>
      <c r="S34" s="1"/>
      <c r="T34" s="1"/>
      <c r="U34" s="1"/>
      <c r="V34" s="1"/>
      <c r="W34" s="1"/>
      <c r="X34" s="1"/>
    </row>
    <row r="35" spans="1:24" ht="30" hidden="1">
      <c r="A35" s="1" t="s">
        <v>346</v>
      </c>
      <c r="B35" s="1" t="s">
        <v>10</v>
      </c>
      <c r="C35" s="16"/>
      <c r="D35" s="16"/>
      <c r="E35" s="16"/>
      <c r="F35" s="16"/>
      <c r="G35" s="19"/>
      <c r="H35" s="19"/>
      <c r="I35" s="25"/>
      <c r="J35" s="16"/>
      <c r="K35" s="19"/>
      <c r="L35" s="16"/>
      <c r="M35" s="16"/>
      <c r="N35" s="16"/>
      <c r="P35" s="18" t="s">
        <v>342</v>
      </c>
      <c r="Q35" s="1">
        <v>8500</v>
      </c>
      <c r="R35" s="1"/>
      <c r="S35" s="1"/>
      <c r="T35" s="1"/>
      <c r="U35" s="1"/>
      <c r="V35" s="1"/>
      <c r="W35" s="1"/>
      <c r="X35" s="1"/>
    </row>
    <row r="36" spans="1:24" hidden="1">
      <c r="A36" s="1" t="s">
        <v>347</v>
      </c>
      <c r="B36" s="1" t="s">
        <v>10</v>
      </c>
      <c r="C36" s="16"/>
      <c r="D36" s="16"/>
      <c r="E36" s="16"/>
      <c r="F36" s="16"/>
      <c r="G36" s="19"/>
      <c r="H36" s="19"/>
      <c r="I36" s="25"/>
      <c r="J36" s="16"/>
      <c r="K36" s="19"/>
      <c r="L36" s="16"/>
      <c r="M36" s="16"/>
      <c r="N36" s="16"/>
      <c r="P36" s="1" t="s">
        <v>351</v>
      </c>
      <c r="Q36" s="1">
        <v>8500</v>
      </c>
      <c r="R36" s="1"/>
      <c r="S36" s="1"/>
      <c r="T36" s="1"/>
      <c r="U36" s="1"/>
      <c r="V36" s="1"/>
      <c r="W36" s="1"/>
      <c r="X36" s="1"/>
    </row>
    <row r="37" spans="1:24" hidden="1">
      <c r="A37" s="1" t="s">
        <v>348</v>
      </c>
      <c r="B37" s="1" t="s">
        <v>10</v>
      </c>
      <c r="C37" s="16"/>
      <c r="D37" s="16"/>
      <c r="E37" s="16"/>
      <c r="F37" s="16"/>
      <c r="G37" s="19"/>
      <c r="H37" s="19"/>
      <c r="I37" s="25"/>
      <c r="J37" s="16"/>
      <c r="K37" s="19"/>
      <c r="L37" s="16"/>
      <c r="M37" s="16"/>
      <c r="N37" s="16"/>
      <c r="P37" s="1" t="s">
        <v>352</v>
      </c>
      <c r="Q37" s="1">
        <v>8500</v>
      </c>
      <c r="R37" s="1"/>
      <c r="S37" s="1"/>
      <c r="T37" s="1"/>
      <c r="U37" s="1"/>
      <c r="V37" s="1"/>
      <c r="W37" s="1"/>
      <c r="X37" s="1"/>
    </row>
    <row r="38" spans="1:24" hidden="1">
      <c r="A38" s="1" t="s">
        <v>337</v>
      </c>
      <c r="B38" s="1" t="s">
        <v>10</v>
      </c>
      <c r="C38" s="16">
        <v>9256</v>
      </c>
      <c r="D38" s="16">
        <v>73.298400000000001</v>
      </c>
      <c r="E38" s="16">
        <f t="array" ref="E38">$C$11*VLOOKUP($B$11,$R$8:$S$14,2,0)</f>
        <v>7200000</v>
      </c>
      <c r="F38" s="50" t="s">
        <v>365</v>
      </c>
      <c r="G38" s="19">
        <f t="array" ref="G38">E38*F38+K38</f>
        <v>141249.64450732231</v>
      </c>
      <c r="H38" s="19">
        <f t="array" ref="H38">C38*D38+N38</f>
        <v>678449.99155301519</v>
      </c>
      <c r="I38" s="16">
        <v>44162</v>
      </c>
      <c r="J38" s="16">
        <v>87.075599999999994</v>
      </c>
      <c r="K38" s="19">
        <f>J38*I38/86400000</f>
        <v>4.4507322305555548E-2</v>
      </c>
      <c r="L38" s="16">
        <v>120.586</v>
      </c>
      <c r="M38" s="16">
        <v>8.6055899999999994</v>
      </c>
      <c r="N38" s="50">
        <f>L38*M38*E11/E38</f>
        <v>1.1530151952666666E-3</v>
      </c>
      <c r="P38" s="1" t="s">
        <v>353</v>
      </c>
      <c r="Q38" s="1">
        <v>8500</v>
      </c>
      <c r="R38" s="1"/>
      <c r="S38" s="1"/>
      <c r="T38" s="1"/>
      <c r="U38" s="1"/>
      <c r="V38" s="1"/>
      <c r="W38" s="1"/>
      <c r="X38" s="1"/>
    </row>
    <row r="39" spans="1:24" hidden="1">
      <c r="A39" s="1" t="s">
        <v>350</v>
      </c>
      <c r="B39" s="1" t="s">
        <v>10</v>
      </c>
      <c r="C39" s="16"/>
      <c r="D39" s="16"/>
      <c r="E39" s="16"/>
      <c r="F39" s="16"/>
      <c r="G39" s="19"/>
      <c r="H39" s="19"/>
      <c r="I39" s="16"/>
      <c r="J39" s="16"/>
      <c r="K39" s="19"/>
      <c r="L39" s="16"/>
      <c r="M39" s="16"/>
      <c r="N39" s="16"/>
      <c r="P39" s="1" t="s">
        <v>354</v>
      </c>
      <c r="Q39" s="1">
        <v>8500</v>
      </c>
      <c r="R39" s="1"/>
      <c r="S39" s="1"/>
      <c r="T39" s="1"/>
      <c r="U39" s="1"/>
      <c r="V39" s="1"/>
      <c r="W39" s="1"/>
      <c r="X39" s="1"/>
    </row>
    <row r="40" spans="1:24" hidden="1">
      <c r="A40" s="1" t="s">
        <v>349</v>
      </c>
      <c r="B40" s="1" t="s">
        <v>10</v>
      </c>
      <c r="C40" s="16"/>
      <c r="D40" s="16"/>
      <c r="E40" s="16"/>
      <c r="F40" s="16"/>
      <c r="G40" s="19"/>
      <c r="H40" s="19"/>
      <c r="I40" s="16"/>
      <c r="J40" s="16"/>
      <c r="K40" s="19"/>
      <c r="L40" s="16"/>
      <c r="M40" s="16"/>
      <c r="N40" s="16"/>
      <c r="P40" s="1" t="s">
        <v>355</v>
      </c>
      <c r="Q40" s="1">
        <v>8500</v>
      </c>
      <c r="R40" s="1"/>
      <c r="S40" s="1"/>
      <c r="T40" s="1"/>
      <c r="U40" s="1"/>
      <c r="V40" s="1"/>
      <c r="W40" s="1"/>
      <c r="X40" s="1"/>
    </row>
    <row r="41" spans="1:24" hidden="1">
      <c r="A41" s="1" t="s">
        <v>351</v>
      </c>
      <c r="B41" s="1" t="s">
        <v>10</v>
      </c>
      <c r="C41" s="16"/>
      <c r="D41" s="16"/>
      <c r="E41" s="16"/>
      <c r="F41" s="16"/>
      <c r="G41" s="19"/>
      <c r="H41" s="19"/>
      <c r="I41" s="16"/>
      <c r="J41" s="16"/>
      <c r="K41" s="19"/>
      <c r="L41" s="16"/>
      <c r="M41" s="16"/>
      <c r="N41" s="16"/>
      <c r="P41" s="1" t="s">
        <v>356</v>
      </c>
      <c r="Q41" s="1">
        <v>8500</v>
      </c>
      <c r="R41" s="1"/>
      <c r="S41" s="1"/>
      <c r="T41" s="1"/>
      <c r="U41" s="1"/>
      <c r="V41" s="1"/>
      <c r="W41" s="1"/>
      <c r="X41" s="1"/>
    </row>
    <row r="42" spans="1:24" hidden="1">
      <c r="A42" s="1" t="s">
        <v>352</v>
      </c>
      <c r="B42" s="1" t="s">
        <v>10</v>
      </c>
      <c r="C42" s="16"/>
      <c r="D42" s="16"/>
      <c r="E42" s="16"/>
      <c r="F42" s="16"/>
      <c r="G42" s="19"/>
      <c r="H42" s="19"/>
      <c r="I42" s="16"/>
      <c r="J42" s="16"/>
      <c r="K42" s="19"/>
      <c r="L42" s="16"/>
      <c r="M42" s="16"/>
      <c r="N42" s="16"/>
      <c r="P42" s="1" t="s">
        <v>357</v>
      </c>
      <c r="Q42" s="1">
        <v>8500</v>
      </c>
      <c r="R42" s="1"/>
      <c r="S42" s="1"/>
      <c r="T42" s="1"/>
      <c r="U42" s="1"/>
      <c r="V42" s="1"/>
      <c r="W42" s="1"/>
      <c r="X42" s="1"/>
    </row>
    <row r="43" spans="1:24" hidden="1">
      <c r="A43" s="1" t="s">
        <v>353</v>
      </c>
      <c r="B43" s="1" t="s">
        <v>10</v>
      </c>
      <c r="C43" s="16"/>
      <c r="D43" s="16"/>
      <c r="E43" s="16"/>
      <c r="F43" s="16"/>
      <c r="G43" s="19"/>
      <c r="H43" s="19"/>
      <c r="I43" s="16"/>
      <c r="J43" s="16"/>
      <c r="K43" s="19"/>
      <c r="L43" s="16"/>
      <c r="M43" s="16"/>
      <c r="N43" s="16"/>
      <c r="P43" s="1" t="s">
        <v>358</v>
      </c>
      <c r="Q43" s="1">
        <v>8500</v>
      </c>
      <c r="R43" s="1"/>
      <c r="S43" s="1"/>
      <c r="T43" s="1"/>
      <c r="U43" s="1"/>
      <c r="V43" s="1"/>
      <c r="W43" s="1"/>
      <c r="X43" s="1"/>
    </row>
    <row r="44" spans="1:24" hidden="1">
      <c r="A44" s="1" t="s">
        <v>354</v>
      </c>
      <c r="B44" s="1" t="s">
        <v>10</v>
      </c>
      <c r="C44" s="16"/>
      <c r="D44" s="16"/>
      <c r="E44" s="16"/>
      <c r="F44" s="16"/>
      <c r="G44" s="19"/>
      <c r="H44" s="19"/>
      <c r="I44" s="16"/>
      <c r="J44" s="16"/>
      <c r="K44" s="19"/>
      <c r="L44" s="16"/>
      <c r="M44" s="16"/>
      <c r="N44" s="16"/>
      <c r="P44" s="1" t="s">
        <v>359</v>
      </c>
      <c r="Q44" s="1">
        <v>8500</v>
      </c>
      <c r="R44" s="1"/>
      <c r="S44" s="1"/>
      <c r="T44" s="1"/>
      <c r="U44" s="1"/>
      <c r="V44" s="1"/>
      <c r="W44" s="1"/>
      <c r="X44" s="1"/>
    </row>
    <row r="45" spans="1:24" hidden="1">
      <c r="A45" s="1" t="s">
        <v>360</v>
      </c>
      <c r="B45" s="1" t="s">
        <v>10</v>
      </c>
      <c r="C45" s="16"/>
      <c r="D45" s="16"/>
      <c r="E45" s="16"/>
      <c r="F45" s="16"/>
      <c r="G45" s="19"/>
      <c r="H45" s="19"/>
      <c r="I45" s="16"/>
      <c r="J45" s="16"/>
      <c r="K45" s="19"/>
      <c r="L45" s="16"/>
      <c r="M45" s="16"/>
      <c r="N45" s="16"/>
      <c r="P45" s="1"/>
      <c r="Q45" s="1"/>
      <c r="R45" s="1"/>
      <c r="S45" s="1"/>
      <c r="T45" s="1"/>
      <c r="U45" s="1"/>
      <c r="V45" s="1"/>
      <c r="W45" s="1"/>
      <c r="X45" s="1"/>
    </row>
    <row r="46" spans="1:24" hidden="1">
      <c r="A46" s="1" t="s">
        <v>356</v>
      </c>
      <c r="B46" s="1" t="s">
        <v>10</v>
      </c>
      <c r="C46" s="16"/>
      <c r="D46" s="16"/>
      <c r="E46" s="16"/>
      <c r="F46" s="16"/>
      <c r="G46" s="19"/>
      <c r="H46" s="19"/>
      <c r="I46" s="16"/>
      <c r="J46" s="16"/>
      <c r="K46" s="19"/>
      <c r="L46" s="16"/>
      <c r="M46" s="16"/>
      <c r="N46" s="16"/>
      <c r="P46" s="1"/>
      <c r="Q46" s="1"/>
      <c r="R46" s="1"/>
      <c r="S46" s="1"/>
      <c r="T46" s="1"/>
      <c r="U46" s="1"/>
      <c r="V46" s="1"/>
      <c r="W46" s="1"/>
      <c r="X46" s="1"/>
    </row>
    <row r="47" spans="1:24" hidden="1">
      <c r="A47" s="1" t="s">
        <v>357</v>
      </c>
      <c r="B47" s="1" t="s">
        <v>194</v>
      </c>
      <c r="C47" s="16"/>
      <c r="D47" s="16"/>
      <c r="E47" s="16"/>
      <c r="F47" s="16"/>
      <c r="G47" s="19"/>
      <c r="H47" s="19"/>
      <c r="I47" s="16"/>
      <c r="J47" s="16"/>
      <c r="K47" s="19"/>
      <c r="L47" s="16"/>
      <c r="M47" s="16"/>
      <c r="N47" s="16"/>
      <c r="P47" s="1"/>
      <c r="Q47" s="1"/>
      <c r="R47" s="1"/>
      <c r="S47" s="1"/>
      <c r="T47" s="1"/>
      <c r="U47" s="1"/>
      <c r="V47" s="1"/>
      <c r="W47" s="1"/>
      <c r="X47" s="1"/>
    </row>
    <row r="48" spans="1:24" hidden="1">
      <c r="A48" s="1" t="s">
        <v>355</v>
      </c>
      <c r="B48" s="1" t="s">
        <v>10</v>
      </c>
      <c r="C48" s="16"/>
      <c r="D48" s="16"/>
      <c r="E48" s="16"/>
      <c r="F48" s="16"/>
      <c r="G48" s="19"/>
      <c r="H48" s="19"/>
      <c r="I48" s="16"/>
      <c r="J48" s="16"/>
      <c r="K48" s="19"/>
      <c r="L48" s="16"/>
      <c r="M48" s="16"/>
      <c r="N48" s="16"/>
      <c r="P48" s="1"/>
      <c r="Q48" s="1"/>
      <c r="R48" s="1"/>
      <c r="S48" s="1"/>
      <c r="T48" s="1"/>
      <c r="U48" s="1"/>
      <c r="V48" s="1"/>
      <c r="W48" s="1"/>
      <c r="X48" s="1"/>
    </row>
    <row r="49" spans="1:24" hidden="1">
      <c r="A49" s="1" t="s">
        <v>358</v>
      </c>
      <c r="B49" s="1" t="s">
        <v>125</v>
      </c>
      <c r="C49" s="16"/>
      <c r="D49" s="16"/>
      <c r="E49" s="16"/>
      <c r="F49" s="16"/>
      <c r="G49" s="19"/>
      <c r="H49" s="20"/>
      <c r="I49" s="16"/>
      <c r="J49" s="16"/>
      <c r="K49" s="19"/>
      <c r="L49" s="16"/>
      <c r="M49" s="16"/>
      <c r="N49" s="16"/>
      <c r="P49" s="1"/>
      <c r="Q49" s="1"/>
      <c r="R49" s="1"/>
      <c r="S49" s="1"/>
      <c r="T49" s="1"/>
      <c r="U49" s="1"/>
      <c r="V49" s="1"/>
      <c r="W49" s="1"/>
      <c r="X49" s="1"/>
    </row>
    <row r="50" spans="1:24" hidden="1">
      <c r="A50" s="1" t="s">
        <v>358</v>
      </c>
      <c r="B50" s="1" t="s">
        <v>10</v>
      </c>
      <c r="C50" s="16"/>
      <c r="D50" s="16"/>
      <c r="E50" s="16"/>
      <c r="F50" s="16"/>
      <c r="G50" s="19"/>
      <c r="H50" s="20"/>
      <c r="I50" s="16"/>
      <c r="J50" s="16"/>
      <c r="K50" s="19"/>
      <c r="L50" s="16"/>
      <c r="M50" s="16"/>
      <c r="N50" s="16"/>
      <c r="P50" s="1"/>
      <c r="Q50" s="1"/>
      <c r="R50" s="1"/>
      <c r="S50" s="1"/>
      <c r="T50" s="1"/>
      <c r="U50" s="1"/>
      <c r="V50" s="1"/>
      <c r="W50" s="1"/>
      <c r="X50" s="1"/>
    </row>
    <row r="51" spans="1:24" hidden="1">
      <c r="A51" s="1" t="s">
        <v>359</v>
      </c>
      <c r="B51" s="1" t="s">
        <v>10</v>
      </c>
      <c r="C51" s="16"/>
      <c r="D51" s="16"/>
      <c r="E51" s="16"/>
      <c r="F51" s="16"/>
      <c r="G51" s="19"/>
      <c r="H51" s="20"/>
      <c r="I51" s="16"/>
      <c r="J51" s="16"/>
      <c r="K51" s="19"/>
      <c r="L51" s="16"/>
      <c r="M51" s="16"/>
      <c r="N51" s="16"/>
      <c r="P51" s="1"/>
      <c r="Q51" s="1"/>
      <c r="R51" s="1"/>
      <c r="S51" s="1"/>
      <c r="T51" s="1"/>
      <c r="U51" s="1"/>
      <c r="V51" s="1"/>
      <c r="W51" s="1"/>
      <c r="X51" s="1"/>
    </row>
    <row r="52" spans="1:24" hidden="1">
      <c r="A52" s="1"/>
      <c r="B52" s="1"/>
      <c r="P52" s="1"/>
      <c r="Q52" s="1"/>
      <c r="R52" s="1"/>
      <c r="S52" s="1"/>
      <c r="T52" s="1"/>
      <c r="U52" s="1"/>
      <c r="V52" s="1"/>
      <c r="W52" s="1"/>
      <c r="X52" s="1"/>
    </row>
    <row r="53" spans="1:24" ht="30" hidden="1">
      <c r="C53" s="1"/>
      <c r="E53" s="1" t="s">
        <v>343</v>
      </c>
      <c r="F53" s="1" t="s">
        <v>344</v>
      </c>
      <c r="G53" s="1" t="s">
        <v>345</v>
      </c>
      <c r="H53" s="1" t="s">
        <v>346</v>
      </c>
      <c r="I53" s="1" t="s">
        <v>337</v>
      </c>
      <c r="J53" s="1" t="s">
        <v>348</v>
      </c>
      <c r="K53" s="1" t="s">
        <v>349</v>
      </c>
      <c r="L53" s="1" t="s">
        <v>350</v>
      </c>
      <c r="M53" s="18" t="s">
        <v>342</v>
      </c>
      <c r="N53" s="1" t="s">
        <v>351</v>
      </c>
      <c r="O53" s="1" t="s">
        <v>352</v>
      </c>
      <c r="P53" s="1" t="s">
        <v>353</v>
      </c>
      <c r="Q53" s="1" t="s">
        <v>354</v>
      </c>
      <c r="R53" s="1" t="s">
        <v>355</v>
      </c>
      <c r="S53" s="1" t="s">
        <v>356</v>
      </c>
      <c r="T53" s="1" t="s">
        <v>357</v>
      </c>
      <c r="U53" s="1" t="s">
        <v>358</v>
      </c>
      <c r="V53" s="1" t="s">
        <v>359</v>
      </c>
    </row>
    <row r="54" spans="1:24" hidden="1">
      <c r="C54" s="1"/>
      <c r="E54" s="1" t="s">
        <v>10</v>
      </c>
      <c r="F54" s="1" t="s">
        <v>10</v>
      </c>
      <c r="G54" s="1" t="s">
        <v>10</v>
      </c>
      <c r="H54" s="1" t="s">
        <v>10</v>
      </c>
      <c r="I54" s="1" t="s">
        <v>10</v>
      </c>
      <c r="J54" s="1" t="s">
        <v>10</v>
      </c>
      <c r="K54" s="1" t="s">
        <v>10</v>
      </c>
      <c r="L54" s="1" t="s">
        <v>10</v>
      </c>
      <c r="M54" s="1" t="s">
        <v>316</v>
      </c>
      <c r="N54" s="1" t="s">
        <v>10</v>
      </c>
      <c r="O54" s="1" t="s">
        <v>10</v>
      </c>
      <c r="P54" s="1" t="s">
        <v>10</v>
      </c>
      <c r="Q54" s="1" t="s">
        <v>10</v>
      </c>
      <c r="R54" s="1" t="s">
        <v>10</v>
      </c>
      <c r="S54" s="1" t="s">
        <v>10</v>
      </c>
      <c r="T54" s="1" t="s">
        <v>194</v>
      </c>
      <c r="U54" s="1" t="s">
        <v>125</v>
      </c>
      <c r="V54" s="1" t="s">
        <v>10</v>
      </c>
    </row>
    <row r="55" spans="1:24" hidden="1">
      <c r="C55" s="1"/>
      <c r="E55" s="1" t="s">
        <v>80</v>
      </c>
      <c r="F55" s="1"/>
      <c r="G55" s="1"/>
      <c r="H55" s="1"/>
      <c r="I55" s="1"/>
      <c r="J55" s="1"/>
      <c r="K55" s="1"/>
      <c r="L55" s="1"/>
      <c r="M55" s="1"/>
      <c r="N55" s="1"/>
      <c r="O55" s="1"/>
      <c r="P55" s="1"/>
      <c r="Q55" s="1"/>
      <c r="R55" s="1"/>
      <c r="S55" s="1"/>
      <c r="T55" s="1"/>
      <c r="U55" s="1" t="s">
        <v>10</v>
      </c>
    </row>
    <row r="56" spans="1:24" hidden="1">
      <c r="C56" s="1"/>
      <c r="E56" s="1" t="s">
        <v>81</v>
      </c>
      <c r="F56" s="1"/>
      <c r="G56" s="1"/>
      <c r="H56" s="1"/>
      <c r="I56" s="1"/>
      <c r="J56" s="1"/>
      <c r="K56" s="1"/>
      <c r="L56" s="1"/>
      <c r="M56" s="1"/>
      <c r="N56" s="1"/>
      <c r="O56" s="1"/>
      <c r="P56" s="1"/>
      <c r="Q56" s="1"/>
      <c r="R56" s="1"/>
      <c r="S56" s="1"/>
      <c r="T56" s="1"/>
      <c r="U56" s="1"/>
      <c r="V56" s="1"/>
      <c r="W56" s="1"/>
      <c r="X56" s="1"/>
    </row>
    <row r="57" spans="1:24" hidden="1">
      <c r="A57" s="1"/>
      <c r="B57" s="1"/>
      <c r="C57" s="1"/>
      <c r="E57" s="1" t="s">
        <v>85</v>
      </c>
      <c r="F57" s="1"/>
      <c r="G57" s="1"/>
      <c r="H57" s="1"/>
      <c r="I57" s="1"/>
      <c r="J57" s="1"/>
      <c r="K57" s="1"/>
      <c r="L57" s="1"/>
      <c r="M57" s="1"/>
      <c r="N57" s="1"/>
      <c r="O57" s="1"/>
      <c r="P57" s="1"/>
      <c r="Q57" s="1"/>
      <c r="R57" s="1"/>
      <c r="S57" s="1"/>
      <c r="T57" s="1"/>
      <c r="U57" s="1"/>
      <c r="V57" s="1"/>
      <c r="W57" s="1"/>
      <c r="X57" s="1"/>
    </row>
    <row r="58" spans="1:24" hidden="1">
      <c r="A58" s="1"/>
      <c r="B58" s="1"/>
      <c r="C58" s="1"/>
      <c r="E58" s="1" t="s">
        <v>87</v>
      </c>
      <c r="F58" s="1"/>
      <c r="G58" s="1"/>
      <c r="H58" s="1"/>
      <c r="I58" s="1"/>
      <c r="J58" s="1"/>
      <c r="K58" s="1"/>
      <c r="L58" s="1"/>
      <c r="M58" s="1"/>
      <c r="N58" s="1"/>
      <c r="O58" s="1"/>
      <c r="P58" s="1"/>
      <c r="Q58" s="1"/>
      <c r="R58" s="1"/>
      <c r="S58" s="1"/>
      <c r="T58" s="1"/>
      <c r="U58" s="1"/>
      <c r="V58" s="1"/>
      <c r="W58" s="1"/>
      <c r="X58" s="1"/>
    </row>
    <row r="59" spans="1:24" hidden="1">
      <c r="A59" s="1"/>
      <c r="B59" s="1"/>
      <c r="C59" s="1"/>
      <c r="E59" s="1" t="s">
        <v>89</v>
      </c>
      <c r="F59" s="1"/>
      <c r="G59" s="1"/>
      <c r="H59" s="1"/>
      <c r="I59" s="1"/>
      <c r="J59" s="1"/>
      <c r="K59" s="1"/>
      <c r="L59" s="1"/>
      <c r="M59" s="1"/>
      <c r="N59" s="1"/>
      <c r="O59" s="1"/>
      <c r="P59" s="1"/>
      <c r="Q59" s="1"/>
      <c r="R59" s="1"/>
      <c r="S59" s="1"/>
      <c r="T59" s="1"/>
      <c r="U59" s="1"/>
      <c r="V59" s="1"/>
      <c r="W59" s="1"/>
      <c r="X59" s="1"/>
    </row>
    <row r="60" spans="1:24" hidden="1">
      <c r="A60" s="1"/>
      <c r="B60" s="1"/>
      <c r="C60" s="1"/>
      <c r="E60" s="1" t="s">
        <v>323</v>
      </c>
      <c r="F60" s="1"/>
      <c r="G60" s="1"/>
      <c r="H60" s="1"/>
      <c r="I60" s="1"/>
      <c r="J60" s="1"/>
      <c r="K60" s="1"/>
      <c r="L60" s="1"/>
      <c r="M60" s="1"/>
      <c r="N60" s="1"/>
      <c r="O60" s="1"/>
      <c r="P60" s="1"/>
      <c r="Q60" s="1"/>
      <c r="R60" s="1"/>
      <c r="S60" s="1"/>
      <c r="T60" s="1"/>
      <c r="U60" s="1"/>
      <c r="V60" s="1"/>
      <c r="W60" s="1"/>
      <c r="X60" s="1"/>
    </row>
    <row r="61" spans="1:24" hidden="1">
      <c r="A61" s="1"/>
      <c r="B61" s="1"/>
      <c r="C61" s="1"/>
      <c r="E61" s="1"/>
      <c r="F61" s="1"/>
      <c r="G61" s="1"/>
      <c r="H61" s="1"/>
      <c r="I61" s="1"/>
      <c r="J61" s="1"/>
      <c r="K61" s="1"/>
      <c r="L61" s="1"/>
      <c r="M61" s="1"/>
      <c r="N61" s="1"/>
      <c r="O61" s="1"/>
      <c r="P61" s="1"/>
      <c r="Q61" s="1"/>
      <c r="R61" s="1"/>
      <c r="S61" s="1"/>
      <c r="T61" s="1"/>
      <c r="U61" s="1"/>
      <c r="V61" s="1"/>
      <c r="W61" s="1"/>
      <c r="X61" s="1"/>
    </row>
    <row r="62" spans="1:24" hidden="1">
      <c r="A62" s="1"/>
      <c r="B62" s="1"/>
      <c r="C62" s="1"/>
      <c r="D62" s="1"/>
      <c r="E62" s="1"/>
      <c r="F62" s="1"/>
      <c r="G62" s="1"/>
      <c r="H62" s="1"/>
      <c r="I62" s="1"/>
      <c r="J62" s="1"/>
      <c r="K62" s="1"/>
      <c r="L62" s="1"/>
      <c r="M62" s="1"/>
      <c r="N62" s="1"/>
      <c r="O62" s="1"/>
      <c r="P62" s="1"/>
      <c r="Q62" s="1"/>
      <c r="R62" s="1"/>
      <c r="S62" s="1"/>
      <c r="T62" s="1"/>
      <c r="U62" s="1"/>
      <c r="V62" s="1"/>
      <c r="W62" s="1"/>
      <c r="X62" s="1"/>
    </row>
    <row r="63" spans="1:24" hidden="1">
      <c r="A63" s="1"/>
      <c r="B63" s="1"/>
      <c r="C63" s="1"/>
      <c r="D63" s="1"/>
      <c r="F63" s="1"/>
      <c r="G63" s="1"/>
      <c r="H63" s="1"/>
      <c r="I63" s="1"/>
      <c r="J63" s="1"/>
      <c r="K63" s="1"/>
      <c r="L63" s="1"/>
      <c r="M63" s="1"/>
      <c r="N63" s="1"/>
      <c r="O63" s="1"/>
      <c r="P63" s="1"/>
      <c r="Q63" s="1"/>
      <c r="R63" s="1"/>
      <c r="S63" s="1"/>
      <c r="T63" s="1"/>
      <c r="U63" s="1"/>
      <c r="V63" s="1"/>
      <c r="W63" s="1"/>
      <c r="X63" s="1"/>
    </row>
    <row r="64" spans="1:24">
      <c r="P64" s="1"/>
      <c r="Q64" s="1"/>
      <c r="R64" s="1"/>
      <c r="S64" s="1"/>
      <c r="T64" s="1"/>
      <c r="U64" s="1"/>
      <c r="V64" s="1"/>
      <c r="W64" s="1"/>
      <c r="X64" s="1"/>
    </row>
    <row r="65" spans="1:24">
      <c r="A65" s="1"/>
      <c r="B65" s="1" t="s">
        <v>133</v>
      </c>
      <c r="C65" s="1"/>
      <c r="Q65" s="1"/>
      <c r="R65" s="1"/>
      <c r="S65" s="1"/>
      <c r="T65" s="1"/>
      <c r="U65" s="1"/>
      <c r="V65" s="1"/>
      <c r="W65" s="1"/>
      <c r="X65" s="1"/>
    </row>
    <row r="66" spans="1:24">
      <c r="A66" s="1"/>
      <c r="B66" s="1" t="s">
        <v>168</v>
      </c>
      <c r="C66" s="1" t="s">
        <v>169</v>
      </c>
      <c r="Q66" s="1"/>
      <c r="R66" s="1"/>
      <c r="S66" s="1"/>
      <c r="T66" s="1"/>
      <c r="U66" s="1"/>
      <c r="V66" s="1"/>
      <c r="W66" s="1"/>
      <c r="X66" s="1"/>
    </row>
    <row r="67" spans="1:24">
      <c r="B67" s="1"/>
      <c r="C67" s="1"/>
      <c r="Q67" s="1"/>
      <c r="R67" s="1"/>
      <c r="S67" s="1"/>
      <c r="T67" s="1"/>
      <c r="U67" s="1"/>
      <c r="V67" s="1"/>
      <c r="W67" s="1"/>
      <c r="X67" s="1"/>
    </row>
    <row r="68" spans="1:24">
      <c r="B68" s="1"/>
      <c r="C68" s="1"/>
      <c r="Q68" s="1"/>
      <c r="R68" s="1"/>
      <c r="S68" s="1"/>
      <c r="T68" s="1"/>
      <c r="U68" s="1"/>
      <c r="V68" s="1"/>
      <c r="W68" s="1"/>
      <c r="X68" s="1"/>
    </row>
    <row r="69" spans="1:24">
      <c r="Q69" s="1"/>
      <c r="R69" s="1"/>
      <c r="S69" s="1"/>
      <c r="T69" s="1"/>
      <c r="U69" s="1"/>
      <c r="V69" s="1"/>
      <c r="W69" s="1"/>
      <c r="X69" s="1"/>
    </row>
    <row r="70" spans="1:24">
      <c r="Q70" s="1"/>
      <c r="R70" s="1"/>
      <c r="S70" s="1"/>
      <c r="T70" s="1"/>
      <c r="U70" s="1"/>
      <c r="V70" s="1"/>
      <c r="W70" s="1"/>
      <c r="X70" s="1"/>
    </row>
    <row r="71" spans="1:24">
      <c r="Q71" s="1"/>
      <c r="R71" s="1"/>
      <c r="S71" s="1"/>
      <c r="T71" s="1"/>
      <c r="U71" s="1"/>
      <c r="V71" s="1"/>
      <c r="W71" s="1"/>
      <c r="X71" s="1"/>
    </row>
    <row r="72" spans="1:24">
      <c r="Q72" s="1"/>
      <c r="R72" s="1"/>
      <c r="S72" s="1"/>
      <c r="T72" s="1"/>
      <c r="U72" s="1"/>
      <c r="V72" s="1"/>
      <c r="W72" s="1"/>
      <c r="X72" s="1"/>
    </row>
  </sheetData>
  <mergeCells count="7">
    <mergeCell ref="E11:E12"/>
    <mergeCell ref="C1:I4"/>
    <mergeCell ref="B7:B9"/>
    <mergeCell ref="B11:B12"/>
    <mergeCell ref="C7:C9"/>
    <mergeCell ref="C11:C12"/>
    <mergeCell ref="D11:D12"/>
  </mergeCells>
  <phoneticPr fontId="17" type="noConversion"/>
  <dataValidations count="6">
    <dataValidation type="list" allowBlank="1" showInputMessage="1" showErrorMessage="1" sqref="B11" xr:uid="{00000000-0002-0000-0600-000000000000}">
      <formula1>"ms,s,min,hr,day,mo,yr"</formula1>
    </dataValidation>
    <dataValidation type="list" allowBlank="1" showInputMessage="1" showErrorMessage="1" sqref="E11" xr:uid="{00000000-0002-0000-0600-000001000000}">
      <formula1>"1,2,3,4,5,6,7,8,9,10,11,12,13,14,15,16,17,18,19,20,21,22,23,24,25,26,27,28,29,30,31,32"</formula1>
    </dataValidation>
    <dataValidation allowBlank="1" showInputMessage="1" showErrorMessage="1" sqref="E52" xr:uid="{00000000-0002-0000-0600-000002000000}"/>
    <dataValidation type="list" allowBlank="1" showInputMessage="1" showErrorMessage="1" sqref="D11:D12" xr:uid="{00000000-0002-0000-0600-000004000000}">
      <formula1>INDIRECT($B$7)</formula1>
    </dataValidation>
    <dataValidation type="list" allowBlank="1" showInputMessage="1" showErrorMessage="1" sqref="F11:F12" xr:uid="{00000000-0002-0000-0600-000005000000}">
      <formula1>$U$9:$U$11</formula1>
    </dataValidation>
    <dataValidation type="list" allowBlank="1" showInputMessage="1" showErrorMessage="1" sqref="B7:B9" xr:uid="{00000000-0002-0000-0600-000003000000}">
      <formula1>$E$53:$AC$53</formula1>
    </dataValidation>
  </dataValidation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105</vt:i4>
      </vt:variant>
    </vt:vector>
  </HeadingPairs>
  <TitlesOfParts>
    <vt:vector size="112" baseType="lpstr">
      <vt:lpstr>LoRa-1276</vt:lpstr>
      <vt:lpstr>LB models</vt:lpstr>
      <vt:lpstr>LS models</vt:lpstr>
      <vt:lpstr>LHT65N-WMOD=3</vt:lpstr>
      <vt:lpstr>old NB models</vt:lpstr>
      <vt:lpstr>NB models</vt:lpstr>
      <vt:lpstr>CB models</vt:lpstr>
      <vt:lpstr>_50V3_TMP117</vt:lpstr>
      <vt:lpstr>AIS_01_LB</vt:lpstr>
      <vt:lpstr>AQS01_L</vt:lpstr>
      <vt:lpstr>CPL03_LB</vt:lpstr>
      <vt:lpstr>CPL03_NB</vt:lpstr>
      <vt:lpstr>CS01_LB</vt:lpstr>
      <vt:lpstr>D20_NB</vt:lpstr>
      <vt:lpstr>D23_NB</vt:lpstr>
      <vt:lpstr>DDS04_LB</vt:lpstr>
      <vt:lpstr>DDS04_NB</vt:lpstr>
      <vt:lpstr>DDS20_LB</vt:lpstr>
      <vt:lpstr>DDS20_NB</vt:lpstr>
      <vt:lpstr>DDS45_LB</vt:lpstr>
      <vt:lpstr>DDS45_NB</vt:lpstr>
      <vt:lpstr>DDS75_LB</vt:lpstr>
      <vt:lpstr>DDS75_NB</vt:lpstr>
      <vt:lpstr>DS03A_LB</vt:lpstr>
      <vt:lpstr>DS03A_LB__double_channel</vt:lpstr>
      <vt:lpstr>DS20L</vt:lpstr>
      <vt:lpstr>GroPoint_Air</vt:lpstr>
      <vt:lpstr>Gropoint_Air_LB</vt:lpstr>
      <vt:lpstr>LAQ4_</vt:lpstr>
      <vt:lpstr>LAQ4____LoRaWAN_Air_Quality_Sensor</vt:lpstr>
      <vt:lpstr>LCC01_LB</vt:lpstr>
      <vt:lpstr>LDDS04</vt:lpstr>
      <vt:lpstr>LDDS20_</vt:lpstr>
      <vt:lpstr>LDDS20_LoRaWAN_Liquid_Level_Sensor</vt:lpstr>
      <vt:lpstr>LDDS40</vt:lpstr>
      <vt:lpstr>LDDS45</vt:lpstr>
      <vt:lpstr>LDDS75_</vt:lpstr>
      <vt:lpstr>LDDS75_LoRaWAN_Distance_Detection_Sensor</vt:lpstr>
      <vt:lpstr>LDS01_</vt:lpstr>
      <vt:lpstr>LDS01____LoRaWAN_Door_Sensor</vt:lpstr>
      <vt:lpstr>LDS02____LoRaWAN_Door_Sensor</vt:lpstr>
      <vt:lpstr>LDS03A____LoRaWAN_Door_Sensor</vt:lpstr>
      <vt:lpstr>LDS04_LB</vt:lpstr>
      <vt:lpstr>LDS12_LB</vt:lpstr>
      <vt:lpstr>LDS12_NB</vt:lpstr>
      <vt:lpstr>LDS40_LB</vt:lpstr>
      <vt:lpstr>LDS40_LS</vt:lpstr>
      <vt:lpstr>LHT52_LoRaWAN_Temperature___Humidity_Sensor</vt:lpstr>
      <vt:lpstr>LHT65_</vt:lpstr>
      <vt:lpstr>LHT65_LoRaWAN_Temperature___Humidity_Sensor</vt:lpstr>
      <vt:lpstr>LHT65N_LoRaWAN_Temperature___Humidity_Sensor</vt:lpstr>
      <vt:lpstr>LHT65N_LoRaWAN_Temperature___Humidity_Sensor_v1.3</vt:lpstr>
      <vt:lpstr>LLMS01____LoRaWAN_Leaf_Moisture_Sensor_V1.0</vt:lpstr>
      <vt:lpstr>LMDS120</vt:lpstr>
      <vt:lpstr>LSE01_</vt:lpstr>
      <vt:lpstr>LSE01_LoRaWAN_Soil_Moisture___EC_Sensor</vt:lpstr>
      <vt:lpstr>LSN50_</vt:lpstr>
      <vt:lpstr>LSN50_V2</vt:lpstr>
      <vt:lpstr>LSN50_V2____Waterproof_Long_Range_Wireless_LoRa_Sensor_Node</vt:lpstr>
      <vt:lpstr>LSN50_V2____Waterproof_Long_Range_Wireless_NB_Sensor_Node</vt:lpstr>
      <vt:lpstr>LSN50_V3.0_D20_LB</vt:lpstr>
      <vt:lpstr>LSN50_V3.0_D22_LB</vt:lpstr>
      <vt:lpstr>LSN50_V3.0_D23_LB</vt:lpstr>
      <vt:lpstr>LSN50_V3.0_S31_LB</vt:lpstr>
      <vt:lpstr>LSN50v2_D20____LoRaWAN_Waterproof__Outdoor_Temperature_Sensor</vt:lpstr>
      <vt:lpstr>LSN50v2_D22</vt:lpstr>
      <vt:lpstr>LSN50v2_D23</vt:lpstr>
      <vt:lpstr>LSN50V2_S31</vt:lpstr>
      <vt:lpstr>LSN50v2_S31____LoRaWAN_Temperature___Humidity_Sensor</vt:lpstr>
      <vt:lpstr>LSNPK01____LoRaWAN_Soil_NPK_Sensor_V1.0</vt:lpstr>
      <vt:lpstr>LSPH01____LoRaWAN_Soil_Ph_Sensor_V1.0</vt:lpstr>
      <vt:lpstr>LTC2_LB</vt:lpstr>
      <vt:lpstr>LTC2_V1.0</vt:lpstr>
      <vt:lpstr>LWL01_</vt:lpstr>
      <vt:lpstr>LWL01____LoRaWAN_Water_Leak</vt:lpstr>
      <vt:lpstr>LWL02____LoRaWAN_Water_Leak</vt:lpstr>
      <vt:lpstr>LWL03A</vt:lpstr>
      <vt:lpstr>MDS120_LB</vt:lpstr>
      <vt:lpstr>MDS120_NB</vt:lpstr>
      <vt:lpstr>MDS200_LB</vt:lpstr>
      <vt:lpstr>MDS200_NB</vt:lpstr>
      <vt:lpstr>N95S31B</vt:lpstr>
      <vt:lpstr>NDDS20_NB_Liquid_Level_Sensor</vt:lpstr>
      <vt:lpstr>NDDS75_NB_Distance_Detection_Sensor</vt:lpstr>
      <vt:lpstr>Not_inserted_into_NB_card</vt:lpstr>
      <vt:lpstr>NSE01_NB_Soil_Moisture___EC_Sensor</vt:lpstr>
      <vt:lpstr>PS_LB</vt:lpstr>
      <vt:lpstr>PS_LB_UVC254</vt:lpstr>
      <vt:lpstr>PS_NB</vt:lpstr>
      <vt:lpstr>RS485_BL</vt:lpstr>
      <vt:lpstr>RS485_BL_Senseair_Sunlight_CO2</vt:lpstr>
      <vt:lpstr>RS485_LB</vt:lpstr>
      <vt:lpstr>S31B_CB</vt:lpstr>
      <vt:lpstr>S31B_NB</vt:lpstr>
      <vt:lpstr>S31X_CB</vt:lpstr>
      <vt:lpstr>SDI_12_LB</vt:lpstr>
      <vt:lpstr>SE01_LB</vt:lpstr>
      <vt:lpstr>SE01_NB</vt:lpstr>
      <vt:lpstr>SE02_LB</vt:lpstr>
      <vt:lpstr>SE02_NB</vt:lpstr>
      <vt:lpstr>SN50_V3.0_LB</vt:lpstr>
      <vt:lpstr>SN50V3_NB</vt:lpstr>
      <vt:lpstr>SPH01_LB</vt:lpstr>
      <vt:lpstr>SPH01_NB</vt:lpstr>
      <vt:lpstr>SW3L</vt:lpstr>
      <vt:lpstr>SW3L_LB</vt:lpstr>
      <vt:lpstr>TrackerD</vt:lpstr>
      <vt:lpstr>TrackerD_LS</vt:lpstr>
      <vt:lpstr>TrackerD_LS_Charging_Panel</vt:lpstr>
      <vt:lpstr>TS01_LB</vt:lpstr>
      <vt:lpstr>TS01_NB</vt:lpstr>
      <vt:lpstr>WL03A_LB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林 舒</cp:lastModifiedBy>
  <dcterms:created xsi:type="dcterms:W3CDTF">2021-03-10T06:19:00Z</dcterms:created>
  <dcterms:modified xsi:type="dcterms:W3CDTF">2024-09-05T07:13:08Z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8435147AD40B473B8AD02924A5EB4ED7_13</vt:lpwstr>
  </property>
  <property fmtid="{D5CDD505-2E9C-101B-9397-08002B2CF9AE}" pid="4" name="KSOReadingLayout">
    <vt:bool>true</vt:bool>
  </property>
</Properties>
</file>