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hidrogenio" sheetId="4" r:id="rId2"/>
  </sheets>
  <calcPr calcId="144525"/>
</workbook>
</file>

<file path=xl/calcChain.xml><?xml version="1.0" encoding="utf-8"?>
<calcChain xmlns="http://schemas.openxmlformats.org/spreadsheetml/2006/main">
  <c r="E21" i="4" l="1"/>
  <c r="E25" i="4" s="1"/>
  <c r="F21" i="4" s="1"/>
  <c r="G21" i="4" s="1"/>
  <c r="D25" i="4"/>
  <c r="B25" i="4"/>
  <c r="C28" i="4"/>
  <c r="C31" i="4"/>
  <c r="C30" i="4"/>
  <c r="C29" i="4"/>
  <c r="B24" i="4"/>
  <c r="E24" i="4" s="1"/>
  <c r="B23" i="4"/>
  <c r="E23" i="4" s="1"/>
  <c r="B22" i="4"/>
  <c r="E22" i="4" s="1"/>
  <c r="C16" i="4"/>
  <c r="B17" i="4" s="1"/>
  <c r="C15" i="4"/>
  <c r="F2" i="4"/>
  <c r="D28" i="4" l="1"/>
  <c r="H38" i="1"/>
  <c r="D39" i="1" l="1"/>
  <c r="D49" i="1"/>
  <c r="D48" i="1"/>
  <c r="D47" i="1"/>
  <c r="D40" i="1"/>
  <c r="D41" i="1" l="1"/>
  <c r="E2" i="1"/>
  <c r="C28" i="1"/>
  <c r="B22" i="1" l="1"/>
  <c r="B21" i="1"/>
  <c r="B20" i="1"/>
  <c r="C15" i="1"/>
  <c r="C14" i="1"/>
  <c r="B23" i="1" l="1"/>
  <c r="E22" i="1"/>
  <c r="D23" i="1"/>
  <c r="B16" i="1"/>
  <c r="C27" i="1"/>
  <c r="C26" i="1"/>
  <c r="E21" i="1"/>
  <c r="E20" i="1"/>
  <c r="E23" i="1" l="1"/>
  <c r="F22" i="1" s="1"/>
  <c r="F21" i="1" l="1"/>
  <c r="G21" i="1" s="1"/>
  <c r="D28" i="1"/>
  <c r="G22" i="1"/>
  <c r="F20" i="1"/>
  <c r="F23" i="1" l="1"/>
  <c r="D27" i="1"/>
  <c r="G20" i="1"/>
  <c r="G23" i="1" s="1"/>
  <c r="D26" i="1"/>
  <c r="D29" i="1" l="1"/>
  <c r="E26" i="1" s="1"/>
  <c r="E27" i="1" l="1"/>
  <c r="E28" i="1"/>
  <c r="C29" i="1"/>
  <c r="E29" i="1" l="1"/>
  <c r="E33" i="1"/>
  <c r="E35" i="1"/>
  <c r="E34" i="1"/>
  <c r="F33" i="1" l="1"/>
  <c r="F36" i="1" s="1"/>
  <c r="G33" i="1" l="1"/>
  <c r="H33" i="1" s="1"/>
  <c r="G35" i="1"/>
  <c r="H37" i="1" s="1"/>
  <c r="H34" i="1" l="1"/>
  <c r="H36" i="1"/>
  <c r="H35" i="1"/>
  <c r="F23" i="4"/>
  <c r="D30" i="4" l="1"/>
  <c r="G23" i="4"/>
  <c r="F22" i="4"/>
  <c r="F24" i="4"/>
  <c r="G24" i="4" l="1"/>
  <c r="D31" i="4"/>
  <c r="G22" i="4"/>
  <c r="F25" i="4"/>
  <c r="D29" i="4"/>
  <c r="G25" i="4" l="1"/>
  <c r="D32" i="4"/>
  <c r="C32" i="4" s="1"/>
  <c r="E31" i="4" l="1"/>
  <c r="E29" i="4"/>
  <c r="E28" i="4"/>
  <c r="E30" i="4"/>
  <c r="F38" i="4" l="1"/>
  <c r="F37" i="4"/>
  <c r="F36" i="4"/>
  <c r="E32" i="4"/>
  <c r="G36" i="4" l="1"/>
  <c r="G39" i="4" s="1"/>
  <c r="H38" i="4" s="1"/>
  <c r="H36" i="4" l="1"/>
  <c r="I40" i="4"/>
  <c r="I38" i="4"/>
  <c r="I39" i="4"/>
  <c r="I37" i="4"/>
  <c r="H40" i="4"/>
  <c r="I36" i="4"/>
</calcChain>
</file>

<file path=xl/sharedStrings.xml><?xml version="1.0" encoding="utf-8"?>
<sst xmlns="http://schemas.openxmlformats.org/spreadsheetml/2006/main" count="146" uniqueCount="64">
  <si>
    <t>Ar</t>
  </si>
  <si>
    <t>N2</t>
  </si>
  <si>
    <t>O2</t>
  </si>
  <si>
    <t>Gasolina C</t>
  </si>
  <si>
    <t>(kg/m3)</t>
  </si>
  <si>
    <t>Composição(%v/v)</t>
  </si>
  <si>
    <t>Densidade(25º C)</t>
  </si>
  <si>
    <t>Massa (Kg)</t>
  </si>
  <si>
    <t>Composição (%p/p)</t>
  </si>
  <si>
    <t>Fração Mássica</t>
  </si>
  <si>
    <t>Gasolina A</t>
  </si>
  <si>
    <t>Alcool Etílico</t>
  </si>
  <si>
    <t>Formula Minima</t>
  </si>
  <si>
    <t>Peso Molecular</t>
  </si>
  <si>
    <t>N° de moles</t>
  </si>
  <si>
    <t>Composição Molar</t>
  </si>
  <si>
    <t>C8H18</t>
  </si>
  <si>
    <t>Alcool Etilico</t>
  </si>
  <si>
    <t>C2H6O</t>
  </si>
  <si>
    <t>Elemento</t>
  </si>
  <si>
    <t>Peso Molecular Kg/Kmol</t>
  </si>
  <si>
    <t>C</t>
  </si>
  <si>
    <t>H</t>
  </si>
  <si>
    <t>O</t>
  </si>
  <si>
    <t>N</t>
  </si>
  <si>
    <t>S</t>
  </si>
  <si>
    <t>N° de atomos</t>
  </si>
  <si>
    <t>N° de atomos da mistura</t>
  </si>
  <si>
    <t>fACesteq</t>
  </si>
  <si>
    <t>PMar</t>
  </si>
  <si>
    <t>Frações de entrada</t>
  </si>
  <si>
    <t>Etanol</t>
  </si>
  <si>
    <t>g/mol</t>
  </si>
  <si>
    <t>Dados de entrada</t>
  </si>
  <si>
    <t>Porcentagem de nitrogêniono ar</t>
  </si>
  <si>
    <t>Porcentagem de alcool na gasolina</t>
  </si>
  <si>
    <t>Porcentagem de agua no alcool</t>
  </si>
  <si>
    <t>H2O</t>
  </si>
  <si>
    <t>%</t>
  </si>
  <si>
    <t>Média/soma =&gt;</t>
  </si>
  <si>
    <t>Água</t>
  </si>
  <si>
    <t>N2/O2</t>
  </si>
  <si>
    <t>Lambda</t>
  </si>
  <si>
    <t>fACreal</t>
  </si>
  <si>
    <t>Fuel flow experimental</t>
  </si>
  <si>
    <t>Fuel flow numerical</t>
  </si>
  <si>
    <t>Engine rpm</t>
  </si>
  <si>
    <t>rpm</t>
  </si>
  <si>
    <t>g/hr</t>
  </si>
  <si>
    <t>g/cyc</t>
  </si>
  <si>
    <t>kg/cyc</t>
  </si>
  <si>
    <t>dif %</t>
  </si>
  <si>
    <t>g/min</t>
  </si>
  <si>
    <t>g/rot</t>
  </si>
  <si>
    <t>cyc</t>
  </si>
  <si>
    <t>Hidrogênio</t>
  </si>
  <si>
    <t>H2</t>
  </si>
  <si>
    <t>2250rpm</t>
  </si>
  <si>
    <t>Gasolina C e Hidrogenio</t>
  </si>
  <si>
    <t>-</t>
  </si>
  <si>
    <t>Adição de hidrogenio é aqui</t>
  </si>
  <si>
    <t>g/h de hidrogênio</t>
  </si>
  <si>
    <t xml:space="preserve"> g/h de etanol</t>
  </si>
  <si>
    <t xml:space="preserve"> kg/h oxigenio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</si>
</sst>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ont="1" applyBorder="1" applyAlignment="1">
      <alignment horizontal="center" vertical="center"/>
    </xf>
    <xf numFmtId="164" fontId="0" fillId="0" borderId="0" xfId="0" applyNumberFormat="1" applyBorder="1"/>
    <xf numFmtId="165" fontId="0" fillId="0" borderId="5" xfId="0" applyNumberFormat="1" applyBorder="1"/>
    <xf numFmtId="164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2" borderId="0" xfId="0" applyFill="1"/>
    <xf numFmtId="2" fontId="0" fillId="0" borderId="0" xfId="0" applyNumberFormat="1" applyBorder="1"/>
    <xf numFmtId="2" fontId="0" fillId="0" borderId="7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5" workbookViewId="0">
      <selection activeCell="J41" sqref="J41"/>
    </sheetView>
  </sheetViews>
  <sheetFormatPr defaultRowHeight="15" x14ac:dyDescent="0.25"/>
  <cols>
    <col min="1" max="1" width="18.140625" bestFit="1" customWidth="1"/>
    <col min="2" max="2" width="26.140625" customWidth="1"/>
    <col min="3" max="3" width="14.7109375" bestFit="1" customWidth="1"/>
    <col min="4" max="4" width="23" bestFit="1" customWidth="1"/>
    <col min="5" max="5" width="17.5703125" bestFit="1" customWidth="1"/>
    <col min="6" max="6" width="18.5703125" bestFit="1" customWidth="1"/>
    <col min="7" max="7" width="14.140625" bestFit="1" customWidth="1"/>
    <col min="8" max="8" width="18.140625" customWidth="1"/>
    <col min="9" max="9" width="10.28515625" bestFit="1" customWidth="1"/>
    <col min="10" max="10" width="23" bestFit="1" customWidth="1"/>
  </cols>
  <sheetData>
    <row r="1" spans="1:5" x14ac:dyDescent="0.25">
      <c r="A1" s="3" t="s">
        <v>33</v>
      </c>
      <c r="B1" s="4"/>
      <c r="C1" s="4"/>
      <c r="D1" s="5"/>
      <c r="E1" s="2" t="s">
        <v>41</v>
      </c>
    </row>
    <row r="2" spans="1:5" x14ac:dyDescent="0.25">
      <c r="A2" s="6"/>
      <c r="B2" s="7" t="s">
        <v>34</v>
      </c>
      <c r="C2" s="7">
        <v>78</v>
      </c>
      <c r="D2" s="8" t="s">
        <v>38</v>
      </c>
      <c r="E2" s="2">
        <f>C2/(100-C2)</f>
        <v>3.5454545454545454</v>
      </c>
    </row>
    <row r="3" spans="1:5" x14ac:dyDescent="0.25">
      <c r="A3" s="6"/>
      <c r="B3" s="7" t="s">
        <v>35</v>
      </c>
      <c r="C3" s="7">
        <v>100</v>
      </c>
      <c r="D3" s="8" t="s">
        <v>38</v>
      </c>
    </row>
    <row r="4" spans="1:5" x14ac:dyDescent="0.25">
      <c r="A4" s="6"/>
      <c r="B4" s="7" t="s">
        <v>36</v>
      </c>
      <c r="C4" s="7">
        <v>5.6</v>
      </c>
      <c r="D4" s="8" t="s">
        <v>38</v>
      </c>
    </row>
    <row r="5" spans="1:5" ht="15.75" thickBot="1" x14ac:dyDescent="0.3">
      <c r="A5" s="9"/>
      <c r="B5" s="21" t="s">
        <v>42</v>
      </c>
      <c r="C5" s="10">
        <v>1</v>
      </c>
      <c r="D5" s="11"/>
    </row>
    <row r="6" spans="1:5" ht="15.75" thickBot="1" x14ac:dyDescent="0.3"/>
    <row r="7" spans="1:5" x14ac:dyDescent="0.25">
      <c r="A7" s="3" t="s">
        <v>19</v>
      </c>
      <c r="B7" s="5" t="s">
        <v>20</v>
      </c>
    </row>
    <row r="8" spans="1:5" x14ac:dyDescent="0.25">
      <c r="A8" s="6" t="s">
        <v>21</v>
      </c>
      <c r="B8" s="8">
        <v>12</v>
      </c>
    </row>
    <row r="9" spans="1:5" x14ac:dyDescent="0.25">
      <c r="A9" s="6" t="s">
        <v>22</v>
      </c>
      <c r="B9" s="8">
        <v>1</v>
      </c>
    </row>
    <row r="10" spans="1:5" x14ac:dyDescent="0.25">
      <c r="A10" s="6" t="s">
        <v>23</v>
      </c>
      <c r="B10" s="8">
        <v>16</v>
      </c>
    </row>
    <row r="11" spans="1:5" x14ac:dyDescent="0.25">
      <c r="A11" s="6" t="s">
        <v>24</v>
      </c>
      <c r="B11" s="8">
        <v>14</v>
      </c>
    </row>
    <row r="12" spans="1:5" ht="15.75" thickBot="1" x14ac:dyDescent="0.3">
      <c r="A12" s="9" t="s">
        <v>25</v>
      </c>
      <c r="B12" s="11">
        <v>32</v>
      </c>
    </row>
    <row r="13" spans="1:5" ht="15.75" thickBot="1" x14ac:dyDescent="0.3"/>
    <row r="14" spans="1:5" ht="14.25" customHeight="1" x14ac:dyDescent="0.25">
      <c r="A14" s="3" t="s">
        <v>0</v>
      </c>
      <c r="B14" s="4" t="s">
        <v>1</v>
      </c>
      <c r="C14" s="4">
        <f>C2</f>
        <v>78</v>
      </c>
      <c r="D14" s="5">
        <v>14</v>
      </c>
    </row>
    <row r="15" spans="1:5" x14ac:dyDescent="0.25">
      <c r="A15" s="6"/>
      <c r="B15" s="7" t="s">
        <v>2</v>
      </c>
      <c r="C15" s="7">
        <f>100-C2</f>
        <v>22</v>
      </c>
      <c r="D15" s="8">
        <v>16</v>
      </c>
    </row>
    <row r="16" spans="1:5" ht="15.75" thickBot="1" x14ac:dyDescent="0.3">
      <c r="A16" s="9" t="s">
        <v>29</v>
      </c>
      <c r="B16" s="10">
        <f>C15*2*D15/100+C14*2*D14/100</f>
        <v>28.88</v>
      </c>
      <c r="C16" s="10" t="s">
        <v>32</v>
      </c>
      <c r="D16" s="11"/>
    </row>
    <row r="17" spans="1:13" ht="15.75" thickBot="1" x14ac:dyDescent="0.3"/>
    <row r="18" spans="1:13" x14ac:dyDescent="0.25">
      <c r="A18" s="3" t="s">
        <v>3</v>
      </c>
      <c r="B18" s="4"/>
      <c r="C18" s="4"/>
      <c r="D18" s="12" t="s">
        <v>4</v>
      </c>
      <c r="E18" s="4"/>
      <c r="F18" s="4"/>
      <c r="G18" s="5"/>
    </row>
    <row r="19" spans="1:13" x14ac:dyDescent="0.25">
      <c r="A19" s="6"/>
      <c r="B19" s="7" t="s">
        <v>5</v>
      </c>
      <c r="C19" s="7"/>
      <c r="D19" s="7" t="s">
        <v>6</v>
      </c>
      <c r="E19" s="7" t="s">
        <v>7</v>
      </c>
      <c r="F19" s="7" t="s">
        <v>8</v>
      </c>
      <c r="G19" s="8" t="s">
        <v>9</v>
      </c>
    </row>
    <row r="20" spans="1:13" x14ac:dyDescent="0.25">
      <c r="A20" s="6" t="s">
        <v>10</v>
      </c>
      <c r="B20" s="13">
        <f>100-C3</f>
        <v>0</v>
      </c>
      <c r="C20" s="7"/>
      <c r="D20" s="7">
        <v>742.6</v>
      </c>
      <c r="E20" s="7">
        <f>B20*D20</f>
        <v>0</v>
      </c>
      <c r="F20" s="13">
        <f>100*E20/$E$23</f>
        <v>0</v>
      </c>
      <c r="G20" s="14">
        <f>F20/100</f>
        <v>0</v>
      </c>
    </row>
    <row r="21" spans="1:13" x14ac:dyDescent="0.25">
      <c r="A21" s="6" t="s">
        <v>11</v>
      </c>
      <c r="B21" s="13">
        <f>C3*(100-C4)/100</f>
        <v>94.4</v>
      </c>
      <c r="C21" s="7"/>
      <c r="D21" s="7">
        <v>789.4</v>
      </c>
      <c r="E21" s="7">
        <f>B21*D21</f>
        <v>74519.360000000001</v>
      </c>
      <c r="F21" s="13">
        <f>100*E21/$E$23</f>
        <v>93.029935622531923</v>
      </c>
      <c r="G21" s="14">
        <f>F21/100</f>
        <v>0.93029935622531923</v>
      </c>
    </row>
    <row r="22" spans="1:13" x14ac:dyDescent="0.25">
      <c r="A22" s="6" t="s">
        <v>40</v>
      </c>
      <c r="B22" s="13">
        <f>C3*C4/100</f>
        <v>5.6</v>
      </c>
      <c r="C22" s="7"/>
      <c r="D22" s="7">
        <v>997</v>
      </c>
      <c r="E22" s="7">
        <f>B22*D22</f>
        <v>5583.2</v>
      </c>
      <c r="F22" s="13">
        <f>100*E22/$E$23</f>
        <v>6.9700643774680859</v>
      </c>
      <c r="G22" s="14">
        <f>F22/100</f>
        <v>6.9700643774680854E-2</v>
      </c>
    </row>
    <row r="23" spans="1:13" ht="15.75" thickBot="1" x14ac:dyDescent="0.3">
      <c r="A23" s="9"/>
      <c r="B23" s="15">
        <f>B20+B21+B22</f>
        <v>100</v>
      </c>
      <c r="C23" s="10" t="s">
        <v>39</v>
      </c>
      <c r="D23" s="10">
        <f>(D20*B20+D21*B21+D22*B22)/100</f>
        <v>801.02559999999994</v>
      </c>
      <c r="E23" s="10">
        <f>E20+E21+E22</f>
        <v>80102.559999999998</v>
      </c>
      <c r="F23" s="15">
        <f>SUM(F20:F22)</f>
        <v>100.00000000000001</v>
      </c>
      <c r="G23" s="16">
        <f>SUM(G20:G22)</f>
        <v>1</v>
      </c>
    </row>
    <row r="24" spans="1:13" ht="15.75" thickBot="1" x14ac:dyDescent="0.3"/>
    <row r="25" spans="1:13" x14ac:dyDescent="0.25">
      <c r="A25" s="3"/>
      <c r="B25" s="4" t="s">
        <v>12</v>
      </c>
      <c r="C25" s="4" t="s">
        <v>13</v>
      </c>
      <c r="D25" s="4" t="s">
        <v>14</v>
      </c>
      <c r="E25" s="5" t="s">
        <v>15</v>
      </c>
    </row>
    <row r="26" spans="1:13" x14ac:dyDescent="0.25">
      <c r="A26" s="6" t="s">
        <v>10</v>
      </c>
      <c r="B26" s="7" t="s">
        <v>16</v>
      </c>
      <c r="C26" s="7">
        <f>8*B8+18*B9</f>
        <v>114</v>
      </c>
      <c r="D26" s="17">
        <f>F20/C26</f>
        <v>0</v>
      </c>
      <c r="E26" s="14">
        <f>D26/$D$29</f>
        <v>0</v>
      </c>
    </row>
    <row r="27" spans="1:13" x14ac:dyDescent="0.25">
      <c r="A27" s="6" t="s">
        <v>17</v>
      </c>
      <c r="B27" s="7" t="s">
        <v>18</v>
      </c>
      <c r="C27" s="7">
        <f>2*B8+6*B9+B10</f>
        <v>46</v>
      </c>
      <c r="D27" s="17">
        <f>F21/C27</f>
        <v>2.0223899048376506</v>
      </c>
      <c r="E27" s="14">
        <f>D27/$D$29</f>
        <v>0.8392997695972948</v>
      </c>
    </row>
    <row r="28" spans="1:13" x14ac:dyDescent="0.25">
      <c r="A28" s="6" t="s">
        <v>40</v>
      </c>
      <c r="B28" s="20" t="s">
        <v>37</v>
      </c>
      <c r="C28" s="7">
        <f>2*B9+1*B10</f>
        <v>18</v>
      </c>
      <c r="D28" s="17">
        <f>F22/C28</f>
        <v>0.38722579874822699</v>
      </c>
      <c r="E28" s="14">
        <f>D28/$D$29</f>
        <v>0.16070023040270515</v>
      </c>
    </row>
    <row r="29" spans="1:13" ht="15.75" thickBot="1" x14ac:dyDescent="0.3">
      <c r="A29" s="9"/>
      <c r="B29" s="10"/>
      <c r="C29" s="10">
        <f>F23/D29</f>
        <v>41.500393548724254</v>
      </c>
      <c r="D29" s="18">
        <f>D26+D27+D28</f>
        <v>2.4096157035858776</v>
      </c>
      <c r="E29" s="16">
        <f>E26+E27+E28</f>
        <v>1</v>
      </c>
    </row>
    <row r="30" spans="1:13" ht="15.75" thickBot="1" x14ac:dyDescent="0.3"/>
    <row r="31" spans="1:13" x14ac:dyDescent="0.25">
      <c r="A31" s="3"/>
      <c r="B31" s="4" t="s">
        <v>10</v>
      </c>
      <c r="C31" s="4" t="s">
        <v>17</v>
      </c>
      <c r="D31" s="4" t="s">
        <v>40</v>
      </c>
      <c r="E31" s="4"/>
      <c r="F31" s="4"/>
      <c r="G31" s="4"/>
      <c r="H31" s="4"/>
      <c r="I31" s="5"/>
    </row>
    <row r="32" spans="1:13" x14ac:dyDescent="0.25">
      <c r="A32" s="6" t="s">
        <v>12</v>
      </c>
      <c r="B32" s="7" t="s">
        <v>26</v>
      </c>
      <c r="C32" s="7" t="s">
        <v>26</v>
      </c>
      <c r="D32" s="7" t="s">
        <v>26</v>
      </c>
      <c r="E32" s="7" t="s">
        <v>27</v>
      </c>
      <c r="F32" s="19" t="s">
        <v>28</v>
      </c>
      <c r="G32" s="7"/>
      <c r="H32" s="7" t="s">
        <v>30</v>
      </c>
      <c r="I32" s="8"/>
      <c r="K32">
        <v>0.19545886115757574</v>
      </c>
      <c r="M32">
        <v>0.19545886115757599</v>
      </c>
    </row>
    <row r="33" spans="1:13" x14ac:dyDescent="0.25">
      <c r="A33" s="6" t="s">
        <v>21</v>
      </c>
      <c r="B33" s="7">
        <v>8</v>
      </c>
      <c r="C33" s="7">
        <v>2</v>
      </c>
      <c r="D33">
        <v>0</v>
      </c>
      <c r="E33" s="7">
        <f>B33*E26+C33*E27+D33*E28</f>
        <v>1.6785995391945896</v>
      </c>
      <c r="F33" s="19">
        <f>B16/((((100-C2)/100)/(E33+E34/4-E35/2))*C29)</f>
        <v>7.9645391525060916</v>
      </c>
      <c r="G33" s="22">
        <f>F36/(F36+1)</f>
        <v>0.88844936889807169</v>
      </c>
      <c r="H33" s="7">
        <f>G33*C15/100</f>
        <v>0.19545886115757574</v>
      </c>
      <c r="I33" s="8" t="s">
        <v>2</v>
      </c>
      <c r="K33" s="7">
        <v>0.69299050774049586</v>
      </c>
      <c r="M33">
        <v>0.69299050774049598</v>
      </c>
    </row>
    <row r="34" spans="1:13" x14ac:dyDescent="0.25">
      <c r="A34" s="6" t="s">
        <v>22</v>
      </c>
      <c r="B34" s="7">
        <v>18</v>
      </c>
      <c r="C34" s="7">
        <v>6</v>
      </c>
      <c r="D34">
        <v>2</v>
      </c>
      <c r="E34" s="7">
        <f>B34*E26+C34*E27+D34*E28</f>
        <v>5.3571990783891792</v>
      </c>
      <c r="F34" s="7"/>
      <c r="G34" s="22"/>
      <c r="H34" s="7">
        <f>G33*C14/100</f>
        <v>0.69299050774049586</v>
      </c>
      <c r="I34" s="8" t="s">
        <v>1</v>
      </c>
      <c r="K34" s="7">
        <v>0</v>
      </c>
      <c r="M34">
        <v>0.10530379576022</v>
      </c>
    </row>
    <row r="35" spans="1:13" x14ac:dyDescent="0.25">
      <c r="A35" s="6" t="s">
        <v>23</v>
      </c>
      <c r="B35" s="7">
        <v>0</v>
      </c>
      <c r="C35" s="7">
        <v>1</v>
      </c>
      <c r="D35">
        <v>1</v>
      </c>
      <c r="E35" s="7">
        <f>C35*E27+D35*E28</f>
        <v>1</v>
      </c>
      <c r="F35" s="19" t="s">
        <v>43</v>
      </c>
      <c r="G35" s="22">
        <f>1/(F36+1)</f>
        <v>0.1115506311019283</v>
      </c>
      <c r="H35" s="7">
        <f>G35*B20/100</f>
        <v>0</v>
      </c>
      <c r="I35" s="8" t="s">
        <v>10</v>
      </c>
      <c r="K35">
        <v>0.10530379576022032</v>
      </c>
      <c r="M35">
        <v>6.2468353417079797E-3</v>
      </c>
    </row>
    <row r="36" spans="1:13" x14ac:dyDescent="0.25">
      <c r="A36" s="6"/>
      <c r="B36" s="7"/>
      <c r="C36" s="7"/>
      <c r="D36" s="7"/>
      <c r="E36" s="7"/>
      <c r="F36" s="19">
        <f>F33*C5</f>
        <v>7.9645391525060916</v>
      </c>
      <c r="G36" s="22"/>
      <c r="H36" s="7">
        <f>G35*B21/100</f>
        <v>0.10530379576022032</v>
      </c>
      <c r="I36" s="8" t="s">
        <v>31</v>
      </c>
      <c r="K36">
        <v>6.2468353417079849E-3</v>
      </c>
    </row>
    <row r="37" spans="1:13" ht="15.75" thickBot="1" x14ac:dyDescent="0.3">
      <c r="A37" s="9"/>
      <c r="B37" s="18"/>
      <c r="C37" s="10"/>
      <c r="D37" s="10"/>
      <c r="E37" s="10"/>
      <c r="F37" s="10"/>
      <c r="G37" s="23"/>
      <c r="H37" s="10">
        <f>B22*G35/100</f>
        <v>6.2468353417079849E-3</v>
      </c>
      <c r="I37" s="11" t="s">
        <v>37</v>
      </c>
    </row>
    <row r="38" spans="1:13" x14ac:dyDescent="0.25">
      <c r="B38" s="1"/>
      <c r="H38">
        <f>H36+H37</f>
        <v>0.11155063110192831</v>
      </c>
    </row>
    <row r="39" spans="1:13" x14ac:dyDescent="0.25">
      <c r="A39" t="s">
        <v>44</v>
      </c>
      <c r="B39" s="1">
        <v>10096</v>
      </c>
      <c r="C39" t="s">
        <v>48</v>
      </c>
      <c r="D39">
        <f>(B39/3600)/(B41/120)</f>
        <v>9.6152380952380948E-2</v>
      </c>
      <c r="E39" t="s">
        <v>49</v>
      </c>
    </row>
    <row r="40" spans="1:13" x14ac:dyDescent="0.25">
      <c r="A40" t="s">
        <v>45</v>
      </c>
      <c r="B40">
        <v>2.5313E-5</v>
      </c>
      <c r="C40" t="s">
        <v>50</v>
      </c>
      <c r="D40" s="1">
        <f>B40*1000</f>
        <v>2.5312999999999999E-2</v>
      </c>
      <c r="E40" t="s">
        <v>49</v>
      </c>
    </row>
    <row r="41" spans="1:13" x14ac:dyDescent="0.25">
      <c r="A41" t="s">
        <v>46</v>
      </c>
      <c r="B41" s="1">
        <v>3500</v>
      </c>
      <c r="C41" t="s">
        <v>47</v>
      </c>
      <c r="D41">
        <f>D39/D40</f>
        <v>3.7985375479943491</v>
      </c>
      <c r="E41" t="s">
        <v>51</v>
      </c>
    </row>
    <row r="44" spans="1:13" x14ac:dyDescent="0.25">
      <c r="B44" s="1"/>
    </row>
    <row r="45" spans="1:13" x14ac:dyDescent="0.25">
      <c r="B45" s="1"/>
    </row>
    <row r="47" spans="1:13" x14ac:dyDescent="0.25">
      <c r="D47">
        <f>B39/60</f>
        <v>168.26666666666668</v>
      </c>
      <c r="E47" t="s">
        <v>52</v>
      </c>
    </row>
    <row r="48" spans="1:13" x14ac:dyDescent="0.25">
      <c r="D48">
        <f>D47/B41</f>
        <v>4.8076190476190481E-2</v>
      </c>
      <c r="E48" t="s">
        <v>53</v>
      </c>
    </row>
    <row r="49" spans="4:5" x14ac:dyDescent="0.25">
      <c r="D49">
        <f>D48*2</f>
        <v>9.6152380952380961E-2</v>
      </c>
      <c r="E49" t="s">
        <v>54</v>
      </c>
    </row>
  </sheetData>
  <dataConsolidate/>
  <mergeCells count="2">
    <mergeCell ref="G33:G34"/>
    <mergeCell ref="G35:G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7" workbookViewId="0">
      <selection activeCell="C32" sqref="C32"/>
    </sheetView>
  </sheetViews>
  <sheetFormatPr defaultRowHeight="15" x14ac:dyDescent="0.25"/>
  <cols>
    <col min="1" max="1" width="22.42578125" bestFit="1" customWidth="1"/>
    <col min="2" max="2" width="26.140625" customWidth="1"/>
    <col min="3" max="3" width="14.7109375" bestFit="1" customWidth="1"/>
    <col min="4" max="4" width="23" bestFit="1" customWidth="1"/>
    <col min="5" max="5" width="26.28515625" bestFit="1" customWidth="1"/>
    <col min="6" max="6" width="17.5703125" bestFit="1" customWidth="1"/>
    <col min="7" max="7" width="18.5703125" bestFit="1" customWidth="1"/>
    <col min="8" max="8" width="22.28515625" bestFit="1" customWidth="1"/>
    <col min="9" max="9" width="18.140625" customWidth="1"/>
    <col min="10" max="10" width="10.85546875" bestFit="1" customWidth="1"/>
    <col min="11" max="11" width="23" bestFit="1" customWidth="1"/>
  </cols>
  <sheetData>
    <row r="1" spans="1:8" x14ac:dyDescent="0.25">
      <c r="A1" s="3" t="s">
        <v>33</v>
      </c>
      <c r="B1" s="4"/>
      <c r="C1" s="4"/>
      <c r="D1" s="5"/>
      <c r="E1" s="7"/>
      <c r="F1" s="2" t="s">
        <v>41</v>
      </c>
    </row>
    <row r="2" spans="1:8" x14ac:dyDescent="0.25">
      <c r="A2" s="6"/>
      <c r="B2" s="7"/>
      <c r="C2" s="7"/>
      <c r="D2" s="8"/>
      <c r="E2" s="7"/>
      <c r="F2" s="2">
        <f>C3/(100-C3)</f>
        <v>3.5454545454545454</v>
      </c>
    </row>
    <row r="3" spans="1:8" x14ac:dyDescent="0.25">
      <c r="A3" s="6"/>
      <c r="B3" s="7" t="s">
        <v>34</v>
      </c>
      <c r="C3" s="7">
        <v>78</v>
      </c>
      <c r="D3" s="8" t="s">
        <v>38</v>
      </c>
      <c r="E3" s="7"/>
    </row>
    <row r="4" spans="1:8" x14ac:dyDescent="0.25">
      <c r="A4" s="6"/>
      <c r="B4" s="7" t="s">
        <v>35</v>
      </c>
      <c r="C4" s="7">
        <v>100</v>
      </c>
      <c r="D4" s="8" t="s">
        <v>38</v>
      </c>
      <c r="E4" s="7"/>
    </row>
    <row r="5" spans="1:8" x14ac:dyDescent="0.25">
      <c r="A5" s="6"/>
      <c r="B5" s="7" t="s">
        <v>36</v>
      </c>
      <c r="C5" s="7">
        <v>5.6</v>
      </c>
      <c r="D5" s="8" t="s">
        <v>38</v>
      </c>
      <c r="E5" s="7"/>
    </row>
    <row r="6" spans="1:8" ht="15.75" thickBot="1" x14ac:dyDescent="0.3">
      <c r="A6" s="9"/>
      <c r="B6" s="21" t="s">
        <v>42</v>
      </c>
      <c r="C6" s="10">
        <v>1</v>
      </c>
      <c r="D6" s="11"/>
      <c r="E6" s="7"/>
    </row>
    <row r="7" spans="1:8" ht="15.75" thickBot="1" x14ac:dyDescent="0.3"/>
    <row r="8" spans="1:8" x14ac:dyDescent="0.25">
      <c r="A8" s="3" t="s">
        <v>19</v>
      </c>
      <c r="B8" s="5" t="s">
        <v>20</v>
      </c>
    </row>
    <row r="9" spans="1:8" x14ac:dyDescent="0.25">
      <c r="A9" s="6" t="s">
        <v>21</v>
      </c>
      <c r="B9" s="8">
        <v>12</v>
      </c>
    </row>
    <row r="10" spans="1:8" x14ac:dyDescent="0.25">
      <c r="A10" s="6" t="s">
        <v>22</v>
      </c>
      <c r="B10" s="8">
        <v>1</v>
      </c>
    </row>
    <row r="11" spans="1:8" x14ac:dyDescent="0.25">
      <c r="A11" s="6" t="s">
        <v>23</v>
      </c>
      <c r="B11" s="8">
        <v>16</v>
      </c>
    </row>
    <row r="12" spans="1:8" x14ac:dyDescent="0.25">
      <c r="A12" s="6" t="s">
        <v>24</v>
      </c>
      <c r="B12" s="8">
        <v>14</v>
      </c>
    </row>
    <row r="13" spans="1:8" ht="15.75" thickBot="1" x14ac:dyDescent="0.3">
      <c r="A13" s="9" t="s">
        <v>25</v>
      </c>
      <c r="B13" s="11">
        <v>32</v>
      </c>
    </row>
    <row r="14" spans="1:8" ht="15.75" thickBot="1" x14ac:dyDescent="0.3">
      <c r="F14">
        <v>93.59</v>
      </c>
      <c r="G14" t="s">
        <v>61</v>
      </c>
      <c r="H14" t="s">
        <v>57</v>
      </c>
    </row>
    <row r="15" spans="1:8" ht="14.25" customHeight="1" x14ac:dyDescent="0.25">
      <c r="A15" s="3" t="s">
        <v>0</v>
      </c>
      <c r="B15" s="4" t="s">
        <v>1</v>
      </c>
      <c r="C15" s="4">
        <f>C3</f>
        <v>78</v>
      </c>
      <c r="D15" s="5">
        <v>14</v>
      </c>
      <c r="E15" s="7"/>
      <c r="F15">
        <v>5486.9</v>
      </c>
      <c r="G15" t="s">
        <v>62</v>
      </c>
    </row>
    <row r="16" spans="1:8" x14ac:dyDescent="0.25">
      <c r="A16" s="6"/>
      <c r="B16" s="7" t="s">
        <v>2</v>
      </c>
      <c r="C16" s="7">
        <f>100-C3</f>
        <v>22</v>
      </c>
      <c r="D16" s="8">
        <v>16</v>
      </c>
      <c r="E16" s="7"/>
      <c r="F16">
        <v>60.2</v>
      </c>
      <c r="G16" t="s">
        <v>63</v>
      </c>
    </row>
    <row r="17" spans="1:7" ht="15.75" thickBot="1" x14ac:dyDescent="0.3">
      <c r="A17" s="9" t="s">
        <v>29</v>
      </c>
      <c r="B17" s="10">
        <f>C16*2*D16/100+C15*2*D15/100</f>
        <v>28.88</v>
      </c>
      <c r="C17" s="10" t="s">
        <v>32</v>
      </c>
      <c r="D17" s="11"/>
      <c r="E17" s="7"/>
    </row>
    <row r="18" spans="1:7" ht="15.75" thickBot="1" x14ac:dyDescent="0.3">
      <c r="E18" s="27" t="s">
        <v>60</v>
      </c>
    </row>
    <row r="19" spans="1:7" x14ac:dyDescent="0.25">
      <c r="A19" s="3" t="s">
        <v>58</v>
      </c>
      <c r="B19" s="4"/>
      <c r="C19" s="4"/>
      <c r="D19" s="12" t="s">
        <v>4</v>
      </c>
      <c r="E19" s="4"/>
      <c r="F19" s="4"/>
      <c r="G19" s="5"/>
    </row>
    <row r="20" spans="1:7" x14ac:dyDescent="0.25">
      <c r="A20" s="6"/>
      <c r="B20" s="7" t="s">
        <v>5</v>
      </c>
      <c r="C20" s="7"/>
      <c r="D20" s="7" t="s">
        <v>6</v>
      </c>
      <c r="E20" s="7" t="s">
        <v>7</v>
      </c>
      <c r="F20" s="7" t="s">
        <v>8</v>
      </c>
      <c r="G20" s="8" t="s">
        <v>9</v>
      </c>
    </row>
    <row r="21" spans="1:7" x14ac:dyDescent="0.25">
      <c r="A21" s="6" t="s">
        <v>55</v>
      </c>
      <c r="B21" s="19" t="s">
        <v>59</v>
      </c>
      <c r="C21" s="7"/>
      <c r="D21" s="19" t="s">
        <v>59</v>
      </c>
      <c r="E21" s="28">
        <f>(SUM(E22:E24))*F14/F15</f>
        <v>1366.3085878000329</v>
      </c>
      <c r="F21" s="13">
        <f>100*E21/$E$25</f>
        <v>1.6770928717729092</v>
      </c>
      <c r="G21" s="14">
        <f>F21/100</f>
        <v>1.6770928717729092E-2</v>
      </c>
    </row>
    <row r="22" spans="1:7" x14ac:dyDescent="0.25">
      <c r="A22" s="6" t="s">
        <v>10</v>
      </c>
      <c r="B22" s="13">
        <f>100-C4</f>
        <v>0</v>
      </c>
      <c r="C22" s="7"/>
      <c r="D22" s="7">
        <v>742.6</v>
      </c>
      <c r="E22" s="28">
        <f>B22*D22</f>
        <v>0</v>
      </c>
      <c r="F22" s="13">
        <f>100*E22/$E$25</f>
        <v>0</v>
      </c>
      <c r="G22" s="14">
        <f>F22/100</f>
        <v>0</v>
      </c>
    </row>
    <row r="23" spans="1:7" x14ac:dyDescent="0.25">
      <c r="A23" s="6" t="s">
        <v>11</v>
      </c>
      <c r="B23" s="13">
        <f>C4*(100-C5)/100</f>
        <v>94.4</v>
      </c>
      <c r="C23" s="7"/>
      <c r="D23" s="7">
        <v>789.4</v>
      </c>
      <c r="E23" s="28">
        <f>B23*D23</f>
        <v>74519.360000000001</v>
      </c>
      <c r="F23" s="13">
        <f>100*E23/$E$25</f>
        <v>91.469737203591521</v>
      </c>
      <c r="G23" s="14">
        <f>F23/100</f>
        <v>0.91469737203591517</v>
      </c>
    </row>
    <row r="24" spans="1:7" x14ac:dyDescent="0.25">
      <c r="A24" s="6" t="s">
        <v>40</v>
      </c>
      <c r="B24" s="13">
        <f>C4*C5/100</f>
        <v>5.6</v>
      </c>
      <c r="C24" s="7"/>
      <c r="D24" s="7">
        <v>997</v>
      </c>
      <c r="E24" s="28">
        <f>B24*D24</f>
        <v>5583.2</v>
      </c>
      <c r="F24" s="13">
        <f>100*E24/$E$25</f>
        <v>6.8531699246355862</v>
      </c>
      <c r="G24" s="14">
        <f>F24/100</f>
        <v>6.8531699246355868E-2</v>
      </c>
    </row>
    <row r="25" spans="1:7" ht="15.75" thickBot="1" x14ac:dyDescent="0.3">
      <c r="A25" s="9"/>
      <c r="B25" s="15">
        <f>B22+B23+B24</f>
        <v>100</v>
      </c>
      <c r="C25" s="10" t="s">
        <v>39</v>
      </c>
      <c r="D25" s="10">
        <f>(D22*B22+D23*B23+D24*B24)/100</f>
        <v>801.02559999999994</v>
      </c>
      <c r="E25" s="29">
        <f>E21+E22+E23+E24</f>
        <v>81468.868587800025</v>
      </c>
      <c r="F25" s="15">
        <f>SUM(F21:F24)</f>
        <v>100.00000000000001</v>
      </c>
      <c r="G25" s="16">
        <f>SUM(G21:G24)</f>
        <v>1.0000000000000002</v>
      </c>
    </row>
    <row r="26" spans="1:7" ht="15.75" thickBot="1" x14ac:dyDescent="0.3"/>
    <row r="27" spans="1:7" x14ac:dyDescent="0.25">
      <c r="A27" s="3"/>
      <c r="B27" s="4" t="s">
        <v>12</v>
      </c>
      <c r="C27" s="4" t="s">
        <v>13</v>
      </c>
      <c r="D27" s="4" t="s">
        <v>14</v>
      </c>
      <c r="E27" s="5" t="s">
        <v>15</v>
      </c>
    </row>
    <row r="28" spans="1:7" x14ac:dyDescent="0.25">
      <c r="A28" s="6" t="s">
        <v>55</v>
      </c>
      <c r="B28" s="7" t="s">
        <v>56</v>
      </c>
      <c r="C28" s="7">
        <f>2*B10</f>
        <v>2</v>
      </c>
      <c r="D28" s="17">
        <f>F21/C28</f>
        <v>0.83854643588645461</v>
      </c>
      <c r="E28" s="14">
        <f>D28/$D$32</f>
        <v>0.26141259977966991</v>
      </c>
    </row>
    <row r="29" spans="1:7" x14ac:dyDescent="0.25">
      <c r="A29" s="6" t="s">
        <v>10</v>
      </c>
      <c r="B29" s="7" t="s">
        <v>16</v>
      </c>
      <c r="C29" s="7">
        <f>8*B9+18*B10</f>
        <v>114</v>
      </c>
      <c r="D29" s="17">
        <f>F22/C29</f>
        <v>0</v>
      </c>
      <c r="E29" s="14">
        <f>D29/$D$32</f>
        <v>0</v>
      </c>
    </row>
    <row r="30" spans="1:7" x14ac:dyDescent="0.25">
      <c r="A30" s="6" t="s">
        <v>17</v>
      </c>
      <c r="B30" s="7" t="s">
        <v>18</v>
      </c>
      <c r="C30" s="7">
        <f>2*B9+6*B10+B11</f>
        <v>46</v>
      </c>
      <c r="D30" s="17">
        <f>F23/C30</f>
        <v>1.9884725479041634</v>
      </c>
      <c r="E30" s="14">
        <f>D30/$D$32</f>
        <v>0.61989623483238798</v>
      </c>
    </row>
    <row r="31" spans="1:7" x14ac:dyDescent="0.25">
      <c r="A31" s="6" t="s">
        <v>40</v>
      </c>
      <c r="B31" s="20" t="s">
        <v>37</v>
      </c>
      <c r="C31" s="7">
        <f>2*B10+1*B11</f>
        <v>18</v>
      </c>
      <c r="D31" s="17">
        <f>F24/C31</f>
        <v>0.38073166247975476</v>
      </c>
      <c r="E31" s="14">
        <f>D31/$D$32</f>
        <v>0.11869116538794203</v>
      </c>
    </row>
    <row r="32" spans="1:7" ht="15.75" thickBot="1" x14ac:dyDescent="0.3">
      <c r="A32" s="9"/>
      <c r="B32" s="10"/>
      <c r="C32" s="10">
        <f>F25/D32</f>
        <v>31.174492978832141</v>
      </c>
      <c r="D32" s="18">
        <f>D28+D29+D30+D31</f>
        <v>3.2077506462703731</v>
      </c>
      <c r="E32" s="16">
        <f>E28+E29+E30+E31</f>
        <v>0.99999999999999989</v>
      </c>
    </row>
    <row r="33" spans="1:12" ht="15.75" thickBot="1" x14ac:dyDescent="0.3"/>
    <row r="34" spans="1:12" x14ac:dyDescent="0.25">
      <c r="A34" s="3"/>
      <c r="B34" s="4" t="s">
        <v>55</v>
      </c>
      <c r="C34" s="4" t="s">
        <v>10</v>
      </c>
      <c r="D34" s="4" t="s">
        <v>17</v>
      </c>
      <c r="E34" s="4" t="s">
        <v>40</v>
      </c>
      <c r="F34" s="4"/>
      <c r="G34" s="4"/>
      <c r="H34" s="4"/>
      <c r="I34" s="4"/>
      <c r="J34" s="5"/>
    </row>
    <row r="35" spans="1:12" x14ac:dyDescent="0.25">
      <c r="A35" s="6" t="s">
        <v>12</v>
      </c>
      <c r="B35" s="7" t="s">
        <v>26</v>
      </c>
      <c r="C35" s="7" t="s">
        <v>26</v>
      </c>
      <c r="D35" s="7" t="s">
        <v>26</v>
      </c>
      <c r="E35" s="7" t="s">
        <v>26</v>
      </c>
      <c r="F35" s="7" t="s">
        <v>27</v>
      </c>
      <c r="G35" s="19" t="s">
        <v>28</v>
      </c>
      <c r="H35" s="7"/>
      <c r="I35" s="7" t="s">
        <v>30</v>
      </c>
      <c r="J35" s="8"/>
    </row>
    <row r="36" spans="1:12" x14ac:dyDescent="0.25">
      <c r="A36" s="6" t="s">
        <v>21</v>
      </c>
      <c r="B36" s="7">
        <v>0</v>
      </c>
      <c r="C36" s="7">
        <v>8</v>
      </c>
      <c r="D36" s="7">
        <v>2</v>
      </c>
      <c r="E36" s="7">
        <v>0</v>
      </c>
      <c r="F36" s="7">
        <f>B36*E28+C36*E29+D36*E30+E36*E31</f>
        <v>1.239792469664776</v>
      </c>
      <c r="G36" s="19">
        <f>B17/((((100-C3)/100)/(F36+F37/4-F38/2))*C32)</f>
        <v>8.3813578220280505</v>
      </c>
      <c r="H36" s="24">
        <f>G39/(G39+1)</f>
        <v>0.89340562219554898</v>
      </c>
      <c r="I36" s="7">
        <f>H36*C16/100</f>
        <v>0.19654923688302076</v>
      </c>
      <c r="J36" s="8" t="s">
        <v>2</v>
      </c>
      <c r="L36" s="7"/>
    </row>
    <row r="37" spans="1:12" x14ac:dyDescent="0.25">
      <c r="A37" s="6" t="s">
        <v>22</v>
      </c>
      <c r="B37" s="7">
        <v>2</v>
      </c>
      <c r="C37" s="7">
        <v>18</v>
      </c>
      <c r="D37" s="7">
        <v>6</v>
      </c>
      <c r="E37" s="7">
        <v>2</v>
      </c>
      <c r="F37" s="7">
        <f>B37*E28+C37*E29+D37*E30+E37*E31</f>
        <v>4.4795849393295519</v>
      </c>
      <c r="G37" s="7"/>
      <c r="H37" s="24"/>
      <c r="I37" s="7">
        <f>H36*C15/100</f>
        <v>0.69685638531252825</v>
      </c>
      <c r="J37" s="8" t="s">
        <v>1</v>
      </c>
      <c r="L37" s="7"/>
    </row>
    <row r="38" spans="1:12" x14ac:dyDescent="0.25">
      <c r="A38" s="6" t="s">
        <v>23</v>
      </c>
      <c r="B38" s="7">
        <v>0</v>
      </c>
      <c r="C38" s="7">
        <v>0</v>
      </c>
      <c r="D38" s="7">
        <v>1</v>
      </c>
      <c r="E38" s="7">
        <v>1</v>
      </c>
      <c r="F38" s="7">
        <f>B38*E28+C38*E29+D38*E30+E38*E31</f>
        <v>0.73858740022032998</v>
      </c>
      <c r="G38" s="19" t="s">
        <v>43</v>
      </c>
      <c r="H38" s="24">
        <f>1/(G39+1)</f>
        <v>0.10659437780445104</v>
      </c>
      <c r="I38" s="7">
        <f>H38*B22/100</f>
        <v>0</v>
      </c>
      <c r="J38" s="8" t="s">
        <v>10</v>
      </c>
    </row>
    <row r="39" spans="1:12" x14ac:dyDescent="0.25">
      <c r="A39" s="6"/>
      <c r="B39" s="7"/>
      <c r="C39" s="7"/>
      <c r="D39" s="7"/>
      <c r="E39" s="7"/>
      <c r="F39" s="7"/>
      <c r="G39" s="19">
        <f>G36*C6</f>
        <v>8.3813578220280505</v>
      </c>
      <c r="H39" s="24"/>
      <c r="I39" s="7">
        <f>H38*B23/100</f>
        <v>0.10062509264740178</v>
      </c>
      <c r="J39" s="8" t="s">
        <v>31</v>
      </c>
    </row>
    <row r="40" spans="1:12" ht="15.75" thickBot="1" x14ac:dyDescent="0.3">
      <c r="A40" s="9"/>
      <c r="B40" s="10"/>
      <c r="C40" s="10"/>
      <c r="D40" s="10"/>
      <c r="E40" s="10"/>
      <c r="F40" s="10"/>
      <c r="G40" s="26"/>
      <c r="H40" s="25">
        <f>H36+H38</f>
        <v>1</v>
      </c>
      <c r="I40" s="10">
        <f>H38*B24/100</f>
        <v>5.9692851570492577E-3</v>
      </c>
      <c r="J40" s="11" t="s">
        <v>37</v>
      </c>
    </row>
    <row r="41" spans="1:12" x14ac:dyDescent="0.25">
      <c r="A41" s="7"/>
      <c r="B41" s="17"/>
      <c r="C41" s="7"/>
      <c r="D41" s="7"/>
      <c r="E41" s="7"/>
      <c r="F41" s="7"/>
      <c r="G41" s="7"/>
      <c r="H41" s="24"/>
    </row>
    <row r="42" spans="1:12" x14ac:dyDescent="0.25">
      <c r="B42" s="1"/>
    </row>
    <row r="43" spans="1:12" x14ac:dyDescent="0.25">
      <c r="B43" s="1"/>
    </row>
    <row r="44" spans="1:12" x14ac:dyDescent="0.25">
      <c r="D44" s="1"/>
      <c r="E44" s="1"/>
    </row>
    <row r="45" spans="1:12" x14ac:dyDescent="0.25">
      <c r="B45" s="1"/>
    </row>
    <row r="48" spans="1:12" x14ac:dyDescent="0.25">
      <c r="B48" s="1"/>
    </row>
    <row r="49" spans="2:2" x14ac:dyDescent="0.25">
      <c r="B49" s="1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hidrogenio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brunolima</dc:creator>
  <cp:lastModifiedBy>brunolima</cp:lastModifiedBy>
  <dcterms:created xsi:type="dcterms:W3CDTF">2017-04-06T21:25:27Z</dcterms:created>
  <dcterms:modified xsi:type="dcterms:W3CDTF">2019-08-31T19:15:02Z</dcterms:modified>
</cp:coreProperties>
</file>